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Hivatal\Közös\KÉPVISELŐ-TESTÜLET IRATAI\ELŐTERJESZTÉSEK\2022\2022. 05. 26\"/>
    </mc:Choice>
  </mc:AlternateContent>
  <xr:revisionPtr revIDLastSave="0" documentId="13_ncr:1_{54605B65-BEF8-4E32-944F-37913DD278AA}" xr6:coauthVersionLast="47" xr6:coauthVersionMax="47" xr10:uidLastSave="{00000000-0000-0000-0000-000000000000}"/>
  <bookViews>
    <workbookView xWindow="-120" yWindow="-120" windowWidth="29040" windowHeight="15840" firstSheet="28" activeTab="32" xr2:uid="{00000000-000D-0000-FFFF-FFFF00000000}"/>
  </bookViews>
  <sheets>
    <sheet name="II. előlap" sheetId="23" r:id="rId1"/>
    <sheet name="13.a.sz.m.Maradvány - int" sheetId="32" r:id="rId2"/>
    <sheet name="13.b.sz.m.Maradványkim.-Önk" sheetId="33" r:id="rId3"/>
    <sheet name="13.c.sz.m.Kötött maradvány" sheetId="34" r:id="rId4"/>
    <sheet name="13.d.sz.m.Szabad maradvány" sheetId="49" r:id="rId5"/>
    <sheet name="1.sz. tájék.Részesedések" sheetId="125" r:id="rId6"/>
    <sheet name="2.sz.tájék Vagyonkimutatás" sheetId="148" r:id="rId7"/>
    <sheet name="3.sz.tájék.táb. Többéves" sheetId="104" r:id="rId8"/>
    <sheet name="4.sz.tájék.Adósságszolgálat" sheetId="99" r:id="rId9"/>
    <sheet name="5.sz.tájék. Pénzeszközök vált" sheetId="127" r:id="rId10"/>
    <sheet name="6.sz.tájék. Mérleg" sheetId="126" r:id="rId11"/>
    <sheet name="7.sz.táják. Eredménykimutatás" sheetId="128" r:id="rId12"/>
    <sheet name="8.sz.tájék. Mérlegszerű" sheetId="20" r:id="rId13"/>
    <sheet name="9.sz.tájék.tábla Hitelképesség" sheetId="56" r:id="rId14"/>
    <sheet name="10.sz.tájék.tábla Közvetett tám" sheetId="129" r:id="rId15"/>
    <sheet name="1.sz.függ.Eu.pály.Bölcsőde" sheetId="130" r:id="rId16"/>
    <sheet name="2.sz.függ.Orvosi rendelő" sheetId="131" r:id="rId17"/>
    <sheet name="3.sz.függ.A3 csatorna" sheetId="132" r:id="rId18"/>
    <sheet name="4.sz. függ. Százszorszép Óvoda" sheetId="133" r:id="rId19"/>
    <sheet name="5.sz. függ.Temető utca" sheetId="134" r:id="rId20"/>
    <sheet name="6. sz. függ. Energetika" sheetId="135" r:id="rId21"/>
    <sheet name="7. sz. függ. Bölcsőde új tagint" sheetId="136" r:id="rId22"/>
    <sheet name="8. sz. függ. EMMI" sheetId="137" r:id="rId23"/>
    <sheet name="9. sz. függNMI Művház tetőfelúj" sheetId="138" r:id="rId24"/>
    <sheet name="10.sz.függ.BezerédiSportp,tanö" sheetId="139" r:id="rId25"/>
    <sheet name="11. függ.GyermekorvRend tető" sheetId="140" r:id="rId26"/>
    <sheet name="12. függ.Töltőállomás fennt." sheetId="141" r:id="rId27"/>
    <sheet name="13.függ.Teniszpálya fenntartás" sheetId="142" r:id="rId28"/>
    <sheet name="14.függ Bölcsőde fenntartás" sheetId="143" r:id="rId29"/>
    <sheet name="15.függ A3 fenntartás" sheetId="144" r:id="rId30"/>
    <sheet name="16.függ Temető utca fenntart." sheetId="145" r:id="rId31"/>
    <sheet name="17.függ SzázszorszépÓv. fennt." sheetId="146" r:id="rId32"/>
    <sheet name="18.függ Energetika fennt." sheetId="147" r:id="rId33"/>
  </sheets>
  <externalReferences>
    <externalReference r:id="rId34"/>
    <externalReference r:id="rId35"/>
  </externalReferences>
  <definedNames>
    <definedName name="csak" localSheetId="5">#REF!</definedName>
    <definedName name="csak" localSheetId="15">#REF!</definedName>
    <definedName name="csak" localSheetId="26">#REF!</definedName>
    <definedName name="csak" localSheetId="27">#REF!</definedName>
    <definedName name="csak" localSheetId="28">#REF!</definedName>
    <definedName name="csak" localSheetId="16">#REF!</definedName>
    <definedName name="csak" localSheetId="6">#REF!</definedName>
    <definedName name="csak" localSheetId="17">#REF!</definedName>
    <definedName name="csak" localSheetId="7">#REF!</definedName>
    <definedName name="csak" localSheetId="18">#REF!</definedName>
    <definedName name="csak" localSheetId="8">#REF!</definedName>
    <definedName name="csak" localSheetId="19">#REF!</definedName>
    <definedName name="csak" localSheetId="9">#REF!</definedName>
    <definedName name="csak" localSheetId="20">#REF!</definedName>
    <definedName name="csak" localSheetId="10">#REF!</definedName>
    <definedName name="csak" localSheetId="11">#REF!</definedName>
    <definedName name="csak">#REF!</definedName>
    <definedName name="felev" localSheetId="5">#REF!</definedName>
    <definedName name="felev" localSheetId="1">#REF!</definedName>
    <definedName name="felev" localSheetId="2">#REF!</definedName>
    <definedName name="felev" localSheetId="3">#REF!</definedName>
    <definedName name="felev" localSheetId="4">#REF!</definedName>
    <definedName name="felev" localSheetId="6">#REF!</definedName>
    <definedName name="felev" localSheetId="7">#REF!</definedName>
    <definedName name="felev" localSheetId="12">#REF!</definedName>
    <definedName name="felev">#REF!</definedName>
    <definedName name="funkcio" localSheetId="5">#REF!</definedName>
    <definedName name="funkcio" localSheetId="1">#REF!</definedName>
    <definedName name="funkcio" localSheetId="2">#REF!</definedName>
    <definedName name="funkcio" localSheetId="3">#REF!</definedName>
    <definedName name="funkcio" localSheetId="4">#REF!</definedName>
    <definedName name="funkcio" localSheetId="7">#REF!</definedName>
    <definedName name="funkcio" localSheetId="12">#REF!</definedName>
    <definedName name="funkcio">#REF!</definedName>
    <definedName name="hjkhjh">#REF!</definedName>
    <definedName name="Igenyles_elszamolas_tip" localSheetId="5">#REF!</definedName>
    <definedName name="Igenyles_elszamolas_tip" localSheetId="1">#REF!</definedName>
    <definedName name="Igenyles_elszamolas_tip" localSheetId="2">#REF!</definedName>
    <definedName name="Igenyles_elszamolas_tip" localSheetId="3">#REF!</definedName>
    <definedName name="Igenyles_elszamolas_tip" localSheetId="4">#REF!</definedName>
    <definedName name="Igenyles_elszamolas_tip" localSheetId="12">#REF!</definedName>
    <definedName name="Igenyles_elszamolas_tip">#REF!</definedName>
    <definedName name="iiiiii" localSheetId="7">#REF!</definedName>
    <definedName name="iiiiii" localSheetId="13">#REF!</definedName>
    <definedName name="iiiiii">#REF!</definedName>
    <definedName name="jjj" localSheetId="7">#REF!</definedName>
    <definedName name="jjj" localSheetId="13">#REF!</definedName>
    <definedName name="jjj">#REF!</definedName>
    <definedName name="kkkk" localSheetId="7">#REF!</definedName>
    <definedName name="kkkk" localSheetId="13">#REF!</definedName>
    <definedName name="kkkk">#REF!</definedName>
    <definedName name="koltseg_k" localSheetId="5">#REF!</definedName>
    <definedName name="koltseg_k" localSheetId="12">#REF!</definedName>
    <definedName name="koltseg_k">#REF!</definedName>
    <definedName name="Koltseg_kat" localSheetId="5">#REF!</definedName>
    <definedName name="Koltseg_kat" localSheetId="12">#REF!</definedName>
    <definedName name="Koltseg_kat">#REF!</definedName>
    <definedName name="_xlnm.Print_Titles" localSheetId="6">'2.sz.tájék Vagyonkimutatás'!$A:$B,'2.sz.tájék Vagyonkimutatás'!$1:$2</definedName>
    <definedName name="_xlnm.Print_Titles" localSheetId="10">'6.sz.tájék. Mérleg'!$1:$2</definedName>
    <definedName name="_xlnm.Print_Titles" localSheetId="13">'9.sz.tájék.tábla Hitelképesség'!$A:$B</definedName>
    <definedName name="_xlnm.Print_Area" localSheetId="5">'1.sz. tájék.Részesedések'!$A$1:$M$21</definedName>
    <definedName name="_xlnm.Print_Area" localSheetId="15">'1.sz.függ.Eu.pály.Bölcsőde'!$A$1:$K$28</definedName>
    <definedName name="_xlnm.Print_Area" localSheetId="14">'10.sz.tájék.tábla Közvetett tám'!$A$1:$L$30</definedName>
    <definedName name="_xlnm.Print_Area" localSheetId="2">'13.b.sz.m.Maradványkim.-Önk'!$A$1:$F$45</definedName>
    <definedName name="_xlnm.Print_Area" localSheetId="3">'13.c.sz.m.Kötött maradvány'!$A$1:$D$271</definedName>
    <definedName name="_xlnm.Print_Area" localSheetId="4">'13.d.sz.m.Szabad maradvány'!$A$1:$E$76</definedName>
    <definedName name="_xlnm.Print_Area" localSheetId="32">'18.függ Energetika fennt.'!$A$1:$H$17</definedName>
    <definedName name="_xlnm.Print_Area" localSheetId="16">'2.sz.függ.Orvosi rendelő'!$A$1:$L$24</definedName>
    <definedName name="_xlnm.Print_Area" localSheetId="6">'2.sz.tájék Vagyonkimutatás'!$A$1:$V$82</definedName>
    <definedName name="_xlnm.Print_Area" localSheetId="17">'3.sz.függ.A3 csatorna'!$A$1:$K$15</definedName>
    <definedName name="_xlnm.Print_Area" localSheetId="7">'3.sz.tájék.táb. Többéves'!$A$1:$J$20</definedName>
    <definedName name="_xlnm.Print_Area" localSheetId="18">'4.sz. függ. Százszorszép Óvoda'!$A$1:$H$16</definedName>
    <definedName name="_xlnm.Print_Area" localSheetId="8">'4.sz.tájék.Adósságszolgálat'!$A$1:$E$50</definedName>
    <definedName name="_xlnm.Print_Area" localSheetId="19">'5.sz. függ.Temető utca'!$A$1:$J$19</definedName>
    <definedName name="_xlnm.Print_Area" localSheetId="9">'5.sz.tájék. Pénzeszközök vált'!$A$1:$L$17</definedName>
    <definedName name="_xlnm.Print_Area" localSheetId="20">'6. sz. függ. Energetika'!$A$1:$I$18</definedName>
    <definedName name="_xlnm.Print_Area" localSheetId="21">'7. sz. függ. Bölcsőde új tagint'!$A$1:$G$16</definedName>
    <definedName name="_xlnm.Print_Area" localSheetId="12">'8.sz.tájék. Mérlegszerű'!$A$1:$L$39</definedName>
    <definedName name="_xlnm.Print_Area" localSheetId="13">'9.sz.tájék.tábla Hitelképesség'!$A$1:$U$47</definedName>
    <definedName name="_xlnm.Print_Area" localSheetId="0">'II. előlap'!$A$1:$E$26</definedName>
    <definedName name="oooooooooooo" localSheetId="5">#REF!</definedName>
    <definedName name="oooooooooooo" localSheetId="15">#REF!</definedName>
    <definedName name="oooooooooooo" localSheetId="24">#REF!</definedName>
    <definedName name="oooooooooooo" localSheetId="25">#REF!</definedName>
    <definedName name="oooooooooooo" localSheetId="26">#REF!</definedName>
    <definedName name="oooooooooooo" localSheetId="1">#REF!</definedName>
    <definedName name="oooooooooooo" localSheetId="2">#REF!</definedName>
    <definedName name="oooooooooooo" localSheetId="3">#REF!</definedName>
    <definedName name="oooooooooooo" localSheetId="4">#REF!</definedName>
    <definedName name="oooooooooooo" localSheetId="27">#REF!</definedName>
    <definedName name="oooooooooooo" localSheetId="28">#REF!</definedName>
    <definedName name="oooooooooooo" localSheetId="29">#REF!</definedName>
    <definedName name="oooooooooooo" localSheetId="30">#REF!</definedName>
    <definedName name="oooooooooooo" localSheetId="31">#REF!</definedName>
    <definedName name="oooooooooooo" localSheetId="32">#REF!</definedName>
    <definedName name="oooooooooooo" localSheetId="16">#REF!</definedName>
    <definedName name="oooooooooooo" localSheetId="6">#REF!</definedName>
    <definedName name="oooooooooooo" localSheetId="17">#REF!</definedName>
    <definedName name="oooooooooooo" localSheetId="7">#REF!</definedName>
    <definedName name="oooooooooooo" localSheetId="18">#REF!</definedName>
    <definedName name="oooooooooooo" localSheetId="8">#REF!</definedName>
    <definedName name="oooooooooooo" localSheetId="19">#REF!</definedName>
    <definedName name="oooooooooooo" localSheetId="9">#REF!</definedName>
    <definedName name="oooooooooooo" localSheetId="20">#REF!</definedName>
    <definedName name="oooooooooooo" localSheetId="10">#REF!</definedName>
    <definedName name="oooooooooooo" localSheetId="21">#REF!</definedName>
    <definedName name="oooooooooooo" localSheetId="11">#REF!</definedName>
    <definedName name="oooooooooooo" localSheetId="22">#REF!</definedName>
    <definedName name="oooooooooooo" localSheetId="23">#REF!</definedName>
    <definedName name="oooooooooooo" localSheetId="13">#REF!</definedName>
    <definedName name="oooooooooooo">#REF!</definedName>
    <definedName name="pppppp" localSheetId="5">#REF!</definedName>
    <definedName name="pppppp" localSheetId="15">#REF!</definedName>
    <definedName name="pppppp" localSheetId="24">#REF!</definedName>
    <definedName name="pppppp" localSheetId="25">#REF!</definedName>
    <definedName name="pppppp" localSheetId="26">#REF!</definedName>
    <definedName name="pppppp" localSheetId="1">#REF!</definedName>
    <definedName name="pppppp" localSheetId="2">#REF!</definedName>
    <definedName name="pppppp" localSheetId="3">#REF!</definedName>
    <definedName name="pppppp" localSheetId="4">#REF!</definedName>
    <definedName name="pppppp" localSheetId="27">#REF!</definedName>
    <definedName name="pppppp" localSheetId="28">#REF!</definedName>
    <definedName name="pppppp" localSheetId="29">#REF!</definedName>
    <definedName name="pppppp" localSheetId="30">#REF!</definedName>
    <definedName name="pppppp" localSheetId="31">#REF!</definedName>
    <definedName name="pppppp" localSheetId="32">#REF!</definedName>
    <definedName name="pppppp" localSheetId="16">#REF!</definedName>
    <definedName name="pppppp" localSheetId="6">#REF!</definedName>
    <definedName name="pppppp" localSheetId="17">#REF!</definedName>
    <definedName name="pppppp" localSheetId="7">#REF!</definedName>
    <definedName name="pppppp" localSheetId="18">#REF!</definedName>
    <definedName name="pppppp" localSheetId="8">#REF!</definedName>
    <definedName name="pppppp" localSheetId="19">#REF!</definedName>
    <definedName name="pppppp" localSheetId="20">#REF!</definedName>
    <definedName name="pppppp" localSheetId="21">#REF!</definedName>
    <definedName name="pppppp" localSheetId="22">#REF!</definedName>
    <definedName name="pppppp" localSheetId="23">#REF!</definedName>
    <definedName name="pppppp" localSheetId="13">#REF!</definedName>
    <definedName name="pppppp">#REF!</definedName>
    <definedName name="qqqqq" localSheetId="5">#REF!</definedName>
    <definedName name="qqqqq" localSheetId="1">#REF!</definedName>
    <definedName name="qqqqq" localSheetId="2">#REF!</definedName>
    <definedName name="qqqqq" localSheetId="3">#REF!</definedName>
    <definedName name="qqqqq" localSheetId="4">#REF!</definedName>
    <definedName name="qqqqq" localSheetId="7">#REF!</definedName>
    <definedName name="qqqqq" localSheetId="8">#REF!</definedName>
    <definedName name="qqqqq" localSheetId="13">#REF!</definedName>
    <definedName name="qqqqq">#REF!</definedName>
    <definedName name="rrrrrrrrrrr" localSheetId="7">#REF!</definedName>
    <definedName name="rrrrrrrrrrr" localSheetId="13">#REF!</definedName>
    <definedName name="rrrrrrrrrrr">#REF!</definedName>
    <definedName name="Szamviteli_kat" localSheetId="5">#REF!</definedName>
    <definedName name="Szamviteli_kat" localSheetId="3">#REF!</definedName>
    <definedName name="Szamviteli_kat" localSheetId="7">#REF!</definedName>
    <definedName name="Szamviteli_kat" localSheetId="12">#REF!</definedName>
    <definedName name="Szamviteli_kat" localSheetId="13">#REF!</definedName>
    <definedName name="Szamviteli_kat">#REF!</definedName>
    <definedName name="téves">#REF!</definedName>
    <definedName name="vagyonkimut">#REF!</definedName>
    <definedName name="zghfhgf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104" l="1"/>
  <c r="E35" i="33"/>
  <c r="E34" i="33"/>
  <c r="E33" i="33"/>
  <c r="B44" i="99" l="1"/>
  <c r="C72" i="56" l="1"/>
  <c r="C71" i="56"/>
  <c r="C70" i="56"/>
  <c r="C69" i="56"/>
  <c r="C68" i="56"/>
  <c r="C67" i="56"/>
  <c r="C65" i="56"/>
  <c r="C60" i="56"/>
  <c r="C58" i="56"/>
  <c r="C53" i="56"/>
  <c r="C3" i="56" s="1"/>
  <c r="D3" i="56" s="1"/>
  <c r="E3" i="56" s="1"/>
  <c r="F3" i="56" s="1"/>
  <c r="G3" i="56" s="1"/>
  <c r="H3" i="56" s="1"/>
  <c r="I3" i="56" s="1"/>
  <c r="J3" i="56" s="1"/>
  <c r="K3" i="56" s="1"/>
  <c r="L3" i="56" s="1"/>
  <c r="M3" i="56" s="1"/>
  <c r="N3" i="56" s="1"/>
  <c r="O3" i="56" s="1"/>
  <c r="P3" i="56" s="1"/>
  <c r="Q3" i="56" s="1"/>
  <c r="R3" i="56" s="1"/>
  <c r="S3" i="56" s="1"/>
  <c r="T3" i="56" s="1"/>
  <c r="C5" i="56" l="1"/>
  <c r="C73" i="56"/>
  <c r="C6" i="56" s="1"/>
  <c r="E82" i="148"/>
  <c r="F82" i="148" s="1"/>
  <c r="R81" i="148"/>
  <c r="P81" i="148"/>
  <c r="L81" i="148"/>
  <c r="J81" i="148"/>
  <c r="H81" i="148"/>
  <c r="F81" i="148"/>
  <c r="V80" i="148"/>
  <c r="T80" i="148"/>
  <c r="T77" i="148" s="1"/>
  <c r="R80" i="148"/>
  <c r="P80" i="148"/>
  <c r="L80" i="148"/>
  <c r="J80" i="148"/>
  <c r="H80" i="148"/>
  <c r="F80" i="148"/>
  <c r="D80" i="148"/>
  <c r="V79" i="148"/>
  <c r="V77" i="148" s="1"/>
  <c r="T79" i="148"/>
  <c r="R79" i="148"/>
  <c r="P79" i="148"/>
  <c r="L79" i="148"/>
  <c r="J79" i="148"/>
  <c r="H79" i="148"/>
  <c r="F79" i="148"/>
  <c r="D79" i="148"/>
  <c r="D77" i="148" s="1"/>
  <c r="V78" i="148"/>
  <c r="T78" i="148"/>
  <c r="R78" i="148"/>
  <c r="R77" i="148" s="1"/>
  <c r="P78" i="148"/>
  <c r="L78" i="148"/>
  <c r="J78" i="148"/>
  <c r="H78" i="148"/>
  <c r="F78" i="148"/>
  <c r="D78" i="148"/>
  <c r="U77" i="148"/>
  <c r="S77" i="148"/>
  <c r="S82" i="148" s="1"/>
  <c r="Q77" i="148"/>
  <c r="O77" i="148"/>
  <c r="O82" i="148" s="1"/>
  <c r="P82" i="148" s="1"/>
  <c r="N77" i="148"/>
  <c r="N82" i="148" s="1"/>
  <c r="M77" i="148"/>
  <c r="K77" i="148"/>
  <c r="K82" i="148" s="1"/>
  <c r="J77" i="148"/>
  <c r="I77" i="148"/>
  <c r="H77" i="148"/>
  <c r="G77" i="148"/>
  <c r="G82" i="148" s="1"/>
  <c r="F77" i="148"/>
  <c r="E77" i="148"/>
  <c r="C77" i="148"/>
  <c r="C82" i="148" s="1"/>
  <c r="V76" i="148"/>
  <c r="T76" i="148"/>
  <c r="R76" i="148"/>
  <c r="P76" i="148"/>
  <c r="L76" i="148"/>
  <c r="J76" i="148"/>
  <c r="H76" i="148"/>
  <c r="F76" i="148"/>
  <c r="D76" i="148"/>
  <c r="V75" i="148"/>
  <c r="T75" i="148"/>
  <c r="R75" i="148"/>
  <c r="P75" i="148"/>
  <c r="L75" i="148"/>
  <c r="J75" i="148"/>
  <c r="H75" i="148"/>
  <c r="F75" i="148"/>
  <c r="D75" i="148"/>
  <c r="V74" i="148"/>
  <c r="T74" i="148"/>
  <c r="R74" i="148"/>
  <c r="P74" i="148"/>
  <c r="L74" i="148"/>
  <c r="J74" i="148"/>
  <c r="H74" i="148"/>
  <c r="F74" i="148"/>
  <c r="D74" i="148"/>
  <c r="V73" i="148"/>
  <c r="V70" i="148" s="1"/>
  <c r="T73" i="148"/>
  <c r="R73" i="148"/>
  <c r="P73" i="148"/>
  <c r="L73" i="148"/>
  <c r="J73" i="148"/>
  <c r="H73" i="148"/>
  <c r="F73" i="148"/>
  <c r="D73" i="148"/>
  <c r="V72" i="148"/>
  <c r="T72" i="148"/>
  <c r="R72" i="148"/>
  <c r="P72" i="148"/>
  <c r="L72" i="148"/>
  <c r="J72" i="148"/>
  <c r="H72" i="148"/>
  <c r="F72" i="148"/>
  <c r="D72" i="148"/>
  <c r="V71" i="148"/>
  <c r="T71" i="148"/>
  <c r="R71" i="148"/>
  <c r="R70" i="148" s="1"/>
  <c r="P71" i="148"/>
  <c r="L71" i="148"/>
  <c r="J71" i="148"/>
  <c r="H71" i="148"/>
  <c r="F71" i="148"/>
  <c r="D71" i="148"/>
  <c r="U70" i="148"/>
  <c r="U82" i="148" s="1"/>
  <c r="S70" i="148"/>
  <c r="Q70" i="148"/>
  <c r="Q82" i="148" s="1"/>
  <c r="P70" i="148"/>
  <c r="O70" i="148"/>
  <c r="N70" i="148"/>
  <c r="M70" i="148"/>
  <c r="M82" i="148" s="1"/>
  <c r="L70" i="148"/>
  <c r="K70" i="148"/>
  <c r="I70" i="148"/>
  <c r="I82" i="148" s="1"/>
  <c r="G70" i="148"/>
  <c r="F70" i="148"/>
  <c r="E70" i="148"/>
  <c r="C70" i="148"/>
  <c r="V68" i="148"/>
  <c r="T68" i="148"/>
  <c r="R68" i="148"/>
  <c r="P68" i="148"/>
  <c r="L68" i="148"/>
  <c r="J68" i="148"/>
  <c r="H68" i="148"/>
  <c r="F68" i="148"/>
  <c r="D68" i="148"/>
  <c r="V67" i="148"/>
  <c r="T67" i="148"/>
  <c r="R67" i="148"/>
  <c r="P67" i="148"/>
  <c r="L67" i="148"/>
  <c r="J67" i="148"/>
  <c r="H67" i="148"/>
  <c r="F67" i="148"/>
  <c r="D67" i="148"/>
  <c r="V66" i="148"/>
  <c r="T66" i="148"/>
  <c r="R66" i="148"/>
  <c r="P66" i="148"/>
  <c r="L66" i="148"/>
  <c r="J66" i="148"/>
  <c r="H66" i="148"/>
  <c r="F66" i="148"/>
  <c r="D66" i="148"/>
  <c r="V65" i="148"/>
  <c r="T65" i="148"/>
  <c r="R65" i="148"/>
  <c r="P65" i="148"/>
  <c r="L65" i="148"/>
  <c r="J65" i="148"/>
  <c r="H65" i="148"/>
  <c r="F65" i="148"/>
  <c r="D65" i="148"/>
  <c r="V64" i="148"/>
  <c r="T64" i="148"/>
  <c r="R64" i="148"/>
  <c r="P64" i="148"/>
  <c r="L64" i="148"/>
  <c r="J64" i="148"/>
  <c r="H64" i="148"/>
  <c r="F64" i="148"/>
  <c r="D64" i="148"/>
  <c r="C64" i="148"/>
  <c r="U63" i="148"/>
  <c r="V63" i="148" s="1"/>
  <c r="T63" i="148"/>
  <c r="S63" i="148"/>
  <c r="Q63" i="148"/>
  <c r="R63" i="148" s="1"/>
  <c r="P63" i="148"/>
  <c r="O63" i="148"/>
  <c r="N63" i="148"/>
  <c r="M63" i="148"/>
  <c r="L63" i="148"/>
  <c r="K63" i="148"/>
  <c r="I63" i="148"/>
  <c r="J63" i="148" s="1"/>
  <c r="H63" i="148"/>
  <c r="G63" i="148"/>
  <c r="E63" i="148"/>
  <c r="F63" i="148" s="1"/>
  <c r="D63" i="148"/>
  <c r="C63" i="148"/>
  <c r="V62" i="148"/>
  <c r="T62" i="148"/>
  <c r="R62" i="148"/>
  <c r="P62" i="148"/>
  <c r="L62" i="148"/>
  <c r="J62" i="148"/>
  <c r="H62" i="148"/>
  <c r="F62" i="148"/>
  <c r="D62" i="148"/>
  <c r="V61" i="148"/>
  <c r="T61" i="148"/>
  <c r="R61" i="148"/>
  <c r="P61" i="148"/>
  <c r="L61" i="148"/>
  <c r="J61" i="148"/>
  <c r="H61" i="148"/>
  <c r="F61" i="148"/>
  <c r="D61" i="148"/>
  <c r="V60" i="148"/>
  <c r="T60" i="148"/>
  <c r="R60" i="148"/>
  <c r="P60" i="148"/>
  <c r="L60" i="148"/>
  <c r="J60" i="148"/>
  <c r="H60" i="148"/>
  <c r="F60" i="148"/>
  <c r="D60" i="148"/>
  <c r="D57" i="148" s="1"/>
  <c r="C60" i="148"/>
  <c r="C57" i="148" s="1"/>
  <c r="V59" i="148"/>
  <c r="T59" i="148"/>
  <c r="R59" i="148"/>
  <c r="P59" i="148"/>
  <c r="L59" i="148"/>
  <c r="J59" i="148"/>
  <c r="H59" i="148"/>
  <c r="F59" i="148"/>
  <c r="D59" i="148"/>
  <c r="V58" i="148"/>
  <c r="T58" i="148"/>
  <c r="R58" i="148"/>
  <c r="P58" i="148"/>
  <c r="L58" i="148"/>
  <c r="J58" i="148"/>
  <c r="H58" i="148"/>
  <c r="F58" i="148"/>
  <c r="D58" i="148"/>
  <c r="V57" i="148"/>
  <c r="U57" i="148"/>
  <c r="S57" i="148"/>
  <c r="T57" i="148" s="1"/>
  <c r="R57" i="148"/>
  <c r="Q57" i="148"/>
  <c r="O57" i="148"/>
  <c r="P57" i="148" s="1"/>
  <c r="N57" i="148"/>
  <c r="M57" i="148"/>
  <c r="K57" i="148"/>
  <c r="L57" i="148" s="1"/>
  <c r="J57" i="148"/>
  <c r="I57" i="148"/>
  <c r="G57" i="148"/>
  <c r="H57" i="148" s="1"/>
  <c r="F57" i="148"/>
  <c r="E57" i="148"/>
  <c r="V56" i="148"/>
  <c r="T56" i="148"/>
  <c r="R56" i="148"/>
  <c r="R54" i="148" s="1"/>
  <c r="P56" i="148"/>
  <c r="L56" i="148"/>
  <c r="J56" i="148"/>
  <c r="H56" i="148"/>
  <c r="H54" i="148" s="1"/>
  <c r="F56" i="148"/>
  <c r="D56" i="148"/>
  <c r="V55" i="148"/>
  <c r="T55" i="148"/>
  <c r="T54" i="148" s="1"/>
  <c r="R55" i="148"/>
  <c r="P55" i="148"/>
  <c r="L55" i="148"/>
  <c r="L54" i="148" s="1"/>
  <c r="J55" i="148"/>
  <c r="J54" i="148" s="1"/>
  <c r="H55" i="148"/>
  <c r="F55" i="148"/>
  <c r="D55" i="148"/>
  <c r="U54" i="148"/>
  <c r="S54" i="148"/>
  <c r="Q54" i="148"/>
  <c r="P54" i="148"/>
  <c r="O54" i="148"/>
  <c r="N54" i="148"/>
  <c r="M54" i="148"/>
  <c r="K54" i="148"/>
  <c r="I54" i="148"/>
  <c r="G54" i="148"/>
  <c r="E54" i="148"/>
  <c r="D54" i="148"/>
  <c r="C54" i="148"/>
  <c r="V49" i="148"/>
  <c r="U49" i="148"/>
  <c r="T49" i="148"/>
  <c r="S49" i="148"/>
  <c r="R49" i="148"/>
  <c r="Q49" i="148"/>
  <c r="P49" i="148"/>
  <c r="O49" i="148"/>
  <c r="N49" i="148"/>
  <c r="M49" i="148"/>
  <c r="L49" i="148"/>
  <c r="K49" i="148"/>
  <c r="J49" i="148"/>
  <c r="I49" i="148"/>
  <c r="H49" i="148"/>
  <c r="G49" i="148"/>
  <c r="F49" i="148"/>
  <c r="E49" i="148"/>
  <c r="D49" i="148"/>
  <c r="C49" i="148"/>
  <c r="V44" i="148"/>
  <c r="U44" i="148"/>
  <c r="T44" i="148"/>
  <c r="S44" i="148"/>
  <c r="R44" i="148"/>
  <c r="Q44" i="148"/>
  <c r="P44" i="148"/>
  <c r="O44" i="148"/>
  <c r="N44" i="148"/>
  <c r="M44" i="148"/>
  <c r="L44" i="148"/>
  <c r="K44" i="148"/>
  <c r="J44" i="148"/>
  <c r="I44" i="148"/>
  <c r="H44" i="148"/>
  <c r="G44" i="148"/>
  <c r="F44" i="148"/>
  <c r="E44" i="148"/>
  <c r="D44" i="148"/>
  <c r="C44" i="148"/>
  <c r="V39" i="148"/>
  <c r="U39" i="148"/>
  <c r="T39" i="148"/>
  <c r="S39" i="148"/>
  <c r="R39" i="148"/>
  <c r="Q39" i="148"/>
  <c r="P39" i="148"/>
  <c r="O39" i="148"/>
  <c r="N39" i="148"/>
  <c r="M39" i="148"/>
  <c r="L39" i="148"/>
  <c r="K39" i="148"/>
  <c r="J39" i="148"/>
  <c r="I39" i="148"/>
  <c r="H39" i="148"/>
  <c r="G39" i="148"/>
  <c r="F39" i="148"/>
  <c r="E39" i="148"/>
  <c r="D39" i="148"/>
  <c r="C39" i="148"/>
  <c r="V34" i="148"/>
  <c r="U34" i="148"/>
  <c r="T34" i="148"/>
  <c r="S34" i="148"/>
  <c r="R34" i="148"/>
  <c r="Q34" i="148"/>
  <c r="P34" i="148"/>
  <c r="O34" i="148"/>
  <c r="N34" i="148"/>
  <c r="M34" i="148"/>
  <c r="L34" i="148"/>
  <c r="K34" i="148"/>
  <c r="J34" i="148"/>
  <c r="I34" i="148"/>
  <c r="H34" i="148"/>
  <c r="G34" i="148"/>
  <c r="F34" i="148"/>
  <c r="E34" i="148"/>
  <c r="D34" i="148"/>
  <c r="C34" i="148"/>
  <c r="V33" i="148"/>
  <c r="U33" i="148"/>
  <c r="T33" i="148"/>
  <c r="S33" i="148"/>
  <c r="R33" i="148"/>
  <c r="Q33" i="148"/>
  <c r="P33" i="148"/>
  <c r="O33" i="148"/>
  <c r="N33" i="148"/>
  <c r="M33" i="148"/>
  <c r="L33" i="148"/>
  <c r="K33" i="148"/>
  <c r="J33" i="148"/>
  <c r="I33" i="148"/>
  <c r="H33" i="148"/>
  <c r="G33" i="148"/>
  <c r="F33" i="148"/>
  <c r="E33" i="148"/>
  <c r="D33" i="148"/>
  <c r="C33" i="148"/>
  <c r="V28" i="148"/>
  <c r="U28" i="148"/>
  <c r="T28" i="148"/>
  <c r="S28" i="148"/>
  <c r="R28" i="148"/>
  <c r="Q28" i="148"/>
  <c r="P28" i="148"/>
  <c r="O28" i="148"/>
  <c r="N28" i="148"/>
  <c r="M28" i="148"/>
  <c r="L28" i="148"/>
  <c r="K28" i="148"/>
  <c r="J28" i="148"/>
  <c r="I28" i="148"/>
  <c r="H28" i="148"/>
  <c r="G28" i="148"/>
  <c r="F28" i="148"/>
  <c r="E28" i="148"/>
  <c r="D28" i="148"/>
  <c r="C28" i="148"/>
  <c r="V23" i="148"/>
  <c r="U23" i="148"/>
  <c r="T23" i="148"/>
  <c r="S23" i="148"/>
  <c r="R23" i="148"/>
  <c r="Q23" i="148"/>
  <c r="P23" i="148"/>
  <c r="O23" i="148"/>
  <c r="N23" i="148"/>
  <c r="M23" i="148"/>
  <c r="L23" i="148"/>
  <c r="K23" i="148"/>
  <c r="J23" i="148"/>
  <c r="I23" i="148"/>
  <c r="H23" i="148"/>
  <c r="G23" i="148"/>
  <c r="F23" i="148"/>
  <c r="E23" i="148"/>
  <c r="D23" i="148"/>
  <c r="C23" i="148"/>
  <c r="V18" i="148"/>
  <c r="U18" i="148"/>
  <c r="T18" i="148"/>
  <c r="S18" i="148"/>
  <c r="R18" i="148"/>
  <c r="Q18" i="148"/>
  <c r="P18" i="148"/>
  <c r="O18" i="148"/>
  <c r="N18" i="148"/>
  <c r="M18" i="148"/>
  <c r="L18" i="148"/>
  <c r="K18" i="148"/>
  <c r="J18" i="148"/>
  <c r="I18" i="148"/>
  <c r="H18" i="148"/>
  <c r="G18" i="148"/>
  <c r="F18" i="148"/>
  <c r="E18" i="148"/>
  <c r="D18" i="148"/>
  <c r="C18" i="148"/>
  <c r="V13" i="148"/>
  <c r="U13" i="148"/>
  <c r="T13" i="148"/>
  <c r="S13" i="148"/>
  <c r="R13" i="148"/>
  <c r="Q13" i="148"/>
  <c r="P13" i="148"/>
  <c r="O13" i="148"/>
  <c r="N13" i="148"/>
  <c r="M13" i="148"/>
  <c r="H13" i="148"/>
  <c r="G13" i="148"/>
  <c r="F13" i="148"/>
  <c r="E13" i="148"/>
  <c r="D13" i="148"/>
  <c r="C13" i="148"/>
  <c r="V8" i="148"/>
  <c r="U8" i="148"/>
  <c r="T8" i="148"/>
  <c r="S8" i="148"/>
  <c r="R8" i="148"/>
  <c r="Q8" i="148"/>
  <c r="P8" i="148"/>
  <c r="O8" i="148"/>
  <c r="N8" i="148"/>
  <c r="M8" i="148"/>
  <c r="L8" i="148"/>
  <c r="K8" i="148"/>
  <c r="J8" i="148"/>
  <c r="I8" i="148"/>
  <c r="H8" i="148"/>
  <c r="G8" i="148"/>
  <c r="F8" i="148"/>
  <c r="E8" i="148"/>
  <c r="D8" i="148"/>
  <c r="C8" i="148"/>
  <c r="V7" i="148"/>
  <c r="U7" i="148"/>
  <c r="T7" i="148"/>
  <c r="S7" i="148"/>
  <c r="R7" i="148"/>
  <c r="Q7" i="148"/>
  <c r="P7" i="148"/>
  <c r="P3" i="148" s="1"/>
  <c r="O7" i="148"/>
  <c r="N7" i="148"/>
  <c r="M7" i="148"/>
  <c r="L7" i="148"/>
  <c r="L3" i="148" s="1"/>
  <c r="K7" i="148"/>
  <c r="J7" i="148"/>
  <c r="J3" i="148" s="1"/>
  <c r="I7" i="148"/>
  <c r="H7" i="148"/>
  <c r="H3" i="148" s="1"/>
  <c r="G7" i="148"/>
  <c r="F7" i="148"/>
  <c r="F3" i="148" s="1"/>
  <c r="E7" i="148"/>
  <c r="D7" i="148"/>
  <c r="D3" i="148" s="1"/>
  <c r="C7" i="148"/>
  <c r="V4" i="148"/>
  <c r="V3" i="148" s="1"/>
  <c r="U4" i="148"/>
  <c r="U3" i="148" s="1"/>
  <c r="T4" i="148"/>
  <c r="T3" i="148" s="1"/>
  <c r="R4" i="148"/>
  <c r="Q4" i="148"/>
  <c r="P4" i="148"/>
  <c r="O4" i="148"/>
  <c r="N4" i="148"/>
  <c r="M4" i="148"/>
  <c r="M3" i="148" s="1"/>
  <c r="L4" i="148"/>
  <c r="K4" i="148"/>
  <c r="K3" i="148" s="1"/>
  <c r="J4" i="148"/>
  <c r="I4" i="148"/>
  <c r="H4" i="148"/>
  <c r="G4" i="148"/>
  <c r="F4" i="148"/>
  <c r="E4" i="148"/>
  <c r="E3" i="148" s="1"/>
  <c r="D4" i="148"/>
  <c r="C4" i="148"/>
  <c r="C3" i="148" s="1"/>
  <c r="S3" i="148"/>
  <c r="Q3" i="148"/>
  <c r="O3" i="148"/>
  <c r="I3" i="148"/>
  <c r="G3" i="148"/>
  <c r="V82" i="148" l="1"/>
  <c r="T70" i="148"/>
  <c r="H70" i="148"/>
  <c r="H82" i="148" s="1"/>
  <c r="H84" i="148" s="1"/>
  <c r="D70" i="148"/>
  <c r="L77" i="148"/>
  <c r="P77" i="148"/>
  <c r="L82" i="148"/>
  <c r="N3" i="148"/>
  <c r="R3" i="148"/>
  <c r="F54" i="148"/>
  <c r="V54" i="148"/>
  <c r="V69" i="148" s="1"/>
  <c r="V84" i="148" s="1"/>
  <c r="T69" i="148"/>
  <c r="H69" i="148"/>
  <c r="J70" i="148"/>
  <c r="J82" i="148" s="1"/>
  <c r="J84" i="148" s="1"/>
  <c r="E69" i="148"/>
  <c r="I69" i="148"/>
  <c r="M69" i="148"/>
  <c r="Q69" i="148"/>
  <c r="U69" i="148"/>
  <c r="G69" i="148"/>
  <c r="K69" i="148"/>
  <c r="O69" i="148"/>
  <c r="S69" i="148"/>
  <c r="R82" i="148"/>
  <c r="C69" i="148"/>
  <c r="N84" i="148"/>
  <c r="J69" i="148"/>
  <c r="N69" i="148"/>
  <c r="R69" i="148"/>
  <c r="R84" i="148" s="1"/>
  <c r="F69" i="148"/>
  <c r="F84" i="148" s="1"/>
  <c r="P69" i="148"/>
  <c r="P84" i="148" s="1"/>
  <c r="D69" i="148"/>
  <c r="L69" i="148"/>
  <c r="L84" i="148" s="1"/>
  <c r="D82" i="148"/>
  <c r="T82" i="148"/>
  <c r="T84" i="148" s="1"/>
  <c r="V87" i="148" l="1"/>
  <c r="D84" i="148"/>
  <c r="V86" i="148"/>
  <c r="I10" i="104" l="1"/>
  <c r="H10" i="104"/>
  <c r="G10" i="104"/>
  <c r="F10" i="104"/>
  <c r="E10" i="104"/>
  <c r="I9" i="104"/>
  <c r="H9" i="104"/>
  <c r="G9" i="104"/>
  <c r="F9" i="104"/>
  <c r="E9" i="104"/>
  <c r="I8" i="104"/>
  <c r="H8" i="104"/>
  <c r="G8" i="104"/>
  <c r="F8" i="104"/>
  <c r="E8" i="104"/>
  <c r="D8" i="104"/>
  <c r="E16" i="104"/>
  <c r="F16" i="104"/>
  <c r="G16" i="104"/>
  <c r="H16" i="104"/>
  <c r="I16" i="104"/>
  <c r="D16" i="104"/>
  <c r="E11" i="104"/>
  <c r="F11" i="104"/>
  <c r="G11" i="104"/>
  <c r="H11" i="104"/>
  <c r="I11" i="104"/>
  <c r="D11" i="104"/>
  <c r="J15" i="104"/>
  <c r="J17" i="104"/>
  <c r="J16" i="104" s="1"/>
  <c r="J18" i="104"/>
  <c r="D10" i="140"/>
  <c r="C10" i="140"/>
  <c r="E9" i="140"/>
  <c r="E8" i="140"/>
  <c r="D6" i="140"/>
  <c r="E6" i="140" s="1"/>
  <c r="D10" i="139"/>
  <c r="C10" i="139"/>
  <c r="E9" i="139"/>
  <c r="E8" i="139"/>
  <c r="E10" i="139" s="1"/>
  <c r="E6" i="139"/>
  <c r="E10" i="138"/>
  <c r="D10" i="138"/>
  <c r="C10" i="138"/>
  <c r="F10" i="137"/>
  <c r="E10" i="137"/>
  <c r="D10" i="137"/>
  <c r="C9" i="137"/>
  <c r="C10" i="137" s="1"/>
  <c r="F14" i="136"/>
  <c r="D14" i="136"/>
  <c r="C14" i="136"/>
  <c r="G13" i="136"/>
  <c r="G12" i="136"/>
  <c r="G11" i="136"/>
  <c r="G10" i="136"/>
  <c r="E9" i="136"/>
  <c r="E14" i="136" s="1"/>
  <c r="G8" i="136"/>
  <c r="I15" i="135"/>
  <c r="H15" i="135"/>
  <c r="G15" i="135"/>
  <c r="F15" i="135"/>
  <c r="E15" i="135"/>
  <c r="D15" i="135"/>
  <c r="C15" i="135"/>
  <c r="I17" i="134"/>
  <c r="H17" i="134"/>
  <c r="F17" i="134"/>
  <c r="E17" i="134"/>
  <c r="D17" i="134"/>
  <c r="C17" i="134"/>
  <c r="J16" i="134"/>
  <c r="G15" i="134"/>
  <c r="J15" i="134" s="1"/>
  <c r="G14" i="134"/>
  <c r="J14" i="134" s="1"/>
  <c r="J13" i="134"/>
  <c r="J12" i="134"/>
  <c r="J8" i="134"/>
  <c r="J6" i="134"/>
  <c r="G16" i="133"/>
  <c r="F16" i="133"/>
  <c r="E16" i="133"/>
  <c r="D16" i="133"/>
  <c r="C16" i="133"/>
  <c r="H15" i="133"/>
  <c r="H14" i="133"/>
  <c r="H13" i="133"/>
  <c r="H12" i="133"/>
  <c r="H11" i="133"/>
  <c r="H10" i="133"/>
  <c r="H9" i="133"/>
  <c r="H8" i="133"/>
  <c r="H16" i="133" s="1"/>
  <c r="H17" i="132"/>
  <c r="J14" i="132"/>
  <c r="I14" i="132"/>
  <c r="F14" i="132"/>
  <c r="E14" i="132"/>
  <c r="D14" i="132"/>
  <c r="M9" i="132"/>
  <c r="C9" i="132"/>
  <c r="C14" i="132" s="1"/>
  <c r="H8" i="132"/>
  <c r="H14" i="132" s="1"/>
  <c r="H18" i="132" s="1"/>
  <c r="G8" i="132"/>
  <c r="G14" i="132" s="1"/>
  <c r="K6" i="132"/>
  <c r="K21" i="131"/>
  <c r="J21" i="131"/>
  <c r="G21" i="131"/>
  <c r="F21" i="131"/>
  <c r="E21" i="131"/>
  <c r="D21" i="131"/>
  <c r="C21" i="131"/>
  <c r="L20" i="131"/>
  <c r="M20" i="131" s="1"/>
  <c r="N20" i="131" s="1"/>
  <c r="L19" i="131"/>
  <c r="M19" i="131" s="1"/>
  <c r="N19" i="131" s="1"/>
  <c r="L18" i="131"/>
  <c r="M18" i="131" s="1"/>
  <c r="N18" i="131" s="1"/>
  <c r="L17" i="131"/>
  <c r="M17" i="131" s="1"/>
  <c r="N17" i="131" s="1"/>
  <c r="L16" i="131"/>
  <c r="M16" i="131" s="1"/>
  <c r="N16" i="131" s="1"/>
  <c r="H15" i="131"/>
  <c r="L15" i="131" s="1"/>
  <c r="M15" i="131" s="1"/>
  <c r="N15" i="131" s="1"/>
  <c r="L14" i="131"/>
  <c r="M14" i="131" s="1"/>
  <c r="N14" i="131" s="1"/>
  <c r="L13" i="131"/>
  <c r="M13" i="131" s="1"/>
  <c r="N13" i="131" s="1"/>
  <c r="L12" i="131"/>
  <c r="M12" i="131" s="1"/>
  <c r="N12" i="131" s="1"/>
  <c r="L11" i="131"/>
  <c r="M11" i="131" s="1"/>
  <c r="N11" i="131" s="1"/>
  <c r="M10" i="131"/>
  <c r="N10" i="131" s="1"/>
  <c r="L10" i="131"/>
  <c r="L9" i="131"/>
  <c r="M9" i="131" s="1"/>
  <c r="N9" i="131" s="1"/>
  <c r="I8" i="131"/>
  <c r="I21" i="131" s="1"/>
  <c r="K25" i="130"/>
  <c r="K29" i="130" s="1"/>
  <c r="I25" i="130"/>
  <c r="H25" i="130"/>
  <c r="D25" i="130"/>
  <c r="C25" i="130"/>
  <c r="R24" i="130"/>
  <c r="L24" i="130"/>
  <c r="J24" i="130"/>
  <c r="P24" i="130" s="1"/>
  <c r="G23" i="130"/>
  <c r="L23" i="130" s="1"/>
  <c r="M23" i="130" s="1"/>
  <c r="G22" i="130"/>
  <c r="L22" i="130" s="1"/>
  <c r="M22" i="130" s="1"/>
  <c r="F22" i="130"/>
  <c r="G21" i="130"/>
  <c r="L21" i="130" s="1"/>
  <c r="M21" i="130" s="1"/>
  <c r="F21" i="130"/>
  <c r="F25" i="130" s="1"/>
  <c r="L20" i="130"/>
  <c r="M20" i="130" s="1"/>
  <c r="J20" i="130"/>
  <c r="J19" i="130"/>
  <c r="E19" i="130"/>
  <c r="E25" i="130" s="1"/>
  <c r="L18" i="130"/>
  <c r="M18" i="130" s="1"/>
  <c r="J18" i="130"/>
  <c r="M17" i="130"/>
  <c r="L17" i="130"/>
  <c r="J17" i="130"/>
  <c r="M16" i="130"/>
  <c r="L16" i="130"/>
  <c r="J16" i="130"/>
  <c r="L15" i="130"/>
  <c r="M15" i="130" s="1"/>
  <c r="J15" i="130"/>
  <c r="M14" i="130"/>
  <c r="L14" i="130"/>
  <c r="J14" i="130"/>
  <c r="M13" i="130"/>
  <c r="L13" i="130"/>
  <c r="J13" i="130"/>
  <c r="L12" i="130"/>
  <c r="M12" i="130" s="1"/>
  <c r="J12" i="130"/>
  <c r="L11" i="130"/>
  <c r="M11" i="130" s="1"/>
  <c r="J11" i="130"/>
  <c r="K8" i="130"/>
  <c r="J21" i="130" l="1"/>
  <c r="G17" i="134"/>
  <c r="G9" i="136"/>
  <c r="G14" i="136" s="1"/>
  <c r="J17" i="134"/>
  <c r="E10" i="140"/>
  <c r="F17" i="132"/>
  <c r="K8" i="132"/>
  <c r="K14" i="132" s="1"/>
  <c r="L8" i="131"/>
  <c r="L21" i="131" s="1"/>
  <c r="H21" i="131"/>
  <c r="G25" i="130"/>
  <c r="L25" i="130" s="1"/>
  <c r="M25" i="130" s="1"/>
  <c r="L19" i="130"/>
  <c r="M19" i="130" s="1"/>
  <c r="J22" i="130"/>
  <c r="J25" i="130" s="1"/>
  <c r="J23" i="130"/>
  <c r="M8" i="131" l="1"/>
  <c r="M21" i="131"/>
  <c r="N8" i="131"/>
  <c r="C44" i="99" l="1"/>
  <c r="D44" i="99"/>
  <c r="E16" i="20" l="1"/>
  <c r="D17" i="20"/>
  <c r="D16" i="20"/>
  <c r="L27" i="129"/>
  <c r="K27" i="129"/>
  <c r="I27" i="129"/>
  <c r="H27" i="129"/>
  <c r="G27" i="129"/>
  <c r="F27" i="129"/>
  <c r="E27" i="129"/>
  <c r="J26" i="129"/>
  <c r="J27" i="129" s="1"/>
  <c r="L21" i="129"/>
  <c r="K21" i="129"/>
  <c r="J21" i="129"/>
  <c r="H21" i="129"/>
  <c r="G21" i="129"/>
  <c r="F21" i="129"/>
  <c r="E21" i="129"/>
  <c r="I20" i="129"/>
  <c r="I19" i="129"/>
  <c r="I17" i="129"/>
  <c r="I16" i="129"/>
  <c r="L8" i="129"/>
  <c r="K8" i="129"/>
  <c r="J8" i="129"/>
  <c r="I8" i="129"/>
  <c r="H8" i="129"/>
  <c r="G8" i="129"/>
  <c r="F8" i="129"/>
  <c r="E8" i="129"/>
  <c r="M16" i="127"/>
  <c r="M15" i="127"/>
  <c r="M14" i="127"/>
  <c r="D14" i="127"/>
  <c r="D13" i="127" s="1"/>
  <c r="L13" i="127"/>
  <c r="K13" i="127"/>
  <c r="J13" i="127"/>
  <c r="I13" i="127"/>
  <c r="H13" i="127"/>
  <c r="G13" i="127"/>
  <c r="F13" i="127"/>
  <c r="E13" i="127"/>
  <c r="C13" i="127"/>
  <c r="M13" i="127" s="1"/>
  <c r="M12" i="127"/>
  <c r="D10" i="127"/>
  <c r="M10" i="127" s="1"/>
  <c r="O9" i="127"/>
  <c r="P9" i="127" s="1"/>
  <c r="M9" i="127"/>
  <c r="M8" i="127"/>
  <c r="M7" i="127"/>
  <c r="L6" i="127"/>
  <c r="L19" i="127" s="1"/>
  <c r="K6" i="127"/>
  <c r="K19" i="127" s="1"/>
  <c r="J6" i="127"/>
  <c r="J19" i="127" s="1"/>
  <c r="I6" i="127"/>
  <c r="I19" i="127" s="1"/>
  <c r="I21" i="127" s="1"/>
  <c r="H6" i="127"/>
  <c r="H19" i="127" s="1"/>
  <c r="G6" i="127"/>
  <c r="G19" i="127" s="1"/>
  <c r="F6" i="127"/>
  <c r="F19" i="127" s="1"/>
  <c r="E6" i="127"/>
  <c r="E19" i="127" s="1"/>
  <c r="E21" i="127" s="1"/>
  <c r="D6" i="127"/>
  <c r="D19" i="127" s="1"/>
  <c r="C6" i="127"/>
  <c r="C19" i="127" s="1"/>
  <c r="G13" i="125"/>
  <c r="E13" i="125"/>
  <c r="D13" i="125"/>
  <c r="C13" i="125"/>
  <c r="J12" i="125"/>
  <c r="F12" i="125"/>
  <c r="F13" i="125" s="1"/>
  <c r="M11" i="125"/>
  <c r="I10" i="125"/>
  <c r="J10" i="125" s="1"/>
  <c r="I21" i="129" l="1"/>
  <c r="H21" i="127"/>
  <c r="L21" i="127"/>
  <c r="M6" i="127"/>
  <c r="J13" i="125"/>
  <c r="G21" i="127"/>
  <c r="K21" i="127"/>
  <c r="D21" i="127"/>
  <c r="F21" i="127"/>
  <c r="J21" i="127"/>
  <c r="C21" i="127"/>
  <c r="I13" i="125"/>
  <c r="F68" i="49" l="1"/>
  <c r="F63" i="49"/>
  <c r="F53" i="49"/>
  <c r="D75" i="49" s="1"/>
  <c r="F28" i="49"/>
  <c r="D30" i="33"/>
  <c r="F32" i="33"/>
  <c r="E94" i="34"/>
  <c r="E31" i="33" s="1"/>
  <c r="C94" i="34"/>
  <c r="C266" i="34" s="1"/>
  <c r="E30" i="34"/>
  <c r="E23" i="33" s="1"/>
  <c r="D74" i="49" l="1"/>
  <c r="F31" i="33"/>
  <c r="E30" i="33"/>
  <c r="F30" i="33" s="1"/>
  <c r="C82" i="34"/>
  <c r="C81" i="34"/>
  <c r="C80" i="34"/>
  <c r="C79" i="34"/>
  <c r="C78" i="34"/>
  <c r="C77" i="34"/>
  <c r="C76" i="34"/>
  <c r="C75" i="34"/>
  <c r="C74" i="34"/>
  <c r="C73" i="34"/>
  <c r="C71" i="34"/>
  <c r="C70" i="34"/>
  <c r="C68" i="34"/>
  <c r="C69" i="34"/>
  <c r="C67" i="34"/>
  <c r="C66" i="34"/>
  <c r="C65" i="34"/>
  <c r="C63" i="34"/>
  <c r="C62" i="34"/>
  <c r="C61" i="34"/>
  <c r="C60" i="34"/>
  <c r="C53" i="34"/>
  <c r="C51" i="34"/>
  <c r="C50" i="34"/>
  <c r="C46" i="34"/>
  <c r="C45" i="34"/>
  <c r="C43" i="34"/>
  <c r="C42" i="34"/>
  <c r="C40" i="34"/>
  <c r="C37" i="34"/>
  <c r="C57" i="34"/>
  <c r="C49" i="34"/>
  <c r="C38" i="34"/>
  <c r="E18" i="34"/>
  <c r="E17" i="33" s="1"/>
  <c r="E83" i="34" l="1"/>
  <c r="E26" i="33" s="1"/>
  <c r="C84" i="34"/>
  <c r="E62" i="34"/>
  <c r="C5" i="34"/>
  <c r="E17" i="34" s="1"/>
  <c r="E16" i="33" s="1"/>
  <c r="C141" i="34"/>
  <c r="C140" i="34"/>
  <c r="C139" i="34"/>
  <c r="C138" i="34"/>
  <c r="C137" i="34"/>
  <c r="C125" i="34"/>
  <c r="C121" i="34"/>
  <c r="C122" i="34"/>
  <c r="C118" i="34"/>
  <c r="C231" i="34"/>
  <c r="C179" i="34"/>
  <c r="C178" i="34"/>
  <c r="C177" i="34"/>
  <c r="C175" i="34"/>
  <c r="C163" i="34"/>
  <c r="C225" i="34"/>
  <c r="E226" i="34" s="1"/>
  <c r="K25" i="32" s="1"/>
  <c r="C224" i="34"/>
  <c r="E224" i="34" s="1"/>
  <c r="K24" i="32" s="1"/>
  <c r="C216" i="34"/>
  <c r="C217" i="34"/>
  <c r="C214" i="34"/>
  <c r="C213" i="34"/>
  <c r="C152" i="34"/>
  <c r="C151" i="34"/>
  <c r="C149" i="34"/>
  <c r="C150" i="34"/>
  <c r="C147" i="34"/>
  <c r="C256" i="34"/>
  <c r="C255" i="34"/>
  <c r="C244" i="34"/>
  <c r="C243" i="34"/>
  <c r="C193" i="34"/>
  <c r="E193" i="34" s="1"/>
  <c r="H24" i="32" s="1"/>
  <c r="C187" i="34"/>
  <c r="C186" i="34"/>
  <c r="C185" i="34"/>
  <c r="C206" i="34"/>
  <c r="C208" i="34" s="1"/>
  <c r="C199" i="34"/>
  <c r="C200" i="34"/>
  <c r="C112" i="34"/>
  <c r="C111" i="34"/>
  <c r="C99" i="34"/>
  <c r="C101" i="34"/>
  <c r="E208" i="34" l="1"/>
  <c r="L24" i="32"/>
  <c r="G83" i="34"/>
  <c r="C180" i="34"/>
  <c r="E180" i="34" s="1"/>
  <c r="D24" i="32" s="1"/>
  <c r="C257" i="34"/>
  <c r="E257" i="34" s="1"/>
  <c r="J24" i="32" s="1"/>
  <c r="C113" i="34"/>
  <c r="E113" i="34" l="1"/>
  <c r="E24" i="32" s="1"/>
  <c r="C20" i="104" l="1"/>
  <c r="O19" i="104"/>
  <c r="J14" i="104"/>
  <c r="J13" i="104"/>
  <c r="L13" i="104" s="1"/>
  <c r="J12" i="104"/>
  <c r="L12" i="104" l="1"/>
  <c r="J11" i="104"/>
  <c r="E7" i="104"/>
  <c r="E20" i="104" s="1"/>
  <c r="I7" i="104"/>
  <c r="I20" i="104" s="1"/>
  <c r="H7" i="104"/>
  <c r="H20" i="104" s="1"/>
  <c r="F7" i="104"/>
  <c r="F20" i="104" s="1"/>
  <c r="G7" i="104"/>
  <c r="G20" i="104" s="1"/>
  <c r="L16" i="104"/>
  <c r="J8" i="104"/>
  <c r="B7" i="99"/>
  <c r="E17" i="20" l="1"/>
  <c r="B51" i="99"/>
  <c r="E46" i="99"/>
  <c r="X17" i="56"/>
  <c r="E43" i="99"/>
  <c r="E42" i="99"/>
  <c r="E41" i="99"/>
  <c r="E40" i="99"/>
  <c r="E39" i="99"/>
  <c r="E38" i="99"/>
  <c r="E37" i="99"/>
  <c r="E36" i="99"/>
  <c r="E35" i="99"/>
  <c r="E34" i="99"/>
  <c r="E33" i="99"/>
  <c r="E32" i="99"/>
  <c r="E31" i="99"/>
  <c r="E30" i="99"/>
  <c r="E29" i="99"/>
  <c r="E28" i="99"/>
  <c r="E27" i="99"/>
  <c r="E26" i="99"/>
  <c r="E25" i="99"/>
  <c r="E24" i="99"/>
  <c r="E23" i="99"/>
  <c r="E22" i="99"/>
  <c r="D21" i="99"/>
  <c r="D10" i="104" s="1"/>
  <c r="C21" i="99"/>
  <c r="D9" i="104" s="1"/>
  <c r="J9" i="104" s="1"/>
  <c r="E20" i="99"/>
  <c r="E19" i="99"/>
  <c r="E18" i="99"/>
  <c r="E17" i="99"/>
  <c r="E16" i="99"/>
  <c r="J10" i="104" l="1"/>
  <c r="D7" i="104"/>
  <c r="E44" i="99"/>
  <c r="E21" i="99"/>
  <c r="D45" i="99"/>
  <c r="V16" i="56" s="1"/>
  <c r="X16" i="56"/>
  <c r="C45" i="99"/>
  <c r="V15" i="56" s="1"/>
  <c r="X15" i="56"/>
  <c r="B45" i="99"/>
  <c r="V17" i="56" s="1"/>
  <c r="J7" i="104" l="1"/>
  <c r="J20" i="104" s="1"/>
  <c r="V14" i="56"/>
  <c r="X14" i="56"/>
  <c r="E45" i="99"/>
  <c r="B54" i="99"/>
  <c r="E41" i="33" l="1"/>
  <c r="D70" i="49"/>
  <c r="E26" i="32"/>
  <c r="F26" i="32"/>
  <c r="G26" i="32"/>
  <c r="H26" i="32"/>
  <c r="I26" i="32"/>
  <c r="J26" i="32"/>
  <c r="K26" i="32"/>
  <c r="L26" i="32"/>
  <c r="D26" i="32"/>
  <c r="E23" i="32"/>
  <c r="H23" i="32"/>
  <c r="J23" i="32"/>
  <c r="L23" i="32"/>
  <c r="D23" i="32"/>
  <c r="E20" i="32"/>
  <c r="F20" i="32"/>
  <c r="G20" i="32"/>
  <c r="H20" i="32"/>
  <c r="I20" i="32"/>
  <c r="K20" i="32"/>
  <c r="L20" i="32"/>
  <c r="D20" i="32"/>
  <c r="E17" i="32"/>
  <c r="F17" i="32"/>
  <c r="G17" i="32"/>
  <c r="H17" i="32"/>
  <c r="I17" i="32"/>
  <c r="J17" i="32"/>
  <c r="K17" i="32"/>
  <c r="L17" i="32"/>
  <c r="D17" i="32"/>
  <c r="M16" i="32"/>
  <c r="D17" i="33" s="1"/>
  <c r="M18" i="32"/>
  <c r="D19" i="33" s="1"/>
  <c r="M19" i="32"/>
  <c r="D20" i="33" s="1"/>
  <c r="F20" i="33" s="1"/>
  <c r="M21" i="32"/>
  <c r="D22" i="33" s="1"/>
  <c r="F22" i="33" s="1"/>
  <c r="M25" i="32"/>
  <c r="D26" i="33" s="1"/>
  <c r="M27" i="32"/>
  <c r="D28" i="33" s="1"/>
  <c r="M28" i="32"/>
  <c r="D29" i="33" s="1"/>
  <c r="E21" i="33"/>
  <c r="E21" i="34"/>
  <c r="E31" i="32"/>
  <c r="F31" i="32"/>
  <c r="G31" i="32"/>
  <c r="H31" i="32"/>
  <c r="I31" i="32"/>
  <c r="K31" i="32"/>
  <c r="L31" i="32"/>
  <c r="D31" i="32"/>
  <c r="E87" i="34"/>
  <c r="E28" i="33" s="1"/>
  <c r="C91" i="34"/>
  <c r="C265" i="34" s="1"/>
  <c r="C22" i="34"/>
  <c r="C262" i="34" s="1"/>
  <c r="C142" i="34"/>
  <c r="C238" i="34"/>
  <c r="E238" i="34" s="1"/>
  <c r="C226" i="34"/>
  <c r="K23" i="32" s="1"/>
  <c r="C158" i="34"/>
  <c r="E158" i="34" s="1"/>
  <c r="G24" i="32" s="1"/>
  <c r="C153" i="34"/>
  <c r="C249" i="34"/>
  <c r="I24" i="32" l="1"/>
  <c r="I23" i="32" s="1"/>
  <c r="E142" i="34"/>
  <c r="C264" i="34"/>
  <c r="E90" i="34"/>
  <c r="E19" i="33"/>
  <c r="G96" i="34"/>
  <c r="E40" i="33"/>
  <c r="M17" i="32"/>
  <c r="D18" i="33" s="1"/>
  <c r="F26" i="33"/>
  <c r="F17" i="33"/>
  <c r="F28" i="33"/>
  <c r="G23" i="32"/>
  <c r="M26" i="32"/>
  <c r="D27" i="33" s="1"/>
  <c r="E25" i="33"/>
  <c r="E24" i="33" s="1"/>
  <c r="F24" i="32" l="1"/>
  <c r="M24" i="32" s="1"/>
  <c r="D25" i="33" s="1"/>
  <c r="E18" i="33"/>
  <c r="F18" i="33" s="1"/>
  <c r="F19" i="33"/>
  <c r="E29" i="33"/>
  <c r="H96" i="34"/>
  <c r="H97" i="34" s="1"/>
  <c r="F25" i="33"/>
  <c r="E15" i="33"/>
  <c r="F23" i="32" l="1"/>
  <c r="M23" i="32" s="1"/>
  <c r="D24" i="33" s="1"/>
  <c r="F24" i="33" s="1"/>
  <c r="F29" i="33"/>
  <c r="E27" i="33"/>
  <c r="F27" i="33" s="1"/>
  <c r="C133" i="34" l="1"/>
  <c r="E133" i="34" l="1"/>
  <c r="C143" i="34"/>
  <c r="C35" i="34"/>
  <c r="F15" i="32" l="1"/>
  <c r="F30" i="32" s="1"/>
  <c r="F29" i="32" s="1"/>
  <c r="C233" i="34"/>
  <c r="C218" i="34"/>
  <c r="C171" i="34"/>
  <c r="C181" i="34" s="1"/>
  <c r="F14" i="32" l="1"/>
  <c r="E233" i="34"/>
  <c r="C239" i="34"/>
  <c r="E218" i="34"/>
  <c r="K15" i="32" s="1"/>
  <c r="C227" i="34"/>
  <c r="E170" i="34"/>
  <c r="I10" i="32"/>
  <c r="D15" i="32" l="1"/>
  <c r="D14" i="32" s="1"/>
  <c r="I15" i="32"/>
  <c r="I14" i="32" s="1"/>
  <c r="K14" i="32"/>
  <c r="G224" i="34"/>
  <c r="K30" i="32"/>
  <c r="K29" i="32" s="1"/>
  <c r="D76" i="49"/>
  <c r="U45" i="56"/>
  <c r="U44" i="56"/>
  <c r="U43" i="56"/>
  <c r="U42" i="56"/>
  <c r="U41" i="56"/>
  <c r="U40" i="56"/>
  <c r="U39" i="56"/>
  <c r="T35" i="56"/>
  <c r="S35" i="56"/>
  <c r="R35" i="56"/>
  <c r="Q35" i="56"/>
  <c r="P35" i="56"/>
  <c r="O35" i="56"/>
  <c r="N35" i="56"/>
  <c r="M35" i="56"/>
  <c r="L35" i="56"/>
  <c r="K35" i="56"/>
  <c r="J35" i="56"/>
  <c r="I35" i="56"/>
  <c r="H35" i="56"/>
  <c r="G35" i="56"/>
  <c r="F35" i="56"/>
  <c r="E35" i="56"/>
  <c r="D35" i="56"/>
  <c r="C35" i="56"/>
  <c r="T31" i="56"/>
  <c r="S31" i="56"/>
  <c r="R31" i="56"/>
  <c r="Q31" i="56"/>
  <c r="P31" i="56"/>
  <c r="O31" i="56"/>
  <c r="N31" i="56"/>
  <c r="M31" i="56"/>
  <c r="L31" i="56"/>
  <c r="K31" i="56"/>
  <c r="J31" i="56"/>
  <c r="I31" i="56"/>
  <c r="I30" i="56" s="1"/>
  <c r="I29" i="56" s="1"/>
  <c r="H31" i="56"/>
  <c r="G31" i="56"/>
  <c r="F31" i="56"/>
  <c r="E31" i="56"/>
  <c r="D31" i="56"/>
  <c r="C31" i="56"/>
  <c r="U28" i="56"/>
  <c r="U27" i="56"/>
  <c r="U26" i="56"/>
  <c r="U25" i="56"/>
  <c r="U24" i="56"/>
  <c r="U23" i="56"/>
  <c r="U22" i="56"/>
  <c r="W21" i="56"/>
  <c r="U21" i="56"/>
  <c r="W20" i="56"/>
  <c r="U20" i="56"/>
  <c r="W19" i="56"/>
  <c r="U19" i="56"/>
  <c r="T18" i="56"/>
  <c r="S18" i="56"/>
  <c r="R18" i="56"/>
  <c r="Q18" i="56"/>
  <c r="P18" i="56"/>
  <c r="O18" i="56"/>
  <c r="N18" i="56"/>
  <c r="M18" i="56"/>
  <c r="L18" i="56"/>
  <c r="K18" i="56"/>
  <c r="J18" i="56"/>
  <c r="I18" i="56"/>
  <c r="H18" i="56"/>
  <c r="G18" i="56"/>
  <c r="F18" i="56"/>
  <c r="E18" i="56"/>
  <c r="D18" i="56"/>
  <c r="C18" i="56"/>
  <c r="W17" i="56"/>
  <c r="U17" i="56"/>
  <c r="W16" i="56"/>
  <c r="U16" i="56"/>
  <c r="W15" i="56"/>
  <c r="U15" i="56"/>
  <c r="T14" i="56"/>
  <c r="S14" i="56"/>
  <c r="R14" i="56"/>
  <c r="Q14" i="56"/>
  <c r="P14" i="56"/>
  <c r="O14" i="56"/>
  <c r="N14" i="56"/>
  <c r="M14" i="56"/>
  <c r="L14" i="56"/>
  <c r="K14" i="56"/>
  <c r="J14" i="56"/>
  <c r="I14" i="56"/>
  <c r="H14" i="56"/>
  <c r="G14" i="56"/>
  <c r="F14" i="56"/>
  <c r="E14" i="56"/>
  <c r="D14" i="56"/>
  <c r="C14" i="56"/>
  <c r="U9" i="56"/>
  <c r="V9" i="56" s="1"/>
  <c r="U8" i="56"/>
  <c r="V8" i="56" s="1"/>
  <c r="U7" i="56"/>
  <c r="V7" i="56" s="1"/>
  <c r="U5" i="56"/>
  <c r="V5" i="56" s="1"/>
  <c r="U4" i="56"/>
  <c r="V4" i="56" s="1"/>
  <c r="E30" i="56" l="1"/>
  <c r="E29" i="56" s="1"/>
  <c r="M30" i="56"/>
  <c r="M29" i="56" s="1"/>
  <c r="I30" i="32"/>
  <c r="I29" i="32" s="1"/>
  <c r="F30" i="56"/>
  <c r="F29" i="56" s="1"/>
  <c r="J30" i="56"/>
  <c r="J29" i="56" s="1"/>
  <c r="N30" i="56"/>
  <c r="N29" i="56" s="1"/>
  <c r="R30" i="56"/>
  <c r="R29" i="56" s="1"/>
  <c r="D30" i="32"/>
  <c r="D29" i="32" s="1"/>
  <c r="J13" i="56"/>
  <c r="J12" i="56" s="1"/>
  <c r="Q30" i="56"/>
  <c r="Q29" i="56" s="1"/>
  <c r="D30" i="56"/>
  <c r="D29" i="56" s="1"/>
  <c r="H30" i="56"/>
  <c r="H29" i="56" s="1"/>
  <c r="L30" i="56"/>
  <c r="L29" i="56" s="1"/>
  <c r="P30" i="56"/>
  <c r="P29" i="56" s="1"/>
  <c r="T30" i="56"/>
  <c r="T29" i="56" s="1"/>
  <c r="F13" i="56"/>
  <c r="F12" i="56" s="1"/>
  <c r="F46" i="56" s="1"/>
  <c r="E13" i="56"/>
  <c r="E12" i="56" s="1"/>
  <c r="E46" i="56" s="1"/>
  <c r="I13" i="56"/>
  <c r="I12" i="56" s="1"/>
  <c r="I46" i="56" s="1"/>
  <c r="M13" i="56"/>
  <c r="M12" i="56" s="1"/>
  <c r="M46" i="56" s="1"/>
  <c r="Q13" i="56"/>
  <c r="Q12" i="56" s="1"/>
  <c r="Q46" i="56" s="1"/>
  <c r="O13" i="56"/>
  <c r="O12" i="56" s="1"/>
  <c r="U14" i="56"/>
  <c r="N13" i="56"/>
  <c r="N12" i="56" s="1"/>
  <c r="N46" i="56" s="1"/>
  <c r="R13" i="56"/>
  <c r="R12" i="56" s="1"/>
  <c r="R46" i="56" s="1"/>
  <c r="C13" i="56"/>
  <c r="C12" i="56" s="1"/>
  <c r="S13" i="56"/>
  <c r="S12" i="56" s="1"/>
  <c r="G13" i="56"/>
  <c r="G12" i="56" s="1"/>
  <c r="K13" i="56"/>
  <c r="K12" i="56" s="1"/>
  <c r="U18" i="56"/>
  <c r="J46" i="56"/>
  <c r="G30" i="56"/>
  <c r="G29" i="56" s="1"/>
  <c r="O30" i="56"/>
  <c r="O29" i="56" s="1"/>
  <c r="O46" i="56" s="1"/>
  <c r="K30" i="56"/>
  <c r="K29" i="56" s="1"/>
  <c r="W18" i="56"/>
  <c r="U31" i="56"/>
  <c r="U35" i="56"/>
  <c r="C30" i="56"/>
  <c r="C29" i="56" s="1"/>
  <c r="S30" i="56"/>
  <c r="S29" i="56" s="1"/>
  <c r="D13" i="56"/>
  <c r="D12" i="56" s="1"/>
  <c r="H13" i="56"/>
  <c r="H12" i="56" s="1"/>
  <c r="L13" i="56"/>
  <c r="L12" i="56" s="1"/>
  <c r="P13" i="56"/>
  <c r="P12" i="56" s="1"/>
  <c r="T13" i="56"/>
  <c r="T12" i="56" s="1"/>
  <c r="D46" i="56" l="1"/>
  <c r="H46" i="56"/>
  <c r="T46" i="56"/>
  <c r="S46" i="56"/>
  <c r="U30" i="56"/>
  <c r="L46" i="56"/>
  <c r="P46" i="56"/>
  <c r="G46" i="56"/>
  <c r="C46" i="56"/>
  <c r="K46" i="56"/>
  <c r="U29" i="56"/>
  <c r="U12" i="56"/>
  <c r="U13" i="56"/>
  <c r="K18" i="20"/>
  <c r="L18" i="20"/>
  <c r="J18" i="20"/>
  <c r="F18" i="20"/>
  <c r="E18" i="20"/>
  <c r="D18" i="20"/>
  <c r="J16" i="20"/>
  <c r="U46" i="56" l="1"/>
  <c r="C10" i="56"/>
  <c r="C11" i="56" s="1"/>
  <c r="C47" i="56" s="1"/>
  <c r="D10" i="56" l="1"/>
  <c r="U6" i="56" l="1"/>
  <c r="V6" i="56" s="1"/>
  <c r="E10" i="56"/>
  <c r="E11" i="56" s="1"/>
  <c r="E47" i="56" s="1"/>
  <c r="D11" i="56"/>
  <c r="F10" i="56" l="1"/>
  <c r="F11" i="56" s="1"/>
  <c r="F47" i="56" s="1"/>
  <c r="D47" i="56"/>
  <c r="G10" i="56" l="1"/>
  <c r="H10" i="56" l="1"/>
  <c r="H11" i="56" s="1"/>
  <c r="H47" i="56" s="1"/>
  <c r="G11" i="56"/>
  <c r="G47" i="56" l="1"/>
  <c r="I10" i="56"/>
  <c r="I11" i="56" s="1"/>
  <c r="I47" i="56" s="1"/>
  <c r="J10" i="56" l="1"/>
  <c r="J11" i="56" s="1"/>
  <c r="J47" i="56" s="1"/>
  <c r="K10" i="56" l="1"/>
  <c r="K11" i="56" s="1"/>
  <c r="K47" i="56" s="1"/>
  <c r="L10" i="56" l="1"/>
  <c r="L11" i="56" s="1"/>
  <c r="L47" i="56" s="1"/>
  <c r="M10" i="56" l="1"/>
  <c r="M11" i="56" s="1"/>
  <c r="M47" i="56" s="1"/>
  <c r="N10" i="56" l="1"/>
  <c r="N11" i="56" s="1"/>
  <c r="N47" i="56" s="1"/>
  <c r="O10" i="56" l="1"/>
  <c r="O11" i="56" s="1"/>
  <c r="O47" i="56" s="1"/>
  <c r="P10" i="56" l="1"/>
  <c r="P11" i="56" s="1"/>
  <c r="P47" i="56" s="1"/>
  <c r="R10" i="56" l="1"/>
  <c r="R11" i="56" s="1"/>
  <c r="R47" i="56" s="1"/>
  <c r="Q10" i="56"/>
  <c r="D38" i="33"/>
  <c r="D40" i="33"/>
  <c r="D41" i="33"/>
  <c r="K10" i="32"/>
  <c r="M9" i="32"/>
  <c r="D10" i="33" s="1"/>
  <c r="I7" i="32"/>
  <c r="I11" i="32" s="1"/>
  <c r="J7" i="32"/>
  <c r="K7" i="32"/>
  <c r="S10" i="56" l="1"/>
  <c r="S11" i="56" s="1"/>
  <c r="S47" i="56" s="1"/>
  <c r="K11" i="32"/>
  <c r="K13" i="32" s="1"/>
  <c r="I13" i="32"/>
  <c r="Q11" i="56"/>
  <c r="T10" i="56" l="1"/>
  <c r="U3" i="56"/>
  <c r="V3" i="56" s="1"/>
  <c r="Q47" i="56"/>
  <c r="T11" i="56" l="1"/>
  <c r="U10" i="56"/>
  <c r="V10" i="56" s="1"/>
  <c r="D54" i="49"/>
  <c r="D72" i="49" s="1"/>
  <c r="T47" i="56" l="1"/>
  <c r="U47" i="56" s="1"/>
  <c r="U11" i="56"/>
  <c r="E78" i="49"/>
  <c r="K32" i="32"/>
  <c r="K34" i="32" s="1"/>
  <c r="I32" i="32"/>
  <c r="I34" i="32" s="1"/>
  <c r="C253" i="34" l="1"/>
  <c r="N203" i="34"/>
  <c r="C202" i="34"/>
  <c r="N189" i="34"/>
  <c r="C188" i="34"/>
  <c r="C194" i="34" s="1"/>
  <c r="C107" i="34"/>
  <c r="C114" i="34" s="1"/>
  <c r="C19" i="34"/>
  <c r="F41" i="33"/>
  <c r="E11" i="33"/>
  <c r="F10" i="33"/>
  <c r="E8" i="33"/>
  <c r="M12" i="32"/>
  <c r="D13" i="33" s="1"/>
  <c r="F13" i="33" s="1"/>
  <c r="L10" i="32"/>
  <c r="J10" i="32"/>
  <c r="H10" i="32"/>
  <c r="G10" i="32"/>
  <c r="F10" i="32"/>
  <c r="E10" i="32"/>
  <c r="D10" i="32"/>
  <c r="M8" i="32"/>
  <c r="D9" i="33" s="1"/>
  <c r="F9" i="33" s="1"/>
  <c r="L7" i="32"/>
  <c r="H7" i="32"/>
  <c r="G7" i="32"/>
  <c r="F7" i="32"/>
  <c r="E7" i="32"/>
  <c r="D7" i="32"/>
  <c r="M6" i="32"/>
  <c r="D7" i="33" s="1"/>
  <c r="F7" i="33" s="1"/>
  <c r="M5" i="32"/>
  <c r="D6" i="33" s="1"/>
  <c r="C95" i="34" l="1"/>
  <c r="C261" i="34"/>
  <c r="C209" i="34"/>
  <c r="L15" i="32"/>
  <c r="C258" i="34"/>
  <c r="C273" i="34"/>
  <c r="C263" i="34"/>
  <c r="E202" i="34"/>
  <c r="L30" i="32" s="1"/>
  <c r="L29" i="32" s="1"/>
  <c r="E188" i="34"/>
  <c r="E153" i="34"/>
  <c r="C159" i="34"/>
  <c r="E253" i="34"/>
  <c r="E249" i="34"/>
  <c r="J15" i="32" s="1"/>
  <c r="E107" i="34"/>
  <c r="E15" i="32" s="1"/>
  <c r="D11" i="32"/>
  <c r="D32" i="32" s="1"/>
  <c r="D34" i="32" s="1"/>
  <c r="H11" i="32"/>
  <c r="E12" i="33"/>
  <c r="M7" i="32"/>
  <c r="D8" i="33" s="1"/>
  <c r="F8" i="33" s="1"/>
  <c r="M10" i="32"/>
  <c r="D11" i="33" s="1"/>
  <c r="F11" i="33" s="1"/>
  <c r="F11" i="32"/>
  <c r="F13" i="32" s="1"/>
  <c r="L11" i="32"/>
  <c r="E11" i="32"/>
  <c r="J11" i="32"/>
  <c r="F6" i="33"/>
  <c r="F40" i="33"/>
  <c r="G11" i="32"/>
  <c r="C270" i="34" l="1"/>
  <c r="J22" i="32"/>
  <c r="G15" i="32"/>
  <c r="G14" i="32" s="1"/>
  <c r="C267" i="34"/>
  <c r="H15" i="32"/>
  <c r="H30" i="32" s="1"/>
  <c r="H29" i="32" s="1"/>
  <c r="H32" i="32" s="1"/>
  <c r="H34" i="32" s="1"/>
  <c r="G257" i="34"/>
  <c r="C269" i="34"/>
  <c r="L14" i="32"/>
  <c r="L32" i="32"/>
  <c r="L34" i="32" s="1"/>
  <c r="J30" i="32"/>
  <c r="J14" i="32"/>
  <c r="E14" i="33"/>
  <c r="E36" i="33"/>
  <c r="D13" i="32"/>
  <c r="L13" i="32"/>
  <c r="H13" i="32"/>
  <c r="J13" i="32"/>
  <c r="E13" i="32"/>
  <c r="F32" i="32"/>
  <c r="F34" i="32" s="1"/>
  <c r="M11" i="32"/>
  <c r="D12" i="33" s="1"/>
  <c r="G13" i="32"/>
  <c r="G30" i="32" l="1"/>
  <c r="G29" i="32" s="1"/>
  <c r="G32" i="32" s="1"/>
  <c r="G34" i="32" s="1"/>
  <c r="H14" i="32"/>
  <c r="C271" i="34"/>
  <c r="E278" i="34" s="1"/>
  <c r="E14" i="32"/>
  <c r="M14" i="32" s="1"/>
  <c r="D15" i="33" s="1"/>
  <c r="E30" i="32"/>
  <c r="M15" i="32"/>
  <c r="D16" i="33" s="1"/>
  <c r="F16" i="33" s="1"/>
  <c r="J20" i="32"/>
  <c r="M20" i="32" s="1"/>
  <c r="D21" i="33" s="1"/>
  <c r="F21" i="33" s="1"/>
  <c r="M22" i="32"/>
  <c r="D23" i="33" s="1"/>
  <c r="F23" i="33" s="1"/>
  <c r="J31" i="32"/>
  <c r="M31" i="32" s="1"/>
  <c r="D35" i="33" s="1"/>
  <c r="F35" i="33" s="1"/>
  <c r="F44" i="33" s="1"/>
  <c r="M13" i="32"/>
  <c r="D14" i="33" s="1"/>
  <c r="F12" i="33"/>
  <c r="J29" i="32" l="1"/>
  <c r="J32" i="32" s="1"/>
  <c r="J34" i="32" s="1"/>
  <c r="E29" i="32"/>
  <c r="M30" i="32"/>
  <c r="H34" i="33"/>
  <c r="F15" i="33"/>
  <c r="F14" i="33"/>
  <c r="D34" i="33" l="1"/>
  <c r="F34" i="33" s="1"/>
  <c r="F43" i="33" s="1"/>
  <c r="F45" i="33" s="1"/>
  <c r="E32" i="32"/>
  <c r="M29" i="32"/>
  <c r="D33" i="33" s="1"/>
  <c r="F33" i="33" s="1"/>
  <c r="E34" i="32" l="1"/>
  <c r="M34" i="32" s="1"/>
  <c r="D37" i="33" s="1"/>
  <c r="E38" i="33" s="1"/>
  <c r="E39" i="33" s="1"/>
  <c r="M32" i="32"/>
  <c r="D36" i="33" s="1"/>
  <c r="F37" i="33" l="1"/>
  <c r="D39" i="33"/>
  <c r="F39" i="33" s="1"/>
  <c r="E77" i="49" s="1"/>
  <c r="E79" i="49" s="1"/>
  <c r="F36" i="33"/>
  <c r="F38" i="33"/>
  <c r="F38" i="20" l="1"/>
  <c r="E38" i="20"/>
  <c r="D38" i="20"/>
  <c r="K17" i="20"/>
  <c r="E34" i="20" s="1"/>
  <c r="L17" i="20"/>
  <c r="F34" i="20" s="1"/>
  <c r="K16" i="20"/>
  <c r="E30" i="20" s="1"/>
  <c r="L16" i="20"/>
  <c r="F30" i="20" s="1"/>
  <c r="J17" i="20"/>
  <c r="D34" i="20" s="1"/>
  <c r="D30" i="20"/>
  <c r="K15" i="20"/>
  <c r="K26" i="20" s="1"/>
  <c r="L15" i="20"/>
  <c r="L26" i="20" s="1"/>
  <c r="J15" i="20"/>
  <c r="J26" i="20" s="1"/>
  <c r="E33" i="20"/>
  <c r="F17" i="20"/>
  <c r="F33" i="20" s="1"/>
  <c r="D33" i="20"/>
  <c r="E29" i="20"/>
  <c r="F16" i="20"/>
  <c r="F29" i="20" s="1"/>
  <c r="D29" i="20"/>
  <c r="E15" i="20"/>
  <c r="E26" i="20" s="1"/>
  <c r="F15" i="20"/>
  <c r="F26" i="20" s="1"/>
  <c r="N40" i="20" s="1"/>
  <c r="D15" i="20"/>
  <c r="D26" i="20" s="1"/>
  <c r="F31" i="20" l="1"/>
  <c r="E35" i="20"/>
  <c r="D35" i="20"/>
  <c r="F35" i="20"/>
  <c r="E31" i="20"/>
  <c r="D31" i="20"/>
  <c r="F37" i="20" l="1"/>
  <c r="F39" i="20" s="1"/>
  <c r="E37" i="20"/>
  <c r="E39" i="20" s="1"/>
  <c r="D37" i="20"/>
  <c r="D39" i="20" s="1"/>
</calcChain>
</file>

<file path=xl/sharedStrings.xml><?xml version="1.0" encoding="utf-8"?>
<sst xmlns="http://schemas.openxmlformats.org/spreadsheetml/2006/main" count="1995" uniqueCount="1201">
  <si>
    <t>INTÉZMÉNYEK MARADVÁNYKIMUTATÁSA</t>
  </si>
  <si>
    <t>Sor-szám</t>
  </si>
  <si>
    <t>Megnevezés</t>
  </si>
  <si>
    <t>1.</t>
  </si>
  <si>
    <t>2.</t>
  </si>
  <si>
    <t>3.</t>
  </si>
  <si>
    <t>4.</t>
  </si>
  <si>
    <t>5.</t>
  </si>
  <si>
    <t>6.</t>
  </si>
  <si>
    <t>7.</t>
  </si>
  <si>
    <t>Mindösszesen</t>
  </si>
  <si>
    <t>Dunaharaszti Polgármesteri Hivatal</t>
  </si>
  <si>
    <t>Dunaharaszti Városi Bölcsőde</t>
  </si>
  <si>
    <t>Dunaharaszti Területi Gondozási Központ</t>
  </si>
  <si>
    <t>Dunaharaszti Mese Óvoda</t>
  </si>
  <si>
    <t>Dunaharaszti Hétszínvirág Óvoda</t>
  </si>
  <si>
    <t>Alaptevékenység költségvetési bevételei</t>
  </si>
  <si>
    <t>Alaptevékenység költségvetési kiadásai</t>
  </si>
  <si>
    <r>
      <t xml:space="preserve">Alaptevékenység költségvetési egyenlege </t>
    </r>
    <r>
      <rPr>
        <i/>
        <sz val="18"/>
        <color indexed="8"/>
        <rFont val="Garamond"/>
        <family val="1"/>
        <charset val="238"/>
      </rPr>
      <t>(Alaptevékenység költségvetési bevételei - Alaptevékenység költségvetési kiadásai)</t>
    </r>
  </si>
  <si>
    <t>Alaptevékenység finanszírozási bevétele</t>
  </si>
  <si>
    <t>Alaptevékenység finanszírozási kiadása</t>
  </si>
  <si>
    <r>
      <t xml:space="preserve">Alaptevékenység finanszírozási egyenlege </t>
    </r>
    <r>
      <rPr>
        <i/>
        <sz val="18"/>
        <color indexed="8"/>
        <rFont val="Garamond"/>
        <family val="1"/>
        <charset val="238"/>
      </rPr>
      <t>(Alaptevékenység finanszírozási bevétele - Alaptevékenység finanszírozási kiadása)</t>
    </r>
  </si>
  <si>
    <r>
      <t>Alaptevékenység maradványa</t>
    </r>
    <r>
      <rPr>
        <b/>
        <i/>
        <sz val="18"/>
        <color indexed="8"/>
        <rFont val="Garamond"/>
        <family val="1"/>
        <charset val="238"/>
      </rPr>
      <t xml:space="preserve"> </t>
    </r>
    <r>
      <rPr>
        <i/>
        <sz val="18"/>
        <color indexed="8"/>
        <rFont val="Garamond"/>
        <family val="1"/>
        <charset val="238"/>
      </rPr>
      <t>(+/- Alaptevékenység költségvetési egyenlege +/- Alaptevékenység finanszírozási egyenlege)</t>
    </r>
  </si>
  <si>
    <t>8.</t>
  </si>
  <si>
    <r>
      <t>Vállalkozási tevékenység maradványa</t>
    </r>
    <r>
      <rPr>
        <b/>
        <i/>
        <sz val="18"/>
        <color indexed="8"/>
        <rFont val="Garamond"/>
        <family val="1"/>
        <charset val="238"/>
      </rPr>
      <t xml:space="preserve"> </t>
    </r>
  </si>
  <si>
    <t>9.</t>
  </si>
  <si>
    <r>
      <t>Összes maradvány</t>
    </r>
    <r>
      <rPr>
        <b/>
        <i/>
        <sz val="15"/>
        <color indexed="8"/>
        <rFont val="Garamond"/>
        <family val="1"/>
        <charset val="238"/>
      </rPr>
      <t xml:space="preserve"> (Alaptevékenység maradványa + Vállalkozói tevékenység maradványa)</t>
    </r>
  </si>
  <si>
    <t>10.</t>
  </si>
  <si>
    <t>ebből: működés</t>
  </si>
  <si>
    <t>ebből: felhalmozás</t>
  </si>
  <si>
    <t>11.</t>
  </si>
  <si>
    <r>
      <t>Alaptevékenység szabad maradványa</t>
    </r>
    <r>
      <rPr>
        <i/>
        <sz val="15"/>
        <color indexed="8"/>
        <rFont val="Garamond"/>
        <family val="1"/>
        <charset val="238"/>
      </rPr>
      <t xml:space="preserve"> (Alaptevékenység maradványa - Alaptevékenység kötelezettvállalással terhelt maradvány)</t>
    </r>
  </si>
  <si>
    <t>12.</t>
  </si>
  <si>
    <t>13.</t>
  </si>
  <si>
    <t>14.</t>
  </si>
  <si>
    <t>15.</t>
  </si>
  <si>
    <t>Elvonás szabad maradvány terhére</t>
  </si>
  <si>
    <t>16.</t>
  </si>
  <si>
    <t>Dunaharaszti Család- és Gyermekjóléti Szolgálat</t>
  </si>
  <si>
    <t>ÖNKORMÁNYZAT MARADVÁNYKIMUTATÁSA</t>
  </si>
  <si>
    <t>Intézmények összesen</t>
  </si>
  <si>
    <t>Önkormányzat</t>
  </si>
  <si>
    <t>Városi szintű önkormányzat összesen</t>
  </si>
  <si>
    <r>
      <t>Összes maradvány</t>
    </r>
    <r>
      <rPr>
        <b/>
        <i/>
        <sz val="18"/>
        <color indexed="8"/>
        <rFont val="Garamond"/>
        <family val="1"/>
        <charset val="238"/>
      </rPr>
      <t xml:space="preserve"> (Alaptevékenység maradványa + Vállalkozói tevékenység maradványa+korrekciók)</t>
    </r>
  </si>
  <si>
    <r>
      <t>Alaptevékenység szabad maradványa</t>
    </r>
    <r>
      <rPr>
        <i/>
        <sz val="18"/>
        <color indexed="8"/>
        <rFont val="Garamond"/>
        <family val="1"/>
        <charset val="238"/>
      </rPr>
      <t xml:space="preserve"> (Alaptevékenység maradványa - Alaptevékenység kötelezettvállalással terhelt maradvány)</t>
    </r>
  </si>
  <si>
    <t>KGR-rel egyező</t>
  </si>
  <si>
    <t>KGR riport</t>
  </si>
  <si>
    <t>17.</t>
  </si>
  <si>
    <t>Intézményi költségvetési befizetés</t>
  </si>
  <si>
    <t>18.</t>
  </si>
  <si>
    <t>Dunaharaszti Város Önkormányzata - kötött maradvány</t>
  </si>
  <si>
    <t>Dunaharaszti Város Önkormányzata</t>
  </si>
  <si>
    <t>1. Mérlegben szereplő kötött maradvány</t>
  </si>
  <si>
    <t>Szerződés tárgya</t>
  </si>
  <si>
    <t>Összeg</t>
  </si>
  <si>
    <t>Működés</t>
  </si>
  <si>
    <t>Felhalmozás</t>
  </si>
  <si>
    <t>MÉRLEGBEN SZEREPLŐ KÖTÖTT MARADVÁNY</t>
  </si>
  <si>
    <t>3. Elkülönített számlák</t>
  </si>
  <si>
    <t>ELKÜLÖNÍTETT SZÁMLA</t>
  </si>
  <si>
    <t>Könyvtár 1 % számla</t>
  </si>
  <si>
    <t>Dunaharaszti Város Önkormányzata szabad maradvány felhasználása</t>
  </si>
  <si>
    <t>Sorszám</t>
  </si>
  <si>
    <t>Felhalmozási</t>
  </si>
  <si>
    <t>Működési</t>
  </si>
  <si>
    <t>Szabad maradvány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</si>
  <si>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</si>
  <si>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</si>
  <si>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</si>
  <si>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</si>
  <si>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</si>
  <si>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</si>
  <si>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</si>
  <si>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</si>
  <si>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</si>
  <si>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</si>
  <si>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%</t>
  </si>
  <si>
    <t>összege (Ft)</t>
  </si>
  <si>
    <t>-</t>
  </si>
  <si>
    <t>1/1</t>
  </si>
  <si>
    <t>Összesen</t>
  </si>
  <si>
    <t>12/A - Mérleg</t>
  </si>
  <si>
    <t>Előző időszak</t>
  </si>
  <si>
    <t>Módosítások (+/-)</t>
  </si>
  <si>
    <t>Tárgyi időszak</t>
  </si>
  <si>
    <t>01</t>
  </si>
  <si>
    <t>A/I/1 Vagyoni értékű jogok</t>
  </si>
  <si>
    <t>02</t>
  </si>
  <si>
    <t>A/I/2 Szellemi termékek</t>
  </si>
  <si>
    <t>03</t>
  </si>
  <si>
    <t>04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</si>
  <si>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</si>
  <si>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</si>
  <si>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</si>
  <si>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</si>
  <si>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</si>
  <si>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08</t>
  </si>
  <si>
    <t>A/II/4 Beruházások, felújítások</t>
  </si>
  <si>
    <t>09</t>
  </si>
  <si>
    <t>A/II/5 Tárgyi eszközök értékhelyesbítése</t>
  </si>
  <si>
    <t>10</t>
  </si>
  <si>
    <t>A/II Tárgyi eszközök  (=A/II/1+...+A/II/5)</t>
  </si>
  <si>
    <t>11</t>
  </si>
  <si>
    <t>12</t>
  </si>
  <si>
    <t>13</t>
  </si>
  <si>
    <t>A/III/1b - ebből: tartós részesedések nem pénzügyi vállalkozásban</t>
  </si>
  <si>
    <t>14</t>
  </si>
  <si>
    <t>15</t>
  </si>
  <si>
    <t>16</t>
  </si>
  <si>
    <t>17</t>
  </si>
  <si>
    <t>18</t>
  </si>
  <si>
    <t>19</t>
  </si>
  <si>
    <t>20</t>
  </si>
  <si>
    <t>A/III/3 Befektetett pénzügyi eszközök értékhelyesbítése</t>
  </si>
  <si>
    <t>21</t>
  </si>
  <si>
    <t>A/III Befektetett pénzügyi eszközök (=A/III/1+A/III/2+A/III/3)</t>
  </si>
  <si>
    <t>22</t>
  </si>
  <si>
    <t>A/IV/1 Koncesszióba, vagyonkezelésbe adott eszközök (=A/IV/1a+A/IV/1b+A/IV/1c)</t>
  </si>
  <si>
    <t>23</t>
  </si>
  <si>
    <t>24</t>
  </si>
  <si>
    <t>A/IV/1b - ebből: tárgyi eszközök</t>
  </si>
  <si>
    <t>26</t>
  </si>
  <si>
    <t>A/IV Koncesszióba, vagyonkezelésbe adott eszközök (=A/IV/1+A/IV/2)</t>
  </si>
  <si>
    <t>28</t>
  </si>
  <si>
    <t>A) NEMZETI VAGYONBA TARTOZÓ BEFEKTETETT ESZKÖZÖK (=A/I+A/II+A/III+A/IV)</t>
  </si>
  <si>
    <t>29</t>
  </si>
  <si>
    <t>B/I/1 Vásárolt készletek</t>
  </si>
  <si>
    <t>32</t>
  </si>
  <si>
    <t>B/I Készletek (=B/I/1+…+B/I/5)</t>
  </si>
  <si>
    <t>35</t>
  </si>
  <si>
    <t>36</t>
  </si>
  <si>
    <t>42</t>
  </si>
  <si>
    <t>43</t>
  </si>
  <si>
    <t>B) NEMZETI VAGYONBA TARTOZÓ FORGÓESZKÖZÖK (= B/I+B/II)</t>
  </si>
  <si>
    <t>44</t>
  </si>
  <si>
    <t>C/III/1 Kincstáron kívüli forintszámlák</t>
  </si>
  <si>
    <t>C/III/2 Kincstárban vezetett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</si>
  <si>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</si>
  <si>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</si>
  <si>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</si>
  <si>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</si>
  <si>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</si>
  <si>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</si>
  <si>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</si>
  <si>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</si>
  <si>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</si>
  <si>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</si>
  <si>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</si>
  <si>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</si>
  <si>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72</t>
  </si>
  <si>
    <t>D/I/4c - ebből: költségvetési évben esedékes követelések ellátási díjakra</t>
  </si>
  <si>
    <t>73</t>
  </si>
  <si>
    <t>D/I/4d - ebből: költségvetési évben esedékes követelések kiszámlázott általános forgalmi adóra</t>
  </si>
  <si>
    <t>D/I/4i - ebből: költségvetési évben esedékes követelések egyéb működési bevételekre</t>
  </si>
  <si>
    <t>D/I Költségvetési évben esedékes követelések (=D/I/1+…+D/I/8)</t>
  </si>
  <si>
    <t>D/II/3 Költségvetési évet követően esedékes követelések közhatalmi bevételre (=D/II/3a+…+D/II/3f)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</si>
  <si>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</si>
  <si>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</si>
  <si>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</si>
  <si>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113</t>
  </si>
  <si>
    <t>114</t>
  </si>
  <si>
    <t>D/II/7 Költségvetési évet követően esedékes követelések felhalmozási célú átvett pénzeszközre (&gt;=D/II/7a+D/II/7b+D/II/7c)</t>
  </si>
  <si>
    <t>136</t>
  </si>
  <si>
    <t>D/II/7c - ebből: költségvetési évet követően esedékes követelések felhalmozási célú visszatérítendő támogatások, kölcsönök visszatérülésére államháztartáson kívülről</t>
  </si>
  <si>
    <t>D/II Költségvetési évet követően esedékes követelések (=D/II/1+…+D/II/8)</t>
  </si>
  <si>
    <t>D/III/1 Adott előlegek (=D/III/1a+…+D/III/1f)</t>
  </si>
  <si>
    <t>145</t>
  </si>
  <si>
    <t>D/III/1e - ebből: foglalkoztatottaknak adott előlegek</t>
  </si>
  <si>
    <t>148</t>
  </si>
  <si>
    <t>D/III/1f - ebből: túlfizetések, téves és visszajáró kifizetések</t>
  </si>
  <si>
    <t>D/III/4 Forgótőke elszámolása</t>
  </si>
  <si>
    <t>152</t>
  </si>
  <si>
    <t>D/III Követelés jellegű sajátos elszámolások (=D/III/1+…+D/III/9)</t>
  </si>
  <si>
    <t>D) KÖVETELÉSEK  (=D/I+D/II+D/III)</t>
  </si>
  <si>
    <t>161</t>
  </si>
  <si>
    <t>162</t>
  </si>
  <si>
    <t>163</t>
  </si>
  <si>
    <t>F/2 Költségek, ráfordítások aktív időbeli elhatárolása</t>
  </si>
  <si>
    <t>164</t>
  </si>
  <si>
    <t>F) AKTÍV IDŐBELI  ELHATÁROLÁSOK  (=F/1+F/2+F/3)</t>
  </si>
  <si>
    <t>166</t>
  </si>
  <si>
    <t>ESZKÖZÖK ÖSSZESEN (=A+B+C+D+E+F)</t>
  </si>
  <si>
    <t>167</t>
  </si>
  <si>
    <t>G/I  Nemzeti vagyon induláskori értéke</t>
  </si>
  <si>
    <t>G/II Nemzeti vagyon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</si>
  <si>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</si>
  <si>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</si>
  <si>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</si>
  <si>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</si>
  <si>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</si>
  <si>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176</t>
  </si>
  <si>
    <t>H/I/3 Költségvetési évben esedékes kötelezettségek dologi kiadásokra</t>
  </si>
  <si>
    <t>178</t>
  </si>
  <si>
    <t>179</t>
  </si>
  <si>
    <t>180</t>
  </si>
  <si>
    <t>181</t>
  </si>
  <si>
    <t>H/I/6 Költségvetési évben esedékes kötelezettségek beruházásokra</t>
  </si>
  <si>
    <t>182</t>
  </si>
  <si>
    <t>H/I/7 Költségvetési évben esedékes kötelezettségek felújításokra</t>
  </si>
  <si>
    <t>183</t>
  </si>
  <si>
    <t>184</t>
  </si>
  <si>
    <t>186</t>
  </si>
  <si>
    <t>187</t>
  </si>
  <si>
    <t>H/I Költségvetési évben esedékes kötelezettségek (=H/I/1+…+H/I/9)</t>
  </si>
  <si>
    <t>H/II/3 Költségvetési évet követően esedékes kötelezettségek dologi kiadásokra</t>
  </si>
  <si>
    <t>212</t>
  </si>
  <si>
    <t>H/II/9a - ebből: költségvetési évet követően esedékes kötelezettségek hosszú lejáratú hitelek, kölcsönök törlesztésére pénzügyi vállalkozásnak</t>
  </si>
  <si>
    <t>H/II Költségvetési évet követően esedékes kötelezettségek (=H/II/1+…+H/II/9)</t>
  </si>
  <si>
    <t>H/III/3 Más szervezetet megillető bevételek elszámolása</t>
  </si>
  <si>
    <t>H/III/8 Letétre, megőrzésre, fedezetkezelésre átvett pénzeszközök, biztosítékok</t>
  </si>
  <si>
    <t>236</t>
  </si>
  <si>
    <t>H/III Kötelezettség jellegű sajátos elszámolások (=H/III/1+…+H/III/10)</t>
  </si>
  <si>
    <t>H) KÖTELEZETTSÉGEK (=H/I+H/II+H/III)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</si>
  <si>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</si>
  <si>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</si>
  <si>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</si>
  <si>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</si>
  <si>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243</t>
  </si>
  <si>
    <t>FORRÁSOK ÖSSZESEN (=G+H+I+J)</t>
  </si>
  <si>
    <t>13/A - Eredménykimutatás</t>
  </si>
  <si>
    <t>Dunaharaszti Város Önkormányzat célhiteleihez és egyéb fejlesztési hiteleihez kapcsolódó kötelezettségvállalás</t>
  </si>
  <si>
    <t>Célhitel (OTP)</t>
  </si>
  <si>
    <t>Hitel célja</t>
  </si>
  <si>
    <t>7.2 hitelcél: Közoktatási feladatellátás int….</t>
  </si>
  <si>
    <t>5.1 hitelcél: Helyi közútak építése, felújítása</t>
  </si>
  <si>
    <t>6.3 hitelcél: Csapadék - vízelvezetés</t>
  </si>
  <si>
    <t>Hitelszerződés kelte</t>
  </si>
  <si>
    <t>Kötelezettségvállalás száma</t>
  </si>
  <si>
    <t>Felvétel éve</t>
  </si>
  <si>
    <t>Kamat mértéke</t>
  </si>
  <si>
    <t>3 havi BUBOR + MFB refinanszírozási kamatfelár + OTP kamatfelár 2,5 %</t>
  </si>
  <si>
    <t>Biztosíték, jelzálog, óvadék</t>
  </si>
  <si>
    <t>Évek</t>
  </si>
  <si>
    <t>Törlesztések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</si>
  <si>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</si>
  <si>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</si>
  <si>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</si>
  <si>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</si>
  <si>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</si>
  <si>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</si>
  <si>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</si>
  <si>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</si>
  <si>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</si>
  <si>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</si>
  <si>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</si>
  <si>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</si>
  <si>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</si>
  <si>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</si>
  <si>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</si>
  <si>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</si>
  <si>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</si>
  <si>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</si>
  <si>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</si>
  <si>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</si>
  <si>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</si>
  <si>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</si>
  <si>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</si>
  <si>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</si>
  <si>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</si>
  <si>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Le nem hívott hitel állomány</t>
  </si>
  <si>
    <t>Dunaharaszti Város Önkormányzatának európai uniós forrásokból megvalósuló beruházásai</t>
  </si>
  <si>
    <t>Nettó</t>
  </si>
  <si>
    <t>A projekt fenntartási időszakára vállalt számszerűsíthető eredmények:</t>
  </si>
  <si>
    <t>I</t>
  </si>
  <si>
    <t>sorszám</t>
  </si>
  <si>
    <t>Bruttó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</si>
  <si>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</si>
  <si>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</si>
  <si>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</si>
  <si>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</si>
  <si>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</si>
  <si>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</si>
  <si>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</si>
  <si>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</si>
  <si>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</si>
  <si>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</si>
  <si>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</si>
  <si>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</si>
  <si>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</si>
  <si>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</si>
  <si>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</si>
  <si>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</si>
  <si>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</si>
  <si>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</si>
  <si>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</si>
  <si>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</si>
  <si>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Fenntartási időszak</t>
  </si>
  <si>
    <t>Célérték</t>
  </si>
  <si>
    <t>Dunaharaszti Önkormányzat</t>
  </si>
  <si>
    <t>Költségvetési bevételek   ( + )</t>
  </si>
  <si>
    <t>Finanszírozási egyenleg (Finanszírozási bevétel - Finanszírozási kiadás)</t>
  </si>
  <si>
    <t>Költségvetési egyenleg (Költségvetési működési egyenleg + Költségvetési felhalmozási egyenleg)</t>
  </si>
  <si>
    <t>Költségvetési felhalmozási egyenleg</t>
  </si>
  <si>
    <t>Költségvetési felhalmozási kiadások</t>
  </si>
  <si>
    <t>Költségvetési felhalmozási bevételek</t>
  </si>
  <si>
    <t>Költségvetési működési egyenleg</t>
  </si>
  <si>
    <t>Költségvetési működési kiadások</t>
  </si>
  <si>
    <t>Költségvetési működési bevételek</t>
  </si>
  <si>
    <t>K1-K9</t>
  </si>
  <si>
    <t>TÁRGYÉVI KIADÁSOK ÖSSZESEN</t>
  </si>
  <si>
    <t>B1-B8</t>
  </si>
  <si>
    <t>TÁRGYÉVI BEVÉTELEK ÖSSZESEN</t>
  </si>
  <si>
    <t xml:space="preserve">    Ebből: Hitelfelvétel</t>
  </si>
  <si>
    <t xml:space="preserve">   Ebből: hitelfelvétellel kapcsolatos kiadások</t>
  </si>
  <si>
    <t xml:space="preserve">    Ebből: felhalmozási célú intézményfinanszírozás bevétele</t>
  </si>
  <si>
    <t xml:space="preserve">   Ebből felhalmozási célú intézményfinanszírozás kiadása</t>
  </si>
  <si>
    <t xml:space="preserve">    Ebből: működési célú intézményfinanszírozás bevétele</t>
  </si>
  <si>
    <t xml:space="preserve">   Ebből működési célú intézményfinanszírozás kiadása</t>
  </si>
  <si>
    <t xml:space="preserve">   Ebből: államháztartáson belüli megelőlegezések visszafizetése</t>
  </si>
  <si>
    <t>K9</t>
  </si>
  <si>
    <t>Finanszírozási kiadások</t>
  </si>
  <si>
    <t>B8</t>
  </si>
  <si>
    <t>Finanszírozási bevételek</t>
  </si>
  <si>
    <t xml:space="preserve"> ebből: költségvetési felhalmozási kiadások</t>
  </si>
  <si>
    <t xml:space="preserve"> ebből: költségvetési felhalmozási bevételek</t>
  </si>
  <si>
    <t xml:space="preserve"> ebből: költségvetési működési kiadások</t>
  </si>
  <si>
    <t xml:space="preserve"> ebből: költségvetési működési bevételek</t>
  </si>
  <si>
    <t>K1-K8</t>
  </si>
  <si>
    <t xml:space="preserve">Költségvetési kiadások </t>
  </si>
  <si>
    <t>B1-B7</t>
  </si>
  <si>
    <t xml:space="preserve">Költségvetési bevételek </t>
  </si>
  <si>
    <t>K8</t>
  </si>
  <si>
    <t xml:space="preserve">Egyéb felhalmozási célú kiadások </t>
  </si>
  <si>
    <t>K7</t>
  </si>
  <si>
    <t>Felújítások</t>
  </si>
  <si>
    <t>B7</t>
  </si>
  <si>
    <t xml:space="preserve">Felhalmozási célú átvett pénzeszközök </t>
  </si>
  <si>
    <t>K6</t>
  </si>
  <si>
    <t xml:space="preserve">Beruházások </t>
  </si>
  <si>
    <t>B6</t>
  </si>
  <si>
    <t xml:space="preserve">Működési célú átvett pénzeszközök </t>
  </si>
  <si>
    <t>K5</t>
  </si>
  <si>
    <t xml:space="preserve">Egyéb működési célú kiadások </t>
  </si>
  <si>
    <t>B5</t>
  </si>
  <si>
    <t xml:space="preserve">Felhalmozási bevételek </t>
  </si>
  <si>
    <t>K4</t>
  </si>
  <si>
    <t>Ellátottak pénzbeli juttatásai</t>
  </si>
  <si>
    <t>B4</t>
  </si>
  <si>
    <t xml:space="preserve">Működési bevételek </t>
  </si>
  <si>
    <t>K3</t>
  </si>
  <si>
    <t xml:space="preserve">Dologi kiadások </t>
  </si>
  <si>
    <t>B3</t>
  </si>
  <si>
    <t xml:space="preserve">Közhatalmi bevételek </t>
  </si>
  <si>
    <t>K2</t>
  </si>
  <si>
    <t xml:space="preserve">Munkaadókat terhelő járulékok és szociális hozzájárulási adó                                                                            </t>
  </si>
  <si>
    <t>B2</t>
  </si>
  <si>
    <t xml:space="preserve">Felhalmozási célú támogatások államháztartáson belülről </t>
  </si>
  <si>
    <t>K1</t>
  </si>
  <si>
    <t>Személyi juttatások</t>
  </si>
  <si>
    <t>B1</t>
  </si>
  <si>
    <t xml:space="preserve">Működési célú támogatások államháztartáson belülről </t>
  </si>
  <si>
    <t>Rovat</t>
  </si>
  <si>
    <t>Kiadások</t>
  </si>
  <si>
    <t>Bevételek</t>
  </si>
  <si>
    <t>Helyi adók</t>
  </si>
  <si>
    <t>Osztalékok, koncessziós díjak, hozambevételek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</si>
  <si>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</si>
  <si>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</si>
  <si>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</si>
  <si>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</si>
  <si>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</si>
  <si>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Saját bevételek (01.+…+07.)</t>
  </si>
  <si>
    <t xml:space="preserve">Saját bevételek (08. sor) 50 %-a </t>
  </si>
  <si>
    <t>Előző év(ek)ben keletkezett tárgyévet terhelő fizetési kötelezettség (11+14+…+20)</t>
  </si>
  <si>
    <t>Hitelből eredő fizetési kötelezettség (12+13)</t>
  </si>
  <si>
    <t xml:space="preserve">   - ebből: Tőketörlesztés (12.a.+12.b.+12.c.)</t>
  </si>
  <si>
    <t>12.a.</t>
  </si>
  <si>
    <t xml:space="preserve">        1-2-13-8400-1237-9-01 hitelszerződés: 2014. évi útépítések</t>
  </si>
  <si>
    <t>12.b.</t>
  </si>
  <si>
    <t xml:space="preserve">        1-2-13-8400-1237-9-01/1 hitelszerződés: 2014. évi csapadékvíz elvezetések</t>
  </si>
  <si>
    <t>12.c.</t>
  </si>
  <si>
    <t xml:space="preserve">       ÖB 8400 2013 0098 hitelszerződés: Szivárvány Óvoda építése</t>
  </si>
  <si>
    <t xml:space="preserve">   - ebből: Kamatfizetés (13.a.+13.b.+13.c.)</t>
  </si>
  <si>
    <t>13.a.</t>
  </si>
  <si>
    <t>13.b.</t>
  </si>
  <si>
    <t>13.c.</t>
  </si>
  <si>
    <t>Kölcsönből eredő fizetési kötelezettség</t>
  </si>
  <si>
    <t>Hitelviszonyt megtestesítő értékpapírból eredő fizetési kötelezettség</t>
  </si>
  <si>
    <t>Adott váltóból eredő fizetési kötelezettség</t>
  </si>
  <si>
    <t>Pénzügyi lízingből eredő fizetési kötelezettség</t>
  </si>
  <si>
    <t>Halasztott fizetés, részletfizetés fizetési kötelezettsége</t>
  </si>
  <si>
    <t>Szerződésben kikötött visszavásárlási kötelezettség</t>
  </si>
  <si>
    <t>Kezesség-, és garanciavállalásból eredő fizetési kötelezettség</t>
  </si>
  <si>
    <t>Tárgyévben keletkezett illetve keletkező, tárgyévet terhelő fizetési kötelezettség (22+25+…+33)</t>
  </si>
  <si>
    <t>Hitelből eredő fizetési kötelezettség (23+24)</t>
  </si>
  <si>
    <t xml:space="preserve">   - ebből: Tőketörlesztés (23.a.+23.b.+23.c.)</t>
  </si>
  <si>
    <t>23.a.</t>
  </si>
  <si>
    <t>23.b.</t>
  </si>
  <si>
    <t>23.c.</t>
  </si>
  <si>
    <t xml:space="preserve">   - ebből: Kamatfizetés (24.a.+24.b.+24.c.)</t>
  </si>
  <si>
    <t>24.a.</t>
  </si>
  <si>
    <t>24.b.</t>
  </si>
  <si>
    <t>24.c.</t>
  </si>
  <si>
    <t>Fizetési kötelezettség összesen (10+21)</t>
  </si>
  <si>
    <t>Fizetési kötelezettséggel csökkentett saját bevétel (9-38)</t>
  </si>
  <si>
    <t>Építményadó</t>
  </si>
  <si>
    <t>054 Sírhely</t>
  </si>
  <si>
    <t>Iparűzési adó</t>
  </si>
  <si>
    <t>előző évi hátralék</t>
  </si>
  <si>
    <t>3. sor</t>
  </si>
  <si>
    <t>Egyéb adóbev Pótlék, bírság (119)</t>
  </si>
  <si>
    <t>PMH B3 bírság, elj.díj</t>
  </si>
  <si>
    <t>4. sor</t>
  </si>
  <si>
    <t>052 Lakás</t>
  </si>
  <si>
    <t>Művház</t>
  </si>
  <si>
    <t>5. sor</t>
  </si>
  <si>
    <t>Részvény értékesítés (112)</t>
  </si>
  <si>
    <t xml:space="preserve">4. </t>
  </si>
  <si>
    <t>Teljesítés</t>
  </si>
  <si>
    <t>Eredeti előirányzat</t>
  </si>
  <si>
    <t>Módosított előirányzat</t>
  </si>
  <si>
    <t>2. Mérlegben következő évet terhelő kötött tételek</t>
  </si>
  <si>
    <t>II.</t>
  </si>
  <si>
    <t>Működési maradvány</t>
  </si>
  <si>
    <t>Felhalm.maradvány</t>
  </si>
  <si>
    <t>Maradvány összesen</t>
  </si>
  <si>
    <t>A/NEMZETI VAGYONBA TARTOZÓ BEFEKTETETT ESZKÖZÖK</t>
  </si>
  <si>
    <t>I. Immateriális javak</t>
  </si>
  <si>
    <t>1.1. Korlátozottan forgalomképes immateriális javak</t>
  </si>
  <si>
    <t>1.2. Forgalomképes immateriális javak</t>
  </si>
  <si>
    <t>II. Tárgyi eszközök</t>
  </si>
  <si>
    <t>1. Ingatlanok és a kapcsolódó vagyoni értékű jogok</t>
  </si>
  <si>
    <t>1.1.Forgalomképtelen ingatlanok és a kapcsolódó vagyoni értékű jogok</t>
  </si>
  <si>
    <t>1.2. Nemzetgazdasági szempontból kiemelt jelentőségű  ingatlanok és kapcsolódó vagyoni értékű jogok</t>
  </si>
  <si>
    <t>1.3. Korlátozottan forgalomképes ingatlanok és a kapcsolódó vagyoni értékű jogok</t>
  </si>
  <si>
    <t>1.4. Üzleti (forgalomképes) ingatlanok és a kapcsolódó vagyoni értékű jogok</t>
  </si>
  <si>
    <t>2. Gépek, berendezések, felszerelések, járművek</t>
  </si>
  <si>
    <t>2.1. Forgalomképtelen gépek, berendezések, felszerelések, járművek</t>
  </si>
  <si>
    <t>2.2. Nemzetgazdasági szempontból kiemelt jelentőségű gépek, berendezések, felszerelések, járművek</t>
  </si>
  <si>
    <t>2.3. Korlátozottan forgalomképes gépek, berendezések, felszerelések, járművek</t>
  </si>
  <si>
    <t>2.4. Üzleti (forgalomképes) gépek, berendezések, felszerelések, járművek</t>
  </si>
  <si>
    <t xml:space="preserve">3. Tenyészállatok </t>
  </si>
  <si>
    <t xml:space="preserve">3.1. Forgalomképtelen tenyészállatok </t>
  </si>
  <si>
    <t xml:space="preserve">3.2. Nemzetgazdasági szempontból kiemelt jelentőségű tenyészállatok </t>
  </si>
  <si>
    <t xml:space="preserve">3.3. Korlátozottan forgalomképes tenyészállatok </t>
  </si>
  <si>
    <t xml:space="preserve">3.4. Üzleti tenyészállatok </t>
  </si>
  <si>
    <t xml:space="preserve">4. Beruházások, felújítások </t>
  </si>
  <si>
    <t>4.1. Forgalomképtelen beruházások, felújítások</t>
  </si>
  <si>
    <t>4.2.  Nemzetgazdasági szempontból kiemelt jelentőségű beruházások, felújítások</t>
  </si>
  <si>
    <t>4.3. Korlátozottan forgalomképes  beruházások, felújítások</t>
  </si>
  <si>
    <t>4.4. Üzlet (forgalomképes) beruházások, felújítások</t>
  </si>
  <si>
    <t>5. Tárgyi eszközök értékhelyesbítése</t>
  </si>
  <si>
    <t>5.1. Forgalomképtelen tárgyi eszközök értékhelyesbítése</t>
  </si>
  <si>
    <t>5.2.  Nemzetgazdasági szempontból kiemelt jelentőségű tárgyi eszközök értékhelyesbítése</t>
  </si>
  <si>
    <t>5.3. Korlátozottan forgalomképes tárgyi eszközök értékhelyesbítése</t>
  </si>
  <si>
    <t>5.4. Üzlet (forgalomképes) tárgyi eszközök értékhelyesbítése</t>
  </si>
  <si>
    <t>III. Befektetett pénzügyi eszközök</t>
  </si>
  <si>
    <t xml:space="preserve">1. Tartós részesedések </t>
  </si>
  <si>
    <t>1.1. Forgalomképtelen tartós részesedések</t>
  </si>
  <si>
    <t>1.2. Nemzetgazdasági szempontból kiemelt jelentőségű tartós részesedések</t>
  </si>
  <si>
    <t>1.3. Korlátozottan forgalmoképes tartós részesedés</t>
  </si>
  <si>
    <t>1.4. Üzlet (forgalomképes) tartós részesedés</t>
  </si>
  <si>
    <t xml:space="preserve">2. Tartós hitelviszonyt megtestesítő értékpapír </t>
  </si>
  <si>
    <t xml:space="preserve">2.1. Forgalomképtelen tartós hitelviszonyt megtestesítő értékpapír </t>
  </si>
  <si>
    <t xml:space="preserve">2.2. Nemzetgazdasági szempontból kiemelt jelentőségű tartós hitelviszonyt megtestesítő értékpapír </t>
  </si>
  <si>
    <t xml:space="preserve">2.3. Korlátozottan forgalmoképes tartós hitelviszonyt megtestesítő értékpapír </t>
  </si>
  <si>
    <t xml:space="preserve">2.4. Üzleti (forgalomképes) tartós hitelviszonyt megtestesítő értékpapír </t>
  </si>
  <si>
    <t>3. Befektetett pénzügyi eszközök értékhelyesbítése</t>
  </si>
  <si>
    <t xml:space="preserve">3.1. Forgalomképtelen  befektetett pénzügyi eszközök értékhelyesbítése </t>
  </si>
  <si>
    <t xml:space="preserve">3.2. Nemzetgazdasági szempontból kiemelt jelentőségű befektetett pénzügyi eszközök értékhelyesbítése </t>
  </si>
  <si>
    <t xml:space="preserve">3.3. Korlátozottan forgalmoképes befektetett pénzügyi eszközök értékhelyesbítése </t>
  </si>
  <si>
    <t xml:space="preserve">3.4. Üzleti (forgalomképes) befektetett pénzügyi eszközök értékhelyesbítése </t>
  </si>
  <si>
    <t xml:space="preserve">IV. Koncesszióba, vagyonkezelésbe adott eszközök </t>
  </si>
  <si>
    <t>1. Koncesszióba, vagyonkezelésbe adott forgalomképtelen eszköz</t>
  </si>
  <si>
    <t>2. Koncesszióba, vagyonkezelésbe adott nemzetgazdasági szempontból kiemelt jelentőségű eszköz</t>
  </si>
  <si>
    <t>3. Koncesszióba, vagyonkezelésbe adott korlátozottan forgalomképes eszköz</t>
  </si>
  <si>
    <t>4. Koncesszióba, vagyonkezelésbe adott üzleti (forgalomképes) eszköz</t>
  </si>
  <si>
    <t>B/ NEMZETI VAGYONBA TARTOZÓ FORGÓESZKÖZÖK</t>
  </si>
  <si>
    <t>I. Készletek (forgalomképes)</t>
  </si>
  <si>
    <t xml:space="preserve">II. Értékpapírok </t>
  </si>
  <si>
    <t xml:space="preserve">C/ PÉNZESZKÖZÖK </t>
  </si>
  <si>
    <t>I. Hosszú lejáratú betétek</t>
  </si>
  <si>
    <t>II. Pénztárak, csekkek, betétkönyvek</t>
  </si>
  <si>
    <t xml:space="preserve">III. Forintszámlák </t>
  </si>
  <si>
    <t>IV. Devizaszámlák</t>
  </si>
  <si>
    <t>V. Idegen pénzeszközök</t>
  </si>
  <si>
    <t xml:space="preserve">D/ KÖVETELÉSEK  </t>
  </si>
  <si>
    <t xml:space="preserve">I. Költségvetési évben esedékes követelések </t>
  </si>
  <si>
    <t>II. Költségvetési évet követő évben esedékes követelések</t>
  </si>
  <si>
    <t>III. Követelés jellegű sajátos elszámolás</t>
  </si>
  <si>
    <t>E/ EGYÉB SAJÁTOS ESZKÖZOLDALI ELSZÁMOLÁSOK</t>
  </si>
  <si>
    <t>F/ AKTÍV IDŐBELI  ELHATÁROLÁSOK</t>
  </si>
  <si>
    <t>ESZKÖZÖK MINDÖSSZESEN</t>
  </si>
  <si>
    <t>G/ SAJÁT TŐKE</t>
  </si>
  <si>
    <t>I.  Nemzeti vagyon induláskori értéke</t>
  </si>
  <si>
    <t>II. Nemzeti vagyon változásai</t>
  </si>
  <si>
    <t>III. Egyéb eszközök induláskori értéke és változ.</t>
  </si>
  <si>
    <t>IV. Felhalmozott eredmény</t>
  </si>
  <si>
    <t>V. Eszközök értékhelyesbítésének forrása</t>
  </si>
  <si>
    <t>VI. Mérleg szerinti eredmény</t>
  </si>
  <si>
    <t>H/ KÖTELEZETTSÉGEK</t>
  </si>
  <si>
    <t xml:space="preserve">I. Költségvetési évben esedékes kötelezettségek  </t>
  </si>
  <si>
    <t>II. Költségvetési évet követően esedékes kötelezettségek</t>
  </si>
  <si>
    <t>III. Kötelezettség jellegű sajátos elszámolások</t>
  </si>
  <si>
    <t xml:space="preserve">FORRÁSOK MINDÖSSZESEN </t>
  </si>
  <si>
    <t>Mérték-egység</t>
  </si>
  <si>
    <t>fő</t>
  </si>
  <si>
    <t>db</t>
  </si>
  <si>
    <t>m2</t>
  </si>
  <si>
    <t>Ft</t>
  </si>
  <si>
    <t>J/ PASSZÍV IDŐBELI ELHATÁROLÁSOK</t>
  </si>
  <si>
    <t>2013.07.03-2015.</t>
  </si>
  <si>
    <t>2014.12.10-2015.</t>
  </si>
  <si>
    <t>* konszolidált összeg</t>
  </si>
  <si>
    <t>2014.*</t>
  </si>
  <si>
    <t>38.</t>
  </si>
  <si>
    <t>Dunaharaszti Város Önkormányzata SZABAD MARADVÁNY</t>
  </si>
  <si>
    <t>D/III/1b - ebből: beruházásokra, felújításokra adott előlegek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</si>
  <si>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</si>
  <si>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</si>
  <si>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</si>
  <si>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</si>
  <si>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E/II/2 Más fizetendő általános forgalmi adó</t>
  </si>
  <si>
    <t>E/II Fizetendő általános forgalmi adó elszámolása (=E/II/1+E/II/2)</t>
  </si>
  <si>
    <t>E) EGYÉB SAJÁTOS ELSZÁMOLÁSOK (=E/I+E/II+E/III)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</si>
  <si>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</si>
  <si>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</si>
  <si>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H/III/1 Kapott előlegek</t>
  </si>
  <si>
    <t>246</t>
  </si>
  <si>
    <t>247</t>
  </si>
  <si>
    <t>249</t>
  </si>
  <si>
    <t>250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</si>
  <si>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</si>
  <si>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</si>
  <si>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</si>
  <si>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</si>
  <si>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</si>
  <si>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</si>
  <si>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</si>
  <si>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</si>
  <si>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</si>
  <si>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</si>
  <si>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</si>
  <si>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</si>
  <si>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</si>
  <si>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</si>
  <si>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</si>
  <si>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</si>
  <si>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</si>
  <si>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</si>
  <si>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</si>
  <si>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</si>
  <si>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</si>
  <si>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18 Részesedésekből származó eredményszemléletű bevételek, árfolyamnyereségek</t>
  </si>
  <si>
    <t>20 Egyéb kapott (járó) kamatok és kamatjellegű eredményszemléletű bevételek</t>
  </si>
  <si>
    <t>VIII Pénzügyi műveletek eredményszemléletű bevételei (=17+18+19+20+21)</t>
  </si>
  <si>
    <t>24 Fizetendő kamatok és kamatjellegű ráfordítások</t>
  </si>
  <si>
    <t>25 Részesedések, értékpapírok, pénzeszközök értékvesztése (&gt;=25a+25b)</t>
  </si>
  <si>
    <t>IX Pénzügyi műveletek ráfordításai (=22+23+24+25+26)</t>
  </si>
  <si>
    <t>B)  PÉNZÜGYI MŰVELETEK EREDMÉNYE (=VIII-IX)</t>
  </si>
  <si>
    <t>C)  MÉRLEG SZERINTI EREDMÉNY (=±A±B)</t>
  </si>
  <si>
    <t>e) az egyéb nyújtott kedvezmény vagy kölcsön elengedésének összege nemleges</t>
  </si>
  <si>
    <t>Összesen:</t>
  </si>
  <si>
    <t>Önkormányzati tulajdonban álló helyiségek</t>
  </si>
  <si>
    <t>Közterület rendjének fenntartása</t>
  </si>
  <si>
    <t>Feladat típusa</t>
  </si>
  <si>
    <t>Halasztott tételek</t>
  </si>
  <si>
    <t>Módosított Támogatásértékű működési kiadás</t>
  </si>
  <si>
    <t>Eredeti Támogatásértékű működési kiadás</t>
  </si>
  <si>
    <t>Szervezet neve</t>
  </si>
  <si>
    <t>d)  a helyiségek, eszközök hasznosításából származó bevételből nyújtott kedvezmény, mentesség összege</t>
  </si>
  <si>
    <t>Bírság</t>
  </si>
  <si>
    <t>Késedelmi pótlék</t>
  </si>
  <si>
    <t>Gépjárműadó</t>
  </si>
  <si>
    <t>Kommunális adó</t>
  </si>
  <si>
    <t>Telekadó</t>
  </si>
  <si>
    <t xml:space="preserve">c)  a helyi adónál, gépjárműadónál biztosított kedvezmény, mentesség összege adónemenként </t>
  </si>
  <si>
    <t>b)  lakosság részére lakásépítéshez, lakásfelújításhoz nyújtott kölcsönök elengedésének összege nemleges</t>
  </si>
  <si>
    <t>Közoktatás</t>
  </si>
  <si>
    <t>Szociális (Városi Bölcsőde)</t>
  </si>
  <si>
    <t>Szociális (Gondozási Központ)</t>
  </si>
  <si>
    <t>adatok Ft-ban</t>
  </si>
  <si>
    <t>a)  ellátottak térítési díjának,  kártérítésének méltányossági alapon történő elengedésének összege</t>
  </si>
  <si>
    <t>szabad maradvány felhasználás</t>
  </si>
  <si>
    <t>Eredmény/Mutató/Indikátor neve</t>
  </si>
  <si>
    <t>Mérték-</t>
  </si>
  <si>
    <t>Megvalósítási</t>
  </si>
  <si>
    <t>Fenntartási időszak (célérték)</t>
  </si>
  <si>
    <t>egység</t>
  </si>
  <si>
    <t>időszak (célérték)</t>
  </si>
  <si>
    <t>(db, fő, %)</t>
  </si>
  <si>
    <t xml:space="preserve">    Ebből: államháztartáson belüli megelőlegezések</t>
  </si>
  <si>
    <t>Alaptevékenység kötelezettvállalással terhelt maradvány (részletezve 13.c tábla)</t>
  </si>
  <si>
    <t>Dunaharaszti József Attila Művelődési Ház</t>
  </si>
  <si>
    <t xml:space="preserve">Dunaharaszti Városi Könyvtár </t>
  </si>
  <si>
    <t>Dunaharaszti Szivárvány Óvoda</t>
  </si>
  <si>
    <t>Dunaharaszti        Szivárvány Óvoda</t>
  </si>
  <si>
    <t>Szerződés tárgya/ Feladat</t>
  </si>
  <si>
    <t>Szabad maradvány mindösszesen</t>
  </si>
  <si>
    <t>Többéves kihatással járó döntések számszerűsítése évenkénti bontásban és összesítve célok szerint</t>
  </si>
  <si>
    <t>Sor-
szám</t>
  </si>
  <si>
    <t>Kötelezettség jogcíme</t>
  </si>
  <si>
    <t>Kiadás vonzata évenként</t>
  </si>
  <si>
    <t>A</t>
  </si>
  <si>
    <t>B</t>
  </si>
  <si>
    <t>C</t>
  </si>
  <si>
    <t>D</t>
  </si>
  <si>
    <t>E</t>
  </si>
  <si>
    <t>F</t>
  </si>
  <si>
    <t>G</t>
  </si>
  <si>
    <t>H</t>
  </si>
  <si>
    <t>Működési célú finanszírozási kiadások
(hiteltörlesztés, értékpapír vásárlás, stb.)</t>
  </si>
  <si>
    <t>Felhalmozási célú finanszírozási kiadások
(hiteltörlesztés, értékpapír vásárlás, stb.)</t>
  </si>
  <si>
    <t>7.2 hitelcél: Közoktatási feladatellátás int…</t>
  </si>
  <si>
    <t>2013</t>
  </si>
  <si>
    <t>5.1 hitelcél: Helyi közutak építése, felújítása</t>
  </si>
  <si>
    <t>2014</t>
  </si>
  <si>
    <t>6.3 hitelcél: Csapadék-vízelvezetés</t>
  </si>
  <si>
    <t>Beruházási kiadások beruházásonként</t>
  </si>
  <si>
    <t>Felújítási kiadások felújításonként</t>
  </si>
  <si>
    <t>Egyéb (Pl.: garancia és kezességvállalás, stb.)</t>
  </si>
  <si>
    <t>Összesen (1+2+3+4+5)</t>
  </si>
  <si>
    <t>Kötelezettség-vállalás éve</t>
  </si>
  <si>
    <t>Dunaharaszti Városi Könyvtár</t>
  </si>
  <si>
    <t>Szivárvány Óvoda</t>
  </si>
  <si>
    <t>Művelődési Ház</t>
  </si>
  <si>
    <t>Költségvetési kiadások    ( - )</t>
  </si>
  <si>
    <t>G/III Egyéb eszközök induláskori értéke és változásai</t>
  </si>
  <si>
    <t>2021. év</t>
  </si>
  <si>
    <t>2022. év</t>
  </si>
  <si>
    <t>2023. év</t>
  </si>
  <si>
    <t>2024. év</t>
  </si>
  <si>
    <t>2025. év</t>
  </si>
  <si>
    <t>2026. év</t>
  </si>
  <si>
    <t>2027. év</t>
  </si>
  <si>
    <t>2028. év</t>
  </si>
  <si>
    <t>2029. év</t>
  </si>
  <si>
    <t>2030. év</t>
  </si>
  <si>
    <t>2031. év</t>
  </si>
  <si>
    <t>2032. év</t>
  </si>
  <si>
    <t>2033. év</t>
  </si>
  <si>
    <t>2034. év</t>
  </si>
  <si>
    <t>2035. év</t>
  </si>
  <si>
    <t>2036. év</t>
  </si>
  <si>
    <t>2037. év</t>
  </si>
  <si>
    <t>2038. év</t>
  </si>
  <si>
    <t>052 lakás</t>
  </si>
  <si>
    <t>Előző évi egyéb adóbev Pótlék, bírság</t>
  </si>
  <si>
    <t>Előző évi PMH B3  bírság elj.díj</t>
  </si>
  <si>
    <t>051 Terembér</t>
  </si>
  <si>
    <t>Alszámlák (kötött) összesen</t>
  </si>
  <si>
    <t>Támogatói Okirat</t>
  </si>
  <si>
    <t>Támogatási előleg
összege</t>
  </si>
  <si>
    <t>Ebből pénzforglamilag teljesült 2017.12.31-ig</t>
  </si>
  <si>
    <t>Ebből pénzforglamilag teljesült 2018.12.31-ig</t>
  </si>
  <si>
    <t>Következő évre
áthúzódó összeg</t>
  </si>
  <si>
    <t>Támogatás intenzítása 100%</t>
  </si>
  <si>
    <t>Kiadások szerződés szerinti megoszlása</t>
  </si>
  <si>
    <t>Projekt teljes összege</t>
  </si>
  <si>
    <t>Pénzforgalmi teljesítés
2017.12.31-ig</t>
  </si>
  <si>
    <t>Pénzforgalmi teljesítés
2018.12.31-ig</t>
  </si>
  <si>
    <t>Projekt minősszesen:</t>
  </si>
  <si>
    <t>Dunaharaszti Városi Bölcsőde új tagintézményének építése</t>
  </si>
  <si>
    <t>VEKOP-6.1.1.-15-PT1-2015-00076</t>
  </si>
  <si>
    <t>Elszámolható összköltség: 397 909 188 Ft</t>
  </si>
  <si>
    <t>Támogatási szerződés</t>
  </si>
  <si>
    <t>Ebből pénzforglamilag teljesült 2016.12.31-ig</t>
  </si>
  <si>
    <t>Műszaki ellenőr</t>
  </si>
  <si>
    <t>Terület előkészítés</t>
  </si>
  <si>
    <t>Engedélyezési terv</t>
  </si>
  <si>
    <t>Előzetes tanulmány megvalósuláshoz</t>
  </si>
  <si>
    <t xml:space="preserve">Előzetes szakértői díj </t>
  </si>
  <si>
    <t>Kisgyermek területén jártas szakember díja</t>
  </si>
  <si>
    <t>Rehabilitációs környezettervező szakértő díja</t>
  </si>
  <si>
    <t>Közbeszerzési költség</t>
  </si>
  <si>
    <t>Műszaki tervek, tenderterv, kiviteli terv</t>
  </si>
  <si>
    <t>Projektm.szakértői díj</t>
  </si>
  <si>
    <t>Építéshez kapcsolódó költség</t>
  </si>
  <si>
    <t>Nyílvánosság</t>
  </si>
  <si>
    <t>Eszközbeszerzés</t>
  </si>
  <si>
    <t>Maradvány</t>
  </si>
  <si>
    <t>Dunaharaszti Város Önkormányzatának Pest Megyei Területfejlesztési Programja 
keretében megvalósult beruházása</t>
  </si>
  <si>
    <t>A beruházás fenntartási időszakára vállalt számszerűsíthető eredmények:</t>
  </si>
  <si>
    <t>m</t>
  </si>
  <si>
    <t>Kihelyezésre kerülő jelzőtáblák száma</t>
  </si>
  <si>
    <t>km/m</t>
  </si>
  <si>
    <t>A fejlesztéssel érintett útszegély hossza</t>
  </si>
  <si>
    <t>Dunaharaszti Város Önkormányzatának Nemzetgazdasági Minisztérium
 támogatásával megvalósult beruházása</t>
  </si>
  <si>
    <r>
      <t>Pályázat címe.</t>
    </r>
    <r>
      <rPr>
        <b/>
        <u/>
        <sz val="12"/>
        <rFont val="Garamond"/>
        <family val="1"/>
        <charset val="238"/>
      </rPr>
      <t xml:space="preserve"> „Jedlik Ányos Terv - Elektromos töltőállomás létesítése"</t>
    </r>
  </si>
  <si>
    <r>
      <t xml:space="preserve">Szerződésszám: </t>
    </r>
    <r>
      <rPr>
        <b/>
        <sz val="12"/>
        <rFont val="Garamond"/>
        <family val="1"/>
        <charset val="238"/>
      </rPr>
      <t>GZR-T-Ö-2016-0030</t>
    </r>
  </si>
  <si>
    <t>"A" tipuső töltőberendezés</t>
  </si>
  <si>
    <t xml:space="preserve">db </t>
  </si>
  <si>
    <t>Dunaharaszti Város Önkormányzatának Nemzeti Fejlesztési Minisztérium 
támogatásával megvalósult beruházása</t>
  </si>
  <si>
    <r>
      <t>Pályázat címe.</t>
    </r>
    <r>
      <rPr>
        <b/>
        <u/>
        <sz val="12"/>
        <rFont val="Garamond"/>
        <family val="1"/>
        <charset val="238"/>
      </rPr>
      <t xml:space="preserve"> „A Dunaharaszti MTK részére teniszpálya építése"</t>
    </r>
  </si>
  <si>
    <r>
      <t xml:space="preserve">Szerződésszám: </t>
    </r>
    <r>
      <rPr>
        <b/>
        <sz val="12"/>
        <rFont val="Garamond"/>
        <family val="1"/>
        <charset val="238"/>
      </rPr>
      <t xml:space="preserve"> BMSK-III-010/0214/2017</t>
    </r>
  </si>
  <si>
    <t xml:space="preserve">Szabadtéri pálya bővítése szabványos méretre </t>
  </si>
  <si>
    <t>Várható üzemeltetés költségei</t>
  </si>
  <si>
    <t>Saját forrásból megvalósuló védőháló</t>
  </si>
  <si>
    <t>Egészségügyi alapellátást nyújtó intézmény fejlesztése</t>
  </si>
  <si>
    <t>PM_EUALAPELLATAS_2017/52</t>
  </si>
  <si>
    <t>Támogatási Szerződés</t>
  </si>
  <si>
    <t>Támogatás intenzítása 85%</t>
  </si>
  <si>
    <t>Jelenleg is azonos funkciót betöltő helyiségek/épületek felújítása</t>
  </si>
  <si>
    <t>Családbarát funkciók kialakításához kapcsolódó költségek</t>
  </si>
  <si>
    <t>Előzetes tanulmányok, engedélyezési
dokumentumok költsége</t>
  </si>
  <si>
    <t>Pályázati dokumentáció összeállításának költsége</t>
  </si>
  <si>
    <t>Műszaki tervek, kiviteli és tendertervek, ezek hatósági díja</t>
  </si>
  <si>
    <t>Közbeszerzési dokumentáció összeállítása</t>
  </si>
  <si>
    <t>Műszaki ellenőri szolgátatás költsége</t>
  </si>
  <si>
    <t>Személyi jellegű ráfordítás</t>
  </si>
  <si>
    <t>Tájékoztató táblák elkészítése és kihelyezése</t>
  </si>
  <si>
    <t>Sajtómegjelenés költsége</t>
  </si>
  <si>
    <t>Zárórendezvény költsége</t>
  </si>
  <si>
    <t xml:space="preserve"> Dunaharaszti A3 belvízelvezető mederburkolat kialakítása</t>
  </si>
  <si>
    <t>PM_CSAPVIZGAZD_2017/39</t>
  </si>
  <si>
    <t>Belterület védelmét szolgáló vízelvezető hálózat létesítése,
fejlesztése, rekonstrukciója</t>
  </si>
  <si>
    <t>Pályázati dokumentáció összeállítása, műszaki tervdokumentcáiók elkészítése, tervezés, engedélyezés és hatósági eljárások</t>
  </si>
  <si>
    <t>Személyi jellegű ráfordítás - számlás</t>
  </si>
  <si>
    <t>PM_OVODAFEJLESZTES_2017/46</t>
  </si>
  <si>
    <t>Óvodai ellátást biztosító helyek, helyiségek, épületek felújítása átépítése</t>
  </si>
  <si>
    <t>Eszközbeszerzés költségei</t>
  </si>
  <si>
    <t>Parkoló-férőhely és akadálymentes parkoló férőhely létesítéséhez kapcsolódó költségek</t>
  </si>
  <si>
    <t>Előzetes tanulmányok, engedélyezési
dokumentumok költsége, pályázati dokumentáció összeállításának költsége, műszaki tervek, kiviteli és tendertervek, ezek hatósági díja</t>
  </si>
  <si>
    <t>Közbeszerzési dokumentáció összeállítása, 
közbeszerzési eljárás költsége</t>
  </si>
  <si>
    <t>Tájékoztató táblák elkészítése és kihelyezése, 
sajtómegjelenés költsége, zárórendezvény költsége</t>
  </si>
  <si>
    <t xml:space="preserve"> Dunaharaszti Temető utca szilárd burkolatának cseréje</t>
  </si>
  <si>
    <t>PM_ONKORMUT_2018/79</t>
  </si>
  <si>
    <t>Önkormányzati tulajdonú belt.utak szilárd burkolattal történő kiépítése, felújítása, korszerűsítése</t>
  </si>
  <si>
    <t>Az út tartozékainak felújítása, korszerűsítése kapcsán például jelzőtáblák, jelzőlámpák telepítése, cseréje</t>
  </si>
  <si>
    <t>Forgalomtechnikai létesítmények és közlekedésbiztonsági elemek</t>
  </si>
  <si>
    <t>Közterület rendezés, zöldfelület létesítése</t>
  </si>
  <si>
    <t>Pályázati dokumentáció összeállításának költségei, műszaki tervdokumentációk elkészítésének költségei, tervezési engedélyezési költségek, hatósági eljárások költségei</t>
  </si>
  <si>
    <t>Tájékoztató táblák elkészítése és kihelyezése, 
sajtómegjelenés költsége, nyító- és zárórendezvény költsége</t>
  </si>
  <si>
    <t>Parkoló-férőhely és akadálymentes parkolóférőhely létesítéséhez</t>
  </si>
  <si>
    <t>Élelmiszer beszerzés</t>
  </si>
  <si>
    <t>Postaköltség</t>
  </si>
  <si>
    <t>Üzemanyag</t>
  </si>
  <si>
    <t>Számítógép üzemeltetés</t>
  </si>
  <si>
    <t>Gázdíj</t>
  </si>
  <si>
    <t>Mérlegben következő évet terhelő kötött tételek</t>
  </si>
  <si>
    <t>műk</t>
  </si>
  <si>
    <t>felh</t>
  </si>
  <si>
    <t>* A költségvetési rendeletben az intézményi maradvánnyal szemben került tervezésre.</t>
  </si>
  <si>
    <t>tulajdoni hányada</t>
  </si>
  <si>
    <t>2017. évi 2018-ban terhelt</t>
  </si>
  <si>
    <t>2018. évi 2019-ben terhelt</t>
  </si>
  <si>
    <t xml:space="preserve"> Ft-ban</t>
  </si>
  <si>
    <r>
      <t xml:space="preserve"> </t>
    </r>
    <r>
      <rPr>
        <sz val="10"/>
        <rFont val="Times New Roman CE"/>
        <family val="1"/>
        <charset val="238"/>
      </rPr>
      <t>Bankszámlák és elektronikus pénzeszközök egyenlege</t>
    </r>
  </si>
  <si>
    <r>
      <t xml:space="preserve"> </t>
    </r>
    <r>
      <rPr>
        <sz val="10"/>
        <rFont val="Times New Roman CE"/>
        <family val="1"/>
        <charset val="238"/>
      </rPr>
      <t>Pénztárak  egyenlege</t>
    </r>
  </si>
  <si>
    <t>Kötött működési maradvány</t>
  </si>
  <si>
    <t>Kötött felhalmozási maradvány</t>
  </si>
  <si>
    <t>Kötött maradvány összesen</t>
  </si>
  <si>
    <t>Szabad működési maradvány</t>
  </si>
  <si>
    <t>Szabad felhalmozási maradvány</t>
  </si>
  <si>
    <t>Szabad maradvány összesen</t>
  </si>
  <si>
    <t>Eredeti                   Működési célú pénzeszköz átadás államháztartáson kívülre</t>
  </si>
  <si>
    <t>Módosított                   Működési célú pénzeszköz átadás államháztartáson kívülre</t>
  </si>
  <si>
    <t>060 sportcsarnok</t>
  </si>
  <si>
    <t xml:space="preserve">    Ebből: működési célú maradvány</t>
  </si>
  <si>
    <t xml:space="preserve">    Ebből: felhalmozási célú maradvány</t>
  </si>
  <si>
    <t xml:space="preserve">    Ebből: lekötött betét felbontása</t>
  </si>
  <si>
    <t xml:space="preserve">   Ebből: betét lekötés</t>
  </si>
  <si>
    <t>2017</t>
  </si>
  <si>
    <t>Egészségügyi alapellátást nyújtó intézmény fejlesztése PM_EUALAPELLATAS_2017/52</t>
  </si>
  <si>
    <t>I=(D+E+F+G+H+I)</t>
  </si>
  <si>
    <t>Ebből pénzforglamilag teljesült 2019.12.31-ig</t>
  </si>
  <si>
    <t>Pénzforgalmi teljesítés
2019.12.31-ig</t>
  </si>
  <si>
    <t>bevétel elmű + valami 2 e. Ft</t>
  </si>
  <si>
    <t>Pályázati elszámolásban beadott módosított 2018.12.31-ig</t>
  </si>
  <si>
    <t>2016. évben teljesült</t>
  </si>
  <si>
    <t>Ebből pénzforgalmilag teljesült 2018.12.31-ig</t>
  </si>
  <si>
    <t>Támogatás intenzítása:  24,69% (2020.évben 23,61%-ra módosul)</t>
  </si>
  <si>
    <t>Projekt teljes összege 2. sz. módosítás után</t>
  </si>
  <si>
    <t>Projekt teljes összege 3.sz. módosítás után</t>
  </si>
  <si>
    <t>Pályázati elszámolásban  beadott módosított 2018.12.31-ig</t>
  </si>
  <si>
    <t xml:space="preserve">Projekt teljes összege </t>
  </si>
  <si>
    <t>Projekt teljes összege módosítás után</t>
  </si>
  <si>
    <t>Pénzforgalmi teljesítés
2018.12.31-ig módosított</t>
  </si>
  <si>
    <t>Következő évre
áthúzódó összeg*</t>
  </si>
  <si>
    <t>Lukács Laci</t>
  </si>
  <si>
    <t>Projekt mindösszesen:</t>
  </si>
  <si>
    <t xml:space="preserve"> Dunaharaszti Város Önkormányzatának energiahatékonysági beruházása </t>
  </si>
  <si>
    <t xml:space="preserve">KEHOP-5.2.9-16-2017-00185
 </t>
  </si>
  <si>
    <t>Ebből pénzforgalmilag teljesült 2017.12.31-ig</t>
  </si>
  <si>
    <t>Ebből pénzforgalmilag teljesült 2019.12.31-ig</t>
  </si>
  <si>
    <t>Támogatás intenzítása 93,5 %</t>
  </si>
  <si>
    <t>Építéshez kapcsolódó költségek (Mese Óvoda)</t>
  </si>
  <si>
    <t>Építéshez kapcsolódó költségek (Városi Bölcsőde, József Attila Művelődési Ház)</t>
  </si>
  <si>
    <t>Előzetes tanulmányok, engedélyezési dokumentumok költségei</t>
  </si>
  <si>
    <t>Közbeszerzési költségek</t>
  </si>
  <si>
    <t>Projektmenedzsment személyi jellegű ráfordítása</t>
  </si>
  <si>
    <t>Kötelezően előírt nyilvánosság biztosításának költsége</t>
  </si>
  <si>
    <t>Műszaki ellenőri szolgáltatás költsége</t>
  </si>
  <si>
    <r>
      <t>Projekt címe.</t>
    </r>
    <r>
      <rPr>
        <b/>
        <u/>
        <sz val="12"/>
        <rFont val="Garamond"/>
        <family val="1"/>
        <charset val="238"/>
      </rPr>
      <t xml:space="preserve"> „Dunaharaszti Városi Bölcsőde új tagintézményének építése"</t>
    </r>
  </si>
  <si>
    <r>
      <t xml:space="preserve">Projekt azonosítószáma: </t>
    </r>
    <r>
      <rPr>
        <b/>
        <sz val="12"/>
        <rFont val="Garamond"/>
        <family val="1"/>
        <charset val="238"/>
      </rPr>
      <t>VEKOP-6.1.1-15-PT1-2016-00076</t>
    </r>
  </si>
  <si>
    <r>
      <t xml:space="preserve">Projekt menedzser: </t>
    </r>
    <r>
      <rPr>
        <b/>
        <sz val="12"/>
        <rFont val="Garamond"/>
        <family val="1"/>
        <charset val="238"/>
      </rPr>
      <t>Pest Megyei Területfejlesztési Nonprofit Kft.</t>
    </r>
  </si>
  <si>
    <t>Újonnan létrehozott, 0-3 éves gyermekek elhelyezését biztosító férőhelyek száma</t>
  </si>
  <si>
    <t>Dunaharaszti Város Önkormányzatának energiahatékonysági beruházása KEHOP-5.2.9-16-2017-00185</t>
  </si>
  <si>
    <t xml:space="preserve"> Dunaharaszti Szivárvány Óvoda Százszorszép Tagóvodája fejlesztése (felújítása, korszerűsítése)</t>
  </si>
  <si>
    <t>Támogatás intenzítása 70% (2020.évben 48,25 %-ra módosul)</t>
  </si>
  <si>
    <t>Támogatás intenzítása 59,26%</t>
  </si>
  <si>
    <t>Tűz- és munkavédelmi szolgáltatás</t>
  </si>
  <si>
    <t>Pályázati tanácsadás</t>
  </si>
  <si>
    <t>Időszakos tűz-, érintés- és villámvédelmi szabványossági felülvizsgálat</t>
  </si>
  <si>
    <t>Internet, telefon</t>
  </si>
  <si>
    <t>Diétás étkezés</t>
  </si>
  <si>
    <t>Tűz és munkavédelmi szolgáltatás</t>
  </si>
  <si>
    <t>Víz és csatornadíj</t>
  </si>
  <si>
    <t>Áramdíj</t>
  </si>
  <si>
    <t>Víz- és csatornadíj</t>
  </si>
  <si>
    <t>Számítástechnikai rendszerfelügyelet</t>
  </si>
  <si>
    <t>Gyermek és felnőtt pszichológiai ellátás, szupervízió foglalkozás</t>
  </si>
  <si>
    <t>Internet</t>
  </si>
  <si>
    <t>Telefonköltség</t>
  </si>
  <si>
    <t>Víz- és csatornadíjak</t>
  </si>
  <si>
    <t>4. Áthúzódó kötelezettségvállalások miatt kötött tételek</t>
  </si>
  <si>
    <t>Áthúzódó kötelezettségvállalások miatt kötött tételek</t>
  </si>
  <si>
    <t>ÁTHÚZÓDÓ KÖTELEZETTSÉGVÁLLALÁSOK MIATT KÖTÖTT TÉTELEK</t>
  </si>
  <si>
    <t>Vízdíj</t>
  </si>
  <si>
    <t>Facebook,instagram oldal kezelése</t>
  </si>
  <si>
    <t>Tűz-és munkavédelmi szolgáltatás</t>
  </si>
  <si>
    <t>Családi pályakép elemzés</t>
  </si>
  <si>
    <t>Melegétel beszerzés szociális és idősek nappali ellátására</t>
  </si>
  <si>
    <t>Lift karbantartás</t>
  </si>
  <si>
    <t>Vásárolt élelmezés - gyermekétkeztetés</t>
  </si>
  <si>
    <t>Kollegiális vezetőorvosi feladat ellátása</t>
  </si>
  <si>
    <t>Víz-és csatornadíj</t>
  </si>
  <si>
    <t>Buszmegállókban információs táblák internet előfizetése</t>
  </si>
  <si>
    <t>Dunaharaszti város zöldterületeinek karbantartása, közterületek tisztántartása</t>
  </si>
  <si>
    <t>Temető kellékvásárlás</t>
  </si>
  <si>
    <t>Bérlakás értékesítés számla</t>
  </si>
  <si>
    <t>Víziközmű számla</t>
  </si>
  <si>
    <t>Környezetvédelmi alap számla</t>
  </si>
  <si>
    <t>Parkolóhely megváltás számla</t>
  </si>
  <si>
    <t>Víziközmű fejlesztési számla</t>
  </si>
  <si>
    <t>Közműfejlesztési lebonyolítási számla</t>
  </si>
  <si>
    <t>MÁK nál vezetett EU Épületenergetikai pályázati számla</t>
  </si>
  <si>
    <t>MÉRLEGBEN KÖVETKEZŐ ÉVET TERHELŐ KÖTÖTT TÉTELEK</t>
  </si>
  <si>
    <t>Dunaharaszti város közútjainak karbantartása, üzemeltetése, beruházási és felújítási feladatok</t>
  </si>
  <si>
    <t>Dunaharaszti város településrendezési eszközeinek vizsgálata és módosítása az OTrT-vel és BSTrT-vel való megfelelőség tekintetében</t>
  </si>
  <si>
    <t>Dh. Város HÉSZ felülvizsgálata, egységes szerkezetbe foglalása</t>
  </si>
  <si>
    <t>működés</t>
  </si>
  <si>
    <t>felhalmozás</t>
  </si>
  <si>
    <t>5. Támogatási előlegek miatt kötött tételek</t>
  </si>
  <si>
    <t xml:space="preserve">Felhalmozás </t>
  </si>
  <si>
    <t xml:space="preserve">Dunaharaszti Városi Bölcsőde új tagintézmény PM_BOLCSODEFEJLESZTES_2019/20 pályázaton </t>
  </si>
  <si>
    <t>TÁMOGATÁSI ELŐLEGEK MIATT KÖTÖTT TÉTELEK</t>
  </si>
  <si>
    <t>Támogatási előlegek miatt kötött tételek</t>
  </si>
  <si>
    <t>Mérlegben szereplő kötött maradvány</t>
  </si>
  <si>
    <t>Elkülönített számlák</t>
  </si>
  <si>
    <t>Önk Mben szereplő kötött maradvány</t>
  </si>
  <si>
    <t>Önk Mben köv évet terhelő kötött tételek</t>
  </si>
  <si>
    <t>Önk elkül szlak</t>
  </si>
  <si>
    <t>Önk áth szerződések miatt kötött tételek</t>
  </si>
  <si>
    <t>Önk támogatási előlegek miatt kötött tételek</t>
  </si>
  <si>
    <t>Bölcsőde Mben szereplő kötött maradvány</t>
  </si>
  <si>
    <t>Mese Óvoda Mben szereplő kötött maradvány</t>
  </si>
  <si>
    <t>PMH Mben szereplő kötött maradvány</t>
  </si>
  <si>
    <t>Hétszínvirág Óvoda Mben szereplő kötött maradvány</t>
  </si>
  <si>
    <t>Művház Mben szereplő kötött maradvány</t>
  </si>
  <si>
    <t>Könyvtár Mben szereplő kötött maradvány</t>
  </si>
  <si>
    <t>Könyvtár elkül szlak</t>
  </si>
  <si>
    <t>Alaptevékenység kötelezettvállalással terhelt maradvány (11.+…+15.) (részletezve 13.c tábla)</t>
  </si>
  <si>
    <r>
      <t xml:space="preserve"> </t>
    </r>
    <r>
      <rPr>
        <sz val="10"/>
        <rFont val="Times New Roman CE"/>
        <family val="1"/>
        <charset val="238"/>
      </rPr>
      <t>Pénztárak egyenlege</t>
    </r>
  </si>
  <si>
    <t>ebből:letéti számla</t>
  </si>
  <si>
    <t>Befektetett eszközök</t>
  </si>
  <si>
    <t>Tartós részesedések nem pénzügyi vállalkozásban</t>
  </si>
  <si>
    <t>A gazdasági társaság, társulás azonosító adatai</t>
  </si>
  <si>
    <t>Változás</t>
  </si>
  <si>
    <t>Értékhelyesbítés (növelő tétel)</t>
  </si>
  <si>
    <t>Értékvesztés (csökkentő tétel)</t>
  </si>
  <si>
    <t>A részesedés keletkezésének módja, ideje</t>
  </si>
  <si>
    <t>A részesedés megszerzésének célja, számviteli besorolása</t>
  </si>
  <si>
    <t>megnevezése</t>
  </si>
  <si>
    <t xml:space="preserve">összege </t>
  </si>
  <si>
    <r>
      <t xml:space="preserve">DV Kft. Törzstőke  </t>
    </r>
    <r>
      <rPr>
        <i/>
        <sz val="12"/>
        <rFont val="Garamond"/>
        <family val="1"/>
        <charset val="238"/>
      </rPr>
      <t>13-09-070493</t>
    </r>
  </si>
  <si>
    <t>alapítás  1995/2003</t>
  </si>
  <si>
    <r>
      <t xml:space="preserve">Északdunántúli Vízmű Zártkörűen Működő Részvénytársaság </t>
    </r>
    <r>
      <rPr>
        <i/>
        <sz val="12"/>
        <rFont val="Garamond"/>
        <family val="1"/>
        <charset val="238"/>
      </rPr>
      <t>11-10-001450</t>
    </r>
  </si>
  <si>
    <t>részvény vásárlás 2015.07.09.</t>
  </si>
  <si>
    <t>2021-2038</t>
  </si>
  <si>
    <t>041 piac</t>
  </si>
  <si>
    <t>pályázati összeg, amivel nem tudtunk elszámolni</t>
  </si>
  <si>
    <t>2019</t>
  </si>
  <si>
    <t xml:space="preserve">Dunaharaszti Városi Önkormányzat Bölcsőde új tagintézmény építése PM_BOLCSODEFEJLESZTES_2019/20 </t>
  </si>
  <si>
    <t>Ebből pénzforgalmilag teljesült 2020.12.31-ig</t>
  </si>
  <si>
    <t>Pénzforgalmi teljesítés
2020.12.31-ig</t>
  </si>
  <si>
    <t>Ebből pénzforglamilag teljesült 2020.12.31-ig</t>
  </si>
  <si>
    <t>Megelőző ellátások nyújtására, egészségfejlesztési
 feladatok ellátásához kapcsolódó költségek</t>
  </si>
  <si>
    <t>* A MÁK-os számlán maradó 18.837 Ft a végelszámolás során visszautalásra fog kerülni.</t>
  </si>
  <si>
    <t>2020. júliustól alacsonyabb a járulék összege, ezért -3942 Ft ebből adódik</t>
  </si>
  <si>
    <t xml:space="preserve"> Dunaharaszti Város Önkormányzatának Bölcsőde új tagintézmény építése beruházás</t>
  </si>
  <si>
    <t>PM_BOLCSODEFEJLESZTES_2019/20</t>
  </si>
  <si>
    <t>Támogatás intenzítása 76 %</t>
  </si>
  <si>
    <t>Építési tevékenység</t>
  </si>
  <si>
    <t>Projekt előkészítési, tervezési költségek</t>
  </si>
  <si>
    <t>Közbeszerzési eljárások költségei</t>
  </si>
  <si>
    <t>Műszaki  ellenőri szolgálatás költsége</t>
  </si>
  <si>
    <t>Projektmenedzsment költsége</t>
  </si>
  <si>
    <t>Tájékoztatás, nyilvánosság költsége</t>
  </si>
  <si>
    <t>Tehetséggondozó verseny, környezettudatos nevelési program</t>
  </si>
  <si>
    <t>VIII/6734-2/2020/KOZNEVINT</t>
  </si>
  <si>
    <t>Elszámolható összköltség: 5 000 000 Ft</t>
  </si>
  <si>
    <t>Következő évre áthúzódó összeg</t>
  </si>
  <si>
    <t>Személyi juttatás</t>
  </si>
  <si>
    <t>ÖNKORMÁNYZAT KÖTÖTT MARADVÁNY MINÖSSZESEN</t>
  </si>
  <si>
    <t>DUNAHARASZTI VÁROSI BÖLCSŐDE KÖTÖTT MARADVÁNY MINÖSSZESEN</t>
  </si>
  <si>
    <t>DUNAHARASZTI TERÜLETI GONDOZÁSI KÖZPONT KÖTÖTT MARADVÁNY MINÖSSZESEN</t>
  </si>
  <si>
    <t>DUNAHARASZTI MESE ÓVODA KÖTÖTT MARADVÁNY MINÖSSZESEN</t>
  </si>
  <si>
    <t>DUNAHARASZTI POLGÁRMESTERI HIVATAL KÖTÖTT MARADVÁNY MINÖSSZESEN</t>
  </si>
  <si>
    <t>DUNAHARASZTI HÉTSZÍNVIRÁG ÓVODA KÖTÖTT MARADVÁNY MINÖSSZESEN</t>
  </si>
  <si>
    <t>DUNAHARASZTI JÓZSEF ATTILA MŰVELŐDÉSI HÁZ KÖTÖTT MARADVÁNY MINÖSSZESEN</t>
  </si>
  <si>
    <t>DUNAHARASZTI SZIVÁRVÁNY ÓVODA KÖTÖTT MARADVÁNY MINÖSSZESEN</t>
  </si>
  <si>
    <t>DUNAHARASZTI VÁROSI KÖNYVTÁR KÖTÖTT MARADVÁNY MINÖSSZESEN</t>
  </si>
  <si>
    <t>DUNAHARASZTI VÁROS  MINDÖSSZESEN</t>
  </si>
  <si>
    <r>
      <t xml:space="preserve">DUNAHARASZTI VÁROS KÖTÖTT MARADVÁNY MINDÖSSZESEN </t>
    </r>
    <r>
      <rPr>
        <sz val="18"/>
        <color theme="1"/>
        <rFont val="Garamond"/>
        <family val="1"/>
        <charset val="238"/>
      </rPr>
      <t>(13.b. tábla 11., 12., 13., 14. és 15. sora összesen)</t>
    </r>
  </si>
  <si>
    <t>eszközök</t>
  </si>
  <si>
    <t>Források</t>
  </si>
  <si>
    <r>
      <t>Pályázat címe.</t>
    </r>
    <r>
      <rPr>
        <b/>
        <u/>
        <sz val="12"/>
        <rFont val="Garamond"/>
        <family val="1"/>
        <charset val="238"/>
      </rPr>
      <t xml:space="preserve"> „Dunaharaszti, A3 belvízelvezető mederburkolat kialakítása 1+825 (51. sz. főút melletti kanyarulat) és 3+575 (Bezerédi utca) között"</t>
    </r>
  </si>
  <si>
    <r>
      <t xml:space="preserve">Szerződésszám: </t>
    </r>
    <r>
      <rPr>
        <b/>
        <sz val="12"/>
        <rFont val="Garamond"/>
        <family val="1"/>
        <charset val="238"/>
      </rPr>
      <t>PM_CSAPVIZGAZD_2017/39</t>
    </r>
  </si>
  <si>
    <t>Felújított, nyílt csapadékvíz-elvezető árok hossza, összesen</t>
  </si>
  <si>
    <t>Burkolattal ellátott, felújított vagy új építésű nyílt csapadékvíz-elvezető árok hossza, összesen</t>
  </si>
  <si>
    <r>
      <t>Projekt címe.</t>
    </r>
    <r>
      <rPr>
        <b/>
        <u/>
        <sz val="12"/>
        <rFont val="Garamond"/>
        <family val="1"/>
        <charset val="238"/>
      </rPr>
      <t xml:space="preserve"> „Dunaharaszti Szivárvány Óvoda Százszorszép Tagóvoda fejlesztése (felújítása, korszerűsítése)"</t>
    </r>
  </si>
  <si>
    <r>
      <t xml:space="preserve">Projekt azonosítószáma: </t>
    </r>
    <r>
      <rPr>
        <b/>
        <sz val="12"/>
        <rFont val="Garamond"/>
        <family val="1"/>
        <charset val="238"/>
      </rPr>
      <t>PM_OVODAFEJLESZTES_2017/46</t>
    </r>
  </si>
  <si>
    <t>Mértékegység</t>
  </si>
  <si>
    <t>2023</t>
  </si>
  <si>
    <t>2024</t>
  </si>
  <si>
    <t>A fejlesztés eredményeként felúíjtásban, átalakításban részesült óvodai férőhelyek száma</t>
  </si>
  <si>
    <t>A fejlesztés eredményeként felúíjtásban, átalakításban részesült óvodai férőhelyek mérete</t>
  </si>
  <si>
    <t>A fejlesztést követően az óvodai ellátást nyújtó férőhelyek száma</t>
  </si>
  <si>
    <t>A fejlesztést követően az óvodai ellátást nyújtó férőhelyek mérete</t>
  </si>
  <si>
    <r>
      <t>Pályázat címe.</t>
    </r>
    <r>
      <rPr>
        <b/>
        <u/>
        <sz val="12"/>
        <rFont val="Garamond"/>
        <family val="1"/>
        <charset val="238"/>
      </rPr>
      <t xml:space="preserve"> „Önkormányzati tulajdonú belterületi utak szilárd burkolattal történő kiépítésének, felújításának és korszerűsítésének támogatása gazdaságfejlesztési céllal Pest megye területén"</t>
    </r>
  </si>
  <si>
    <r>
      <t xml:space="preserve">Szerződésszám: </t>
    </r>
    <r>
      <rPr>
        <b/>
        <sz val="12"/>
        <rFont val="Garamond"/>
        <family val="1"/>
        <charset val="238"/>
      </rPr>
      <t>PM_ONKORMUT_2018/79</t>
    </r>
  </si>
  <si>
    <t>Felújított, szilárd burkolatú utak hossza</t>
  </si>
  <si>
    <t>Megvalósított közlekedésbiztonsági elemek száma</t>
  </si>
  <si>
    <t>Ültetett fák száma</t>
  </si>
  <si>
    <t>13.a - 13.d mellékletek, 1-10. tájékoztató táblák és 1-18. függelékek</t>
  </si>
  <si>
    <t>Dunaharaszti Város Önkormányzat saját bevételeinek és a Stabilitási törvény 8. § (2) bekezdése szerinti adósságot keletkeztető ügyleteiből eredő fizetési kötelezettségeinek várható összege a futamidő végéig (Áht. 29/A. §) Ft-ban</t>
  </si>
  <si>
    <t>Dunaharaszti Város Önkormányzata 2021. évi költségvetésének végrehajtásáról szóló beszámoló (zárszámadás) egyes mellékletei, tájékoztató táblái és függelékei</t>
  </si>
  <si>
    <t>Bankkártyás tranzakció jutaléka</t>
  </si>
  <si>
    <t>2022. évi eredeti előirányzatok között maradvány igénybevételként szerepel</t>
  </si>
  <si>
    <t>1. Mérlegben szereplő kötött maradvány -szállítók</t>
  </si>
  <si>
    <t>Gyermekjólét áthúzódó kötelezettségek</t>
  </si>
  <si>
    <t>Bölcsőde áthúzódó</t>
  </si>
  <si>
    <t>Gyermekjóléti Mben kötött szállítóks</t>
  </si>
  <si>
    <t>Tisztítószer</t>
  </si>
  <si>
    <t>Tűz - és munkavédelmi tanácsadás</t>
  </si>
  <si>
    <t>Hétszínvirág Óvoda áth szerződések miatt kötött tételek</t>
  </si>
  <si>
    <t>Könyvbeszerzés</t>
  </si>
  <si>
    <t>Könyvtár áthúzódó</t>
  </si>
  <si>
    <t>Óvodavezetési ismeretek kiegészítő kötet</t>
  </si>
  <si>
    <t>Rovarírtás</t>
  </si>
  <si>
    <t>Mese áthúzódó</t>
  </si>
  <si>
    <t>Esküvői szertartás lebonyolítás</t>
  </si>
  <si>
    <t xml:space="preserve">Bankett székek, asztalok, székhuzat </t>
  </si>
  <si>
    <t>Üzemeltetési anyagok</t>
  </si>
  <si>
    <t>Gépi borítékok, csekkes számlalevelek, környezetvédelmi termékdíj</t>
  </si>
  <si>
    <t>Rendészeti iroda takarítás</t>
  </si>
  <si>
    <t>Reprezentációs kiadás Karácsonyi ünepség</t>
  </si>
  <si>
    <t>PMH áthúzódó</t>
  </si>
  <si>
    <t>Művház áthúzódó</t>
  </si>
  <si>
    <t>Szivárvány Mben szereplő kötött</t>
  </si>
  <si>
    <t>Szivárvány áthúzódó</t>
  </si>
  <si>
    <t>Reprezentációs kiadás</t>
  </si>
  <si>
    <t>Klíma áthelyezés és tisztítás</t>
  </si>
  <si>
    <t>Tűzjelző rendszer karbantartása</t>
  </si>
  <si>
    <t>POS terminál bérleti díja</t>
  </si>
  <si>
    <t>Területi Mben szereplő kötött</t>
  </si>
  <si>
    <t>Karbantartások</t>
  </si>
  <si>
    <t>Iskolaorvosi feladatok</t>
  </si>
  <si>
    <t>Területi áthúzódó</t>
  </si>
  <si>
    <t>Temető hűtőberendezések karbantartása</t>
  </si>
  <si>
    <t>Vízdíjak</t>
  </si>
  <si>
    <t>Temető - Hamvasztás</t>
  </si>
  <si>
    <t>Óvodáskorú gyermekek fogászati gondozása</t>
  </si>
  <si>
    <t>Menetrend szerver tárhely szolgáltatás</t>
  </si>
  <si>
    <t>Késedelmi kamat</t>
  </si>
  <si>
    <t>Térfigyelő iroda kazán karbantartás</t>
  </si>
  <si>
    <t>Városi Piac áramdíj</t>
  </si>
  <si>
    <t>Tisztítószer vásárlás: Piac, Sportcsarnok, Temető</t>
  </si>
  <si>
    <t>Dunaharaszti Területi Gondozási Központ lámpacsere</t>
  </si>
  <si>
    <t xml:space="preserve"> 2022. évi eredeti előirányzatok között maradvány igénybevételként szerepel</t>
  </si>
  <si>
    <t>Sportcsarnok tűzjelző rendszer karbantartása</t>
  </si>
  <si>
    <t>Erőspusztai Gondozóházban helyfenntartás</t>
  </si>
  <si>
    <t>Sportcsarnok biztonsági világítás karbantartás</t>
  </si>
  <si>
    <t>Dunaharaszti Város Önkormányzata rendszeres internetes kommunikációs szolgáltatás</t>
  </si>
  <si>
    <t>Városi Piac takarítás</t>
  </si>
  <si>
    <t>Dunaharaszti Treületén állati tetem begyűjtése</t>
  </si>
  <si>
    <t>Városi kommunikációs feladatok</t>
  </si>
  <si>
    <t>Városi Piac hulladékszállítás</t>
  </si>
  <si>
    <t>Biológiaia lárvatérkép készítési feladatok</t>
  </si>
  <si>
    <t>Közbeszerzéshez dietetikai szakértelem biztosítása</t>
  </si>
  <si>
    <t>Betegszállítási szolgáltatás</t>
  </si>
  <si>
    <t>A lakosság körében (háztartásokban) keletkező (veszélyes) hulladékok gyűjtésére, elszállítására és kezelésére/ártalmatlanítására vonatkozó akció lebonyolítása</t>
  </si>
  <si>
    <t>Haraszti Aktuális kisfilmek</t>
  </si>
  <si>
    <t>Gyermekorvosi rendelő tetőfelújítási projekt projektmenedzseri feladatainak ellátása</t>
  </si>
  <si>
    <t>Dunaharaszti város területén a jelenlegi szabványos kódolású hangfrekvenciás vevők budapesti kódolású HF vevőkre történő cseréje</t>
  </si>
  <si>
    <t>Új Bölcsőde közbeszerzés hatósági díj</t>
  </si>
  <si>
    <t>Adventi műsor online közvetítése</t>
  </si>
  <si>
    <t>Angol tanfolyamon történő részvétel  gyermekek részére</t>
  </si>
  <si>
    <t>Bezerédi Sportpark építése tárgyú közbeszerzései eljárás lefolytatása</t>
  </si>
  <si>
    <t>Új városi bölcsőde Tagintézmény épület kivitelezés tárgyú közbeszerzési eljárás lefolytatása</t>
  </si>
  <si>
    <t>Reprezentációs kiadás Sportcsarnok</t>
  </si>
  <si>
    <t>DMTK támogatás 2021. évi maradvány</t>
  </si>
  <si>
    <t>Ügyvédi díjak</t>
  </si>
  <si>
    <t>Dunaharaszti Iparterület betápláló vízvezeték tervének elkészítése, engedélyeztetése</t>
  </si>
  <si>
    <t>Dunaharaszti Kinizsi utcai átemelő és hozzá tartozó  nyomóvezeték tervezése, engedélyeztetése</t>
  </si>
  <si>
    <t>Dunaharaszti Duna utca- Duna Sétány közötti terület - 5236 hrsz., 5231/1 hrsz., 5231/2 hrsz. - volt Autótechnika telep Művészteleppé történő átalakítása - I. ütem építési engedélyezési tervdokumentációjának kidolgozása</t>
  </si>
  <si>
    <t>Dunaharaszti Némedi út parkoló- és járdaépítés és kapcsolódó vízelvezetés kiépítésének műszaki ellenőrzése</t>
  </si>
  <si>
    <t>Sportpark parkoló tervének elkészítése és engedélyezési eljárás lefolytatása</t>
  </si>
  <si>
    <t>Gyalogátkelőhelyek közvilágításhálózat bővítése tervezés</t>
  </si>
  <si>
    <t>Dunaharaszti Újhegyi dűlő vízellátási és csatornázási tervének elkészítése és engedély beszerzése</t>
  </si>
  <si>
    <t>Sportpark parkoló csapadékvíz elvezetésének tervezése</t>
  </si>
  <si>
    <t>Dunaharaszti belterületén gyalogátkelőhelyek kialakítása</t>
  </si>
  <si>
    <t>SolarTT statikus, napelemes menetrendtartók gyártása és szállítása</t>
  </si>
  <si>
    <t>Laffert-kúria épületben homlokzati nyílászárók asztalos felújítási munkáinak elvégzése</t>
  </si>
  <si>
    <t>Dunaharaszti Sportcsarnok szellőztető rendszer kiépítése</t>
  </si>
  <si>
    <t>Védőháló készítés és telepítés</t>
  </si>
  <si>
    <t>Temetőbe halotthűtő vásárlása</t>
  </si>
  <si>
    <t>Gyermekorvosi rendelő bejárati ajtó feletti előtető felújítása, padlásfeljáró ajtó, tetőablak beépítése</t>
  </si>
  <si>
    <t>\"Élhető települések\" című pályázat Kerékpárút építése Dunaharaszti Városában tárgyában projekt előkészítő tanulmány készítése</t>
  </si>
  <si>
    <t>Dunaharaszti Akácfa u. 2/a sz. alatti Területi Gondozási Központ épületén szúnyoghálók egyedi gyártása, beszállítása, elhelyezése</t>
  </si>
  <si>
    <t>Dunaharaszti Szivárvány Óvoda meglévő fa burkolatú oromfal homlokzatburkolatának felújítási munkái</t>
  </si>
  <si>
    <t>Dunaharaszti Evezős utca 17. alatti napközis tábor épületének módosított engedélyezési terve</t>
  </si>
  <si>
    <t>Dh. 5283/1 és 52836/3 között károsodott támfal megerősítésének kiviteli tervének elkészítése</t>
  </si>
  <si>
    <t>Államháztartáson belüli megelőlegezések visszafizetése miatti költségvetési   évet követően esedékes kötelezettségek  - 2022. évi normatíva előleg</t>
  </si>
  <si>
    <t>Bezerédi Sportpark építése</t>
  </si>
  <si>
    <t>Parti sétány és tanösvény</t>
  </si>
  <si>
    <t>6. 2021. évben kiállított ingatlanértékesítés számla befizetendő ÁFA miatti kötött tétel</t>
  </si>
  <si>
    <t>2021. ÉVBEN KIÁLLÍTOTT SZÁMLA BEFIZETENDŐ ÁFA</t>
  </si>
  <si>
    <t>Önk Áfa befizetés</t>
  </si>
  <si>
    <t>7849/1 és 7849/3 hrsz ingatlanok értékesítéséhez kapcsolódó ÁFA befizetési kötelezettség (eMAG Logistic Kft.)</t>
  </si>
  <si>
    <t>ÖNK Összesen működés</t>
  </si>
  <si>
    <t xml:space="preserve">ÖNK Összesen felhalmozás </t>
  </si>
  <si>
    <t>DUNAHARASZTI CSALÁD- ÉS GYERMEKJÓLÉTI SZOLGÁLAT  KÖTÖTT MARADVÁNY MINÖSSZESEN</t>
  </si>
  <si>
    <t>2021. évben kiállított számla miatti befizetendő számla</t>
  </si>
  <si>
    <t>Mérlegben szereplő kötött maradvány - szállítók</t>
  </si>
  <si>
    <t>2022. évi  eredeti költségvetésbe beemelésre került szabad maradvány</t>
  </si>
  <si>
    <t>Zárszámadási rendelet elfogadását követően kerül beemelésre a 2022. évi költségvetésbe a szabad maradvány terhére</t>
  </si>
  <si>
    <t>Zárszámadási rendelet elfogadását követően kerül beemelésre a 2022. évi költségvetésbe a szabad maradvány terhére összesen</t>
  </si>
  <si>
    <t>2021. évben kiállított számla befizetendő ÁFA miatti kötött tétel</t>
  </si>
  <si>
    <t>Útépítési és kerékpárút építési tervek</t>
  </si>
  <si>
    <t>Útépítési beruházások műszaki ellenőrzése</t>
  </si>
  <si>
    <t>Fekvőrendőrök, pollerek kihelyezése</t>
  </si>
  <si>
    <t>Okoszebrák</t>
  </si>
  <si>
    <t>Csapadékvízelvezetés tervezések</t>
  </si>
  <si>
    <t>Csapadékvíz beruházások lakossági kérésre</t>
  </si>
  <si>
    <t>24 tantermes iskola szennyvíz-elvezetése II. ütem</t>
  </si>
  <si>
    <t>Ingatlanvásárlások</t>
  </si>
  <si>
    <t>Sport-szigeti napközis tábor</t>
  </si>
  <si>
    <t>Köztéri szemétgyűjtők beszerzése</t>
  </si>
  <si>
    <t>Játszóterek eszközfejlesztése</t>
  </si>
  <si>
    <t>Sport-szigeti játszótér fejlesztése</t>
  </si>
  <si>
    <t>Játszóterek vízellátásának kiépítése (kútfúrás)</t>
  </si>
  <si>
    <t>Közterületi kamerák beszerzése</t>
  </si>
  <si>
    <t>Temetkezés gépkocsi vásárlás</t>
  </si>
  <si>
    <t>Szivárvány Óvoda bővítés</t>
  </si>
  <si>
    <t>Autotechnika átalakítás</t>
  </si>
  <si>
    <t>Útépítési tervek, műszaki ellenőrzés, eljárási díjak, engedélyek</t>
  </si>
  <si>
    <t>Csapadékvíz elvezetési tervek, műszaki ellenőrzés, eljárási díjak, engedélyek</t>
  </si>
  <si>
    <t>Hóeltakarítás opció</t>
  </si>
  <si>
    <t>Intézményi ingatlanokkal kapcsolatos tervezések, műszaki ellenőrzések</t>
  </si>
  <si>
    <t>Beruházások, felújítások műszaki ellenőrzése (műszaki iroda)</t>
  </si>
  <si>
    <t>Felhalmozási célú kölcsön nyújtása munkavállalónak ÖNK</t>
  </si>
  <si>
    <t>Felhalmozási célú kölcsön nyújtása munkavállalónak PMH</t>
  </si>
  <si>
    <t xml:space="preserve">Intézményi ingatlanok különféle karbantartási kerete </t>
  </si>
  <si>
    <t>A beruházásokhoz kapcsolódó EU támogatások és hitelek kockázati fedezete</t>
  </si>
  <si>
    <t>Építési beruházásokhoz tartaléka</t>
  </si>
  <si>
    <t>Vis maior tartalék</t>
  </si>
  <si>
    <t xml:space="preserve">Normatíva felülvizsgálat tartalék </t>
  </si>
  <si>
    <t>Útfenntartás rendkívüli kiadásai (útfenntartási opció)</t>
  </si>
  <si>
    <t>Városgazdálkodás: üzemeltetés, karbantartás biztonsági tartalék</t>
  </si>
  <si>
    <t>Intézményi zöldterületek ad-hoc feladatai</t>
  </si>
  <si>
    <t>Óvodák játszóeszköz fejlesztése</t>
  </si>
  <si>
    <t>025 "Várossá válás" szeptemberi ünnepsége</t>
  </si>
  <si>
    <t>028 Fásítási program</t>
  </si>
  <si>
    <t xml:space="preserve">029    Erdőállomány kezelés és fenntartás </t>
  </si>
  <si>
    <t>032 Szelektív hulladékgyűjtés és zöldhulladék gyűjtés</t>
  </si>
  <si>
    <t>035 Csapadékvíz-belvíz üzemeltetés; Kül- és belterületi nyílt ár- és belvízelvezető rendszer üzemeltetése;E-közműrendszer üzemeltetése</t>
  </si>
  <si>
    <t>058 Kiemelt állami és önkormányzati rendezvények</t>
  </si>
  <si>
    <t>031 Külterületi szemét és veszélyes hulladék gyűjtése</t>
  </si>
  <si>
    <t>038 Dunaharaszti sajtókapcsolatai</t>
  </si>
  <si>
    <t>DMTK támogatás</t>
  </si>
  <si>
    <t>VAGABOND Korzó támogatása</t>
  </si>
  <si>
    <t>Paradicsomsziget Egyesület támogatása</t>
  </si>
  <si>
    <t>Dunaharaszti Vöröskereszt szervezetének támogatása</t>
  </si>
  <si>
    <t>Bárka Alapítvány</t>
  </si>
  <si>
    <t>Péter Cerny Alapítvány</t>
  </si>
  <si>
    <t>Mályvavirág Központ (Alapítvány) támogatása</t>
  </si>
  <si>
    <t>Intézményfinanszírozás</t>
  </si>
  <si>
    <t>Általános tartalék - Képviselő-testület rendelkezése</t>
  </si>
  <si>
    <t>Ventona buszjárat - MÁV vasútépítés miatt</t>
  </si>
  <si>
    <t>Levendula utca illegálisan elhelyezett hulladék elszállítása (033)</t>
  </si>
  <si>
    <t>Össznévérték 2020. december 31.            (Előző év)</t>
  </si>
  <si>
    <t>Össznévérték                2021. december 31.   tárgyév</t>
  </si>
  <si>
    <t>Könyvsz.érték 2021. december 31.</t>
  </si>
  <si>
    <t xml:space="preserve">DH-Fő úti projekt Kft. </t>
  </si>
  <si>
    <t>vásárlás</t>
  </si>
  <si>
    <t>részvény vásárlás 2021.01.21.</t>
  </si>
  <si>
    <t>A/III/1 Tartós részesedések (=A/III/1a+…+A/III/1f)</t>
  </si>
  <si>
    <t>25</t>
  </si>
  <si>
    <t>30</t>
  </si>
  <si>
    <t>46</t>
  </si>
  <si>
    <t>54</t>
  </si>
  <si>
    <t>55</t>
  </si>
  <si>
    <t>56</t>
  </si>
  <si>
    <t>60</t>
  </si>
  <si>
    <t>65</t>
  </si>
  <si>
    <t>74</t>
  </si>
  <si>
    <t>75</t>
  </si>
  <si>
    <t>76</t>
  </si>
  <si>
    <t>81</t>
  </si>
  <si>
    <t>104</t>
  </si>
  <si>
    <t>109</t>
  </si>
  <si>
    <t>115</t>
  </si>
  <si>
    <t>139</t>
  </si>
  <si>
    <t>146</t>
  </si>
  <si>
    <t>151</t>
  </si>
  <si>
    <t>155</t>
  </si>
  <si>
    <t>E/I/1 Adott előleghez kapcsolódó előzetesen felszámított levonható általános forgalmi adó</t>
  </si>
  <si>
    <t>165</t>
  </si>
  <si>
    <t>169</t>
  </si>
  <si>
    <t>170</t>
  </si>
  <si>
    <t>174</t>
  </si>
  <si>
    <t>185</t>
  </si>
  <si>
    <t>189</t>
  </si>
  <si>
    <t>194</t>
  </si>
  <si>
    <t>195</t>
  </si>
  <si>
    <t>215</t>
  </si>
  <si>
    <t>225</t>
  </si>
  <si>
    <t>226</t>
  </si>
  <si>
    <t>230</t>
  </si>
  <si>
    <t>237</t>
  </si>
  <si>
    <t>239</t>
  </si>
  <si>
    <t>251</t>
  </si>
  <si>
    <t>252</t>
  </si>
  <si>
    <t>253</t>
  </si>
  <si>
    <t>Pénzeszközök változása  2021. évben</t>
  </si>
  <si>
    <r>
      <t>Pénzkészlet 2021. január 1-jén
e</t>
    </r>
    <r>
      <rPr>
        <i/>
        <sz val="10"/>
        <rFont val="Times New Roman CE"/>
        <charset val="238"/>
      </rPr>
      <t>bből:</t>
    </r>
  </si>
  <si>
    <t>Előző év ktgvetési maradványának igénybevétele teljesítése tárgyidőszaki egyenlege</t>
  </si>
  <si>
    <t xml:space="preserve">36 számlák forgalma (egyéb sajátos elszámolások)  </t>
  </si>
  <si>
    <r>
      <t>Záró pénzkészlet 2021. december 31-én
e</t>
    </r>
    <r>
      <rPr>
        <i/>
        <sz val="10"/>
        <rFont val="Times New Roman CE"/>
        <charset val="238"/>
      </rPr>
      <t>bből:</t>
    </r>
  </si>
  <si>
    <t>21 Pénzügyi műveletek egyéb eredményszemléletű bevételei (&gt;=21a+21b)</t>
  </si>
  <si>
    <t>Dunaharaszti Önkormányzat közvetett támogatásainak részletezése 2021. évben az Ávr.  28 §-a szerint, amelyről rendelkezik az Áht. 24 § (4) bekezdés c) pontja</t>
  </si>
  <si>
    <t>Módosított   Támogatásértékű működési kiadás</t>
  </si>
  <si>
    <t xml:space="preserve">Dunaharaszti Város Önkormányzat 2021. évi működési, felhalmozási bevételeinek és kiadásainak mérlegszerű bemutatása </t>
  </si>
  <si>
    <t>2021.  évi költségvetés egyenlege (Költségvetési egyenleg + Finanszírozási egyenleg)</t>
  </si>
  <si>
    <t xml:space="preserve"> „Bezerédi Szabadidő- és Sportpark kialakítása; tanösvény kialakítása megvalósítása)” BMÖGF/1166/2021.</t>
  </si>
  <si>
    <t>2021</t>
  </si>
  <si>
    <t xml:space="preserve">
 „Dunaharaszti, Gyermekorvosi Rendelő fejlesztése (tetőfelújítás)” BMÖFT/6-9/2021.</t>
  </si>
  <si>
    <t xml:space="preserve">
„Dunaharaszti József Attila Művelődési Ház 2330 Dunaharaszti, Táncsics Mihály u. 2. szám alatti épülete tetőszerkezetének felújítása” K-Sz-0137/000855/2021</t>
  </si>
  <si>
    <t>Pénzforgalmi teljesítés
2021.12.31-ig</t>
  </si>
  <si>
    <t>Ebből pénzforglamilag teljesült 2021.12.31-ig</t>
  </si>
  <si>
    <t>Nem teljesített törlesztések 
2021. december 31.</t>
  </si>
  <si>
    <t xml:space="preserve">Záró állomány : 2021.12.31.        </t>
  </si>
  <si>
    <t>Nem került kiutalásra</t>
  </si>
  <si>
    <t>Pénzforgalmi teljesítés (módosított)
2018.12.31-ig</t>
  </si>
  <si>
    <t>Fel nem használt összeg</t>
  </si>
  <si>
    <t>A támogatásból 36.461 Ft nem került kiutalásra, ami éppen a fel nem használt összeg támogatott részével egyenlő, így visszafizetési kötelezettség nem jelentkezik.</t>
  </si>
  <si>
    <t>Ebből pénzforgalmilag teljesült 2021.12.31-ig</t>
  </si>
  <si>
    <t>A projekt teljes költsége előzetes számítások alapján 1.056.486.919,- Ft, azonban a támogatási szerződés még nem került módosításra, ezért a táblázatban a hatályos támogatási szerződés szerinti összegek szerepelnek.</t>
  </si>
  <si>
    <t>„Dunaharaszti József Attila Művelődési Ház 2330 Dunaharaszti, Táncsics Mihály u. 2. szám alatti épülete tetőszerkezetének felújítása”</t>
  </si>
  <si>
    <t>K-Sz-0137/000855/2021</t>
  </si>
  <si>
    <t>Elszámolható összköltség: 15 000 000 Ft</t>
  </si>
  <si>
    <t>Támogatás
összege</t>
  </si>
  <si>
    <t>Felújítási kiadások</t>
  </si>
  <si>
    <t>Bezerédi Szabadidő- és Sportpark kialakítása; tanösvény kialakítása</t>
  </si>
  <si>
    <t>BMÖGF/1166/2021.</t>
  </si>
  <si>
    <t>Sport-park beruházás</t>
  </si>
  <si>
    <t>Parti sétány beruházás</t>
  </si>
  <si>
    <t>Gyermekorvosi Rendelő fejlesztése (tetőfelújítás)</t>
  </si>
  <si>
    <t>Támogatás intenzítása 50%</t>
  </si>
  <si>
    <t>Egészségügyi fejlesztés - felújítás</t>
  </si>
  <si>
    <t>Egyéb közvetlen költség</t>
  </si>
  <si>
    <r>
      <t>Projekt címe.</t>
    </r>
    <r>
      <rPr>
        <b/>
        <u/>
        <sz val="12"/>
        <rFont val="Garamond"/>
        <family val="1"/>
        <charset val="238"/>
      </rPr>
      <t xml:space="preserve"> „Dunaharaszti Város Önkormányzatának energiahatékonysági
beruházása"</t>
    </r>
  </si>
  <si>
    <r>
      <t xml:space="preserve">Projekt azonosítószáma: </t>
    </r>
    <r>
      <rPr>
        <b/>
        <sz val="12"/>
        <rFont val="Garamond"/>
        <family val="1"/>
        <charset val="238"/>
      </rPr>
      <t>KEHOP_5.2.9_16_2017_00185</t>
    </r>
  </si>
  <si>
    <t>2020</t>
  </si>
  <si>
    <t>2022</t>
  </si>
  <si>
    <t>2025</t>
  </si>
  <si>
    <t>A középületek éves elsődleges energia-fogyasztásának csökkenése (KWh/év)</t>
  </si>
  <si>
    <t>KWh/év</t>
  </si>
  <si>
    <t>A megújuló energiaforrásból előállított energiamennyiség (GJ/év)</t>
  </si>
  <si>
    <t>GJ/év</t>
  </si>
  <si>
    <t>Az üvegházhatást okozó gázok éves csökkenése (tonna CO2 egyenérték)</t>
  </si>
  <si>
    <t>tonna CO2 egyenérték</t>
  </si>
  <si>
    <t>Energiahatékonysági fejlesztések által elért primer energia felhasználás csökkenés (GJ/év)</t>
  </si>
  <si>
    <t>További kapacitás megújuló energia előállítására (MW)
felhasználás csökkenés (GJ/év)</t>
  </si>
  <si>
    <t>2020. évig teljesült kiadások</t>
  </si>
  <si>
    <t>2025. évtől</t>
  </si>
  <si>
    <t>Helyi adóbev</t>
  </si>
  <si>
    <t>013 Ingatlan ért.</t>
  </si>
  <si>
    <t>2. sor Tulajdonosi bev</t>
  </si>
  <si>
    <t>042 Közter, reklámtábla</t>
  </si>
  <si>
    <t>051 nem lakásc</t>
  </si>
  <si>
    <t>054 sírhely</t>
  </si>
  <si>
    <t>069, 070</t>
  </si>
  <si>
    <t>036 DHRV végelsz</t>
  </si>
  <si>
    <t>502  előző évi hátralék</t>
  </si>
  <si>
    <t>052 előző évi hátralék</t>
  </si>
  <si>
    <t>069, 070, 105 Bérleti díj</t>
  </si>
  <si>
    <t>060 Sportcsarnok</t>
  </si>
  <si>
    <t>PMH TE értékesítés</t>
  </si>
  <si>
    <t>Hétszín bérleti díj</t>
  </si>
  <si>
    <t>Mese bérleti díj</t>
  </si>
  <si>
    <t>Művház, Laffert bérl.díj</t>
  </si>
  <si>
    <t>Energiaárak emelkedése miatti tartalék</t>
  </si>
  <si>
    <t>* A MÁK-os számlán maradó 476.355 Ft-ból 168.031 Ft 2021.03.05-én visszautalásra került.</t>
  </si>
  <si>
    <t>( értékvesztés, értékhelyesbítés miatt )</t>
  </si>
  <si>
    <r>
      <t>*A benyújtott számlaösszesítők alapján a kivitelezés költsége alacsonyabb, mint a hatályos Támogatási Szerződésben, 2 131 237 Ft-tal. Ennek</t>
    </r>
    <r>
      <rPr>
        <b/>
        <sz val="11"/>
        <rFont val="Calibri"/>
        <family val="2"/>
        <charset val="238"/>
        <scheme val="minor"/>
      </rPr>
      <t xml:space="preserve"> a támogatás-tartalma 1 811 551 Ft, amely 2022.01.26-án visszafizetésre került </t>
    </r>
    <r>
      <rPr>
        <sz val="11"/>
        <rFont val="Calibri"/>
        <family val="2"/>
        <charset val="238"/>
        <scheme val="minor"/>
      </rPr>
      <t>a támogató szervezet felé.</t>
    </r>
  </si>
  <si>
    <t>*A benyújtott számlaösszesítők alapján a kivitelezés költsége alacsonyabb, mint a hatályos Támogatási Szerződésben, illetve járulékcsökkenés is történt, így 287.632 Ft-tal csökkent az elszámolható összeg. Ennek a támogatás-tartalma 265.245 Ft, amely 2021.05.04-én visszafizetésre került a támogató szervezet felé.</t>
  </si>
  <si>
    <t>Paál László utca útépítés önerő</t>
  </si>
  <si>
    <t>Dunaharaszti Ipartestület - KisDuna TV támogatása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</si>
</sst>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6" formatCode="#,##0\ &quot;Ft&quot;;[Red]\-#,##0\ &quot;Ft&quot;"/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&quot;Ft&quot;_-;\-* #,##0\ &quot;Ft&quot;_-;_-* &quot;-&quot;??\ &quot;Ft&quot;_-;_-@_-"/>
    <numFmt numFmtId="167" formatCode="_-* #,##0\ _F_t_-;\-* #,##0\ _F_t_-;_-* &quot;-&quot;??\ _F_t_-;_-@_-"/>
    <numFmt numFmtId="168" formatCode="_-* #,##0.0\ _F_t_-;\-* #,##0.0\ _F_t_-;_-* &quot;-&quot;??\ _F_t_-;_-@_-"/>
    <numFmt numFmtId="169" formatCode="#,##0\ &quot;Ft&quot;"/>
    <numFmt numFmtId="170" formatCode="_-* #,##0.000\ &quot;Ft&quot;_-;\-* #,##0.000\ &quot;Ft&quot;_-;_-* &quot;-&quot;??\ &quot;Ft&quot;_-;_-@_-"/>
    <numFmt numFmtId="171" formatCode="_-* #,##0.0\ &quot;Ft&quot;_-;\-* #,##0.0\ &quot;Ft&quot;_-;_-* &quot;-&quot;??\ &quot;Ft&quot;_-;_-@_-"/>
    <numFmt numFmtId="172" formatCode="_-* #,##0\ &quot;Ft&quot;_-;\-* #,##0\ &quot;Ft&quot;_-;_-* &quot;-&quot;???\ &quot;Ft&quot;_-;_-@_-"/>
    <numFmt numFmtId="173" formatCode="#,###__"/>
    <numFmt numFmtId="174" formatCode="#,##0_ ;\-#,##0\ "/>
    <numFmt numFmtId="175" formatCode="_-* #,##0\ _F_t_-;\-* #,##0\ _F_t_-;_-* \-??\ _F_t_-;_-@_-"/>
    <numFmt numFmtId="176" formatCode="#,##0_ ;[Red]\-#,##0\ "/>
    <numFmt numFmtId="177" formatCode="#,###"/>
    <numFmt numFmtId="178" formatCode="#,##0\ _F_t"/>
    <numFmt numFmtId="179" formatCode="_-* #,##0_-;\-* #,##0_-;_-* &quot;-&quot;??_-;_-@_-"/>
    <numFmt numFmtId="180" formatCode="0.00000000%"/>
  </numFmts>
  <fonts count="1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indexed="8"/>
      <name val="Garamond"/>
      <family val="1"/>
      <charset val="238"/>
    </font>
    <font>
      <b/>
      <sz val="18"/>
      <color indexed="8"/>
      <name val="Garamond"/>
      <family val="1"/>
      <charset val="238"/>
    </font>
    <font>
      <sz val="15"/>
      <color indexed="8"/>
      <name val="Garamond"/>
      <family val="1"/>
      <charset val="238"/>
    </font>
    <font>
      <b/>
      <sz val="16"/>
      <color indexed="8"/>
      <name val="Garamond"/>
      <family val="1"/>
      <charset val="238"/>
    </font>
    <font>
      <sz val="18"/>
      <color indexed="8"/>
      <name val="Garamond"/>
      <family val="1"/>
      <charset val="238"/>
    </font>
    <font>
      <b/>
      <i/>
      <sz val="14"/>
      <color indexed="8"/>
      <name val="Garamond"/>
      <family val="1"/>
      <charset val="238"/>
    </font>
    <font>
      <b/>
      <i/>
      <sz val="18"/>
      <color indexed="8"/>
      <name val="Garamond"/>
      <family val="1"/>
      <charset val="238"/>
    </font>
    <font>
      <i/>
      <sz val="18"/>
      <color indexed="8"/>
      <name val="Garamond"/>
      <family val="1"/>
      <charset val="238"/>
    </font>
    <font>
      <b/>
      <i/>
      <sz val="15"/>
      <color indexed="8"/>
      <name val="Garamond"/>
      <family val="1"/>
      <charset val="238"/>
    </font>
    <font>
      <b/>
      <i/>
      <sz val="16"/>
      <color indexed="8"/>
      <name val="Garamond"/>
      <family val="1"/>
      <charset val="238"/>
    </font>
    <font>
      <b/>
      <sz val="14"/>
      <color indexed="8"/>
      <name val="Garamond"/>
      <family val="1"/>
      <charset val="238"/>
    </font>
    <font>
      <b/>
      <sz val="15"/>
      <color indexed="8"/>
      <name val="Garamond"/>
      <family val="1"/>
      <charset val="238"/>
    </font>
    <font>
      <i/>
      <sz val="15"/>
      <color indexed="8"/>
      <name val="Garamond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Arial CE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sz val="20"/>
      <color theme="1"/>
      <name val="Garamond"/>
      <family val="1"/>
      <charset val="238"/>
    </font>
    <font>
      <sz val="18"/>
      <color theme="1"/>
      <name val="Garamond"/>
      <family val="1"/>
      <charset val="238"/>
    </font>
    <font>
      <b/>
      <sz val="18"/>
      <color theme="1"/>
      <name val="Garamond"/>
      <family val="1"/>
      <charset val="238"/>
    </font>
    <font>
      <i/>
      <sz val="18"/>
      <color theme="1"/>
      <name val="Garamond"/>
      <family val="1"/>
      <charset val="238"/>
    </font>
    <font>
      <b/>
      <sz val="18"/>
      <name val="Garamond"/>
      <family val="1"/>
      <charset val="238"/>
    </font>
    <font>
      <sz val="18"/>
      <name val="Garamond"/>
      <family val="1"/>
      <charset val="238"/>
    </font>
    <font>
      <i/>
      <sz val="18"/>
      <name val="Garamond"/>
      <family val="1"/>
      <charset val="238"/>
    </font>
    <font>
      <sz val="14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14"/>
      <name val="Garamond"/>
      <family val="1"/>
      <charset val="238"/>
    </font>
    <font>
      <sz val="11"/>
      <name val="Garamond"/>
      <family val="1"/>
      <charset val="238"/>
    </font>
    <font>
      <b/>
      <sz val="11"/>
      <color theme="1"/>
      <name val="Garamond"/>
      <family val="1"/>
      <charset val="238"/>
    </font>
    <font>
      <sz val="12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Garamond"/>
      <family val="1"/>
      <charset val="238"/>
    </font>
    <font>
      <b/>
      <sz val="16"/>
      <name val="Garamond"/>
      <family val="1"/>
      <charset val="238"/>
    </font>
    <font>
      <b/>
      <u/>
      <sz val="14"/>
      <name val="Garamond"/>
      <family val="1"/>
      <charset val="238"/>
    </font>
    <font>
      <b/>
      <u/>
      <sz val="12"/>
      <name val="Garamond"/>
      <family val="1"/>
      <charset val="238"/>
    </font>
    <font>
      <b/>
      <sz val="12"/>
      <color indexed="10"/>
      <name val="Garamond"/>
      <family val="1"/>
      <charset val="238"/>
    </font>
    <font>
      <sz val="12"/>
      <color indexed="10"/>
      <name val="Garamond"/>
      <family val="1"/>
      <charset val="238"/>
    </font>
    <font>
      <sz val="9"/>
      <color theme="1"/>
      <name val="Garamond"/>
      <family val="1"/>
      <charset val="238"/>
    </font>
    <font>
      <sz val="10"/>
      <name val="Garamond"/>
      <family val="1"/>
      <charset val="238"/>
    </font>
    <font>
      <b/>
      <sz val="10"/>
      <name val="Garamond"/>
      <family val="1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sz val="7"/>
      <name val="Arial CE"/>
      <family val="2"/>
      <charset val="238"/>
    </font>
    <font>
      <sz val="6"/>
      <name val="Arial CE"/>
      <family val="2"/>
      <charset val="238"/>
    </font>
    <font>
      <b/>
      <i/>
      <sz val="7"/>
      <name val="Arial CE"/>
      <charset val="238"/>
    </font>
    <font>
      <b/>
      <i/>
      <sz val="9"/>
      <name val="Arial CE"/>
      <charset val="238"/>
    </font>
    <font>
      <b/>
      <i/>
      <sz val="8"/>
      <name val="Arial CE"/>
      <charset val="238"/>
    </font>
    <font>
      <b/>
      <sz val="13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3"/>
      <name val="Garamond"/>
      <family val="1"/>
      <charset val="238"/>
    </font>
    <font>
      <sz val="10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7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10"/>
      <name val="Wingdings"/>
      <charset val="2"/>
    </font>
    <font>
      <sz val="10"/>
      <name val="Times New Roman CE"/>
      <family val="1"/>
      <charset val="238"/>
    </font>
    <font>
      <sz val="9"/>
      <name val="Times New Roman CE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b/>
      <u/>
      <sz val="11"/>
      <color theme="1"/>
      <name val="Garamond"/>
      <family val="1"/>
      <charset val="238"/>
    </font>
    <font>
      <sz val="11"/>
      <name val="Calibri"/>
      <family val="2"/>
      <charset val="238"/>
      <scheme val="minor"/>
    </font>
    <font>
      <b/>
      <sz val="10"/>
      <color indexed="8"/>
      <name val="Garamond"/>
      <family val="1"/>
      <charset val="238"/>
    </font>
    <font>
      <sz val="10"/>
      <color indexed="8"/>
      <name val="Garamond"/>
      <family val="1"/>
      <charset val="238"/>
    </font>
    <font>
      <b/>
      <i/>
      <sz val="10"/>
      <name val="Garamond"/>
      <family val="1"/>
      <charset val="238"/>
    </font>
    <font>
      <i/>
      <sz val="10"/>
      <name val="Garamond"/>
      <family val="1"/>
      <charset val="238"/>
    </font>
    <font>
      <sz val="15"/>
      <name val="Garamond"/>
      <family val="1"/>
      <charset val="238"/>
    </font>
    <font>
      <sz val="12"/>
      <color rgb="FF000000"/>
      <name val="Garamond"/>
      <family val="1"/>
      <charset val="238"/>
    </font>
    <font>
      <b/>
      <sz val="14"/>
      <color theme="1"/>
      <name val="Garamond"/>
      <family val="1"/>
      <charset val="238"/>
    </font>
    <font>
      <b/>
      <sz val="9"/>
      <color theme="1"/>
      <name val="Garamond"/>
      <family val="1"/>
      <charset val="238"/>
    </font>
    <font>
      <b/>
      <i/>
      <sz val="12"/>
      <color theme="1"/>
      <name val="Garamond"/>
      <family val="1"/>
      <charset val="238"/>
    </font>
    <font>
      <i/>
      <sz val="12"/>
      <color theme="1"/>
      <name val="Garamond"/>
      <family val="1"/>
      <charset val="238"/>
    </font>
    <font>
      <sz val="11"/>
      <color rgb="FFFF0000"/>
      <name val="Calibri"/>
      <family val="2"/>
      <charset val="238"/>
      <scheme val="minor"/>
    </font>
    <font>
      <b/>
      <i/>
      <sz val="16"/>
      <color theme="1"/>
      <name val="Garamond"/>
      <family val="1"/>
      <charset val="238"/>
    </font>
    <font>
      <b/>
      <i/>
      <sz val="14"/>
      <color theme="1"/>
      <name val="Garamond"/>
      <family val="1"/>
      <charset val="238"/>
    </font>
    <font>
      <b/>
      <sz val="16"/>
      <color theme="1"/>
      <name val="Garamond"/>
      <family val="1"/>
      <charset val="238"/>
    </font>
    <font>
      <b/>
      <i/>
      <sz val="10"/>
      <name val="Times New Roman CE"/>
      <family val="1"/>
      <charset val="238"/>
    </font>
    <font>
      <b/>
      <sz val="11"/>
      <color indexed="8"/>
      <name val="Garamond"/>
      <family val="1"/>
      <charset val="238"/>
    </font>
    <font>
      <b/>
      <sz val="11"/>
      <color indexed="10"/>
      <name val="Garamond"/>
      <family val="1"/>
      <charset val="238"/>
    </font>
    <font>
      <sz val="11"/>
      <color indexed="8"/>
      <name val="Garamond"/>
      <family val="1"/>
      <charset val="238"/>
    </font>
    <font>
      <sz val="11"/>
      <color rgb="FFFF0000"/>
      <name val="Garamond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Arial CE"/>
      <charset val="238"/>
    </font>
    <font>
      <b/>
      <sz val="11"/>
      <name val="Garamond"/>
      <family val="1"/>
      <charset val="238"/>
    </font>
    <font>
      <b/>
      <sz val="11"/>
      <color rgb="FFFF0000"/>
      <name val="Garamond"/>
      <family val="1"/>
      <charset val="238"/>
    </font>
    <font>
      <b/>
      <u/>
      <sz val="11"/>
      <name val="Garamond"/>
      <family val="1"/>
      <charset val="238"/>
    </font>
    <font>
      <b/>
      <sz val="12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i/>
      <sz val="12"/>
      <name val="Garamond"/>
      <family val="1"/>
      <charset val="238"/>
    </font>
    <font>
      <sz val="14"/>
      <name val="Garamond"/>
      <family val="1"/>
      <charset val="238"/>
    </font>
    <font>
      <sz val="11"/>
      <color theme="1"/>
      <name val="Calibri"/>
      <family val="2"/>
      <scheme val="minor"/>
    </font>
    <font>
      <sz val="10"/>
      <color rgb="FFFF0000"/>
      <name val="Arial CE"/>
      <charset val="238"/>
    </font>
    <font>
      <sz val="14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6"/>
      <name val="Arial CE"/>
      <charset val="238"/>
    </font>
    <font>
      <b/>
      <sz val="1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99FF"/>
        <bgColor indexed="64"/>
      </patternFill>
    </fill>
  </fills>
  <borders count="2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2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2" applyNumberFormat="0" applyAlignment="0" applyProtection="0"/>
    <xf numFmtId="0" fontId="20" fillId="21" borderId="13" applyNumberFormat="0" applyAlignment="0" applyProtection="0"/>
    <xf numFmtId="0" fontId="21" fillId="0" borderId="0" applyNumberFormat="0" applyFill="0" applyBorder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7" fontId="23" fillId="0" borderId="0" applyFont="0" applyFill="0" applyAlignment="0" applyProtection="0"/>
    <xf numFmtId="167" fontId="23" fillId="0" borderId="0" applyFont="0" applyFill="0" applyAlignment="0" applyProtection="0"/>
    <xf numFmtId="168" fontId="23" fillId="0" borderId="0" applyFont="0" applyFill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4" fillId="0" borderId="0" applyFont="0" applyFill="0" applyBorder="0" applyAlignment="0" applyProtection="0"/>
    <xf numFmtId="167" fontId="25" fillId="0" borderId="0" applyFill="0" applyBorder="0" applyAlignment="0" applyProtection="0"/>
    <xf numFmtId="165" fontId="16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2" applyNumberFormat="0" applyAlignment="0" applyProtection="0"/>
    <xf numFmtId="0" fontId="31" fillId="0" borderId="17" applyNumberFormat="0" applyFill="0" applyAlignment="0" applyProtection="0"/>
    <xf numFmtId="0" fontId="32" fillId="22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0" fontId="16" fillId="0" borderId="0"/>
    <xf numFmtId="0" fontId="24" fillId="0" borderId="0"/>
    <xf numFmtId="0" fontId="22" fillId="0" borderId="0"/>
    <xf numFmtId="0" fontId="25" fillId="0" borderId="0"/>
    <xf numFmtId="0" fontId="25" fillId="0" borderId="0"/>
    <xf numFmtId="0" fontId="24" fillId="23" borderId="18" applyNumberFormat="0" applyFont="0" applyAlignment="0" applyProtection="0"/>
    <xf numFmtId="0" fontId="33" fillId="20" borderId="19" applyNumberFormat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0" applyNumberFormat="0" applyFill="0" applyAlignment="0" applyProtection="0"/>
    <xf numFmtId="0" fontId="36" fillId="0" borderId="0" applyNumberFormat="0" applyFill="0" applyBorder="0" applyAlignment="0" applyProtection="0"/>
    <xf numFmtId="0" fontId="55" fillId="0" borderId="0"/>
    <xf numFmtId="0" fontId="23" fillId="0" borderId="0"/>
    <xf numFmtId="9" fontId="16" fillId="0" borderId="0" applyFont="0" applyFill="0" applyBorder="0" applyAlignment="0" applyProtection="0"/>
    <xf numFmtId="0" fontId="24" fillId="0" borderId="0"/>
    <xf numFmtId="0" fontId="24" fillId="0" borderId="0"/>
    <xf numFmtId="0" fontId="80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165" fontId="16" fillId="0" borderId="0" applyFont="0" applyFill="0" applyBorder="0" applyAlignment="0" applyProtection="0"/>
    <xf numFmtId="0" fontId="24" fillId="0" borderId="0"/>
    <xf numFmtId="4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9" fillId="20" borderId="146" applyNumberFormat="0" applyAlignment="0" applyProtection="0"/>
    <xf numFmtId="165" fontId="23" fillId="0" borderId="0" applyFont="0" applyFill="0" applyBorder="0" applyAlignment="0" applyProtection="0"/>
    <xf numFmtId="175" fontId="25" fillId="0" borderId="0" applyFill="0" applyAlignment="0" applyProtection="0"/>
    <xf numFmtId="40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30" fillId="7" borderId="146" applyNumberFormat="0" applyAlignment="0" applyProtection="0"/>
    <xf numFmtId="0" fontId="25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131" fillId="0" borderId="0"/>
    <xf numFmtId="0" fontId="80" fillId="0" borderId="0"/>
    <xf numFmtId="0" fontId="24" fillId="23" borderId="147" applyNumberFormat="0" applyFont="0" applyAlignment="0" applyProtection="0"/>
    <xf numFmtId="0" fontId="24" fillId="23" borderId="147" applyNumberFormat="0" applyFont="0" applyAlignment="0" applyProtection="0"/>
    <xf numFmtId="0" fontId="33" fillId="20" borderId="148" applyNumberFormat="0" applyAlignment="0" applyProtection="0"/>
    <xf numFmtId="44" fontId="2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ill="0" applyBorder="0" applyAlignment="0" applyProtection="0"/>
    <xf numFmtId="9" fontId="16" fillId="0" borderId="0" applyFont="0" applyFill="0" applyBorder="0" applyAlignment="0" applyProtection="0"/>
    <xf numFmtId="0" fontId="35" fillId="0" borderId="149" applyNumberFormat="0" applyFill="0" applyAlignment="0" applyProtection="0"/>
    <xf numFmtId="0" fontId="23" fillId="0" borderId="0"/>
    <xf numFmtId="9" fontId="1" fillId="0" borderId="0" applyFont="0" applyFill="0" applyBorder="0" applyAlignment="0" applyProtection="0"/>
  </cellStyleXfs>
  <cellXfs count="1122">
    <xf numFmtId="0" fontId="0" fillId="0" borderId="0" xfId="0"/>
    <xf numFmtId="0" fontId="0" fillId="0" borderId="0" xfId="0" applyFill="1"/>
    <xf numFmtId="0" fontId="5" fillId="0" borderId="3" xfId="0" applyFont="1" applyFill="1" applyBorder="1" applyAlignment="1">
      <alignment horizontal="center"/>
    </xf>
    <xf numFmtId="0" fontId="7" fillId="0" borderId="0" xfId="0" applyFont="1" applyFill="1"/>
    <xf numFmtId="0" fontId="7" fillId="0" borderId="5" xfId="0" applyFont="1" applyFill="1" applyBorder="1" applyAlignment="1">
      <alignment horizontal="center"/>
    </xf>
    <xf numFmtId="166" fontId="4" fillId="0" borderId="6" xfId="2" applyNumberFormat="1" applyFont="1" applyFill="1" applyBorder="1" applyAlignment="1">
      <alignment horizontal="center" vertical="center"/>
    </xf>
    <xf numFmtId="166" fontId="4" fillId="0" borderId="7" xfId="2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/>
    <xf numFmtId="0" fontId="4" fillId="0" borderId="5" xfId="0" applyFont="1" applyFill="1" applyBorder="1" applyAlignment="1">
      <alignment horizontal="center"/>
    </xf>
    <xf numFmtId="0" fontId="4" fillId="0" borderId="0" xfId="0" applyFont="1" applyFill="1"/>
    <xf numFmtId="0" fontId="2" fillId="0" borderId="0" xfId="0" applyFont="1" applyFill="1"/>
    <xf numFmtId="166" fontId="9" fillId="0" borderId="6" xfId="2" applyNumberFormat="1" applyFont="1" applyFill="1" applyBorder="1" applyAlignment="1">
      <alignment horizontal="center" vertical="center"/>
    </xf>
    <xf numFmtId="0" fontId="38" fillId="0" borderId="0" xfId="0" applyFont="1" applyFill="1"/>
    <xf numFmtId="166" fontId="38" fillId="0" borderId="0" xfId="0" applyNumberFormat="1" applyFont="1" applyFill="1"/>
    <xf numFmtId="0" fontId="37" fillId="0" borderId="0" xfId="0" applyFont="1" applyFill="1"/>
    <xf numFmtId="167" fontId="2" fillId="0" borderId="0" xfId="1" applyNumberFormat="1" applyFont="1" applyFill="1"/>
    <xf numFmtId="0" fontId="39" fillId="0" borderId="0" xfId="0" applyFont="1" applyFill="1"/>
    <xf numFmtId="0" fontId="9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166" fontId="4" fillId="0" borderId="0" xfId="2" applyNumberFormat="1" applyFont="1" applyFill="1" applyBorder="1" applyAlignment="1">
      <alignment horizontal="center" vertical="center"/>
    </xf>
    <xf numFmtId="166" fontId="4" fillId="0" borderId="0" xfId="2" applyNumberFormat="1" applyFont="1" applyFill="1" applyBorder="1" applyAlignment="1">
      <alignment horizontal="left" vertical="center"/>
    </xf>
    <xf numFmtId="0" fontId="4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Font="1" applyFill="1"/>
    <xf numFmtId="0" fontId="42" fillId="0" borderId="0" xfId="0" applyFont="1" applyFill="1"/>
    <xf numFmtId="166" fontId="41" fillId="0" borderId="0" xfId="0" applyNumberFormat="1" applyFont="1" applyFill="1"/>
    <xf numFmtId="0" fontId="45" fillId="0" borderId="1" xfId="0" applyFont="1" applyFill="1" applyBorder="1" applyAlignment="1">
      <alignment horizontal="left" vertical="center" wrapText="1"/>
    </xf>
    <xf numFmtId="169" fontId="41" fillId="0" borderId="0" xfId="0" applyNumberFormat="1" applyFont="1" applyFill="1"/>
    <xf numFmtId="0" fontId="46" fillId="0" borderId="21" xfId="0" applyFont="1" applyFill="1" applyBorder="1" applyAlignment="1">
      <alignment vertical="center" wrapText="1"/>
    </xf>
    <xf numFmtId="0" fontId="41" fillId="0" borderId="1" xfId="0" applyFont="1" applyFill="1" applyBorder="1"/>
    <xf numFmtId="172" fontId="41" fillId="0" borderId="0" xfId="0" applyNumberFormat="1" applyFont="1" applyFill="1"/>
    <xf numFmtId="166" fontId="2" fillId="0" borderId="0" xfId="0" applyNumberFormat="1" applyFont="1" applyFill="1"/>
    <xf numFmtId="0" fontId="52" fillId="0" borderId="0" xfId="67" applyFont="1"/>
    <xf numFmtId="0" fontId="56" fillId="0" borderId="0" xfId="67" applyFont="1"/>
    <xf numFmtId="0" fontId="59" fillId="0" borderId="0" xfId="67" applyFont="1"/>
    <xf numFmtId="167" fontId="59" fillId="0" borderId="0" xfId="32" applyNumberFormat="1" applyFont="1"/>
    <xf numFmtId="167" fontId="59" fillId="0" borderId="0" xfId="32" applyNumberFormat="1" applyFont="1" applyAlignment="1">
      <alignment horizontal="center"/>
    </xf>
    <xf numFmtId="14" fontId="56" fillId="0" borderId="0" xfId="67" applyNumberFormat="1" applyFont="1" applyAlignment="1">
      <alignment horizontal="center"/>
    </xf>
    <xf numFmtId="0" fontId="56" fillId="0" borderId="0" xfId="68" applyFont="1" applyAlignment="1">
      <alignment horizontal="center" vertical="center"/>
    </xf>
    <xf numFmtId="167" fontId="56" fillId="0" borderId="0" xfId="32" applyNumberFormat="1" applyFont="1" applyFill="1" applyBorder="1" applyAlignment="1">
      <alignment horizontal="center" vertical="center"/>
    </xf>
    <xf numFmtId="167" fontId="56" fillId="0" borderId="0" xfId="32" applyNumberFormat="1" applyFont="1" applyBorder="1"/>
    <xf numFmtId="167" fontId="56" fillId="0" borderId="0" xfId="32" applyNumberFormat="1" applyFont="1" applyBorder="1" applyAlignment="1">
      <alignment horizontal="center"/>
    </xf>
    <xf numFmtId="167" fontId="61" fillId="0" borderId="0" xfId="32" applyNumberFormat="1" applyFont="1" applyFill="1" applyBorder="1" applyAlignment="1">
      <alignment horizontal="center"/>
    </xf>
    <xf numFmtId="167" fontId="56" fillId="0" borderId="0" xfId="32" applyNumberFormat="1" applyFont="1" applyFill="1" applyBorder="1"/>
    <xf numFmtId="167" fontId="52" fillId="0" borderId="0" xfId="32" applyNumberFormat="1" applyFont="1"/>
    <xf numFmtId="167" fontId="52" fillId="0" borderId="0" xfId="32" applyNumberFormat="1" applyFont="1" applyAlignment="1">
      <alignment horizontal="center"/>
    </xf>
    <xf numFmtId="14" fontId="52" fillId="0" borderId="0" xfId="67" applyNumberFormat="1" applyFont="1" applyAlignment="1">
      <alignment horizontal="center"/>
    </xf>
    <xf numFmtId="166" fontId="66" fillId="0" borderId="1" xfId="59" applyNumberFormat="1" applyFont="1" applyFill="1" applyBorder="1" applyAlignment="1">
      <alignment horizontal="center" vertical="center"/>
    </xf>
    <xf numFmtId="166" fontId="69" fillId="0" borderId="1" xfId="59" applyNumberFormat="1" applyFont="1" applyFill="1" applyBorder="1" applyAlignment="1">
      <alignment horizontal="center" vertical="center"/>
    </xf>
    <xf numFmtId="166" fontId="66" fillId="0" borderId="0" xfId="59" applyNumberFormat="1" applyFont="1" applyFill="1" applyBorder="1" applyAlignment="1">
      <alignment horizontal="center" vertical="center"/>
    </xf>
    <xf numFmtId="0" fontId="74" fillId="26" borderId="30" xfId="49" applyFont="1" applyFill="1" applyBorder="1" applyAlignment="1">
      <alignment horizontal="center" vertical="center" wrapText="1"/>
    </xf>
    <xf numFmtId="166" fontId="75" fillId="27" borderId="31" xfId="59" applyNumberFormat="1" applyFont="1" applyFill="1" applyBorder="1" applyAlignment="1">
      <alignment vertical="center"/>
    </xf>
    <xf numFmtId="166" fontId="75" fillId="27" borderId="31" xfId="59" applyNumberFormat="1" applyFont="1" applyFill="1" applyBorder="1" applyAlignment="1">
      <alignment horizontal="center" vertical="center"/>
    </xf>
    <xf numFmtId="166" fontId="76" fillId="0" borderId="0" xfId="59" applyNumberFormat="1" applyFont="1" applyFill="1" applyBorder="1" applyAlignment="1">
      <alignment vertical="center" wrapText="1"/>
    </xf>
    <xf numFmtId="0" fontId="0" fillId="28" borderId="0" xfId="0" applyFill="1"/>
    <xf numFmtId="0" fontId="24" fillId="0" borderId="0" xfId="71"/>
    <xf numFmtId="0" fontId="0" fillId="0" borderId="0" xfId="0" applyAlignment="1">
      <alignment horizontal="center" vertical="center"/>
    </xf>
    <xf numFmtId="0" fontId="24" fillId="0" borderId="0" xfId="75"/>
    <xf numFmtId="0" fontId="45" fillId="0" borderId="0" xfId="0" applyFont="1" applyFill="1"/>
    <xf numFmtId="172" fontId="45" fillId="0" borderId="0" xfId="0" applyNumberFormat="1" applyFont="1" applyFill="1"/>
    <xf numFmtId="0" fontId="99" fillId="0" borderId="0" xfId="0" applyFont="1" applyFill="1"/>
    <xf numFmtId="0" fontId="44" fillId="0" borderId="1" xfId="0" applyFont="1" applyFill="1" applyBorder="1" applyAlignment="1">
      <alignment horizontal="center" vertical="center" wrapText="1"/>
    </xf>
    <xf numFmtId="42" fontId="56" fillId="0" borderId="0" xfId="32" applyNumberFormat="1" applyFont="1" applyFill="1" applyBorder="1" applyAlignment="1">
      <alignment horizontal="center"/>
    </xf>
    <xf numFmtId="166" fontId="76" fillId="0" borderId="1" xfId="2" applyNumberFormat="1" applyFont="1" applyFill="1" applyBorder="1" applyAlignment="1">
      <alignment horizontal="center" vertical="center"/>
    </xf>
    <xf numFmtId="166" fontId="9" fillId="28" borderId="11" xfId="2" applyNumberFormat="1" applyFont="1" applyFill="1" applyBorder="1" applyAlignment="1">
      <alignment horizontal="center" vertical="center"/>
    </xf>
    <xf numFmtId="166" fontId="4" fillId="28" borderId="0" xfId="2" applyNumberFormat="1" applyFont="1" applyFill="1" applyBorder="1" applyAlignment="1">
      <alignment horizontal="center" vertical="center"/>
    </xf>
    <xf numFmtId="0" fontId="41" fillId="30" borderId="0" xfId="0" applyFont="1" applyFill="1"/>
    <xf numFmtId="0" fontId="42" fillId="30" borderId="0" xfId="0" applyFont="1" applyFill="1"/>
    <xf numFmtId="0" fontId="45" fillId="30" borderId="0" xfId="0" applyFont="1" applyFill="1"/>
    <xf numFmtId="0" fontId="0" fillId="30" borderId="0" xfId="0" applyFill="1"/>
    <xf numFmtId="0" fontId="45" fillId="0" borderId="1" xfId="0" applyFont="1" applyFill="1" applyBorder="1" applyAlignment="1">
      <alignment vertical="center" wrapText="1"/>
    </xf>
    <xf numFmtId="0" fontId="41" fillId="30" borderId="0" xfId="0" applyFont="1" applyFill="1" applyBorder="1"/>
    <xf numFmtId="0" fontId="42" fillId="30" borderId="0" xfId="0" applyFont="1" applyFill="1" applyBorder="1"/>
    <xf numFmtId="0" fontId="45" fillId="30" borderId="0" xfId="0" applyFont="1" applyFill="1" applyBorder="1"/>
    <xf numFmtId="0" fontId="0" fillId="30" borderId="0" xfId="0" applyFill="1" applyBorder="1"/>
    <xf numFmtId="0" fontId="46" fillId="0" borderId="1" xfId="0" applyFont="1" applyFill="1" applyBorder="1" applyAlignment="1">
      <alignment vertical="center" wrapText="1"/>
    </xf>
    <xf numFmtId="0" fontId="48" fillId="28" borderId="0" xfId="0" applyFont="1" applyFill="1"/>
    <xf numFmtId="0" fontId="49" fillId="28" borderId="1" xfId="0" applyFont="1" applyFill="1" applyBorder="1" applyAlignment="1">
      <alignment horizontal="center" vertical="center" wrapText="1"/>
    </xf>
    <xf numFmtId="166" fontId="49" fillId="28" borderId="1" xfId="2" applyNumberFormat="1" applyFont="1" applyFill="1" applyBorder="1" applyAlignment="1">
      <alignment horizontal="center" vertical="center" wrapText="1"/>
    </xf>
    <xf numFmtId="166" fontId="0" fillId="28" borderId="0" xfId="0" applyNumberFormat="1" applyFill="1"/>
    <xf numFmtId="166" fontId="0" fillId="28" borderId="0" xfId="2" applyNumberFormat="1" applyFont="1" applyFill="1"/>
    <xf numFmtId="0" fontId="53" fillId="0" borderId="0" xfId="0" applyFont="1"/>
    <xf numFmtId="0" fontId="48" fillId="0" borderId="0" xfId="0" applyFont="1"/>
    <xf numFmtId="0" fontId="99" fillId="28" borderId="0" xfId="0" applyFont="1" applyFill="1"/>
    <xf numFmtId="0" fontId="42" fillId="0" borderId="5" xfId="0" applyFont="1" applyFill="1" applyBorder="1" applyAlignment="1">
      <alignment horizontal="center"/>
    </xf>
    <xf numFmtId="0" fontId="0" fillId="0" borderId="0" xfId="0" applyFont="1" applyFill="1"/>
    <xf numFmtId="0" fontId="106" fillId="25" borderId="0" xfId="49" applyFont="1" applyFill="1" applyBorder="1" applyAlignment="1">
      <alignment vertical="center" wrapText="1"/>
    </xf>
    <xf numFmtId="0" fontId="94" fillId="0" borderId="0" xfId="49" applyFont="1" applyAlignment="1">
      <alignment wrapText="1"/>
    </xf>
    <xf numFmtId="0" fontId="95" fillId="0" borderId="0" xfId="49" applyFont="1" applyAlignment="1">
      <alignment horizontal="center" vertical="center" wrapText="1"/>
    </xf>
    <xf numFmtId="0" fontId="94" fillId="0" borderId="28" xfId="49" applyFont="1" applyBorder="1" applyAlignment="1">
      <alignment wrapText="1"/>
    </xf>
    <xf numFmtId="0" fontId="94" fillId="0" borderId="28" xfId="49" applyFont="1" applyBorder="1" applyAlignment="1">
      <alignment horizontal="right" wrapText="1"/>
    </xf>
    <xf numFmtId="0" fontId="106" fillId="0" borderId="8" xfId="49" applyFont="1" applyBorder="1" applyAlignment="1">
      <alignment horizontal="center" vertical="center" wrapText="1"/>
    </xf>
    <xf numFmtId="0" fontId="106" fillId="0" borderId="26" xfId="49" applyFont="1" applyBorder="1" applyAlignment="1">
      <alignment horizontal="center" vertical="center" wrapText="1"/>
    </xf>
    <xf numFmtId="0" fontId="95" fillId="0" borderId="1" xfId="49" applyFont="1" applyBorder="1" applyAlignment="1">
      <alignment horizontal="center" vertical="center" wrapText="1"/>
    </xf>
    <xf numFmtId="0" fontId="95" fillId="0" borderId="26" xfId="49" applyFont="1" applyBorder="1" applyAlignment="1">
      <alignment horizontal="center" vertical="center" wrapText="1"/>
    </xf>
    <xf numFmtId="0" fontId="94" fillId="0" borderId="1" xfId="49" applyFont="1" applyBorder="1" applyAlignment="1">
      <alignment horizontal="center" vertical="center" wrapText="1"/>
    </xf>
    <xf numFmtId="0" fontId="53" fillId="25" borderId="1" xfId="49" applyFont="1" applyFill="1" applyBorder="1" applyAlignment="1">
      <alignment horizontal="left" vertical="center" wrapText="1"/>
    </xf>
    <xf numFmtId="0" fontId="96" fillId="25" borderId="1" xfId="49" applyFont="1" applyFill="1" applyBorder="1" applyAlignment="1">
      <alignment horizontal="left" vertical="center" wrapText="1"/>
    </xf>
    <xf numFmtId="167" fontId="53" fillId="25" borderId="1" xfId="1" applyNumberFormat="1" applyFont="1" applyFill="1" applyBorder="1" applyAlignment="1">
      <alignment horizontal="right" vertical="center" wrapText="1"/>
    </xf>
    <xf numFmtId="167" fontId="53" fillId="0" borderId="1" xfId="1" applyNumberFormat="1" applyFont="1" applyBorder="1" applyAlignment="1">
      <alignment horizontal="right" vertical="center" wrapText="1"/>
    </xf>
    <xf numFmtId="3" fontId="53" fillId="0" borderId="26" xfId="49" applyNumberFormat="1" applyFont="1" applyBorder="1" applyAlignment="1">
      <alignment vertical="center" wrapText="1"/>
    </xf>
    <xf numFmtId="0" fontId="53" fillId="25" borderId="1" xfId="49" applyFont="1" applyFill="1" applyBorder="1" applyAlignment="1">
      <alignment vertical="center" wrapText="1"/>
    </xf>
    <xf numFmtId="0" fontId="96" fillId="25" borderId="1" xfId="49" applyFont="1" applyFill="1" applyBorder="1" applyAlignment="1">
      <alignment vertical="center" wrapText="1"/>
    </xf>
    <xf numFmtId="167" fontId="96" fillId="25" borderId="1" xfId="1" applyNumberFormat="1" applyFont="1" applyFill="1" applyBorder="1" applyAlignment="1">
      <alignment horizontal="right" vertical="center" wrapText="1"/>
    </xf>
    <xf numFmtId="3" fontId="96" fillId="0" borderId="26" xfId="49" applyNumberFormat="1" applyFont="1" applyBorder="1" applyAlignment="1">
      <alignment vertical="center" wrapText="1"/>
    </xf>
    <xf numFmtId="0" fontId="95" fillId="0" borderId="0" xfId="49" applyFont="1" applyAlignment="1">
      <alignment wrapText="1"/>
    </xf>
    <xf numFmtId="0" fontId="53" fillId="25" borderId="1" xfId="73" applyFont="1" applyFill="1" applyBorder="1" applyAlignment="1">
      <alignment horizontal="left" vertical="center" wrapText="1"/>
    </xf>
    <xf numFmtId="0" fontId="108" fillId="25" borderId="1" xfId="73" applyFont="1" applyFill="1" applyBorder="1" applyAlignment="1">
      <alignment horizontal="left" vertical="center" wrapText="1"/>
    </xf>
    <xf numFmtId="167" fontId="109" fillId="25" borderId="1" xfId="1" applyNumberFormat="1" applyFont="1" applyFill="1" applyBorder="1" applyAlignment="1">
      <alignment horizontal="right" vertical="center" wrapText="1"/>
    </xf>
    <xf numFmtId="0" fontId="108" fillId="25" borderId="1" xfId="49" applyFont="1" applyFill="1" applyBorder="1" applyAlignment="1">
      <alignment horizontal="left" vertical="center" wrapText="1"/>
    </xf>
    <xf numFmtId="0" fontId="96" fillId="29" borderId="1" xfId="49" applyFont="1" applyFill="1" applyBorder="1" applyAlignment="1">
      <alignment horizontal="left" vertical="center" wrapText="1"/>
    </xf>
    <xf numFmtId="0" fontId="96" fillId="24" borderId="1" xfId="49" applyFont="1" applyFill="1" applyBorder="1" applyAlignment="1">
      <alignment horizontal="left" wrapText="1"/>
    </xf>
    <xf numFmtId="167" fontId="96" fillId="24" borderId="1" xfId="1" applyNumberFormat="1" applyFont="1" applyFill="1" applyBorder="1" applyAlignment="1">
      <alignment horizontal="right" wrapText="1"/>
    </xf>
    <xf numFmtId="3" fontId="96" fillId="0" borderId="9" xfId="49" applyNumberFormat="1" applyFont="1" applyBorder="1" applyAlignment="1">
      <alignment vertical="center" wrapText="1"/>
    </xf>
    <xf numFmtId="0" fontId="96" fillId="24" borderId="1" xfId="49" applyFont="1" applyFill="1" applyBorder="1" applyAlignment="1">
      <alignment horizontal="left" vertical="center" wrapText="1"/>
    </xf>
    <xf numFmtId="167" fontId="96" fillId="24" borderId="1" xfId="1" applyNumberFormat="1" applyFont="1" applyFill="1" applyBorder="1" applyAlignment="1">
      <alignment horizontal="right" vertical="center" wrapText="1"/>
    </xf>
    <xf numFmtId="0" fontId="95" fillId="0" borderId="0" xfId="49" applyFont="1" applyBorder="1" applyAlignment="1">
      <alignment horizontal="center" vertical="center" wrapText="1"/>
    </xf>
    <xf numFmtId="167" fontId="53" fillId="0" borderId="0" xfId="49" applyNumberFormat="1" applyFont="1" applyFill="1" applyBorder="1" applyAlignment="1">
      <alignment horizontal="right" vertical="center"/>
    </xf>
    <xf numFmtId="0" fontId="53" fillId="0" borderId="0" xfId="49" applyFont="1" applyFill="1" applyBorder="1" applyAlignment="1">
      <alignment horizontal="right" vertical="center"/>
    </xf>
    <xf numFmtId="167" fontId="96" fillId="0" borderId="0" xfId="49" applyNumberFormat="1" applyFont="1" applyFill="1" applyBorder="1" applyAlignment="1">
      <alignment horizontal="right" vertical="center"/>
    </xf>
    <xf numFmtId="0" fontId="96" fillId="0" borderId="0" xfId="49" applyFont="1" applyFill="1" applyBorder="1" applyAlignment="1">
      <alignment horizontal="right" vertical="center"/>
    </xf>
    <xf numFmtId="0" fontId="53" fillId="0" borderId="0" xfId="49" applyFont="1" applyFill="1" applyBorder="1" applyAlignment="1">
      <alignment horizontal="right" vertical="center" wrapText="1"/>
    </xf>
    <xf numFmtId="0" fontId="95" fillId="0" borderId="0" xfId="49" applyFont="1" applyAlignment="1">
      <alignment horizontal="center" wrapText="1"/>
    </xf>
    <xf numFmtId="167" fontId="94" fillId="0" borderId="0" xfId="49" applyNumberFormat="1" applyFont="1" applyAlignment="1">
      <alignment wrapText="1"/>
    </xf>
    <xf numFmtId="0" fontId="67" fillId="0" borderId="0" xfId="49" applyFont="1"/>
    <xf numFmtId="166" fontId="44" fillId="0" borderId="50" xfId="2" applyNumberFormat="1" applyFont="1" applyFill="1" applyBorder="1" applyAlignment="1">
      <alignment horizontal="center" vertical="center" wrapText="1"/>
    </xf>
    <xf numFmtId="166" fontId="45" fillId="0" borderId="50" xfId="2" applyNumberFormat="1" applyFont="1" applyFill="1" applyBorder="1" applyAlignment="1">
      <alignment horizontal="center" vertical="center" wrapText="1"/>
    </xf>
    <xf numFmtId="169" fontId="45" fillId="0" borderId="50" xfId="0" applyNumberFormat="1" applyFont="1" applyFill="1" applyBorder="1" applyAlignment="1">
      <alignment wrapText="1"/>
    </xf>
    <xf numFmtId="166" fontId="45" fillId="0" borderId="50" xfId="2" applyNumberFormat="1" applyFont="1" applyFill="1" applyBorder="1" applyAlignment="1">
      <alignment vertical="center" wrapText="1"/>
    </xf>
    <xf numFmtId="166" fontId="44" fillId="0" borderId="34" xfId="2" applyNumberFormat="1" applyFont="1" applyFill="1" applyBorder="1" applyAlignment="1">
      <alignment horizontal="center" vertical="center" wrapText="1"/>
    </xf>
    <xf numFmtId="166" fontId="44" fillId="0" borderId="49" xfId="2" applyNumberFormat="1" applyFont="1" applyFill="1" applyBorder="1" applyAlignment="1">
      <alignment horizontal="center" vertical="center" wrapText="1"/>
    </xf>
    <xf numFmtId="0" fontId="46" fillId="0" borderId="49" xfId="0" applyFont="1" applyFill="1" applyBorder="1" applyAlignment="1">
      <alignment horizontal="left" vertical="center" wrapText="1"/>
    </xf>
    <xf numFmtId="166" fontId="45" fillId="0" borderId="49" xfId="2" applyNumberFormat="1" applyFont="1" applyFill="1" applyBorder="1" applyAlignment="1">
      <alignment horizontal="center" vertical="center" wrapText="1"/>
    </xf>
    <xf numFmtId="0" fontId="41" fillId="0" borderId="49" xfId="0" applyFont="1" applyFill="1" applyBorder="1"/>
    <xf numFmtId="166" fontId="46" fillId="0" borderId="49" xfId="2" applyNumberFormat="1" applyFont="1" applyFill="1" applyBorder="1" applyAlignment="1">
      <alignment vertical="center" wrapText="1"/>
    </xf>
    <xf numFmtId="170" fontId="46" fillId="0" borderId="49" xfId="2" applyNumberFormat="1" applyFont="1" applyFill="1" applyBorder="1" applyAlignment="1">
      <alignment vertical="center" wrapText="1"/>
    </xf>
    <xf numFmtId="171" fontId="46" fillId="0" borderId="49" xfId="2" applyNumberFormat="1" applyFont="1" applyFill="1" applyBorder="1" applyAlignment="1">
      <alignment vertical="center" wrapText="1"/>
    </xf>
    <xf numFmtId="166" fontId="41" fillId="0" borderId="49" xfId="2" applyNumberFormat="1" applyFont="1" applyFill="1" applyBorder="1"/>
    <xf numFmtId="166" fontId="41" fillId="0" borderId="49" xfId="2" applyNumberFormat="1" applyFont="1" applyFill="1" applyBorder="1" applyAlignment="1">
      <alignment horizontal="center" vertical="center" wrapText="1"/>
    </xf>
    <xf numFmtId="0" fontId="41" fillId="0" borderId="54" xfId="0" applyFont="1" applyFill="1" applyBorder="1"/>
    <xf numFmtId="0" fontId="41" fillId="0" borderId="53" xfId="0" applyFont="1" applyFill="1" applyBorder="1"/>
    <xf numFmtId="0" fontId="46" fillId="0" borderId="49" xfId="0" applyFont="1" applyFill="1" applyBorder="1" applyAlignment="1">
      <alignment vertical="center" wrapText="1"/>
    </xf>
    <xf numFmtId="0" fontId="41" fillId="0" borderId="9" xfId="0" applyFont="1" applyFill="1" applyBorder="1"/>
    <xf numFmtId="0" fontId="41" fillId="0" borderId="50" xfId="0" applyFont="1" applyFill="1" applyBorder="1"/>
    <xf numFmtId="0" fontId="46" fillId="0" borderId="52" xfId="0" applyFont="1" applyFill="1" applyBorder="1" applyAlignment="1">
      <alignment horizontal="left" vertical="center" wrapText="1"/>
    </xf>
    <xf numFmtId="0" fontId="41" fillId="30" borderId="27" xfId="0" applyFont="1" applyFill="1" applyBorder="1"/>
    <xf numFmtId="0" fontId="45" fillId="30" borderId="27" xfId="0" applyFont="1" applyFill="1" applyBorder="1"/>
    <xf numFmtId="166" fontId="49" fillId="28" borderId="50" xfId="2" applyNumberFormat="1" applyFont="1" applyFill="1" applyBorder="1" applyAlignment="1">
      <alignment horizontal="center" vertical="center" wrapText="1"/>
    </xf>
    <xf numFmtId="166" fontId="48" fillId="28" borderId="57" xfId="0" applyNumberFormat="1" applyFont="1" applyFill="1" applyBorder="1"/>
    <xf numFmtId="0" fontId="48" fillId="28" borderId="27" xfId="0" applyFont="1" applyFill="1" applyBorder="1"/>
    <xf numFmtId="0" fontId="48" fillId="28" borderId="0" xfId="0" applyFont="1" applyFill="1" applyBorder="1"/>
    <xf numFmtId="0" fontId="48" fillId="28" borderId="56" xfId="0" applyFont="1" applyFill="1" applyBorder="1"/>
    <xf numFmtId="0" fontId="41" fillId="0" borderId="1" xfId="0" applyFont="1" applyFill="1" applyBorder="1" applyAlignment="1">
      <alignment vertical="center"/>
    </xf>
    <xf numFmtId="166" fontId="45" fillId="0" borderId="50" xfId="2" applyNumberFormat="1" applyFont="1" applyFill="1" applyBorder="1" applyAlignment="1">
      <alignment vertical="center"/>
    </xf>
    <xf numFmtId="166" fontId="45" fillId="0" borderId="51" xfId="2" applyNumberFormat="1" applyFont="1" applyFill="1" applyBorder="1" applyAlignment="1">
      <alignment horizontal="center" vertical="center" wrapText="1"/>
    </xf>
    <xf numFmtId="166" fontId="45" fillId="0" borderId="51" xfId="2" applyNumberFormat="1" applyFont="1" applyFill="1" applyBorder="1" applyAlignment="1">
      <alignment vertical="center" wrapText="1"/>
    </xf>
    <xf numFmtId="170" fontId="45" fillId="0" borderId="51" xfId="2" applyNumberFormat="1" applyFont="1" applyFill="1" applyBorder="1" applyAlignment="1">
      <alignment vertical="center" wrapText="1"/>
    </xf>
    <xf numFmtId="166" fontId="45" fillId="0" borderId="49" xfId="2" applyNumberFormat="1" applyFont="1" applyFill="1" applyBorder="1" applyAlignment="1">
      <alignment vertical="center" wrapText="1"/>
    </xf>
    <xf numFmtId="171" fontId="45" fillId="0" borderId="51" xfId="2" applyNumberFormat="1" applyFont="1" applyFill="1" applyBorder="1" applyAlignment="1">
      <alignment vertical="center" wrapText="1"/>
    </xf>
    <xf numFmtId="0" fontId="51" fillId="28" borderId="49" xfId="0" applyFont="1" applyFill="1" applyBorder="1" applyAlignment="1">
      <alignment horizontal="center" vertical="center" wrapText="1"/>
    </xf>
    <xf numFmtId="0" fontId="43" fillId="0" borderId="49" xfId="0" applyFont="1" applyFill="1" applyBorder="1"/>
    <xf numFmtId="0" fontId="45" fillId="0" borderId="49" xfId="0" applyFont="1" applyFill="1" applyBorder="1"/>
    <xf numFmtId="166" fontId="44" fillId="0" borderId="49" xfId="2" applyNumberFormat="1" applyFont="1" applyFill="1" applyBorder="1"/>
    <xf numFmtId="0" fontId="48" fillId="28" borderId="55" xfId="0" applyFont="1" applyFill="1" applyBorder="1"/>
    <xf numFmtId="0" fontId="48" fillId="28" borderId="58" xfId="0" applyFont="1" applyFill="1" applyBorder="1"/>
    <xf numFmtId="166" fontId="110" fillId="24" borderId="0" xfId="2" applyNumberFormat="1" applyFont="1" applyFill="1"/>
    <xf numFmtId="166" fontId="0" fillId="24" borderId="0" xfId="2" applyNumberFormat="1" applyFont="1" applyFill="1"/>
    <xf numFmtId="0" fontId="0" fillId="32" borderId="0" xfId="0" applyFill="1"/>
    <xf numFmtId="166" fontId="110" fillId="30" borderId="0" xfId="2" applyNumberFormat="1" applyFont="1" applyFill="1"/>
    <xf numFmtId="0" fontId="42" fillId="28" borderId="0" xfId="0" applyFont="1" applyFill="1" applyAlignment="1">
      <alignment horizontal="center"/>
    </xf>
    <xf numFmtId="0" fontId="49" fillId="28" borderId="4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166" fontId="5" fillId="0" borderId="48" xfId="2" applyNumberFormat="1" applyFont="1" applyFill="1" applyBorder="1" applyAlignment="1">
      <alignment vertical="center" wrapText="1"/>
    </xf>
    <xf numFmtId="166" fontId="14" fillId="0" borderId="48" xfId="2" applyNumberFormat="1" applyFont="1" applyFill="1" applyBorder="1" applyAlignment="1">
      <alignment vertical="center" wrapText="1"/>
    </xf>
    <xf numFmtId="166" fontId="4" fillId="0" borderId="59" xfId="2" applyNumberFormat="1" applyFont="1" applyFill="1" applyBorder="1" applyAlignment="1">
      <alignment horizontal="center" vertical="center"/>
    </xf>
    <xf numFmtId="166" fontId="45" fillId="0" borderId="0" xfId="0" applyNumberFormat="1" applyFont="1" applyFill="1"/>
    <xf numFmtId="166" fontId="4" fillId="0" borderId="60" xfId="2" applyNumberFormat="1" applyFont="1" applyFill="1" applyBorder="1" applyAlignment="1">
      <alignment horizontal="center" vertical="center"/>
    </xf>
    <xf numFmtId="166" fontId="49" fillId="28" borderId="49" xfId="2" applyNumberFormat="1" applyFont="1" applyFill="1" applyBorder="1" applyAlignment="1">
      <alignment horizontal="center" vertical="center" wrapText="1"/>
    </xf>
    <xf numFmtId="166" fontId="106" fillId="33" borderId="49" xfId="0" applyNumberFormat="1" applyFont="1" applyFill="1" applyBorder="1"/>
    <xf numFmtId="166" fontId="106" fillId="28" borderId="0" xfId="0" applyNumberFormat="1" applyFont="1" applyFill="1"/>
    <xf numFmtId="177" fontId="23" fillId="28" borderId="0" xfId="49" applyNumberFormat="1" applyFill="1" applyAlignment="1">
      <alignment horizontal="center" vertical="center" wrapText="1"/>
    </xf>
    <xf numFmtId="177" fontId="23" fillId="28" borderId="0" xfId="49" applyNumberFormat="1" applyFill="1" applyAlignment="1">
      <alignment vertical="center" wrapText="1"/>
    </xf>
    <xf numFmtId="177" fontId="114" fillId="28" borderId="0" xfId="49" applyNumberFormat="1" applyFont="1" applyFill="1" applyAlignment="1">
      <alignment horizontal="right"/>
    </xf>
    <xf numFmtId="177" fontId="64" fillId="28" borderId="40" xfId="49" applyNumberFormat="1" applyFont="1" applyFill="1" applyBorder="1" applyAlignment="1">
      <alignment horizontal="center" vertical="center" wrapText="1"/>
    </xf>
    <xf numFmtId="177" fontId="63" fillId="28" borderId="40" xfId="49" applyNumberFormat="1" applyFont="1" applyFill="1" applyBorder="1" applyAlignment="1">
      <alignment vertical="center" wrapText="1"/>
    </xf>
    <xf numFmtId="0" fontId="23" fillId="28" borderId="0" xfId="49" applyFill="1"/>
    <xf numFmtId="0" fontId="80" fillId="28" borderId="0" xfId="72" applyFill="1"/>
    <xf numFmtId="0" fontId="81" fillId="28" borderId="0" xfId="72" applyFont="1" applyFill="1" applyAlignment="1">
      <alignment horizontal="right"/>
    </xf>
    <xf numFmtId="0" fontId="82" fillId="28" borderId="0" xfId="72" applyFont="1" applyFill="1" applyAlignment="1" applyProtection="1">
      <alignment vertical="center" wrapText="1"/>
      <protection locked="0"/>
    </xf>
    <xf numFmtId="0" fontId="82" fillId="28" borderId="0" xfId="72" applyFont="1" applyFill="1" applyAlignment="1" applyProtection="1">
      <alignment horizontal="center" vertical="top" wrapText="1"/>
      <protection locked="0"/>
    </xf>
    <xf numFmtId="0" fontId="80" fillId="28" borderId="0" xfId="72" applyFill="1" applyAlignment="1">
      <alignment horizontal="center"/>
    </xf>
    <xf numFmtId="166" fontId="80" fillId="28" borderId="0" xfId="72" applyNumberFormat="1" applyFill="1"/>
    <xf numFmtId="173" fontId="80" fillId="28" borderId="0" xfId="72" applyNumberFormat="1" applyFill="1"/>
    <xf numFmtId="166" fontId="90" fillId="28" borderId="48" xfId="2" applyNumberFormat="1" applyFont="1" applyFill="1" applyBorder="1" applyAlignment="1" applyProtection="1">
      <alignment horizontal="right" vertical="center"/>
      <protection locked="0"/>
    </xf>
    <xf numFmtId="166" fontId="90" fillId="28" borderId="48" xfId="2" applyNumberFormat="1" applyFont="1" applyFill="1" applyBorder="1" applyAlignment="1">
      <alignment vertical="center"/>
    </xf>
    <xf numFmtId="174" fontId="90" fillId="28" borderId="0" xfId="36" applyNumberFormat="1" applyFont="1" applyFill="1" applyBorder="1" applyAlignment="1">
      <alignment vertical="center"/>
    </xf>
    <xf numFmtId="0" fontId="80" fillId="28" borderId="65" xfId="72" applyFill="1" applyBorder="1" applyAlignment="1">
      <alignment horizontal="center" vertical="center"/>
    </xf>
    <xf numFmtId="0" fontId="88" fillId="28" borderId="66" xfId="72" applyFont="1" applyFill="1" applyBorder="1" applyAlignment="1">
      <alignment horizontal="left" vertical="center" wrapText="1" indent="5"/>
    </xf>
    <xf numFmtId="0" fontId="80" fillId="28" borderId="2" xfId="72" applyFill="1" applyBorder="1" applyAlignment="1">
      <alignment horizontal="center" vertical="center"/>
    </xf>
    <xf numFmtId="166" fontId="90" fillId="28" borderId="3" xfId="2" applyNumberFormat="1" applyFont="1" applyFill="1" applyBorder="1" applyAlignment="1" applyProtection="1">
      <alignment horizontal="right" vertical="center"/>
      <protection locked="0"/>
    </xf>
    <xf numFmtId="166" fontId="90" fillId="28" borderId="3" xfId="2" applyNumberFormat="1" applyFont="1" applyFill="1" applyBorder="1" applyAlignment="1">
      <alignment vertical="center"/>
    </xf>
    <xf numFmtId="166" fontId="90" fillId="28" borderId="67" xfId="2" applyNumberFormat="1" applyFont="1" applyFill="1" applyBorder="1" applyAlignment="1">
      <alignment vertical="center"/>
    </xf>
    <xf numFmtId="166" fontId="90" fillId="28" borderId="4" xfId="2" applyNumberFormat="1" applyFont="1" applyFill="1" applyBorder="1" applyAlignment="1">
      <alignment vertical="center"/>
    </xf>
    <xf numFmtId="174" fontId="91" fillId="28" borderId="0" xfId="36" applyNumberFormat="1" applyFont="1" applyFill="1" applyBorder="1" applyAlignment="1">
      <alignment vertical="center"/>
    </xf>
    <xf numFmtId="166" fontId="90" fillId="28" borderId="68" xfId="2" applyNumberFormat="1" applyFont="1" applyFill="1" applyBorder="1" applyAlignment="1">
      <alignment vertical="center"/>
    </xf>
    <xf numFmtId="166" fontId="90" fillId="28" borderId="69" xfId="2" applyNumberFormat="1" applyFont="1" applyFill="1" applyBorder="1" applyAlignment="1">
      <alignment vertical="center"/>
    </xf>
    <xf numFmtId="166" fontId="90" fillId="28" borderId="59" xfId="2" applyNumberFormat="1" applyFont="1" applyFill="1" applyBorder="1" applyAlignment="1">
      <alignment vertical="center"/>
    </xf>
    <xf numFmtId="0" fontId="80" fillId="28" borderId="33" xfId="72" applyFill="1" applyBorder="1" applyAlignment="1" applyProtection="1">
      <alignment horizontal="left" vertical="center" wrapText="1" indent="1"/>
      <protection locked="0"/>
    </xf>
    <xf numFmtId="166" fontId="87" fillId="28" borderId="33" xfId="2" applyNumberFormat="1" applyFont="1" applyFill="1" applyBorder="1" applyAlignment="1" applyProtection="1">
      <alignment horizontal="right" vertical="center"/>
    </xf>
    <xf numFmtId="174" fontId="92" fillId="28" borderId="0" xfId="36" applyNumberFormat="1" applyFont="1" applyFill="1" applyBorder="1" applyAlignment="1">
      <alignment vertical="center"/>
    </xf>
    <xf numFmtId="166" fontId="80" fillId="28" borderId="48" xfId="2" applyNumberFormat="1" applyFont="1" applyFill="1" applyBorder="1"/>
    <xf numFmtId="0" fontId="88" fillId="28" borderId="59" xfId="72" applyFont="1" applyFill="1" applyBorder="1" applyAlignment="1">
      <alignment horizontal="left" vertical="center" wrapText="1" indent="5"/>
    </xf>
    <xf numFmtId="166" fontId="80" fillId="28" borderId="59" xfId="2" applyNumberFormat="1" applyFont="1" applyFill="1" applyBorder="1"/>
    <xf numFmtId="166" fontId="93" fillId="28" borderId="0" xfId="2" applyNumberFormat="1" applyFont="1" applyFill="1"/>
    <xf numFmtId="166" fontId="80" fillId="28" borderId="0" xfId="2" applyNumberFormat="1" applyFont="1" applyFill="1"/>
    <xf numFmtId="174" fontId="80" fillId="28" borderId="0" xfId="72" applyNumberFormat="1" applyFill="1"/>
    <xf numFmtId="44" fontId="80" fillId="28" borderId="0" xfId="2" applyFont="1" applyFill="1"/>
    <xf numFmtId="167" fontId="93" fillId="28" borderId="0" xfId="72" applyNumberFormat="1" applyFont="1" applyFill="1"/>
    <xf numFmtId="167" fontId="80" fillId="28" borderId="0" xfId="72" applyNumberFormat="1" applyFill="1"/>
    <xf numFmtId="0" fontId="53" fillId="25" borderId="49" xfId="49" applyFont="1" applyFill="1" applyBorder="1" applyAlignment="1">
      <alignment horizontal="left" vertical="center" wrapText="1"/>
    </xf>
    <xf numFmtId="167" fontId="53" fillId="25" borderId="49" xfId="1" applyNumberFormat="1" applyFont="1" applyFill="1" applyBorder="1" applyAlignment="1">
      <alignment horizontal="right" vertical="center" wrapText="1"/>
    </xf>
    <xf numFmtId="167" fontId="53" fillId="0" borderId="49" xfId="1" applyNumberFormat="1" applyFont="1" applyBorder="1" applyAlignment="1">
      <alignment horizontal="right" vertical="center" wrapText="1"/>
    </xf>
    <xf numFmtId="3" fontId="53" fillId="0" borderId="57" xfId="49" applyNumberFormat="1" applyFont="1" applyBorder="1" applyAlignment="1">
      <alignment vertical="center" wrapText="1"/>
    </xf>
    <xf numFmtId="0" fontId="96" fillId="25" borderId="49" xfId="49" applyFont="1" applyFill="1" applyBorder="1" applyAlignment="1">
      <alignment horizontal="left" vertical="center" wrapText="1"/>
    </xf>
    <xf numFmtId="0" fontId="108" fillId="25" borderId="49" xfId="49" applyFont="1" applyFill="1" applyBorder="1" applyAlignment="1">
      <alignment horizontal="left" vertical="center" wrapText="1"/>
    </xf>
    <xf numFmtId="167" fontId="109" fillId="25" borderId="49" xfId="1" applyNumberFormat="1" applyFont="1" applyFill="1" applyBorder="1" applyAlignment="1">
      <alignment horizontal="right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2" fillId="28" borderId="0" xfId="0" applyFont="1" applyFill="1" applyAlignment="1">
      <alignment horizontal="center"/>
    </xf>
    <xf numFmtId="0" fontId="23" fillId="0" borderId="0" xfId="49"/>
    <xf numFmtId="0" fontId="115" fillId="0" borderId="0" xfId="74" applyFont="1" applyAlignment="1">
      <alignment vertical="center" wrapText="1"/>
    </xf>
    <xf numFmtId="0" fontId="116" fillId="0" borderId="0" xfId="74" applyFont="1" applyAlignment="1">
      <alignment vertical="center" wrapText="1"/>
    </xf>
    <xf numFmtId="0" fontId="115" fillId="0" borderId="1" xfId="74" applyFont="1" applyBorder="1" applyAlignment="1">
      <alignment horizontal="center" vertical="center" wrapText="1"/>
    </xf>
    <xf numFmtId="0" fontId="115" fillId="0" borderId="1" xfId="74" applyFont="1" applyBorder="1" applyAlignment="1">
      <alignment vertical="center" wrapText="1"/>
    </xf>
    <xf numFmtId="0" fontId="117" fillId="0" borderId="1" xfId="74" applyFont="1" applyFill="1" applyBorder="1" applyAlignment="1">
      <alignment vertical="center" wrapText="1"/>
    </xf>
    <xf numFmtId="0" fontId="23" fillId="24" borderId="0" xfId="49" applyFill="1"/>
    <xf numFmtId="0" fontId="117" fillId="28" borderId="1" xfId="74" applyFont="1" applyFill="1" applyBorder="1" applyAlignment="1">
      <alignment vertical="center" wrapText="1"/>
    </xf>
    <xf numFmtId="0" fontId="115" fillId="0" borderId="1" xfId="74" applyFont="1" applyFill="1" applyBorder="1" applyAlignment="1">
      <alignment vertical="center" wrapText="1"/>
    </xf>
    <xf numFmtId="0" fontId="117" fillId="0" borderId="1" xfId="74" applyFont="1" applyBorder="1" applyAlignment="1">
      <alignment vertical="center" wrapText="1"/>
    </xf>
    <xf numFmtId="3" fontId="23" fillId="0" borderId="0" xfId="49" applyNumberFormat="1"/>
    <xf numFmtId="0" fontId="23" fillId="0" borderId="0" xfId="49" applyFill="1"/>
    <xf numFmtId="0" fontId="117" fillId="0" borderId="0" xfId="74" applyFont="1" applyAlignment="1">
      <alignment vertical="center" wrapText="1"/>
    </xf>
    <xf numFmtId="3" fontId="117" fillId="0" borderId="0" xfId="74" applyNumberFormat="1" applyFont="1" applyAlignment="1">
      <alignment vertical="center" wrapText="1"/>
    </xf>
    <xf numFmtId="3" fontId="115" fillId="0" borderId="0" xfId="74" applyNumberFormat="1" applyFont="1" applyAlignment="1">
      <alignment vertical="center" wrapText="1"/>
    </xf>
    <xf numFmtId="3" fontId="117" fillId="0" borderId="25" xfId="74" applyNumberFormat="1" applyFont="1" applyBorder="1" applyAlignment="1">
      <alignment vertical="center" wrapText="1"/>
    </xf>
    <xf numFmtId="0" fontId="117" fillId="0" borderId="70" xfId="74" applyFont="1" applyBorder="1" applyAlignment="1">
      <alignment vertical="center" wrapText="1"/>
    </xf>
    <xf numFmtId="3" fontId="117" fillId="0" borderId="23" xfId="74" applyNumberFormat="1" applyFont="1" applyBorder="1" applyAlignment="1">
      <alignment vertical="center" wrapText="1"/>
    </xf>
    <xf numFmtId="3" fontId="117" fillId="0" borderId="70" xfId="74" applyNumberFormat="1" applyFont="1" applyBorder="1" applyAlignment="1">
      <alignment vertical="center" wrapText="1"/>
    </xf>
    <xf numFmtId="3" fontId="117" fillId="0" borderId="0" xfId="74" applyNumberFormat="1" applyFont="1" applyBorder="1" applyAlignment="1">
      <alignment vertical="center" wrapText="1"/>
    </xf>
    <xf numFmtId="3" fontId="117" fillId="0" borderId="27" xfId="74" applyNumberFormat="1" applyFont="1" applyBorder="1" applyAlignment="1">
      <alignment vertical="center" wrapText="1"/>
    </xf>
    <xf numFmtId="3" fontId="117" fillId="0" borderId="56" xfId="74" applyNumberFormat="1" applyFont="1" applyBorder="1" applyAlignment="1">
      <alignment vertical="center" wrapText="1"/>
    </xf>
    <xf numFmtId="0" fontId="117" fillId="0" borderId="56" xfId="74" applyFont="1" applyBorder="1" applyAlignment="1">
      <alignment vertical="center" wrapText="1"/>
    </xf>
    <xf numFmtId="3" fontId="117" fillId="0" borderId="34" xfId="74" applyNumberFormat="1" applyFont="1" applyBorder="1" applyAlignment="1">
      <alignment vertical="center" wrapText="1"/>
    </xf>
    <xf numFmtId="3" fontId="117" fillId="0" borderId="35" xfId="74" applyNumberFormat="1" applyFont="1" applyBorder="1" applyAlignment="1">
      <alignment vertical="center" wrapText="1"/>
    </xf>
    <xf numFmtId="0" fontId="115" fillId="0" borderId="56" xfId="74" applyFont="1" applyBorder="1" applyAlignment="1">
      <alignment vertical="center" wrapText="1"/>
    </xf>
    <xf numFmtId="0" fontId="117" fillId="0" borderId="34" xfId="74" applyFont="1" applyBorder="1" applyAlignment="1">
      <alignment vertical="center" wrapText="1"/>
    </xf>
    <xf numFmtId="166" fontId="4" fillId="28" borderId="7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6" fontId="44" fillId="0" borderId="1" xfId="0" applyNumberFormat="1" applyFont="1" applyFill="1" applyBorder="1" applyAlignment="1">
      <alignment horizontal="right" vertical="center" wrapText="1"/>
    </xf>
    <xf numFmtId="166" fontId="4" fillId="0" borderId="1" xfId="0" applyNumberFormat="1" applyFont="1" applyFill="1" applyBorder="1" applyAlignment="1">
      <alignment horizontal="right" vertical="center" wrapText="1"/>
    </xf>
    <xf numFmtId="166" fontId="44" fillId="0" borderId="71" xfId="2" applyNumberFormat="1" applyFont="1" applyFill="1" applyBorder="1" applyAlignment="1">
      <alignment horizontal="center" vertical="center" wrapText="1"/>
    </xf>
    <xf numFmtId="0" fontId="120" fillId="0" borderId="0" xfId="0" applyFont="1" applyAlignment="1">
      <alignment horizontal="left" indent="2"/>
    </xf>
    <xf numFmtId="0" fontId="120" fillId="0" borderId="0" xfId="0" applyFont="1"/>
    <xf numFmtId="0" fontId="54" fillId="0" borderId="37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42" fontId="0" fillId="0" borderId="62" xfId="0" applyNumberFormat="1" applyBorder="1" applyAlignment="1">
      <alignment horizontal="center" vertical="center"/>
    </xf>
    <xf numFmtId="42" fontId="0" fillId="0" borderId="63" xfId="0" applyNumberFormat="1" applyBorder="1" applyAlignment="1">
      <alignment horizontal="center" vertical="center"/>
    </xf>
    <xf numFmtId="0" fontId="54" fillId="0" borderId="37" xfId="0" applyFont="1" applyBorder="1" applyAlignment="1">
      <alignment horizontal="right" vertical="center" wrapText="1"/>
    </xf>
    <xf numFmtId="0" fontId="0" fillId="0" borderId="38" xfId="0" applyBorder="1"/>
    <xf numFmtId="42" fontId="0" fillId="0" borderId="40" xfId="0" applyNumberForma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42" fontId="0" fillId="0" borderId="81" xfId="0" applyNumberFormat="1" applyBorder="1" applyAlignment="1">
      <alignment horizontal="center" vertical="center"/>
    </xf>
    <xf numFmtId="42" fontId="0" fillId="0" borderId="0" xfId="0" applyNumberFormat="1" applyAlignment="1">
      <alignment horizontal="center" vertical="center"/>
    </xf>
    <xf numFmtId="42" fontId="0" fillId="0" borderId="0" xfId="0" applyNumberFormat="1"/>
    <xf numFmtId="169" fontId="0" fillId="0" borderId="0" xfId="0" applyNumberFormat="1"/>
    <xf numFmtId="0" fontId="52" fillId="0" borderId="0" xfId="75" applyFont="1"/>
    <xf numFmtId="0" fontId="59" fillId="0" borderId="0" xfId="75" applyFont="1"/>
    <xf numFmtId="169" fontId="0" fillId="0" borderId="40" xfId="0" applyNumberFormat="1" applyBorder="1" applyAlignment="1">
      <alignment vertical="center"/>
    </xf>
    <xf numFmtId="169" fontId="54" fillId="0" borderId="85" xfId="0" applyNumberFormat="1" applyFont="1" applyBorder="1" applyAlignment="1">
      <alignment vertical="center"/>
    </xf>
    <xf numFmtId="166" fontId="11" fillId="0" borderId="48" xfId="2" applyNumberFormat="1" applyFont="1" applyFill="1" applyBorder="1" applyAlignment="1">
      <alignment vertical="center" wrapText="1"/>
    </xf>
    <xf numFmtId="166" fontId="4" fillId="0" borderId="48" xfId="2" applyNumberFormat="1" applyFont="1" applyFill="1" applyBorder="1" applyAlignment="1">
      <alignment vertical="center"/>
    </xf>
    <xf numFmtId="166" fontId="44" fillId="28" borderId="48" xfId="2" applyNumberFormat="1" applyFont="1" applyFill="1" applyBorder="1" applyAlignment="1">
      <alignment vertical="center"/>
    </xf>
    <xf numFmtId="166" fontId="45" fillId="0" borderId="59" xfId="2" applyNumberFormat="1" applyFont="1" applyFill="1" applyBorder="1" applyAlignment="1">
      <alignment vertical="center"/>
    </xf>
    <xf numFmtId="166" fontId="5" fillId="0" borderId="68" xfId="2" applyNumberFormat="1" applyFont="1" applyFill="1" applyBorder="1" applyAlignment="1">
      <alignment vertical="center" wrapText="1"/>
    </xf>
    <xf numFmtId="166" fontId="11" fillId="0" borderId="68" xfId="2" applyNumberFormat="1" applyFont="1" applyFill="1" applyBorder="1" applyAlignment="1">
      <alignment vertical="center" wrapText="1"/>
    </xf>
    <xf numFmtId="166" fontId="14" fillId="0" borderId="68" xfId="2" applyNumberFormat="1" applyFont="1" applyFill="1" applyBorder="1" applyAlignment="1">
      <alignment vertical="center" wrapText="1"/>
    </xf>
    <xf numFmtId="166" fontId="4" fillId="0" borderId="68" xfId="2" applyNumberFormat="1" applyFont="1" applyFill="1" applyBorder="1" applyAlignment="1">
      <alignment vertical="center"/>
    </xf>
    <xf numFmtId="166" fontId="44" fillId="28" borderId="68" xfId="2" applyNumberFormat="1" applyFont="1" applyFill="1" applyBorder="1" applyAlignment="1">
      <alignment vertical="center"/>
    </xf>
    <xf numFmtId="166" fontId="6" fillId="0" borderId="94" xfId="2" applyNumberFormat="1" applyFont="1" applyFill="1" applyBorder="1" applyAlignment="1">
      <alignment horizontal="center" vertical="center"/>
    </xf>
    <xf numFmtId="166" fontId="12" fillId="0" borderId="94" xfId="2" applyNumberFormat="1" applyFont="1" applyFill="1" applyBorder="1" applyAlignment="1">
      <alignment horizontal="center" vertical="center"/>
    </xf>
    <xf numFmtId="166" fontId="57" fillId="28" borderId="94" xfId="2" applyNumberFormat="1" applyFont="1" applyFill="1" applyBorder="1" applyAlignment="1">
      <alignment horizontal="center" vertical="center"/>
    </xf>
    <xf numFmtId="166" fontId="6" fillId="0" borderId="95" xfId="2" applyNumberFormat="1" applyFont="1" applyFill="1" applyBorder="1" applyAlignment="1">
      <alignment horizontal="center" vertical="center"/>
    </xf>
    <xf numFmtId="166" fontId="5" fillId="0" borderId="33" xfId="2" applyNumberFormat="1" applyFont="1" applyFill="1" applyBorder="1" applyAlignment="1">
      <alignment vertical="center" wrapText="1"/>
    </xf>
    <xf numFmtId="166" fontId="5" fillId="0" borderId="96" xfId="2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42" fontId="0" fillId="0" borderId="97" xfId="0" applyNumberFormat="1" applyBorder="1" applyAlignment="1">
      <alignment horizontal="center" vertical="center"/>
    </xf>
    <xf numFmtId="169" fontId="54" fillId="0" borderId="85" xfId="0" applyNumberFormat="1" applyFont="1" applyBorder="1" applyAlignment="1">
      <alignment horizontal="right" vertical="center"/>
    </xf>
    <xf numFmtId="169" fontId="54" fillId="0" borderId="87" xfId="0" applyNumberFormat="1" applyFont="1" applyBorder="1" applyAlignment="1">
      <alignment vertical="center"/>
    </xf>
    <xf numFmtId="0" fontId="5" fillId="0" borderId="59" xfId="0" applyFont="1" applyFill="1" applyBorder="1" applyAlignment="1">
      <alignment horizontal="center" vertical="center" wrapText="1"/>
    </xf>
    <xf numFmtId="0" fontId="45" fillId="0" borderId="71" xfId="0" applyFont="1" applyFill="1" applyBorder="1" applyAlignment="1">
      <alignment horizontal="left" vertical="center" wrapText="1"/>
    </xf>
    <xf numFmtId="179" fontId="0" fillId="28" borderId="0" xfId="0" applyNumberFormat="1" applyFill="1"/>
    <xf numFmtId="169" fontId="45" fillId="0" borderId="77" xfId="0" applyNumberFormat="1" applyFont="1" applyFill="1" applyBorder="1" applyAlignment="1">
      <alignment wrapText="1"/>
    </xf>
    <xf numFmtId="166" fontId="45" fillId="0" borderId="77" xfId="2" applyNumberFormat="1" applyFont="1" applyFill="1" applyBorder="1" applyAlignment="1">
      <alignment vertical="center" wrapText="1"/>
    </xf>
    <xf numFmtId="166" fontId="44" fillId="0" borderId="99" xfId="2" applyNumberFormat="1" applyFont="1" applyFill="1" applyBorder="1" applyAlignment="1">
      <alignment horizontal="center" vertical="center" wrapText="1"/>
    </xf>
    <xf numFmtId="166" fontId="45" fillId="0" borderId="98" xfId="2" applyNumberFormat="1" applyFont="1" applyFill="1" applyBorder="1" applyAlignment="1">
      <alignment horizontal="center" vertical="center" wrapText="1"/>
    </xf>
    <xf numFmtId="166" fontId="45" fillId="0" borderId="1" xfId="2" applyNumberFormat="1" applyFont="1" applyFill="1" applyBorder="1" applyAlignment="1">
      <alignment vertical="center" wrapText="1"/>
    </xf>
    <xf numFmtId="167" fontId="41" fillId="0" borderId="0" xfId="1" applyNumberFormat="1" applyFont="1" applyFill="1"/>
    <xf numFmtId="49" fontId="41" fillId="0" borderId="0" xfId="0" applyNumberFormat="1" applyFont="1" applyFill="1"/>
    <xf numFmtId="0" fontId="51" fillId="28" borderId="49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wrapText="1"/>
    </xf>
    <xf numFmtId="0" fontId="48" fillId="28" borderId="71" xfId="0" applyFont="1" applyFill="1" applyBorder="1"/>
    <xf numFmtId="0" fontId="48" fillId="28" borderId="49" xfId="0" applyFont="1" applyFill="1" applyBorder="1" applyAlignment="1">
      <alignment vertical="center"/>
    </xf>
    <xf numFmtId="6" fontId="48" fillId="28" borderId="49" xfId="0" applyNumberFormat="1" applyFont="1" applyFill="1" applyBorder="1" applyAlignment="1">
      <alignment vertical="center"/>
    </xf>
    <xf numFmtId="0" fontId="48" fillId="28" borderId="0" xfId="0" applyFont="1" applyFill="1" applyBorder="1" applyAlignment="1">
      <alignment vertical="center"/>
    </xf>
    <xf numFmtId="0" fontId="0" fillId="28" borderId="0" xfId="0" applyFill="1" applyAlignment="1">
      <alignment vertical="center"/>
    </xf>
    <xf numFmtId="166" fontId="45" fillId="0" borderId="71" xfId="2" applyNumberFormat="1" applyFont="1" applyFill="1" applyBorder="1" applyAlignment="1">
      <alignment horizontal="center" vertical="center" wrapText="1"/>
    </xf>
    <xf numFmtId="0" fontId="56" fillId="0" borderId="0" xfId="68" applyFont="1" applyAlignment="1">
      <alignment horizontal="center"/>
    </xf>
    <xf numFmtId="0" fontId="56" fillId="0" borderId="0" xfId="68" applyFont="1" applyAlignment="1">
      <alignment vertical="center"/>
    </xf>
    <xf numFmtId="0" fontId="56" fillId="0" borderId="0" xfId="67" applyFont="1" applyAlignment="1">
      <alignment horizontal="center" vertical="center"/>
    </xf>
    <xf numFmtId="14" fontId="56" fillId="0" borderId="0" xfId="67" applyNumberFormat="1" applyFont="1" applyAlignment="1">
      <alignment horizontal="center" vertical="center"/>
    </xf>
    <xf numFmtId="0" fontId="60" fillId="0" borderId="0" xfId="67" applyFont="1"/>
    <xf numFmtId="0" fontId="61" fillId="0" borderId="0" xfId="67" applyFont="1" applyAlignment="1">
      <alignment horizontal="center"/>
    </xf>
    <xf numFmtId="14" fontId="61" fillId="0" borderId="0" xfId="67" applyNumberFormat="1" applyFont="1" applyAlignment="1">
      <alignment horizontal="center"/>
    </xf>
    <xf numFmtId="0" fontId="61" fillId="0" borderId="0" xfId="67" applyFont="1"/>
    <xf numFmtId="0" fontId="66" fillId="0" borderId="0" xfId="49" applyFont="1"/>
    <xf numFmtId="0" fontId="66" fillId="0" borderId="0" xfId="49" applyFont="1" applyAlignment="1">
      <alignment horizontal="center"/>
    </xf>
    <xf numFmtId="0" fontId="66" fillId="0" borderId="0" xfId="49" applyFont="1" applyAlignment="1">
      <alignment horizontal="right"/>
    </xf>
    <xf numFmtId="0" fontId="66" fillId="0" borderId="29" xfId="49" applyFont="1" applyBorder="1"/>
    <xf numFmtId="0" fontId="66" fillId="0" borderId="1" xfId="49" applyFont="1" applyBorder="1" applyAlignment="1">
      <alignment horizontal="center" vertical="center"/>
    </xf>
    <xf numFmtId="3" fontId="71" fillId="0" borderId="1" xfId="49" applyNumberFormat="1" applyFont="1" applyBorder="1" applyAlignment="1">
      <alignment horizontal="center" vertical="center" wrapText="1"/>
    </xf>
    <xf numFmtId="0" fontId="66" fillId="0" borderId="100" xfId="49" applyFont="1" applyBorder="1"/>
    <xf numFmtId="14" fontId="66" fillId="0" borderId="1" xfId="49" applyNumberFormat="1" applyFont="1" applyBorder="1" applyAlignment="1">
      <alignment horizontal="center" vertical="center" wrapText="1"/>
    </xf>
    <xf numFmtId="0" fontId="66" fillId="0" borderId="1" xfId="49" applyFont="1" applyBorder="1" applyAlignment="1">
      <alignment horizontal="center" vertical="center" wrapText="1"/>
    </xf>
    <xf numFmtId="3" fontId="72" fillId="0" borderId="1" xfId="49" applyNumberFormat="1" applyFont="1" applyBorder="1" applyAlignment="1">
      <alignment horizontal="center" vertical="center" wrapText="1"/>
    </xf>
    <xf numFmtId="0" fontId="66" fillId="0" borderId="1" xfId="49" applyFont="1" applyBorder="1" applyAlignment="1">
      <alignment horizontal="center"/>
    </xf>
    <xf numFmtId="3" fontId="73" fillId="0" borderId="1" xfId="49" applyNumberFormat="1" applyFont="1" applyBorder="1" applyAlignment="1">
      <alignment horizontal="center" vertical="center"/>
    </xf>
    <xf numFmtId="0" fontId="73" fillId="0" borderId="0" xfId="49" applyFont="1" applyAlignment="1">
      <alignment horizontal="center"/>
    </xf>
    <xf numFmtId="0" fontId="73" fillId="0" borderId="100" xfId="49" applyFont="1" applyBorder="1" applyAlignment="1">
      <alignment horizontal="center"/>
    </xf>
    <xf numFmtId="3" fontId="73" fillId="0" borderId="1" xfId="49" applyNumberFormat="1" applyFont="1" applyBorder="1" applyAlignment="1">
      <alignment horizontal="center" vertical="center" wrapText="1"/>
    </xf>
    <xf numFmtId="0" fontId="72" fillId="0" borderId="0" xfId="49" applyFont="1"/>
    <xf numFmtId="0" fontId="72" fillId="0" borderId="102" xfId="49" applyFont="1" applyBorder="1"/>
    <xf numFmtId="3" fontId="66" fillId="0" borderId="1" xfId="49" applyNumberFormat="1" applyFont="1" applyBorder="1" applyAlignment="1">
      <alignment horizontal="center" vertical="center" wrapText="1"/>
    </xf>
    <xf numFmtId="3" fontId="69" fillId="0" borderId="1" xfId="49" applyNumberFormat="1" applyFont="1" applyBorder="1" applyAlignment="1">
      <alignment horizontal="center" vertical="center" wrapText="1"/>
    </xf>
    <xf numFmtId="3" fontId="72" fillId="0" borderId="1" xfId="49" applyNumberFormat="1" applyFont="1" applyBorder="1" applyAlignment="1">
      <alignment horizontal="center" vertical="center"/>
    </xf>
    <xf numFmtId="3" fontId="73" fillId="0" borderId="103" xfId="49" applyNumberFormat="1" applyFont="1" applyBorder="1" applyAlignment="1">
      <alignment horizontal="center" vertical="center"/>
    </xf>
    <xf numFmtId="3" fontId="73" fillId="0" borderId="104" xfId="49" applyNumberFormat="1" applyFont="1" applyBorder="1" applyAlignment="1">
      <alignment horizontal="center" vertical="center"/>
    </xf>
    <xf numFmtId="3" fontId="73" fillId="0" borderId="105" xfId="49" applyNumberFormat="1" applyFont="1" applyBorder="1" applyAlignment="1">
      <alignment horizontal="center" vertical="center"/>
    </xf>
    <xf numFmtId="3" fontId="73" fillId="0" borderId="106" xfId="49" applyNumberFormat="1" applyFont="1" applyBorder="1" applyAlignment="1">
      <alignment horizontal="center" vertical="center"/>
    </xf>
    <xf numFmtId="3" fontId="73" fillId="0" borderId="0" xfId="49" applyNumberFormat="1" applyFont="1" applyAlignment="1">
      <alignment horizontal="center" vertical="center"/>
    </xf>
    <xf numFmtId="3" fontId="66" fillId="0" borderId="107" xfId="49" applyNumberFormat="1" applyFont="1" applyBorder="1" applyAlignment="1">
      <alignment horizontal="center" vertical="center"/>
    </xf>
    <xf numFmtId="166" fontId="66" fillId="0" borderId="100" xfId="59" applyNumberFormat="1" applyFont="1" applyFill="1" applyBorder="1" applyAlignment="1">
      <alignment horizontal="center" vertical="center"/>
    </xf>
    <xf numFmtId="3" fontId="70" fillId="26" borderId="0" xfId="49" applyNumberFormat="1" applyFont="1" applyFill="1"/>
    <xf numFmtId="0" fontId="70" fillId="26" borderId="0" xfId="49" applyFont="1" applyFill="1"/>
    <xf numFmtId="0" fontId="75" fillId="27" borderId="0" xfId="49" applyFont="1" applyFill="1" applyAlignment="1">
      <alignment horizontal="center" vertical="center" wrapText="1"/>
    </xf>
    <xf numFmtId="3" fontId="76" fillId="27" borderId="0" xfId="49" applyNumberFormat="1" applyFont="1" applyFill="1"/>
    <xf numFmtId="0" fontId="76" fillId="27" borderId="0" xfId="49" applyFont="1" applyFill="1"/>
    <xf numFmtId="0" fontId="66" fillId="0" borderId="32" xfId="49" applyFont="1" applyBorder="1"/>
    <xf numFmtId="166" fontId="66" fillId="0" borderId="0" xfId="49" applyNumberFormat="1" applyFont="1"/>
    <xf numFmtId="0" fontId="76" fillId="0" borderId="0" xfId="49" applyFont="1"/>
    <xf numFmtId="0" fontId="76" fillId="0" borderId="0" xfId="49" applyFont="1" applyAlignment="1">
      <alignment vertical="center" wrapText="1"/>
    </xf>
    <xf numFmtId="3" fontId="76" fillId="0" borderId="0" xfId="49" applyNumberFormat="1" applyFont="1"/>
    <xf numFmtId="0" fontId="76" fillId="0" borderId="0" xfId="49" applyFont="1" applyAlignment="1">
      <alignment horizontal="center" wrapText="1"/>
    </xf>
    <xf numFmtId="0" fontId="76" fillId="0" borderId="0" xfId="49" applyFont="1" applyAlignment="1">
      <alignment horizontal="center"/>
    </xf>
    <xf numFmtId="0" fontId="69" fillId="0" borderId="0" xfId="49" applyFont="1"/>
    <xf numFmtId="3" fontId="66" fillId="0" borderId="0" xfId="49" applyNumberFormat="1" applyFont="1" applyAlignment="1">
      <alignment horizontal="center"/>
    </xf>
    <xf numFmtId="3" fontId="66" fillId="0" borderId="0" xfId="49" applyNumberFormat="1" applyFont="1"/>
    <xf numFmtId="0" fontId="66" fillId="0" borderId="102" xfId="49" applyFont="1" applyBorder="1"/>
    <xf numFmtId="0" fontId="80" fillId="28" borderId="0" xfId="72" applyFill="1" applyAlignment="1">
      <alignment horizontal="right" wrapText="1"/>
    </xf>
    <xf numFmtId="0" fontId="83" fillId="28" borderId="2" xfId="72" applyFont="1" applyFill="1" applyBorder="1" applyAlignment="1">
      <alignment horizontal="center" vertical="center" textRotation="90" wrapText="1"/>
    </xf>
    <xf numFmtId="0" fontId="82" fillId="28" borderId="3" xfId="72" applyFont="1" applyFill="1" applyBorder="1" applyAlignment="1">
      <alignment horizontal="center" vertical="center"/>
    </xf>
    <xf numFmtId="0" fontId="84" fillId="28" borderId="3" xfId="72" applyFont="1" applyFill="1" applyBorder="1" applyAlignment="1">
      <alignment horizontal="center" vertical="center" wrapText="1"/>
    </xf>
    <xf numFmtId="0" fontId="85" fillId="28" borderId="3" xfId="72" applyFont="1" applyFill="1" applyBorder="1" applyAlignment="1">
      <alignment horizontal="center" vertical="center" wrapText="1"/>
    </xf>
    <xf numFmtId="0" fontId="85" fillId="28" borderId="0" xfId="72" applyFont="1" applyFill="1" applyAlignment="1">
      <alignment horizontal="center" vertical="center" wrapText="1"/>
    </xf>
    <xf numFmtId="0" fontId="80" fillId="28" borderId="48" xfId="72" applyFill="1" applyBorder="1" applyAlignment="1" applyProtection="1">
      <alignment horizontal="left" vertical="center" wrapText="1" indent="1"/>
      <protection locked="0"/>
    </xf>
    <xf numFmtId="166" fontId="87" fillId="28" borderId="48" xfId="2" applyNumberFormat="1" applyFont="1" applyFill="1" applyBorder="1" applyAlignment="1" applyProtection="1">
      <alignment horizontal="right" vertical="center"/>
    </xf>
    <xf numFmtId="173" fontId="87" fillId="28" borderId="0" xfId="72" applyNumberFormat="1" applyFont="1" applyFill="1" applyAlignment="1">
      <alignment horizontal="right" vertical="center"/>
    </xf>
    <xf numFmtId="0" fontId="80" fillId="28" borderId="3" xfId="72" applyFill="1" applyBorder="1" applyAlignment="1">
      <alignment horizontal="left" vertical="center" indent="1"/>
    </xf>
    <xf numFmtId="0" fontId="80" fillId="28" borderId="48" xfId="72" applyFill="1" applyBorder="1" applyAlignment="1">
      <alignment horizontal="left" vertical="center" indent="1"/>
    </xf>
    <xf numFmtId="0" fontId="80" fillId="28" borderId="59" xfId="72" applyFill="1" applyBorder="1" applyAlignment="1">
      <alignment horizontal="left" vertical="center" wrapText="1" indent="1"/>
    </xf>
    <xf numFmtId="0" fontId="88" fillId="28" borderId="48" xfId="72" applyFont="1" applyFill="1" applyBorder="1" applyAlignment="1">
      <alignment horizontal="left" vertical="center" wrapText="1" indent="5"/>
    </xf>
    <xf numFmtId="167" fontId="80" fillId="28" borderId="0" xfId="1" applyNumberFormat="1" applyFont="1" applyFill="1"/>
    <xf numFmtId="0" fontId="41" fillId="0" borderId="1" xfId="0" applyFont="1" applyFill="1" applyBorder="1" applyAlignment="1">
      <alignment horizontal="center" vertical="center" textRotation="90"/>
    </xf>
    <xf numFmtId="166" fontId="41" fillId="0" borderId="0" xfId="2" applyNumberFormat="1" applyFont="1" applyFill="1"/>
    <xf numFmtId="6" fontId="0" fillId="28" borderId="0" xfId="0" applyNumberFormat="1" applyFill="1"/>
    <xf numFmtId="0" fontId="113" fillId="0" borderId="0" xfId="0" applyFont="1" applyFill="1" applyBorder="1" applyAlignment="1">
      <alignment horizontal="center"/>
    </xf>
    <xf numFmtId="166" fontId="106" fillId="0" borderId="0" xfId="0" applyNumberFormat="1" applyFont="1" applyFill="1" applyBorder="1"/>
    <xf numFmtId="166" fontId="44" fillId="0" borderId="7" xfId="2" applyNumberFormat="1" applyFont="1" applyFill="1" applyBorder="1" applyAlignment="1">
      <alignment horizontal="center" vertical="center"/>
    </xf>
    <xf numFmtId="166" fontId="42" fillId="0" borderId="6" xfId="2" applyNumberFormat="1" applyFont="1" applyFill="1" applyBorder="1" applyAlignment="1">
      <alignment horizontal="center" vertical="center"/>
    </xf>
    <xf numFmtId="166" fontId="42" fillId="0" borderId="7" xfId="2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166" fontId="9" fillId="28" borderId="0" xfId="2" applyNumberFormat="1" applyFont="1" applyFill="1" applyBorder="1" applyAlignment="1">
      <alignment horizontal="center" vertical="center"/>
    </xf>
    <xf numFmtId="0" fontId="23" fillId="0" borderId="0" xfId="49"/>
    <xf numFmtId="0" fontId="63" fillId="25" borderId="0" xfId="49" applyFont="1" applyFill="1"/>
    <xf numFmtId="0" fontId="100" fillId="25" borderId="0" xfId="76" applyFont="1" applyFill="1"/>
    <xf numFmtId="0" fontId="63" fillId="25" borderId="0" xfId="76" applyFont="1" applyFill="1"/>
    <xf numFmtId="0" fontId="63" fillId="25" borderId="42" xfId="49" applyFont="1" applyFill="1" applyBorder="1" applyAlignment="1">
      <alignment horizontal="center" vertical="center" wrapText="1"/>
    </xf>
    <xf numFmtId="175" fontId="102" fillId="25" borderId="47" xfId="77" applyNumberFormat="1" applyFont="1" applyFill="1" applyBorder="1" applyAlignment="1" applyProtection="1">
      <alignment vertical="center"/>
    </xf>
    <xf numFmtId="175" fontId="102" fillId="25" borderId="46" xfId="77" applyNumberFormat="1" applyFont="1" applyFill="1" applyBorder="1" applyAlignment="1" applyProtection="1">
      <alignment vertical="center"/>
    </xf>
    <xf numFmtId="175" fontId="102" fillId="25" borderId="110" xfId="77" applyNumberFormat="1" applyFont="1" applyFill="1" applyBorder="1" applyAlignment="1" applyProtection="1">
      <alignment vertical="center"/>
    </xf>
    <xf numFmtId="175" fontId="102" fillId="25" borderId="109" xfId="77" applyNumberFormat="1" applyFont="1" applyFill="1" applyBorder="1" applyAlignment="1" applyProtection="1">
      <alignment vertical="center"/>
    </xf>
    <xf numFmtId="175" fontId="102" fillId="25" borderId="114" xfId="77" applyNumberFormat="1" applyFont="1" applyFill="1" applyBorder="1" applyAlignment="1" applyProtection="1">
      <alignment vertical="center"/>
    </xf>
    <xf numFmtId="175" fontId="102" fillId="25" borderId="115" xfId="77" applyNumberFormat="1" applyFont="1" applyFill="1" applyBorder="1" applyAlignment="1" applyProtection="1">
      <alignment vertical="center"/>
    </xf>
    <xf numFmtId="175" fontId="102" fillId="25" borderId="116" xfId="77" applyNumberFormat="1" applyFont="1" applyFill="1" applyBorder="1" applyAlignment="1" applyProtection="1">
      <alignment vertical="center"/>
    </xf>
    <xf numFmtId="175" fontId="100" fillId="25" borderId="45" xfId="76" applyNumberFormat="1" applyFont="1" applyFill="1" applyBorder="1" applyAlignment="1">
      <alignment horizontal="left" vertical="center"/>
    </xf>
    <xf numFmtId="175" fontId="100" fillId="25" borderId="44" xfId="76" applyNumberFormat="1" applyFont="1" applyFill="1" applyBorder="1" applyAlignment="1">
      <alignment horizontal="left" vertical="center"/>
    </xf>
    <xf numFmtId="175" fontId="101" fillId="25" borderId="0" xfId="76" applyNumberFormat="1" applyFont="1" applyFill="1" applyAlignment="1">
      <alignment horizontal="left"/>
    </xf>
    <xf numFmtId="0" fontId="101" fillId="25" borderId="0" xfId="76" applyFont="1" applyFill="1"/>
    <xf numFmtId="0" fontId="100" fillId="25" borderId="117" xfId="76" applyFont="1" applyFill="1" applyBorder="1"/>
    <xf numFmtId="0" fontId="101" fillId="25" borderId="0" xfId="76" applyFont="1" applyFill="1" applyAlignment="1">
      <alignment horizontal="left"/>
    </xf>
    <xf numFmtId="0" fontId="101" fillId="25" borderId="1" xfId="76" applyFont="1" applyFill="1" applyBorder="1" applyAlignment="1">
      <alignment horizontal="center" vertical="center" textRotation="90"/>
    </xf>
    <xf numFmtId="0" fontId="101" fillId="25" borderId="1" xfId="76" applyFont="1" applyFill="1" applyBorder="1" applyAlignment="1">
      <alignment horizontal="center" vertical="center" wrapText="1"/>
    </xf>
    <xf numFmtId="0" fontId="101" fillId="25" borderId="41" xfId="76" applyFont="1" applyFill="1" applyBorder="1" applyAlignment="1">
      <alignment horizontal="center" vertical="center"/>
    </xf>
    <xf numFmtId="175" fontId="102" fillId="25" borderId="41" xfId="77" applyNumberFormat="1" applyFont="1" applyFill="1" applyBorder="1" applyAlignment="1" applyProtection="1">
      <alignment vertical="center"/>
    </xf>
    <xf numFmtId="0" fontId="101" fillId="25" borderId="95" xfId="76" applyFont="1" applyFill="1" applyBorder="1" applyAlignment="1">
      <alignment horizontal="center" vertical="center"/>
    </xf>
    <xf numFmtId="175" fontId="102" fillId="25" borderId="95" xfId="77" applyNumberFormat="1" applyFont="1" applyFill="1" applyBorder="1" applyAlignment="1" applyProtection="1">
      <alignment vertical="center"/>
    </xf>
    <xf numFmtId="175" fontId="64" fillId="25" borderId="1" xfId="77" applyNumberFormat="1" applyFont="1" applyFill="1" applyBorder="1" applyAlignment="1">
      <alignment horizontal="right" vertical="center"/>
    </xf>
    <xf numFmtId="175" fontId="64" fillId="0" borderId="1" xfId="77" applyNumberFormat="1" applyFont="1" applyFill="1" applyBorder="1" applyAlignment="1">
      <alignment horizontal="right" vertical="center"/>
    </xf>
    <xf numFmtId="175" fontId="103" fillId="25" borderId="41" xfId="77" applyNumberFormat="1" applyFont="1" applyFill="1" applyBorder="1" applyAlignment="1" applyProtection="1">
      <alignment vertical="center"/>
    </xf>
    <xf numFmtId="0" fontId="63" fillId="25" borderId="95" xfId="78" applyFont="1" applyFill="1" applyBorder="1" applyAlignment="1">
      <alignment horizontal="center" vertical="center"/>
    </xf>
    <xf numFmtId="175" fontId="103" fillId="25" borderId="95" xfId="77" applyNumberFormat="1" applyFont="1" applyFill="1" applyBorder="1" applyAlignment="1" applyProtection="1">
      <alignment vertical="center"/>
    </xf>
    <xf numFmtId="175" fontId="102" fillId="25" borderId="1" xfId="77" applyNumberFormat="1" applyFont="1" applyFill="1" applyBorder="1" applyAlignment="1" applyProtection="1">
      <alignment vertical="center"/>
    </xf>
    <xf numFmtId="175" fontId="64" fillId="25" borderId="1" xfId="77" applyNumberFormat="1" applyFont="1" applyFill="1" applyBorder="1" applyAlignment="1" applyProtection="1">
      <alignment vertical="center"/>
    </xf>
    <xf numFmtId="0" fontId="63" fillId="25" borderId="0" xfId="78" applyFont="1" applyFill="1" applyAlignment="1">
      <alignment horizontal="center"/>
    </xf>
    <xf numFmtId="0" fontId="64" fillId="25" borderId="0" xfId="78" applyFont="1" applyFill="1"/>
    <xf numFmtId="175" fontId="63" fillId="25" borderId="0" xfId="77" applyNumberFormat="1" applyFont="1" applyFill="1" applyBorder="1" applyAlignment="1" applyProtection="1"/>
    <xf numFmtId="0" fontId="101" fillId="25" borderId="0" xfId="76" applyFont="1" applyFill="1" applyAlignment="1">
      <alignment horizontal="left" vertical="center" wrapText="1"/>
    </xf>
    <xf numFmtId="0" fontId="23" fillId="0" borderId="0" xfId="49"/>
    <xf numFmtId="3" fontId="23" fillId="28" borderId="0" xfId="49" applyNumberFormat="1" applyFill="1"/>
    <xf numFmtId="0" fontId="115" fillId="0" borderId="1" xfId="74" applyFont="1" applyFill="1" applyBorder="1" applyAlignment="1">
      <alignment horizontal="center" vertical="center" wrapText="1"/>
    </xf>
    <xf numFmtId="177" fontId="64" fillId="28" borderId="40" xfId="49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171" fontId="0" fillId="0" borderId="0" xfId="2" applyNumberFormat="1" applyFont="1"/>
    <xf numFmtId="171" fontId="0" fillId="0" borderId="0" xfId="0" applyNumberFormat="1"/>
    <xf numFmtId="0" fontId="54" fillId="28" borderId="37" xfId="0" applyFont="1" applyFill="1" applyBorder="1" applyAlignment="1">
      <alignment horizontal="center" vertical="center" wrapText="1"/>
    </xf>
    <xf numFmtId="169" fontId="0" fillId="28" borderId="40" xfId="0" applyNumberFormat="1" applyFill="1" applyBorder="1" applyAlignment="1">
      <alignment horizontal="right" vertical="center"/>
    </xf>
    <xf numFmtId="166" fontId="0" fillId="0" borderId="0" xfId="2" applyNumberFormat="1" applyFont="1"/>
    <xf numFmtId="169" fontId="54" fillId="28" borderId="85" xfId="0" applyNumberFormat="1" applyFont="1" applyFill="1" applyBorder="1" applyAlignment="1">
      <alignment horizontal="right" vertical="center"/>
    </xf>
    <xf numFmtId="42" fontId="54" fillId="28" borderId="86" xfId="0" applyNumberFormat="1" applyFont="1" applyFill="1" applyBorder="1" applyAlignment="1">
      <alignment horizontal="right" vertical="center"/>
    </xf>
    <xf numFmtId="169" fontId="54" fillId="28" borderId="87" xfId="0" applyNumberFormat="1" applyFont="1" applyFill="1" applyBorder="1" applyAlignment="1">
      <alignment horizontal="right" vertical="center"/>
    </xf>
    <xf numFmtId="3" fontId="0" fillId="0" borderId="0" xfId="0" applyNumberFormat="1"/>
    <xf numFmtId="169" fontId="0" fillId="28" borderId="40" xfId="0" applyNumberFormat="1" applyFill="1" applyBorder="1" applyAlignment="1">
      <alignment horizontal="center" vertical="center"/>
    </xf>
    <xf numFmtId="0" fontId="0" fillId="34" borderId="0" xfId="0" applyFill="1"/>
    <xf numFmtId="0" fontId="54" fillId="0" borderId="0" xfId="0" applyFont="1"/>
    <xf numFmtId="176" fontId="48" fillId="0" borderId="0" xfId="0" applyNumberFormat="1" applyFont="1" applyAlignment="1">
      <alignment horizontal="center" vertical="center"/>
    </xf>
    <xf numFmtId="165" fontId="0" fillId="0" borderId="0" xfId="1" applyFont="1" applyFill="1"/>
    <xf numFmtId="0" fontId="54" fillId="28" borderId="37" xfId="0" applyFont="1" applyFill="1" applyBorder="1" applyAlignment="1">
      <alignment horizontal="right" vertical="center" wrapText="1"/>
    </xf>
    <xf numFmtId="0" fontId="54" fillId="28" borderId="39" xfId="0" applyFont="1" applyFill="1" applyBorder="1" applyAlignment="1">
      <alignment horizontal="center" vertical="center" wrapText="1"/>
    </xf>
    <xf numFmtId="42" fontId="0" fillId="28" borderId="40" xfId="0" applyNumberFormat="1" applyFill="1" applyBorder="1" applyAlignment="1">
      <alignment horizontal="center" vertical="center"/>
    </xf>
    <xf numFmtId="169" fontId="54" fillId="28" borderId="62" xfId="0" applyNumberFormat="1" applyFont="1" applyFill="1" applyBorder="1" applyAlignment="1">
      <alignment horizontal="center" vertical="center"/>
    </xf>
    <xf numFmtId="42" fontId="0" fillId="28" borderId="63" xfId="0" applyNumberFormat="1" applyFill="1" applyBorder="1" applyAlignment="1">
      <alignment horizontal="center" vertical="center"/>
    </xf>
    <xf numFmtId="169" fontId="54" fillId="28" borderId="85" xfId="0" applyNumberFormat="1" applyFont="1" applyFill="1" applyBorder="1" applyAlignment="1">
      <alignment horizontal="center" vertical="center"/>
    </xf>
    <xf numFmtId="42" fontId="54" fillId="28" borderId="86" xfId="0" applyNumberFormat="1" applyFont="1" applyFill="1" applyBorder="1" applyAlignment="1">
      <alignment horizontal="center" vertical="center"/>
    </xf>
    <xf numFmtId="0" fontId="120" fillId="28" borderId="0" xfId="0" applyFont="1" applyFill="1"/>
    <xf numFmtId="169" fontId="54" fillId="28" borderId="87" xfId="0" applyNumberFormat="1" applyFont="1" applyFill="1" applyBorder="1" applyAlignment="1">
      <alignment horizontal="center" vertical="center"/>
    </xf>
    <xf numFmtId="169" fontId="54" fillId="28" borderId="85" xfId="0" applyNumberFormat="1" applyFont="1" applyFill="1" applyBorder="1" applyAlignment="1">
      <alignment vertical="center"/>
    </xf>
    <xf numFmtId="169" fontId="54" fillId="28" borderId="87" xfId="0" applyNumberFormat="1" applyFont="1" applyFill="1" applyBorder="1" applyAlignment="1">
      <alignment vertical="center"/>
    </xf>
    <xf numFmtId="0" fontId="48" fillId="28" borderId="57" xfId="0" applyFont="1" applyFill="1" applyBorder="1" applyAlignment="1">
      <alignment horizontal="center" vertical="center" wrapText="1"/>
    </xf>
    <xf numFmtId="0" fontId="41" fillId="0" borderId="71" xfId="0" applyFont="1" applyFill="1" applyBorder="1"/>
    <xf numFmtId="169" fontId="45" fillId="0" borderId="120" xfId="0" applyNumberFormat="1" applyFont="1" applyFill="1" applyBorder="1" applyAlignment="1">
      <alignment wrapText="1"/>
    </xf>
    <xf numFmtId="0" fontId="45" fillId="0" borderId="71" xfId="0" applyFont="1" applyFill="1" applyBorder="1" applyAlignment="1">
      <alignment vertical="center" wrapText="1"/>
    </xf>
    <xf numFmtId="166" fontId="45" fillId="0" borderId="120" xfId="2" applyNumberFormat="1" applyFont="1" applyFill="1" applyBorder="1" applyAlignment="1">
      <alignment vertical="center" wrapText="1"/>
    </xf>
    <xf numFmtId="170" fontId="45" fillId="0" borderId="127" xfId="2" applyNumberFormat="1" applyFont="1" applyFill="1" applyBorder="1" applyAlignment="1">
      <alignment vertical="center" wrapText="1"/>
    </xf>
    <xf numFmtId="170" fontId="46" fillId="0" borderId="71" xfId="2" applyNumberFormat="1" applyFont="1" applyFill="1" applyBorder="1" applyAlignment="1">
      <alignment vertical="center" wrapText="1"/>
    </xf>
    <xf numFmtId="166" fontId="45" fillId="0" borderId="71" xfId="2" applyNumberFormat="1" applyFont="1" applyFill="1" applyBorder="1" applyAlignment="1">
      <alignment vertical="center" wrapText="1"/>
    </xf>
    <xf numFmtId="166" fontId="46" fillId="0" borderId="71" xfId="2" applyNumberFormat="1" applyFont="1" applyFill="1" applyBorder="1" applyAlignment="1">
      <alignment vertical="center" wrapText="1"/>
    </xf>
    <xf numFmtId="166" fontId="44" fillId="0" borderId="71" xfId="2" applyNumberFormat="1" applyFont="1" applyFill="1" applyBorder="1" applyAlignment="1">
      <alignment vertical="center" wrapText="1"/>
    </xf>
    <xf numFmtId="0" fontId="41" fillId="0" borderId="128" xfId="0" applyFont="1" applyFill="1" applyBorder="1"/>
    <xf numFmtId="166" fontId="45" fillId="0" borderId="128" xfId="2" applyNumberFormat="1" applyFont="1" applyFill="1" applyBorder="1" applyAlignment="1">
      <alignment vertical="center" wrapText="1"/>
    </xf>
    <xf numFmtId="166" fontId="45" fillId="0" borderId="128" xfId="2" applyNumberFormat="1" applyFont="1" applyFill="1" applyBorder="1" applyAlignment="1">
      <alignment horizontal="center" vertical="center" wrapText="1"/>
    </xf>
    <xf numFmtId="166" fontId="44" fillId="0" borderId="128" xfId="2" applyNumberFormat="1" applyFont="1" applyFill="1" applyBorder="1" applyAlignment="1">
      <alignment horizontal="center" vertical="center" wrapText="1"/>
    </xf>
    <xf numFmtId="0" fontId="46" fillId="0" borderId="130" xfId="0" applyFont="1" applyFill="1" applyBorder="1" applyAlignment="1">
      <alignment horizontal="left" vertical="center" wrapText="1"/>
    </xf>
    <xf numFmtId="0" fontId="45" fillId="0" borderId="71" xfId="0" applyFont="1" applyFill="1" applyBorder="1" applyAlignment="1">
      <alignment horizontal="center" vertical="center" wrapText="1"/>
    </xf>
    <xf numFmtId="0" fontId="41" fillId="0" borderId="131" xfId="0" applyFont="1" applyFill="1" applyBorder="1" applyAlignment="1">
      <alignment horizontal="center" vertical="center" textRotation="90"/>
    </xf>
    <xf numFmtId="0" fontId="46" fillId="0" borderId="27" xfId="0" applyFont="1" applyFill="1" applyBorder="1" applyAlignment="1">
      <alignment horizontal="left" vertical="center" wrapText="1"/>
    </xf>
    <xf numFmtId="0" fontId="45" fillId="0" borderId="128" xfId="0" applyFont="1" applyFill="1" applyBorder="1" applyAlignment="1">
      <alignment vertical="center" wrapText="1"/>
    </xf>
    <xf numFmtId="0" fontId="41" fillId="0" borderId="128" xfId="0" applyFont="1" applyFill="1" applyBorder="1" applyAlignment="1">
      <alignment wrapText="1"/>
    </xf>
    <xf numFmtId="0" fontId="41" fillId="0" borderId="71" xfId="0" applyFont="1" applyFill="1" applyBorder="1" applyAlignment="1">
      <alignment wrapText="1"/>
    </xf>
    <xf numFmtId="0" fontId="2" fillId="32" borderId="0" xfId="0" applyFont="1" applyFill="1"/>
    <xf numFmtId="0" fontId="4" fillId="0" borderId="128" xfId="0" applyFont="1" applyFill="1" applyBorder="1" applyAlignment="1">
      <alignment vertical="center" wrapText="1"/>
    </xf>
    <xf numFmtId="166" fontId="4" fillId="0" borderId="128" xfId="0" applyNumberFormat="1" applyFont="1" applyFill="1" applyBorder="1" applyAlignment="1">
      <alignment horizontal="right" vertical="center" wrapText="1"/>
    </xf>
    <xf numFmtId="166" fontId="4" fillId="0" borderId="1" xfId="0" applyNumberFormat="1" applyFont="1" applyFill="1" applyBorder="1" applyAlignment="1">
      <alignment vertical="center" wrapText="1"/>
    </xf>
    <xf numFmtId="0" fontId="63" fillId="0" borderId="48" xfId="0" applyFont="1" applyBorder="1" applyAlignment="1">
      <alignment horizontal="left" vertical="center" wrapText="1"/>
    </xf>
    <xf numFmtId="166" fontId="41" fillId="0" borderId="0" xfId="0" applyNumberFormat="1" applyFont="1" applyFill="1" applyAlignment="1">
      <alignment vertical="top"/>
    </xf>
    <xf numFmtId="0" fontId="41" fillId="0" borderId="0" xfId="0" applyFont="1" applyFill="1" applyAlignment="1">
      <alignment vertical="top"/>
    </xf>
    <xf numFmtId="0" fontId="2" fillId="32" borderId="0" xfId="0" applyFont="1" applyFill="1" applyAlignment="1">
      <alignment vertical="top"/>
    </xf>
    <xf numFmtId="0" fontId="41" fillId="30" borderId="0" xfId="0" applyFont="1" applyFill="1" applyAlignment="1">
      <alignment vertical="top"/>
    </xf>
    <xf numFmtId="166" fontId="10" fillId="0" borderId="48" xfId="2" applyNumberFormat="1" applyFont="1" applyFill="1" applyBorder="1" applyAlignment="1">
      <alignment vertical="center"/>
    </xf>
    <xf numFmtId="166" fontId="10" fillId="0" borderId="68" xfId="2" applyNumberFormat="1" applyFont="1" applyFill="1" applyBorder="1" applyAlignment="1">
      <alignment vertical="center"/>
    </xf>
    <xf numFmtId="0" fontId="54" fillId="0" borderId="0" xfId="0" applyFont="1" applyFill="1"/>
    <xf numFmtId="167" fontId="56" fillId="0" borderId="0" xfId="32" applyNumberFormat="1" applyFont="1" applyFill="1" applyBorder="1" applyAlignment="1">
      <alignment horizontal="center"/>
    </xf>
    <xf numFmtId="0" fontId="65" fillId="0" borderId="0" xfId="49" applyFont="1" applyAlignment="1">
      <alignment horizontal="center"/>
    </xf>
    <xf numFmtId="3" fontId="66" fillId="0" borderId="1" xfId="49" applyNumberFormat="1" applyFont="1" applyBorder="1" applyAlignment="1">
      <alignment horizontal="center" vertical="center"/>
    </xf>
    <xf numFmtId="0" fontId="4" fillId="0" borderId="64" xfId="0" applyFont="1" applyFill="1" applyBorder="1" applyAlignment="1">
      <alignment horizontal="center"/>
    </xf>
    <xf numFmtId="166" fontId="4" fillId="0" borderId="48" xfId="2" applyNumberFormat="1" applyFont="1" applyFill="1" applyBorder="1" applyAlignment="1">
      <alignment horizontal="center" vertical="center"/>
    </xf>
    <xf numFmtId="0" fontId="127" fillId="0" borderId="0" xfId="0" applyFont="1" applyFill="1"/>
    <xf numFmtId="0" fontId="10" fillId="0" borderId="64" xfId="0" applyFont="1" applyFill="1" applyBorder="1" applyAlignment="1">
      <alignment horizontal="center"/>
    </xf>
    <xf numFmtId="166" fontId="10" fillId="0" borderId="48" xfId="2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5" xfId="0" applyFont="1" applyFill="1" applyBorder="1" applyAlignment="1">
      <alignment horizontal="center"/>
    </xf>
    <xf numFmtId="166" fontId="7" fillId="0" borderId="6" xfId="2" applyNumberFormat="1" applyFont="1" applyFill="1" applyBorder="1" applyAlignment="1">
      <alignment horizontal="center" vertical="center"/>
    </xf>
    <xf numFmtId="166" fontId="10" fillId="0" borderId="6" xfId="2" applyNumberFormat="1" applyFont="1" applyFill="1" applyBorder="1" applyAlignment="1">
      <alignment horizontal="center" vertical="center"/>
    </xf>
    <xf numFmtId="166" fontId="10" fillId="0" borderId="7" xfId="2" applyNumberFormat="1" applyFont="1" applyFill="1" applyBorder="1" applyAlignment="1">
      <alignment horizontal="center" vertical="center"/>
    </xf>
    <xf numFmtId="0" fontId="48" fillId="28" borderId="128" xfId="0" applyFont="1" applyFill="1" applyBorder="1" applyAlignment="1">
      <alignment vertical="center"/>
    </xf>
    <xf numFmtId="6" fontId="48" fillId="28" borderId="128" xfId="0" applyNumberFormat="1" applyFont="1" applyFill="1" applyBorder="1" applyAlignment="1">
      <alignment vertical="center"/>
    </xf>
    <xf numFmtId="6" fontId="0" fillId="28" borderId="0" xfId="0" applyNumberFormat="1" applyFill="1" applyAlignment="1">
      <alignment vertical="center"/>
    </xf>
    <xf numFmtId="167" fontId="0" fillId="0" borderId="0" xfId="0" applyNumberFormat="1"/>
    <xf numFmtId="0" fontId="110" fillId="0" borderId="0" xfId="0" applyFont="1"/>
    <xf numFmtId="0" fontId="66" fillId="0" borderId="132" xfId="49" applyFont="1" applyBorder="1"/>
    <xf numFmtId="0" fontId="66" fillId="0" borderId="133" xfId="49" applyFont="1" applyBorder="1"/>
    <xf numFmtId="0" fontId="66" fillId="0" borderId="135" xfId="49" applyFont="1" applyBorder="1"/>
    <xf numFmtId="0" fontId="72" fillId="0" borderId="132" xfId="49" applyFont="1" applyBorder="1"/>
    <xf numFmtId="166" fontId="70" fillId="26" borderId="137" xfId="59" applyNumberFormat="1" applyFont="1" applyFill="1" applyBorder="1" applyAlignment="1">
      <alignment horizontal="center" vertical="center"/>
    </xf>
    <xf numFmtId="0" fontId="70" fillId="26" borderId="133" xfId="49" applyFont="1" applyFill="1" applyBorder="1"/>
    <xf numFmtId="0" fontId="66" fillId="0" borderId="138" xfId="49" applyFont="1" applyBorder="1"/>
    <xf numFmtId="0" fontId="66" fillId="0" borderId="139" xfId="49" applyFont="1" applyBorder="1"/>
    <xf numFmtId="0" fontId="126" fillId="0" borderId="141" xfId="49" applyFont="1" applyBorder="1" applyAlignment="1">
      <alignment horizontal="center" vertical="center" wrapText="1"/>
    </xf>
    <xf numFmtId="0" fontId="126" fillId="0" borderId="142" xfId="49" applyFont="1" applyBorder="1" applyAlignment="1">
      <alignment horizontal="center" vertical="center" wrapText="1"/>
    </xf>
    <xf numFmtId="0" fontId="57" fillId="0" borderId="0" xfId="67" applyFont="1"/>
    <xf numFmtId="0" fontId="52" fillId="0" borderId="0" xfId="68" applyFont="1" applyAlignment="1">
      <alignment vertical="center"/>
    </xf>
    <xf numFmtId="167" fontId="23" fillId="0" borderId="0" xfId="1" applyNumberFormat="1" applyFont="1"/>
    <xf numFmtId="175" fontId="63" fillId="0" borderId="41" xfId="77" applyNumberFormat="1" applyFont="1" applyFill="1" applyBorder="1" applyAlignment="1">
      <alignment horizontal="right" vertical="center"/>
    </xf>
    <xf numFmtId="175" fontId="63" fillId="0" borderId="95" xfId="77" applyNumberFormat="1" applyFont="1" applyFill="1" applyBorder="1" applyAlignment="1">
      <alignment horizontal="right" vertical="center"/>
    </xf>
    <xf numFmtId="3" fontId="117" fillId="0" borderId="1" xfId="74" applyNumberFormat="1" applyFont="1" applyFill="1" applyBorder="1" applyAlignment="1">
      <alignment vertical="center" wrapText="1"/>
    </xf>
    <xf numFmtId="3" fontId="115" fillId="0" borderId="128" xfId="74" applyNumberFormat="1" applyFont="1" applyBorder="1" applyAlignment="1">
      <alignment vertical="center" wrapText="1"/>
    </xf>
    <xf numFmtId="3" fontId="115" fillId="0" borderId="1" xfId="74" applyNumberFormat="1" applyFont="1" applyFill="1" applyBorder="1" applyAlignment="1">
      <alignment vertical="center" wrapText="1"/>
    </xf>
    <xf numFmtId="166" fontId="45" fillId="0" borderId="129" xfId="2" applyNumberFormat="1" applyFont="1" applyFill="1" applyBorder="1" applyAlignment="1">
      <alignment horizontal="center" vertical="center" wrapText="1"/>
    </xf>
    <xf numFmtId="177" fontId="64" fillId="28" borderId="38" xfId="49" applyNumberFormat="1" applyFont="1" applyFill="1" applyBorder="1" applyAlignment="1">
      <alignment horizontal="center" vertical="center" wrapText="1"/>
    </xf>
    <xf numFmtId="177" fontId="64" fillId="28" borderId="150" xfId="49" applyNumberFormat="1" applyFont="1" applyFill="1" applyBorder="1" applyAlignment="1">
      <alignment horizontal="center" vertical="center"/>
    </xf>
    <xf numFmtId="177" fontId="64" fillId="28" borderId="150" xfId="49" applyNumberFormat="1" applyFont="1" applyFill="1" applyBorder="1" applyAlignment="1">
      <alignment horizontal="center" vertical="center" wrapText="1"/>
    </xf>
    <xf numFmtId="177" fontId="64" fillId="28" borderId="150" xfId="49" applyNumberFormat="1" applyFont="1" applyFill="1" applyBorder="1" applyAlignment="1">
      <alignment horizontal="left" vertical="center" wrapText="1" indent="1"/>
    </xf>
    <xf numFmtId="49" fontId="63" fillId="28" borderId="150" xfId="49" applyNumberFormat="1" applyFont="1" applyFill="1" applyBorder="1" applyAlignment="1" applyProtection="1">
      <alignment horizontal="center" vertical="center" wrapText="1"/>
      <protection locked="0"/>
    </xf>
    <xf numFmtId="177" fontId="63" fillId="28" borderId="150" xfId="49" applyNumberFormat="1" applyFont="1" applyFill="1" applyBorder="1" applyAlignment="1">
      <alignment vertical="center" wrapText="1"/>
    </xf>
    <xf numFmtId="177" fontId="64" fillId="28" borderId="150" xfId="49" applyNumberFormat="1" applyFont="1" applyFill="1" applyBorder="1" applyAlignment="1">
      <alignment vertical="center" wrapText="1"/>
    </xf>
    <xf numFmtId="177" fontId="102" fillId="0" borderId="150" xfId="49" applyNumberFormat="1" applyFont="1" applyFill="1" applyBorder="1" applyAlignment="1">
      <alignment horizontal="left" vertical="center" wrapText="1" indent="1"/>
    </xf>
    <xf numFmtId="42" fontId="0" fillId="28" borderId="151" xfId="0" applyNumberFormat="1" applyFill="1" applyBorder="1" applyAlignment="1">
      <alignment horizontal="center" vertical="center"/>
    </xf>
    <xf numFmtId="169" fontId="0" fillId="0" borderId="151" xfId="0" applyNumberFormat="1" applyBorder="1" applyAlignment="1">
      <alignment horizontal="right" vertical="center"/>
    </xf>
    <xf numFmtId="169" fontId="0" fillId="28" borderId="151" xfId="0" applyNumberFormat="1" applyFill="1" applyBorder="1" applyAlignment="1">
      <alignment horizontal="right" vertical="center"/>
    </xf>
    <xf numFmtId="166" fontId="44" fillId="0" borderId="48" xfId="2" applyNumberFormat="1" applyFont="1" applyFill="1" applyBorder="1" applyAlignment="1">
      <alignment vertical="center"/>
    </xf>
    <xf numFmtId="0" fontId="3" fillId="0" borderId="156" xfId="0" applyFont="1" applyFill="1" applyBorder="1" applyAlignment="1">
      <alignment horizontal="center"/>
    </xf>
    <xf numFmtId="0" fontId="8" fillId="0" borderId="156" xfId="0" applyFont="1" applyFill="1" applyBorder="1" applyAlignment="1">
      <alignment horizontal="center"/>
    </xf>
    <xf numFmtId="0" fontId="13" fillId="0" borderId="156" xfId="0" applyFont="1" applyFill="1" applyBorder="1" applyAlignment="1">
      <alignment horizontal="center"/>
    </xf>
    <xf numFmtId="0" fontId="49" fillId="28" borderId="156" xfId="0" applyFont="1" applyFill="1" applyBorder="1" applyAlignment="1">
      <alignment horizontal="center"/>
    </xf>
    <xf numFmtId="0" fontId="13" fillId="0" borderId="157" xfId="0" applyFont="1" applyFill="1" applyBorder="1" applyAlignment="1">
      <alignment horizontal="center"/>
    </xf>
    <xf numFmtId="166" fontId="44" fillId="0" borderId="150" xfId="2" applyNumberFormat="1" applyFont="1" applyFill="1" applyBorder="1" applyAlignment="1">
      <alignment horizontal="center" vertical="center" wrapText="1"/>
    </xf>
    <xf numFmtId="0" fontId="46" fillId="0" borderId="150" xfId="0" applyFont="1" applyFill="1" applyBorder="1" applyAlignment="1">
      <alignment horizontal="left" vertical="center" wrapText="1"/>
    </xf>
    <xf numFmtId="166" fontId="44" fillId="24" borderId="129" xfId="2" applyNumberFormat="1" applyFont="1" applyFill="1" applyBorder="1" applyAlignment="1">
      <alignment horizontal="center" vertical="center" wrapText="1"/>
    </xf>
    <xf numFmtId="0" fontId="46" fillId="0" borderId="129" xfId="0" applyFont="1" applyFill="1" applyBorder="1" applyAlignment="1">
      <alignment horizontal="left" vertical="center" wrapText="1"/>
    </xf>
    <xf numFmtId="0" fontId="41" fillId="30" borderId="136" xfId="0" applyFont="1" applyFill="1" applyBorder="1"/>
    <xf numFmtId="0" fontId="42" fillId="30" borderId="136" xfId="0" applyFont="1" applyFill="1" applyBorder="1"/>
    <xf numFmtId="0" fontId="45" fillId="30" borderId="136" xfId="0" applyFont="1" applyFill="1" applyBorder="1"/>
    <xf numFmtId="0" fontId="44" fillId="0" borderId="158" xfId="0" applyFont="1" applyFill="1" applyBorder="1" applyAlignment="1">
      <alignment horizontal="center" vertical="center" wrapText="1"/>
    </xf>
    <xf numFmtId="166" fontId="44" fillId="0" borderId="158" xfId="2" applyNumberFormat="1" applyFont="1" applyFill="1" applyBorder="1" applyAlignment="1">
      <alignment horizontal="center" vertical="center" wrapText="1"/>
    </xf>
    <xf numFmtId="0" fontId="46" fillId="0" borderId="158" xfId="0" applyFont="1" applyFill="1" applyBorder="1" applyAlignment="1">
      <alignment horizontal="left" vertical="center" wrapText="1"/>
    </xf>
    <xf numFmtId="0" fontId="41" fillId="0" borderId="158" xfId="0" applyFont="1" applyFill="1" applyBorder="1"/>
    <xf numFmtId="166" fontId="44" fillId="24" borderId="129" xfId="0" applyNumberFormat="1" applyFont="1" applyFill="1" applyBorder="1"/>
    <xf numFmtId="0" fontId="41" fillId="0" borderId="129" xfId="0" applyFont="1" applyFill="1" applyBorder="1"/>
    <xf numFmtId="0" fontId="45" fillId="0" borderId="158" xfId="0" applyFont="1" applyFill="1" applyBorder="1"/>
    <xf numFmtId="166" fontId="44" fillId="24" borderId="129" xfId="2" applyNumberFormat="1" applyFont="1" applyFill="1" applyBorder="1" applyAlignment="1">
      <alignment vertical="center" wrapText="1"/>
    </xf>
    <xf numFmtId="166" fontId="46" fillId="0" borderId="129" xfId="2" applyNumberFormat="1" applyFont="1" applyFill="1" applyBorder="1" applyAlignment="1">
      <alignment vertical="center" wrapText="1"/>
    </xf>
    <xf numFmtId="0" fontId="46" fillId="0" borderId="158" xfId="0" applyFont="1" applyFill="1" applyBorder="1" applyAlignment="1">
      <alignment vertical="center" wrapText="1"/>
    </xf>
    <xf numFmtId="166" fontId="45" fillId="0" borderId="158" xfId="2" applyNumberFormat="1" applyFont="1" applyFill="1" applyBorder="1" applyAlignment="1">
      <alignment vertical="center" wrapText="1"/>
    </xf>
    <xf numFmtId="171" fontId="46" fillId="0" borderId="158" xfId="2" applyNumberFormat="1" applyFont="1" applyFill="1" applyBorder="1" applyAlignment="1">
      <alignment vertical="center" wrapText="1"/>
    </xf>
    <xf numFmtId="166" fontId="44" fillId="24" borderId="123" xfId="2" applyNumberFormat="1" applyFont="1" applyFill="1" applyBorder="1" applyAlignment="1">
      <alignment horizontal="center" vertical="center" wrapText="1"/>
    </xf>
    <xf numFmtId="166" fontId="44" fillId="24" borderId="50" xfId="0" applyNumberFormat="1" applyFont="1" applyFill="1" applyBorder="1"/>
    <xf numFmtId="0" fontId="48" fillId="28" borderId="3" xfId="0" applyFont="1" applyFill="1" applyBorder="1" applyAlignment="1">
      <alignment horizontal="center" vertical="center"/>
    </xf>
    <xf numFmtId="0" fontId="63" fillId="0" borderId="3" xfId="0" applyFont="1" applyBorder="1" applyAlignment="1">
      <alignment horizontal="left" vertical="center" wrapText="1"/>
    </xf>
    <xf numFmtId="0" fontId="48" fillId="28" borderId="48" xfId="0" applyFont="1" applyFill="1" applyBorder="1" applyAlignment="1">
      <alignment horizontal="center" vertical="center"/>
    </xf>
    <xf numFmtId="0" fontId="48" fillId="28" borderId="59" xfId="0" applyFont="1" applyFill="1" applyBorder="1" applyAlignment="1">
      <alignment horizontal="center" vertical="center"/>
    </xf>
    <xf numFmtId="166" fontId="132" fillId="0" borderId="0" xfId="2" applyNumberFormat="1" applyFont="1" applyFill="1"/>
    <xf numFmtId="166" fontId="132" fillId="0" borderId="0" xfId="49" applyNumberFormat="1" applyFont="1" applyFill="1"/>
    <xf numFmtId="0" fontId="132" fillId="0" borderId="0" xfId="49" applyFont="1" applyFill="1"/>
    <xf numFmtId="167" fontId="70" fillId="0" borderId="0" xfId="1" applyNumberFormat="1" applyFont="1"/>
    <xf numFmtId="177" fontId="63" fillId="0" borderId="150" xfId="49" applyNumberFormat="1" applyFont="1" applyFill="1" applyBorder="1" applyAlignment="1">
      <alignment vertical="center" wrapText="1"/>
    </xf>
    <xf numFmtId="177" fontId="64" fillId="0" borderId="38" xfId="49" applyNumberFormat="1" applyFont="1" applyFill="1" applyBorder="1" applyAlignment="1">
      <alignment horizontal="center" vertical="center" wrapText="1"/>
    </xf>
    <xf numFmtId="177" fontId="64" fillId="0" borderId="150" xfId="49" applyNumberFormat="1" applyFont="1" applyFill="1" applyBorder="1" applyAlignment="1">
      <alignment horizontal="left" vertical="center" wrapText="1" indent="1"/>
    </xf>
    <xf numFmtId="49" fontId="63" fillId="0" borderId="150" xfId="49" applyNumberFormat="1" applyFont="1" applyFill="1" applyBorder="1" applyAlignment="1" applyProtection="1">
      <alignment horizontal="center" vertical="center" wrapText="1"/>
      <protection locked="0"/>
    </xf>
    <xf numFmtId="177" fontId="64" fillId="0" borderId="150" xfId="49" applyNumberFormat="1" applyFont="1" applyFill="1" applyBorder="1" applyAlignment="1">
      <alignment vertical="center" wrapText="1"/>
    </xf>
    <xf numFmtId="0" fontId="132" fillId="0" borderId="0" xfId="49" applyFont="1" applyFill="1" applyAlignment="1">
      <alignment wrapText="1"/>
    </xf>
    <xf numFmtId="177" fontId="63" fillId="0" borderId="40" xfId="49" applyNumberFormat="1" applyFont="1" applyFill="1" applyBorder="1" applyAlignment="1">
      <alignment vertical="center" wrapText="1"/>
    </xf>
    <xf numFmtId="177" fontId="64" fillId="0" borderId="62" xfId="49" applyNumberFormat="1" applyFont="1" applyFill="1" applyBorder="1" applyAlignment="1">
      <alignment vertical="center" wrapText="1"/>
    </xf>
    <xf numFmtId="177" fontId="64" fillId="0" borderId="63" xfId="49" applyNumberFormat="1" applyFont="1" applyFill="1" applyBorder="1" applyAlignment="1">
      <alignment vertical="center" wrapText="1"/>
    </xf>
    <xf numFmtId="175" fontId="63" fillId="0" borderId="95" xfId="77" applyNumberFormat="1" applyFont="1" applyFill="1" applyBorder="1" applyAlignment="1" applyProtection="1">
      <alignment vertical="center"/>
    </xf>
    <xf numFmtId="0" fontId="41" fillId="0" borderId="128" xfId="0" applyFont="1" applyFill="1" applyBorder="1" applyAlignment="1">
      <alignment horizontal="center" vertical="center" wrapText="1"/>
    </xf>
    <xf numFmtId="166" fontId="45" fillId="0" borderId="158" xfId="2" applyNumberFormat="1" applyFont="1" applyFill="1" applyBorder="1" applyAlignment="1">
      <alignment horizontal="center" vertical="center" wrapText="1"/>
    </xf>
    <xf numFmtId="166" fontId="41" fillId="0" borderId="54" xfId="2" applyNumberFormat="1" applyFont="1" applyFill="1" applyBorder="1" applyAlignment="1">
      <alignment horizontal="center" vertical="center" wrapText="1"/>
    </xf>
    <xf numFmtId="0" fontId="47" fillId="0" borderId="54" xfId="0" applyFont="1" applyFill="1" applyBorder="1" applyAlignment="1">
      <alignment horizontal="center" vertical="center" textRotation="90"/>
    </xf>
    <xf numFmtId="0" fontId="45" fillId="0" borderId="136" xfId="0" applyFont="1" applyFill="1" applyBorder="1" applyAlignment="1">
      <alignment horizontal="left" vertical="center" wrapText="1"/>
    </xf>
    <xf numFmtId="166" fontId="44" fillId="0" borderId="158" xfId="2" applyNumberFormat="1" applyFont="1" applyFill="1" applyBorder="1" applyAlignment="1">
      <alignment vertical="center" wrapText="1"/>
    </xf>
    <xf numFmtId="0" fontId="44" fillId="0" borderId="136" xfId="0" applyFont="1" applyFill="1" applyBorder="1" applyAlignment="1">
      <alignment horizontal="center" vertical="center" wrapText="1"/>
    </xf>
    <xf numFmtId="171" fontId="46" fillId="0" borderId="161" xfId="2" applyNumberFormat="1" applyFont="1" applyFill="1" applyBorder="1" applyAlignment="1">
      <alignment vertical="center" wrapText="1"/>
    </xf>
    <xf numFmtId="0" fontId="41" fillId="0" borderId="101" xfId="0" applyFont="1" applyFill="1" applyBorder="1" applyAlignment="1">
      <alignment textRotation="90"/>
    </xf>
    <xf numFmtId="0" fontId="41" fillId="0" borderId="57" xfId="0" applyFont="1" applyFill="1" applyBorder="1" applyAlignment="1">
      <alignment vertical="center" wrapText="1"/>
    </xf>
    <xf numFmtId="0" fontId="47" fillId="0" borderId="54" xfId="0" applyFont="1" applyFill="1" applyBorder="1" applyAlignment="1">
      <alignment horizontal="center" vertical="center" textRotation="90"/>
    </xf>
    <xf numFmtId="166" fontId="41" fillId="0" borderId="54" xfId="2" applyNumberFormat="1" applyFont="1" applyFill="1" applyBorder="1" applyAlignment="1">
      <alignment horizontal="center" vertical="center" wrapText="1"/>
    </xf>
    <xf numFmtId="0" fontId="41" fillId="0" borderId="54" xfId="0" applyFont="1" applyFill="1" applyBorder="1" applyAlignment="1">
      <alignment horizontal="center" vertical="center" textRotation="90"/>
    </xf>
    <xf numFmtId="166" fontId="44" fillId="0" borderId="50" xfId="2" applyNumberFormat="1" applyFont="1" applyFill="1" applyBorder="1" applyAlignment="1">
      <alignment vertical="center"/>
    </xf>
    <xf numFmtId="0" fontId="41" fillId="0" borderId="101" xfId="0" applyFont="1" applyFill="1" applyBorder="1"/>
    <xf numFmtId="166" fontId="45" fillId="0" borderId="161" xfId="2" applyNumberFormat="1" applyFont="1" applyFill="1" applyBorder="1" applyAlignment="1">
      <alignment vertical="center" wrapText="1"/>
    </xf>
    <xf numFmtId="0" fontId="46" fillId="0" borderId="161" xfId="0" applyFont="1" applyFill="1" applyBorder="1" applyAlignment="1">
      <alignment horizontal="left" vertical="center" wrapText="1"/>
    </xf>
    <xf numFmtId="166" fontId="44" fillId="0" borderId="161" xfId="2" applyNumberFormat="1" applyFont="1" applyFill="1" applyBorder="1" applyAlignment="1">
      <alignment vertical="center" wrapText="1"/>
    </xf>
    <xf numFmtId="0" fontId="41" fillId="0" borderId="57" xfId="0" applyFont="1" applyFill="1" applyBorder="1" applyAlignment="1">
      <alignment vertical="center" textRotation="90"/>
    </xf>
    <xf numFmtId="0" fontId="10" fillId="0" borderId="93" xfId="0" applyFont="1" applyFill="1" applyBorder="1" applyAlignment="1">
      <alignment horizontal="left" vertical="center" wrapText="1"/>
    </xf>
    <xf numFmtId="166" fontId="45" fillId="0" borderId="161" xfId="2" applyNumberFormat="1" applyFont="1" applyFill="1" applyBorder="1" applyAlignment="1">
      <alignment horizontal="center" vertical="center" wrapText="1"/>
    </xf>
    <xf numFmtId="0" fontId="45" fillId="0" borderId="128" xfId="0" applyFont="1" applyFill="1" applyBorder="1" applyAlignment="1">
      <alignment horizontal="center" vertical="center" textRotation="90" wrapText="1"/>
    </xf>
    <xf numFmtId="0" fontId="41" fillId="0" borderId="128" xfId="0" applyFont="1" applyFill="1" applyBorder="1" applyAlignment="1">
      <alignment horizontal="center" vertical="center" wrapText="1"/>
    </xf>
    <xf numFmtId="0" fontId="41" fillId="0" borderId="136" xfId="0" applyFont="1" applyFill="1" applyBorder="1" applyAlignment="1">
      <alignment horizontal="center" vertical="center" wrapText="1"/>
    </xf>
    <xf numFmtId="0" fontId="56" fillId="0" borderId="0" xfId="67" applyFont="1" applyAlignment="1">
      <alignment horizontal="center"/>
    </xf>
    <xf numFmtId="0" fontId="52" fillId="0" borderId="0" xfId="67" applyFont="1" applyAlignment="1">
      <alignment horizontal="center"/>
    </xf>
    <xf numFmtId="167" fontId="52" fillId="0" borderId="0" xfId="32" applyNumberFormat="1" applyFont="1" applyFill="1" applyBorder="1" applyAlignment="1">
      <alignment horizontal="center"/>
    </xf>
    <xf numFmtId="0" fontId="67" fillId="0" borderId="0" xfId="49" applyFont="1" applyAlignment="1">
      <alignment vertical="center"/>
    </xf>
    <xf numFmtId="0" fontId="41" fillId="0" borderId="71" xfId="0" applyFont="1" applyFill="1" applyBorder="1" applyAlignment="1">
      <alignment horizontal="left" vertical="center"/>
    </xf>
    <xf numFmtId="166" fontId="44" fillId="0" borderId="150" xfId="0" applyNumberFormat="1" applyFont="1" applyFill="1" applyBorder="1" applyAlignment="1">
      <alignment vertical="center" wrapText="1"/>
    </xf>
    <xf numFmtId="0" fontId="41" fillId="0" borderId="128" xfId="0" applyFont="1" applyFill="1" applyBorder="1" applyAlignment="1">
      <alignment vertical="center" wrapText="1"/>
    </xf>
    <xf numFmtId="0" fontId="45" fillId="0" borderId="161" xfId="0" applyFont="1" applyFill="1" applyBorder="1" applyAlignment="1">
      <alignment horizontal="left" vertical="center" wrapText="1"/>
    </xf>
    <xf numFmtId="166" fontId="41" fillId="30" borderId="0" xfId="0" applyNumberFormat="1" applyFont="1" applyFill="1"/>
    <xf numFmtId="166" fontId="44" fillId="24" borderId="128" xfId="2" applyNumberFormat="1" applyFont="1" applyFill="1" applyBorder="1" applyAlignment="1">
      <alignment vertical="center" wrapText="1"/>
    </xf>
    <xf numFmtId="166" fontId="133" fillId="0" borderId="0" xfId="0" applyNumberFormat="1" applyFont="1" applyFill="1"/>
    <xf numFmtId="0" fontId="41" fillId="0" borderId="131" xfId="0" applyFont="1" applyFill="1" applyBorder="1"/>
    <xf numFmtId="0" fontId="4" fillId="0" borderId="144" xfId="0" applyFont="1" applyFill="1" applyBorder="1" applyAlignment="1">
      <alignment vertical="center" wrapText="1"/>
    </xf>
    <xf numFmtId="166" fontId="4" fillId="0" borderId="131" xfId="0" applyNumberFormat="1" applyFont="1" applyFill="1" applyBorder="1" applyAlignment="1">
      <alignment vertical="center" wrapText="1"/>
    </xf>
    <xf numFmtId="172" fontId="0" fillId="0" borderId="0" xfId="0" applyNumberFormat="1" applyFill="1"/>
    <xf numFmtId="166" fontId="4" fillId="0" borderId="69" xfId="2" applyNumberFormat="1" applyFont="1" applyFill="1" applyBorder="1" applyAlignment="1">
      <alignment horizontal="center" vertical="center"/>
    </xf>
    <xf numFmtId="0" fontId="10" fillId="0" borderId="162" xfId="0" applyFont="1" applyFill="1" applyBorder="1" applyAlignment="1">
      <alignment horizontal="left" vertical="center" wrapText="1"/>
    </xf>
    <xf numFmtId="0" fontId="63" fillId="0" borderId="66" xfId="130" applyFont="1" applyBorder="1" applyAlignment="1">
      <alignment vertical="center" wrapText="1"/>
    </xf>
    <xf numFmtId="166" fontId="94" fillId="0" borderId="69" xfId="2" applyNumberFormat="1" applyFont="1" applyBorder="1"/>
    <xf numFmtId="166" fontId="94" fillId="0" borderId="4" xfId="2" applyNumberFormat="1" applyFont="1" applyBorder="1"/>
    <xf numFmtId="166" fontId="94" fillId="0" borderId="69" xfId="2" applyNumberFormat="1" applyFont="1" applyFill="1" applyBorder="1"/>
    <xf numFmtId="0" fontId="63" fillId="0" borderId="48" xfId="130" applyFont="1" applyBorder="1" applyAlignment="1">
      <alignment vertical="center" wrapText="1"/>
    </xf>
    <xf numFmtId="0" fontId="48" fillId="28" borderId="66" xfId="0" applyFont="1" applyFill="1" applyBorder="1" applyAlignment="1">
      <alignment horizontal="center" vertical="center"/>
    </xf>
    <xf numFmtId="166" fontId="94" fillId="0" borderId="164" xfId="2" applyNumberFormat="1" applyFont="1" applyBorder="1"/>
    <xf numFmtId="0" fontId="63" fillId="0" borderId="3" xfId="130" applyFont="1" applyBorder="1" applyAlignment="1">
      <alignment vertical="center" wrapText="1"/>
    </xf>
    <xf numFmtId="0" fontId="63" fillId="0" borderId="59" xfId="130" applyFont="1" applyBorder="1" applyAlignment="1">
      <alignment vertical="center" wrapText="1"/>
    </xf>
    <xf numFmtId="166" fontId="94" fillId="0" borderId="60" xfId="2" applyNumberFormat="1" applyFont="1" applyBorder="1"/>
    <xf numFmtId="44" fontId="0" fillId="28" borderId="0" xfId="2" applyFont="1" applyFill="1"/>
    <xf numFmtId="0" fontId="56" fillId="0" borderId="131" xfId="68" applyFont="1" applyBorder="1" applyAlignment="1">
      <alignment horizontal="center" vertical="center" wrapText="1"/>
    </xf>
    <xf numFmtId="167" fontId="56" fillId="0" borderId="128" xfId="32" applyNumberFormat="1" applyFont="1" applyBorder="1" applyAlignment="1">
      <alignment horizontal="center" wrapText="1"/>
    </xf>
    <xf numFmtId="0" fontId="56" fillId="0" borderId="161" xfId="68" applyFont="1" applyBorder="1" applyAlignment="1">
      <alignment horizontal="center"/>
    </xf>
    <xf numFmtId="0" fontId="56" fillId="0" borderId="128" xfId="68" applyFont="1" applyBorder="1" applyAlignment="1">
      <alignment horizontal="center" vertical="center" wrapText="1"/>
    </xf>
    <xf numFmtId="0" fontId="56" fillId="0" borderId="136" xfId="68" applyFont="1" applyBorder="1" applyAlignment="1">
      <alignment horizontal="center"/>
    </xf>
    <xf numFmtId="0" fontId="52" fillId="0" borderId="128" xfId="68" applyFont="1" applyBorder="1" applyAlignment="1">
      <alignment vertical="center"/>
    </xf>
    <xf numFmtId="166" fontId="52" fillId="0" borderId="128" xfId="59" applyNumberFormat="1" applyFont="1" applyBorder="1" applyAlignment="1">
      <alignment vertical="center"/>
    </xf>
    <xf numFmtId="9" fontId="52" fillId="0" borderId="128" xfId="69" applyFont="1" applyBorder="1" applyAlignment="1">
      <alignment vertical="center"/>
    </xf>
    <xf numFmtId="166" fontId="52" fillId="0" borderId="128" xfId="59" applyNumberFormat="1" applyFont="1" applyBorder="1" applyAlignment="1">
      <alignment horizontal="center" vertical="center"/>
    </xf>
    <xf numFmtId="14" fontId="52" fillId="0" borderId="128" xfId="68" applyNumberFormat="1" applyFont="1" applyBorder="1" applyAlignment="1">
      <alignment horizontal="center" vertical="center"/>
    </xf>
    <xf numFmtId="0" fontId="52" fillId="0" borderId="128" xfId="68" applyFont="1" applyBorder="1" applyAlignment="1">
      <alignment horizontal="center" vertical="center"/>
    </xf>
    <xf numFmtId="49" fontId="52" fillId="0" borderId="128" xfId="68" applyNumberFormat="1" applyFont="1" applyBorder="1" applyAlignment="1">
      <alignment horizontal="center" vertical="center"/>
    </xf>
    <xf numFmtId="0" fontId="52" fillId="0" borderId="128" xfId="68" applyFont="1" applyBorder="1" applyAlignment="1">
      <alignment vertical="center" wrapText="1"/>
    </xf>
    <xf numFmtId="166" fontId="52" fillId="0" borderId="128" xfId="59" applyNumberFormat="1" applyFont="1" applyBorder="1" applyAlignment="1">
      <alignment horizontal="left" vertical="center" wrapText="1"/>
    </xf>
    <xf numFmtId="14" fontId="52" fillId="0" borderId="128" xfId="68" applyNumberFormat="1" applyFont="1" applyBorder="1" applyAlignment="1">
      <alignment horizontal="center" vertical="center" wrapText="1"/>
    </xf>
    <xf numFmtId="180" fontId="52" fillId="0" borderId="128" xfId="131" applyNumberFormat="1" applyFont="1" applyBorder="1" applyAlignment="1">
      <alignment horizontal="center" vertical="center"/>
    </xf>
    <xf numFmtId="10" fontId="52" fillId="0" borderId="128" xfId="131" applyNumberFormat="1" applyFont="1" applyBorder="1" applyAlignment="1">
      <alignment horizontal="center" vertical="center"/>
    </xf>
    <xf numFmtId="166" fontId="56" fillId="0" borderId="128" xfId="59" applyNumberFormat="1" applyFont="1" applyFill="1" applyBorder="1" applyAlignment="1">
      <alignment horizontal="center" vertical="center"/>
    </xf>
    <xf numFmtId="9" fontId="56" fillId="0" borderId="128" xfId="69" applyFont="1" applyFill="1" applyBorder="1" applyAlignment="1">
      <alignment horizontal="center" vertical="center"/>
    </xf>
    <xf numFmtId="167" fontId="56" fillId="0" borderId="128" xfId="32" applyNumberFormat="1" applyFont="1" applyFill="1" applyBorder="1" applyAlignment="1">
      <alignment horizontal="center" vertical="center"/>
    </xf>
    <xf numFmtId="14" fontId="56" fillId="0" borderId="128" xfId="68" applyNumberFormat="1" applyFont="1" applyBorder="1" applyAlignment="1">
      <alignment horizontal="center" vertical="center"/>
    </xf>
    <xf numFmtId="0" fontId="56" fillId="0" borderId="128" xfId="68" applyFont="1" applyBorder="1" applyAlignment="1">
      <alignment vertical="center"/>
    </xf>
    <xf numFmtId="0" fontId="128" fillId="0" borderId="128" xfId="49" applyFont="1" applyBorder="1" applyAlignment="1">
      <alignment horizontal="center" vertical="center" wrapText="1"/>
    </xf>
    <xf numFmtId="0" fontId="126" fillId="0" borderId="128" xfId="49" applyFont="1" applyBorder="1" applyAlignment="1">
      <alignment horizontal="center" vertical="center" wrapText="1"/>
    </xf>
    <xf numFmtId="0" fontId="24" fillId="0" borderId="168" xfId="49" applyFont="1" applyBorder="1" applyAlignment="1">
      <alignment horizontal="center" vertical="center" wrapText="1"/>
    </xf>
    <xf numFmtId="0" fontId="24" fillId="0" borderId="33" xfId="49" applyFont="1" applyBorder="1" applyAlignment="1">
      <alignment horizontal="left" vertical="center" wrapText="1"/>
    </xf>
    <xf numFmtId="166" fontId="24" fillId="0" borderId="33" xfId="2" applyNumberFormat="1" applyFont="1" applyBorder="1" applyAlignment="1">
      <alignment horizontal="right" vertical="center" wrapText="1"/>
    </xf>
    <xf numFmtId="166" fontId="24" fillId="0" borderId="143" xfId="2" applyNumberFormat="1" applyFont="1" applyBorder="1" applyAlignment="1">
      <alignment horizontal="right" vertical="center" wrapText="1"/>
    </xf>
    <xf numFmtId="0" fontId="24" fillId="0" borderId="156" xfId="49" applyFont="1" applyBorder="1" applyAlignment="1">
      <alignment horizontal="center" vertical="center" wrapText="1"/>
    </xf>
    <xf numFmtId="0" fontId="24" fillId="0" borderId="48" xfId="49" applyFont="1" applyBorder="1" applyAlignment="1">
      <alignment horizontal="left" vertical="center" wrapText="1"/>
    </xf>
    <xf numFmtId="166" fontId="24" fillId="0" borderId="48" xfId="2" applyNumberFormat="1" applyFont="1" applyBorder="1" applyAlignment="1">
      <alignment horizontal="right" vertical="center" wrapText="1"/>
    </xf>
    <xf numFmtId="166" fontId="24" fillId="0" borderId="69" xfId="2" applyNumberFormat="1" applyFont="1" applyBorder="1" applyAlignment="1">
      <alignment horizontal="right" vertical="center" wrapText="1"/>
    </xf>
    <xf numFmtId="0" fontId="78" fillId="0" borderId="156" xfId="49" applyFont="1" applyBorder="1" applyAlignment="1">
      <alignment horizontal="center" vertical="center" wrapText="1"/>
    </xf>
    <xf numFmtId="0" fontId="78" fillId="0" borderId="48" xfId="49" applyFont="1" applyBorder="1" applyAlignment="1">
      <alignment horizontal="left" vertical="center" wrapText="1"/>
    </xf>
    <xf numFmtId="166" fontId="78" fillId="0" borderId="48" xfId="2" applyNumberFormat="1" applyFont="1" applyBorder="1" applyAlignment="1">
      <alignment horizontal="right" vertical="center" wrapText="1"/>
    </xf>
    <xf numFmtId="166" fontId="78" fillId="0" borderId="69" xfId="2" applyNumberFormat="1" applyFont="1" applyBorder="1" applyAlignment="1">
      <alignment horizontal="right" vertical="center" wrapText="1"/>
    </xf>
    <xf numFmtId="0" fontId="78" fillId="0" borderId="157" xfId="49" applyFont="1" applyBorder="1" applyAlignment="1">
      <alignment horizontal="center" vertical="center" wrapText="1"/>
    </xf>
    <xf numFmtId="0" fontId="78" fillId="0" borderId="59" xfId="49" applyFont="1" applyBorder="1" applyAlignment="1">
      <alignment horizontal="left" vertical="center" wrapText="1"/>
    </xf>
    <xf numFmtId="166" fontId="78" fillId="0" borderId="59" xfId="2" applyNumberFormat="1" applyFont="1" applyBorder="1" applyAlignment="1">
      <alignment horizontal="right" vertical="center" wrapText="1"/>
    </xf>
    <xf numFmtId="166" fontId="78" fillId="0" borderId="60" xfId="2" applyNumberFormat="1" applyFont="1" applyBorder="1" applyAlignment="1">
      <alignment horizontal="right" vertical="center" wrapText="1"/>
    </xf>
    <xf numFmtId="0" fontId="80" fillId="28" borderId="156" xfId="72" applyFill="1" applyBorder="1" applyAlignment="1">
      <alignment horizontal="center" vertical="center"/>
    </xf>
    <xf numFmtId="0" fontId="80" fillId="28" borderId="48" xfId="72" applyFill="1" applyBorder="1" applyAlignment="1">
      <alignment horizontal="left" vertical="center" wrapText="1" indent="1"/>
    </xf>
    <xf numFmtId="166" fontId="90" fillId="28" borderId="66" xfId="2" applyNumberFormat="1" applyFont="1" applyFill="1" applyBorder="1" applyAlignment="1" applyProtection="1">
      <alignment horizontal="right" vertical="center"/>
      <protection locked="0"/>
    </xf>
    <xf numFmtId="166" fontId="90" fillId="28" borderId="66" xfId="2" applyNumberFormat="1" applyFont="1" applyFill="1" applyBorder="1" applyAlignment="1">
      <alignment vertical="center"/>
    </xf>
    <xf numFmtId="166" fontId="90" fillId="28" borderId="163" xfId="2" applyNumberFormat="1" applyFont="1" applyFill="1" applyBorder="1" applyAlignment="1">
      <alignment vertical="center"/>
    </xf>
    <xf numFmtId="0" fontId="78" fillId="0" borderId="140" xfId="49" applyFont="1" applyBorder="1" applyAlignment="1">
      <alignment horizontal="center" vertical="center" wrapText="1"/>
    </xf>
    <xf numFmtId="0" fontId="23" fillId="0" borderId="0" xfId="49" applyAlignment="1">
      <alignment vertical="center"/>
    </xf>
    <xf numFmtId="0" fontId="63" fillId="25" borderId="27" xfId="49" applyFont="1" applyFill="1" applyBorder="1"/>
    <xf numFmtId="0" fontId="100" fillId="25" borderId="56" xfId="76" applyFont="1" applyFill="1" applyBorder="1"/>
    <xf numFmtId="0" fontId="101" fillId="25" borderId="169" xfId="76" applyFont="1" applyFill="1" applyBorder="1" applyAlignment="1">
      <alignment horizontal="center" vertical="center" textRotation="90"/>
    </xf>
    <xf numFmtId="0" fontId="101" fillId="25" borderId="172" xfId="76" applyFont="1" applyFill="1" applyBorder="1" applyAlignment="1">
      <alignment horizontal="center" vertical="center" wrapText="1"/>
    </xf>
    <xf numFmtId="0" fontId="101" fillId="25" borderId="173" xfId="76" applyFont="1" applyFill="1" applyBorder="1" applyAlignment="1">
      <alignment horizontal="center" vertical="center" wrapText="1"/>
    </xf>
    <xf numFmtId="0" fontId="101" fillId="25" borderId="174" xfId="76" applyFont="1" applyFill="1" applyBorder="1" applyAlignment="1">
      <alignment horizontal="center" vertical="center"/>
    </xf>
    <xf numFmtId="175" fontId="63" fillId="0" borderId="108" xfId="77" applyNumberFormat="1" applyFont="1" applyFill="1" applyBorder="1" applyAlignment="1" applyProtection="1">
      <alignment vertical="center"/>
    </xf>
    <xf numFmtId="0" fontId="101" fillId="25" borderId="178" xfId="76" applyFont="1" applyFill="1" applyBorder="1" applyAlignment="1">
      <alignment horizontal="center" vertical="center"/>
    </xf>
    <xf numFmtId="175" fontId="102" fillId="25" borderId="179" xfId="77" applyNumberFormat="1" applyFont="1" applyFill="1" applyBorder="1" applyAlignment="1" applyProtection="1">
      <alignment vertical="center"/>
    </xf>
    <xf numFmtId="0" fontId="101" fillId="25" borderId="180" xfId="76" applyFont="1" applyFill="1" applyBorder="1" applyAlignment="1">
      <alignment horizontal="center" vertical="center"/>
    </xf>
    <xf numFmtId="175" fontId="100" fillId="25" borderId="173" xfId="76" applyNumberFormat="1" applyFont="1" applyFill="1" applyBorder="1" applyAlignment="1">
      <alignment horizontal="left" vertical="center"/>
    </xf>
    <xf numFmtId="0" fontId="101" fillId="25" borderId="56" xfId="76" applyFont="1" applyFill="1" applyBorder="1" applyAlignment="1">
      <alignment horizontal="center"/>
    </xf>
    <xf numFmtId="0" fontId="101" fillId="25" borderId="0" xfId="76" applyFont="1" applyFill="1" applyAlignment="1">
      <alignment horizontal="center"/>
    </xf>
    <xf numFmtId="0" fontId="101" fillId="25" borderId="184" xfId="76" applyFont="1" applyFill="1" applyBorder="1" applyAlignment="1">
      <alignment horizontal="left"/>
    </xf>
    <xf numFmtId="0" fontId="100" fillId="25" borderId="184" xfId="76" applyFont="1" applyFill="1" applyBorder="1"/>
    <xf numFmtId="0" fontId="101" fillId="25" borderId="185" xfId="76" applyFont="1" applyFill="1" applyBorder="1" applyAlignment="1">
      <alignment horizontal="center" vertical="center" wrapText="1"/>
    </xf>
    <xf numFmtId="0" fontId="101" fillId="25" borderId="186" xfId="76" applyFont="1" applyFill="1" applyBorder="1" applyAlignment="1">
      <alignment horizontal="center" vertical="center"/>
    </xf>
    <xf numFmtId="175" fontId="102" fillId="25" borderId="186" xfId="77" applyNumberFormat="1" applyFont="1" applyFill="1" applyBorder="1" applyAlignment="1" applyProtection="1">
      <alignment vertical="center"/>
    </xf>
    <xf numFmtId="175" fontId="63" fillId="0" borderId="186" xfId="77" applyNumberFormat="1" applyFont="1" applyFill="1" applyBorder="1" applyAlignment="1">
      <alignment horizontal="right" vertical="center"/>
    </xf>
    <xf numFmtId="175" fontId="64" fillId="25" borderId="136" xfId="77" applyNumberFormat="1" applyFont="1" applyFill="1" applyBorder="1" applyAlignment="1">
      <alignment horizontal="right" vertical="center"/>
    </xf>
    <xf numFmtId="0" fontId="63" fillId="25" borderId="189" xfId="78" applyFont="1" applyFill="1" applyBorder="1" applyAlignment="1">
      <alignment horizontal="center" vertical="center"/>
    </xf>
    <xf numFmtId="175" fontId="103" fillId="25" borderId="134" xfId="77" applyNumberFormat="1" applyFont="1" applyFill="1" applyBorder="1" applyAlignment="1" applyProtection="1">
      <alignment vertical="center"/>
    </xf>
    <xf numFmtId="175" fontId="63" fillId="25" borderId="134" xfId="77" applyNumberFormat="1" applyFont="1" applyFill="1" applyBorder="1" applyAlignment="1" applyProtection="1">
      <alignment vertical="center"/>
    </xf>
    <xf numFmtId="49" fontId="63" fillId="0" borderId="190" xfId="49" applyNumberFormat="1" applyFont="1" applyFill="1" applyBorder="1" applyAlignment="1" applyProtection="1">
      <alignment horizontal="center" vertical="center" wrapText="1"/>
      <protection locked="0"/>
    </xf>
    <xf numFmtId="177" fontId="63" fillId="0" borderId="190" xfId="49" applyNumberFormat="1" applyFont="1" applyFill="1" applyBorder="1" applyAlignment="1">
      <alignment vertical="center" wrapText="1"/>
    </xf>
    <xf numFmtId="42" fontId="0" fillId="28" borderId="191" xfId="0" applyNumberFormat="1" applyFill="1" applyBorder="1" applyAlignment="1">
      <alignment horizontal="right" vertical="center"/>
    </xf>
    <xf numFmtId="0" fontId="54" fillId="0" borderId="82" xfId="0" applyFont="1" applyBorder="1" applyAlignment="1">
      <alignment horizontal="center" vertical="center" wrapText="1"/>
    </xf>
    <xf numFmtId="42" fontId="0" fillId="0" borderId="76" xfId="0" applyNumberFormat="1" applyBorder="1" applyAlignment="1">
      <alignment horizontal="center" vertical="center"/>
    </xf>
    <xf numFmtId="42" fontId="0" fillId="28" borderId="76" xfId="0" applyNumberFormat="1" applyFill="1" applyBorder="1" applyAlignment="1">
      <alignment horizontal="center" vertical="center"/>
    </xf>
    <xf numFmtId="0" fontId="54" fillId="28" borderId="8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92" xfId="0" applyBorder="1" applyAlignment="1">
      <alignment horizontal="center" vertical="center" wrapText="1"/>
    </xf>
    <xf numFmtId="42" fontId="0" fillId="28" borderId="192" xfId="0" applyNumberFormat="1" applyFill="1" applyBorder="1" applyAlignment="1">
      <alignment horizontal="center" vertical="center"/>
    </xf>
    <xf numFmtId="42" fontId="0" fillId="28" borderId="193" xfId="0" applyNumberFormat="1" applyFill="1" applyBorder="1" applyAlignment="1">
      <alignment horizontal="center" vertical="center"/>
    </xf>
    <xf numFmtId="42" fontId="0" fillId="0" borderId="193" xfId="0" applyNumberFormat="1" applyBorder="1" applyAlignment="1">
      <alignment horizontal="center" vertical="center"/>
    </xf>
    <xf numFmtId="0" fontId="0" fillId="0" borderId="192" xfId="0" applyBorder="1"/>
    <xf numFmtId="42" fontId="0" fillId="28" borderId="161" xfId="0" applyNumberFormat="1" applyFill="1" applyBorder="1" applyAlignment="1">
      <alignment horizontal="center" vertical="center"/>
    </xf>
    <xf numFmtId="42" fontId="0" fillId="0" borderId="151" xfId="0" applyNumberFormat="1" applyBorder="1" applyAlignment="1">
      <alignment horizontal="center" vertical="center"/>
    </xf>
    <xf numFmtId="169" fontId="54" fillId="0" borderId="62" xfId="0" applyNumberFormat="1" applyFont="1" applyBorder="1" applyAlignment="1">
      <alignment horizontal="center" vertical="center"/>
    </xf>
    <xf numFmtId="0" fontId="0" fillId="0" borderId="192" xfId="0" applyBorder="1" applyAlignment="1">
      <alignment vertical="center" wrapText="1"/>
    </xf>
    <xf numFmtId="169" fontId="0" fillId="28" borderId="192" xfId="0" applyNumberFormat="1" applyFill="1" applyBorder="1" applyAlignment="1">
      <alignment vertical="center"/>
    </xf>
    <xf numFmtId="169" fontId="0" fillId="28" borderId="191" xfId="0" applyNumberFormat="1" applyFill="1" applyBorder="1" applyAlignment="1">
      <alignment vertical="center"/>
    </xf>
    <xf numFmtId="42" fontId="0" fillId="28" borderId="191" xfId="0" applyNumberFormat="1" applyFill="1" applyBorder="1" applyAlignment="1">
      <alignment horizontal="center" vertical="center"/>
    </xf>
    <xf numFmtId="0" fontId="0" fillId="0" borderId="195" xfId="0" applyBorder="1" applyAlignment="1">
      <alignment vertical="center" wrapText="1"/>
    </xf>
    <xf numFmtId="0" fontId="0" fillId="0" borderId="195" xfId="0" applyBorder="1" applyAlignment="1">
      <alignment vertical="center"/>
    </xf>
    <xf numFmtId="0" fontId="0" fillId="0" borderId="192" xfId="0" applyBorder="1" applyAlignment="1">
      <alignment vertical="center"/>
    </xf>
    <xf numFmtId="0" fontId="0" fillId="0" borderId="194" xfId="0" applyBorder="1" applyAlignment="1">
      <alignment vertical="center"/>
    </xf>
    <xf numFmtId="0" fontId="0" fillId="0" borderId="192" xfId="0" applyBorder="1" applyAlignment="1">
      <alignment horizontal="left" vertical="center" wrapText="1"/>
    </xf>
    <xf numFmtId="169" fontId="0" fillId="0" borderId="192" xfId="0" applyNumberFormat="1" applyBorder="1" applyAlignment="1">
      <alignment horizontal="right" vertical="center"/>
    </xf>
    <xf numFmtId="169" fontId="0" fillId="0" borderId="191" xfId="0" applyNumberFormat="1" applyBorder="1" applyAlignment="1">
      <alignment horizontal="right" vertical="center"/>
    </xf>
    <xf numFmtId="169" fontId="0" fillId="28" borderId="191" xfId="0" applyNumberFormat="1" applyFill="1" applyBorder="1" applyAlignment="1">
      <alignment horizontal="right" vertical="center"/>
    </xf>
    <xf numFmtId="0" fontId="0" fillId="0" borderId="161" xfId="0" applyBorder="1" applyAlignment="1">
      <alignment horizontal="left" vertical="center" wrapText="1"/>
    </xf>
    <xf numFmtId="169" fontId="0" fillId="0" borderId="161" xfId="0" applyNumberFormat="1" applyBorder="1" applyAlignment="1">
      <alignment horizontal="right" vertical="center"/>
    </xf>
    <xf numFmtId="0" fontId="0" fillId="0" borderId="161" xfId="0" applyBorder="1" applyAlignment="1">
      <alignment horizontal="left" vertical="center"/>
    </xf>
    <xf numFmtId="0" fontId="0" fillId="0" borderId="192" xfId="0" applyBorder="1" applyAlignment="1">
      <alignment horizontal="left" vertical="center"/>
    </xf>
    <xf numFmtId="169" fontId="0" fillId="0" borderId="192" xfId="0" applyNumberFormat="1" applyBorder="1" applyAlignment="1">
      <alignment vertical="center"/>
    </xf>
    <xf numFmtId="169" fontId="0" fillId="0" borderId="191" xfId="0" applyNumberFormat="1" applyBorder="1" applyAlignment="1">
      <alignment vertical="center"/>
    </xf>
    <xf numFmtId="42" fontId="0" fillId="0" borderId="191" xfId="0" applyNumberFormat="1" applyBorder="1" applyAlignment="1">
      <alignment vertical="center"/>
    </xf>
    <xf numFmtId="42" fontId="0" fillId="0" borderId="192" xfId="0" applyNumberFormat="1" applyBorder="1" applyAlignment="1">
      <alignment vertical="center"/>
    </xf>
    <xf numFmtId="42" fontId="0" fillId="0" borderId="184" xfId="0" applyNumberFormat="1" applyBorder="1" applyAlignment="1">
      <alignment vertical="center"/>
    </xf>
    <xf numFmtId="169" fontId="0" fillId="0" borderId="184" xfId="0" applyNumberFormat="1" applyBorder="1" applyAlignment="1">
      <alignment vertical="center"/>
    </xf>
    <xf numFmtId="42" fontId="0" fillId="28" borderId="192" xfId="0" applyNumberFormat="1" applyFill="1" applyBorder="1" applyAlignment="1">
      <alignment vertical="center"/>
    </xf>
    <xf numFmtId="169" fontId="0" fillId="28" borderId="161" xfId="0" applyNumberFormat="1" applyFill="1" applyBorder="1" applyAlignment="1">
      <alignment vertical="center"/>
    </xf>
    <xf numFmtId="42" fontId="0" fillId="28" borderId="0" xfId="0" applyNumberFormat="1" applyFill="1"/>
    <xf numFmtId="166" fontId="0" fillId="28" borderId="191" xfId="2" applyNumberFormat="1" applyFont="1" applyFill="1" applyBorder="1" applyAlignment="1">
      <alignment horizontal="center" vertical="center"/>
    </xf>
    <xf numFmtId="42" fontId="0" fillId="28" borderId="191" xfId="0" applyNumberFormat="1" applyFill="1" applyBorder="1" applyAlignment="1">
      <alignment vertical="center"/>
    </xf>
    <xf numFmtId="166" fontId="0" fillId="0" borderId="191" xfId="2" applyNumberFormat="1" applyFont="1" applyFill="1" applyBorder="1" applyAlignment="1">
      <alignment horizontal="center" vertical="center"/>
    </xf>
    <xf numFmtId="42" fontId="0" fillId="0" borderId="191" xfId="0" applyNumberFormat="1" applyBorder="1" applyAlignment="1">
      <alignment horizontal="center" vertical="center"/>
    </xf>
    <xf numFmtId="42" fontId="0" fillId="0" borderId="192" xfId="0" applyNumberFormat="1" applyBorder="1" applyAlignment="1">
      <alignment horizontal="center" vertical="center"/>
    </xf>
    <xf numFmtId="166" fontId="0" fillId="0" borderId="192" xfId="2" applyNumberFormat="1" applyFont="1" applyFill="1" applyBorder="1" applyAlignment="1">
      <alignment horizontal="center" vertical="center"/>
    </xf>
    <xf numFmtId="169" fontId="54" fillId="0" borderId="78" xfId="0" applyNumberFormat="1" applyFont="1" applyBorder="1" applyAlignment="1">
      <alignment vertical="center"/>
    </xf>
    <xf numFmtId="169" fontId="0" fillId="0" borderId="192" xfId="0" applyNumberFormat="1" applyBorder="1" applyAlignment="1">
      <alignment horizontal="center" vertical="center"/>
    </xf>
    <xf numFmtId="169" fontId="0" fillId="0" borderId="191" xfId="0" applyNumberFormat="1" applyBorder="1" applyAlignment="1">
      <alignment horizontal="center" vertical="center"/>
    </xf>
    <xf numFmtId="0" fontId="54" fillId="0" borderId="192" xfId="0" applyFont="1" applyBorder="1" applyAlignment="1">
      <alignment horizontal="center" vertical="center" wrapText="1"/>
    </xf>
    <xf numFmtId="166" fontId="0" fillId="0" borderId="192" xfId="2" applyNumberFormat="1" applyFont="1" applyBorder="1"/>
    <xf numFmtId="42" fontId="54" fillId="0" borderId="192" xfId="0" applyNumberFormat="1" applyFont="1" applyBorder="1" applyAlignment="1">
      <alignment horizontal="center" vertical="center"/>
    </xf>
    <xf numFmtId="0" fontId="120" fillId="0" borderId="0" xfId="0" applyFont="1" applyAlignment="1">
      <alignment horizontal="left" wrapText="1"/>
    </xf>
    <xf numFmtId="0" fontId="120" fillId="0" borderId="0" xfId="0" applyFont="1" applyAlignment="1">
      <alignment wrapText="1"/>
    </xf>
    <xf numFmtId="42" fontId="0" fillId="0" borderId="62" xfId="0" applyNumberFormat="1" applyBorder="1" applyAlignment="1">
      <alignment horizontal="center" vertical="center" wrapText="1"/>
    </xf>
    <xf numFmtId="42" fontId="0" fillId="0" borderId="76" xfId="0" applyNumberFormat="1" applyBorder="1" applyAlignment="1">
      <alignment horizontal="center" vertical="center" wrapText="1"/>
    </xf>
    <xf numFmtId="42" fontId="0" fillId="0" borderId="63" xfId="0" applyNumberFormat="1" applyBorder="1" applyAlignment="1">
      <alignment horizontal="center" vertical="center" wrapText="1"/>
    </xf>
    <xf numFmtId="0" fontId="0" fillId="0" borderId="194" xfId="0" applyBorder="1" applyAlignment="1">
      <alignment vertical="center" wrapText="1"/>
    </xf>
    <xf numFmtId="169" fontId="0" fillId="0" borderId="192" xfId="0" applyNumberFormat="1" applyBorder="1" applyAlignment="1">
      <alignment horizontal="right" vertical="center" wrapText="1"/>
    </xf>
    <xf numFmtId="169" fontId="0" fillId="28" borderId="191" xfId="0" applyNumberFormat="1" applyFill="1" applyBorder="1" applyAlignment="1">
      <alignment horizontal="right" vertical="center" wrapText="1"/>
    </xf>
    <xf numFmtId="169" fontId="0" fillId="28" borderId="40" xfId="0" applyNumberFormat="1" applyFill="1" applyBorder="1" applyAlignment="1">
      <alignment horizontal="right" vertical="center" wrapText="1"/>
    </xf>
    <xf numFmtId="169" fontId="0" fillId="0" borderId="161" xfId="0" applyNumberFormat="1" applyBorder="1" applyAlignment="1">
      <alignment horizontal="right" vertical="center" wrapText="1"/>
    </xf>
    <xf numFmtId="169" fontId="0" fillId="28" borderId="151" xfId="0" applyNumberFormat="1" applyFill="1" applyBorder="1" applyAlignment="1">
      <alignment horizontal="right" vertical="center" wrapText="1"/>
    </xf>
    <xf numFmtId="169" fontId="54" fillId="0" borderId="85" xfId="0" applyNumberFormat="1" applyFont="1" applyBorder="1" applyAlignment="1">
      <alignment horizontal="right" vertical="center" wrapText="1"/>
    </xf>
    <xf numFmtId="169" fontId="54" fillId="28" borderId="85" xfId="0" applyNumberFormat="1" applyFont="1" applyFill="1" applyBorder="1" applyAlignment="1">
      <alignment horizontal="right" vertical="center" wrapText="1"/>
    </xf>
    <xf numFmtId="169" fontId="54" fillId="28" borderId="87" xfId="0" applyNumberFormat="1" applyFont="1" applyFill="1" applyBorder="1" applyAlignment="1">
      <alignment horizontal="right" vertical="center" wrapText="1"/>
    </xf>
    <xf numFmtId="0" fontId="105" fillId="31" borderId="192" xfId="0" applyFont="1" applyFill="1" applyBorder="1" applyAlignment="1">
      <alignment horizontal="center" vertical="center" wrapText="1"/>
    </xf>
    <xf numFmtId="0" fontId="53" fillId="0" borderId="192" xfId="0" applyFont="1" applyBorder="1" applyAlignment="1">
      <alignment horizontal="left" vertical="center" wrapText="1"/>
    </xf>
    <xf numFmtId="0" fontId="53" fillId="0" borderId="192" xfId="0" applyFont="1" applyBorder="1" applyAlignment="1">
      <alignment horizontal="center" vertical="center" wrapText="1"/>
    </xf>
    <xf numFmtId="0" fontId="105" fillId="0" borderId="192" xfId="0" applyFont="1" applyBorder="1" applyAlignment="1">
      <alignment horizontal="center" vertical="center" wrapText="1"/>
    </xf>
    <xf numFmtId="178" fontId="105" fillId="0" borderId="192" xfId="0" applyNumberFormat="1" applyFont="1" applyBorder="1" applyAlignment="1">
      <alignment horizontal="center" vertical="center" wrapText="1"/>
    </xf>
    <xf numFmtId="0" fontId="96" fillId="31" borderId="192" xfId="0" applyFont="1" applyFill="1" applyBorder="1" applyAlignment="1">
      <alignment horizontal="center" vertical="center" wrapText="1"/>
    </xf>
    <xf numFmtId="14" fontId="105" fillId="31" borderId="192" xfId="0" applyNumberFormat="1" applyFont="1" applyFill="1" applyBorder="1" applyAlignment="1">
      <alignment horizontal="center" vertical="center" wrapText="1"/>
    </xf>
    <xf numFmtId="49" fontId="105" fillId="31" borderId="192" xfId="0" applyNumberFormat="1" applyFont="1" applyFill="1" applyBorder="1" applyAlignment="1">
      <alignment horizontal="center" vertical="center" wrapText="1"/>
    </xf>
    <xf numFmtId="4" fontId="105" fillId="0" borderId="192" xfId="0" applyNumberFormat="1" applyFont="1" applyBorder="1" applyAlignment="1">
      <alignment horizontal="center" vertical="center" wrapText="1"/>
    </xf>
    <xf numFmtId="177" fontId="102" fillId="0" borderId="150" xfId="49" applyNumberFormat="1" applyFont="1" applyFill="1" applyBorder="1" applyAlignment="1" applyProtection="1">
      <alignment horizontal="left" vertical="center" wrapText="1" indent="1"/>
      <protection locked="0"/>
    </xf>
    <xf numFmtId="177" fontId="63" fillId="0" borderId="150" xfId="49" applyNumberFormat="1" applyFont="1" applyFill="1" applyBorder="1" applyAlignment="1" applyProtection="1">
      <alignment vertical="center" wrapText="1"/>
      <protection locked="0"/>
    </xf>
    <xf numFmtId="167" fontId="23" fillId="0" borderId="0" xfId="1" applyNumberFormat="1" applyFont="1" applyFill="1"/>
    <xf numFmtId="167" fontId="48" fillId="0" borderId="192" xfId="1" applyNumberFormat="1" applyFont="1" applyFill="1" applyBorder="1" applyAlignment="1">
      <alignment horizontal="center" vertical="center" wrapText="1"/>
    </xf>
    <xf numFmtId="167" fontId="51" fillId="0" borderId="192" xfId="1" applyNumberFormat="1" applyFont="1" applyFill="1" applyBorder="1" applyAlignment="1">
      <alignment vertical="center" wrapText="1"/>
    </xf>
    <xf numFmtId="0" fontId="51" fillId="0" borderId="192" xfId="0" applyFont="1" applyBorder="1" applyAlignment="1">
      <alignment vertical="center" wrapText="1"/>
    </xf>
    <xf numFmtId="0" fontId="48" fillId="0" borderId="192" xfId="0" applyFont="1" applyBorder="1" applyAlignment="1">
      <alignment vertical="center" wrapText="1"/>
    </xf>
    <xf numFmtId="0" fontId="97" fillId="0" borderId="192" xfId="0" applyFont="1" applyBorder="1" applyAlignment="1">
      <alignment vertical="center" wrapText="1"/>
    </xf>
    <xf numFmtId="167" fontId="48" fillId="0" borderId="192" xfId="1" applyNumberFormat="1" applyFont="1" applyFill="1" applyBorder="1" applyAlignment="1">
      <alignment vertical="center" wrapText="1"/>
    </xf>
    <xf numFmtId="167" fontId="0" fillId="0" borderId="192" xfId="1" applyNumberFormat="1" applyFont="1" applyFill="1" applyBorder="1" applyProtection="1">
      <protection locked="0"/>
    </xf>
    <xf numFmtId="167" fontId="50" fillId="0" borderId="192" xfId="1" applyNumberFormat="1" applyFont="1" applyFill="1" applyBorder="1" applyAlignment="1">
      <alignment vertical="center" wrapText="1"/>
    </xf>
    <xf numFmtId="167" fontId="123" fillId="0" borderId="192" xfId="1" applyNumberFormat="1" applyFont="1" applyFill="1" applyBorder="1" applyAlignment="1">
      <alignment vertical="center" wrapText="1"/>
    </xf>
    <xf numFmtId="0" fontId="51" fillId="0" borderId="192" xfId="0" applyFont="1" applyBorder="1" applyAlignment="1">
      <alignment horizontal="left" vertical="center" wrapText="1"/>
    </xf>
    <xf numFmtId="0" fontId="97" fillId="0" borderId="192" xfId="0" applyFont="1" applyBorder="1" applyAlignment="1">
      <alignment horizontal="center" vertical="center" wrapText="1"/>
    </xf>
    <xf numFmtId="0" fontId="124" fillId="0" borderId="192" xfId="0" applyFont="1" applyBorder="1" applyAlignment="1">
      <alignment vertical="center" wrapText="1"/>
    </xf>
    <xf numFmtId="0" fontId="125" fillId="0" borderId="192" xfId="0" applyFont="1" applyBorder="1" applyAlignment="1">
      <alignment vertical="center" wrapText="1"/>
    </xf>
    <xf numFmtId="167" fontId="124" fillId="0" borderId="192" xfId="1" applyNumberFormat="1" applyFont="1" applyFill="1" applyBorder="1" applyAlignment="1">
      <alignment vertical="center" wrapText="1"/>
    </xf>
    <xf numFmtId="0" fontId="98" fillId="0" borderId="192" xfId="0" applyFont="1" applyBorder="1" applyAlignment="1">
      <alignment vertical="center" wrapText="1"/>
    </xf>
    <xf numFmtId="0" fontId="117" fillId="0" borderId="192" xfId="74" applyFont="1" applyBorder="1" applyAlignment="1">
      <alignment vertical="center" wrapText="1"/>
    </xf>
    <xf numFmtId="0" fontId="115" fillId="0" borderId="192" xfId="74" applyFont="1" applyBorder="1" applyAlignment="1">
      <alignment vertical="center" wrapText="1"/>
    </xf>
    <xf numFmtId="0" fontId="117" fillId="0" borderId="192" xfId="74" quotePrefix="1" applyFont="1" applyBorder="1" applyAlignment="1">
      <alignment vertical="center" wrapText="1"/>
    </xf>
    <xf numFmtId="0" fontId="48" fillId="28" borderId="192" xfId="0" applyFont="1" applyFill="1" applyBorder="1" applyAlignment="1">
      <alignment vertical="center"/>
    </xf>
    <xf numFmtId="6" fontId="48" fillId="28" borderId="192" xfId="0" applyNumberFormat="1" applyFont="1" applyFill="1" applyBorder="1" applyAlignment="1">
      <alignment vertical="center"/>
    </xf>
    <xf numFmtId="0" fontId="99" fillId="0" borderId="0" xfId="0" applyFont="1"/>
    <xf numFmtId="169" fontId="99" fillId="0" borderId="0" xfId="0" applyNumberFormat="1" applyFont="1"/>
    <xf numFmtId="167" fontId="56" fillId="0" borderId="128" xfId="32" applyNumberFormat="1" applyFont="1" applyBorder="1" applyAlignment="1">
      <alignment horizontal="center" vertical="center" wrapText="1"/>
    </xf>
    <xf numFmtId="0" fontId="63" fillId="25" borderId="0" xfId="49" applyFont="1" applyFill="1" applyBorder="1"/>
    <xf numFmtId="0" fontId="100" fillId="25" borderId="145" xfId="76" applyFont="1" applyFill="1" applyBorder="1"/>
    <xf numFmtId="0" fontId="63" fillId="25" borderId="145" xfId="76" applyFont="1" applyFill="1" applyBorder="1"/>
    <xf numFmtId="0" fontId="63" fillId="28" borderId="145" xfId="49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10" fillId="0" borderId="155" xfId="0" applyFont="1" applyFill="1" applyBorder="1" applyAlignment="1">
      <alignment horizontal="left" vertical="center" wrapText="1"/>
    </xf>
    <xf numFmtId="0" fontId="10" fillId="0" borderId="93" xfId="0" applyFont="1" applyFill="1" applyBorder="1" applyAlignment="1">
      <alignment horizontal="left" vertical="center" wrapText="1"/>
    </xf>
    <xf numFmtId="0" fontId="14" fillId="0" borderId="155" xfId="0" applyFont="1" applyFill="1" applyBorder="1" applyAlignment="1">
      <alignment horizontal="center" vertical="center" wrapText="1"/>
    </xf>
    <xf numFmtId="0" fontId="14" fillId="0" borderId="93" xfId="0" applyFont="1" applyFill="1" applyBorder="1" applyAlignment="1">
      <alignment horizontal="center" vertical="center" wrapText="1"/>
    </xf>
    <xf numFmtId="0" fontId="13" fillId="0" borderId="156" xfId="0" applyFont="1" applyFill="1" applyBorder="1" applyAlignment="1">
      <alignment horizontal="center"/>
    </xf>
    <xf numFmtId="0" fontId="8" fillId="0" borderId="156" xfId="0" applyFont="1" applyFill="1" applyBorder="1" applyAlignment="1">
      <alignment horizontal="center"/>
    </xf>
    <xf numFmtId="0" fontId="5" fillId="0" borderId="11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04" fillId="28" borderId="93" xfId="0" applyFont="1" applyFill="1" applyBorder="1" applyAlignment="1">
      <alignment horizontal="center" vertical="center" wrapText="1"/>
    </xf>
    <xf numFmtId="0" fontId="104" fillId="28" borderId="48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5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1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7" fillId="0" borderId="15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9" fillId="0" borderId="93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41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4" fillId="0" borderId="92" xfId="0" applyFont="1" applyFill="1" applyBorder="1" applyAlignment="1">
      <alignment horizontal="center" vertical="center" wrapText="1"/>
    </xf>
    <xf numFmtId="0" fontId="10" fillId="0" borderId="92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66" fontId="45" fillId="0" borderId="161" xfId="2" applyNumberFormat="1" applyFont="1" applyFill="1" applyBorder="1" applyAlignment="1">
      <alignment horizontal="center" vertical="center" wrapText="1"/>
    </xf>
    <xf numFmtId="166" fontId="45" fillId="0" borderId="136" xfId="2" applyNumberFormat="1" applyFont="1" applyFill="1" applyBorder="1" applyAlignment="1">
      <alignment horizontal="center" vertical="center" wrapText="1"/>
    </xf>
    <xf numFmtId="0" fontId="41" fillId="0" borderId="129" xfId="0" applyFont="1" applyFill="1" applyBorder="1" applyAlignment="1">
      <alignment horizontal="center" vertical="center" wrapText="1"/>
    </xf>
    <xf numFmtId="0" fontId="41" fillId="0" borderId="57" xfId="0" applyFont="1" applyFill="1" applyBorder="1" applyAlignment="1">
      <alignment horizontal="center" vertical="center" wrapText="1"/>
    </xf>
    <xf numFmtId="0" fontId="41" fillId="0" borderId="136" xfId="0" applyFont="1" applyFill="1" applyBorder="1" applyAlignment="1">
      <alignment horizontal="center" vertical="center" wrapText="1"/>
    </xf>
    <xf numFmtId="0" fontId="44" fillId="24" borderId="129" xfId="0" applyFont="1" applyFill="1" applyBorder="1" applyAlignment="1">
      <alignment horizontal="center" vertical="center" wrapText="1"/>
    </xf>
    <xf numFmtId="166" fontId="41" fillId="0" borderId="54" xfId="2" applyNumberFormat="1" applyFont="1" applyFill="1" applyBorder="1" applyAlignment="1">
      <alignment horizontal="center" vertical="center" wrapText="1"/>
    </xf>
    <xf numFmtId="166" fontId="41" fillId="0" borderId="57" xfId="2" applyNumberFormat="1" applyFont="1" applyFill="1" applyBorder="1" applyAlignment="1">
      <alignment horizontal="center" vertical="center" wrapText="1"/>
    </xf>
    <xf numFmtId="166" fontId="41" fillId="0" borderId="101" xfId="2" applyNumberFormat="1" applyFont="1" applyFill="1" applyBorder="1" applyAlignment="1">
      <alignment horizontal="center" vertical="center" wrapText="1"/>
    </xf>
    <xf numFmtId="0" fontId="41" fillId="0" borderId="54" xfId="0" applyFont="1" applyFill="1" applyBorder="1" applyAlignment="1">
      <alignment horizontal="center" vertical="center" wrapText="1"/>
    </xf>
    <xf numFmtId="0" fontId="41" fillId="0" borderId="10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textRotation="90"/>
    </xf>
    <xf numFmtId="0" fontId="41" fillId="0" borderId="49" xfId="0" applyFont="1" applyFill="1" applyBorder="1" applyAlignment="1">
      <alignment horizontal="center" vertical="center" textRotation="90"/>
    </xf>
    <xf numFmtId="0" fontId="41" fillId="0" borderId="71" xfId="0" applyFont="1" applyFill="1" applyBorder="1" applyAlignment="1">
      <alignment horizontal="center" vertical="center" textRotation="90"/>
    </xf>
    <xf numFmtId="171" fontId="45" fillId="0" borderId="49" xfId="2" applyNumberFormat="1" applyFont="1" applyFill="1" applyBorder="1" applyAlignment="1">
      <alignment horizontal="center" vertical="center" wrapText="1"/>
    </xf>
    <xf numFmtId="171" fontId="45" fillId="0" borderId="71" xfId="2" applyNumberFormat="1" applyFont="1" applyFill="1" applyBorder="1" applyAlignment="1">
      <alignment horizontal="center" vertical="center" wrapText="1"/>
    </xf>
    <xf numFmtId="0" fontId="44" fillId="0" borderId="98" xfId="0" applyFont="1" applyFill="1" applyBorder="1" applyAlignment="1">
      <alignment horizontal="center" vertical="center" wrapText="1"/>
    </xf>
    <xf numFmtId="0" fontId="43" fillId="0" borderId="131" xfId="0" applyFont="1" applyFill="1" applyBorder="1" applyAlignment="1">
      <alignment horizontal="center"/>
    </xf>
    <xf numFmtId="0" fontId="43" fillId="0" borderId="158" xfId="0" applyFont="1" applyFill="1" applyBorder="1" applyAlignment="1">
      <alignment horizontal="center"/>
    </xf>
    <xf numFmtId="0" fontId="43" fillId="0" borderId="144" xfId="0" applyFont="1" applyFill="1" applyBorder="1" applyAlignment="1">
      <alignment horizontal="center"/>
    </xf>
    <xf numFmtId="0" fontId="42" fillId="24" borderId="21" xfId="0" applyFont="1" applyFill="1" applyBorder="1" applyAlignment="1">
      <alignment horizontal="center" wrapText="1"/>
    </xf>
    <xf numFmtId="0" fontId="42" fillId="24" borderId="22" xfId="0" applyFont="1" applyFill="1" applyBorder="1" applyAlignment="1">
      <alignment horizontal="center" wrapText="1"/>
    </xf>
    <xf numFmtId="0" fontId="44" fillId="0" borderId="1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1" fillId="0" borderId="54" xfId="0" applyFont="1" applyFill="1" applyBorder="1" applyAlignment="1">
      <alignment horizontal="center" vertical="center" textRotation="90"/>
    </xf>
    <xf numFmtId="0" fontId="41" fillId="0" borderId="57" xfId="0" applyFont="1" applyFill="1" applyBorder="1" applyAlignment="1">
      <alignment horizontal="center" vertical="center" textRotation="90"/>
    </xf>
    <xf numFmtId="0" fontId="41" fillId="0" borderId="98" xfId="0" applyFont="1" applyFill="1" applyBorder="1" applyAlignment="1">
      <alignment horizontal="center" vertical="center" textRotation="90"/>
    </xf>
    <xf numFmtId="0" fontId="41" fillId="0" borderId="119" xfId="0" applyFont="1" applyFill="1" applyBorder="1" applyAlignment="1">
      <alignment horizontal="center" vertical="center" textRotation="90"/>
    </xf>
    <xf numFmtId="0" fontId="41" fillId="0" borderId="101" xfId="0" applyFont="1" applyFill="1" applyBorder="1" applyAlignment="1">
      <alignment horizontal="center" vertical="center" textRotation="90"/>
    </xf>
    <xf numFmtId="0" fontId="44" fillId="0" borderId="120" xfId="0" applyFont="1" applyFill="1" applyBorder="1" applyAlignment="1">
      <alignment horizontal="center" vertical="center" wrapText="1"/>
    </xf>
    <xf numFmtId="0" fontId="44" fillId="0" borderId="89" xfId="0" applyFont="1" applyFill="1" applyBorder="1" applyAlignment="1">
      <alignment horizontal="center" vertical="center" wrapText="1"/>
    </xf>
    <xf numFmtId="0" fontId="41" fillId="0" borderId="161" xfId="0" applyFont="1" applyFill="1" applyBorder="1" applyAlignment="1">
      <alignment horizontal="center" vertical="center" textRotation="90"/>
    </xf>
    <xf numFmtId="0" fontId="41" fillId="0" borderId="136" xfId="0" applyFont="1" applyFill="1" applyBorder="1" applyAlignment="1">
      <alignment horizontal="center" vertical="center" textRotation="90"/>
    </xf>
    <xf numFmtId="0" fontId="46" fillId="0" borderId="131" xfId="0" applyFont="1" applyFill="1" applyBorder="1" applyAlignment="1">
      <alignment horizontal="center" vertical="center" wrapText="1"/>
    </xf>
    <xf numFmtId="0" fontId="46" fillId="0" borderId="158" xfId="0" applyFont="1" applyFill="1" applyBorder="1" applyAlignment="1">
      <alignment horizontal="center" vertical="center" wrapText="1"/>
    </xf>
    <xf numFmtId="0" fontId="46" fillId="0" borderId="144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166" fontId="45" fillId="0" borderId="128" xfId="2" applyNumberFormat="1" applyFont="1" applyFill="1" applyBorder="1" applyAlignment="1">
      <alignment horizontal="center" vertical="center" wrapText="1"/>
    </xf>
    <xf numFmtId="0" fontId="45" fillId="0" borderId="54" xfId="0" applyFont="1" applyFill="1" applyBorder="1" applyAlignment="1">
      <alignment horizontal="center" vertical="center" wrapText="1"/>
    </xf>
    <xf numFmtId="0" fontId="45" fillId="0" borderId="57" xfId="0" applyFont="1" applyFill="1" applyBorder="1" applyAlignment="1">
      <alignment horizontal="center" vertical="center" wrapText="1"/>
    </xf>
    <xf numFmtId="0" fontId="45" fillId="0" borderId="98" xfId="0" applyFont="1" applyFill="1" applyBorder="1" applyAlignment="1">
      <alignment horizontal="center" vertical="center" wrapText="1"/>
    </xf>
    <xf numFmtId="0" fontId="44" fillId="0" borderId="150" xfId="0" applyFont="1" applyFill="1" applyBorder="1" applyAlignment="1">
      <alignment horizontal="center" vertical="center" wrapText="1"/>
    </xf>
    <xf numFmtId="0" fontId="44" fillId="0" borderId="54" xfId="0" applyFont="1" applyFill="1" applyBorder="1" applyAlignment="1">
      <alignment horizontal="center" vertical="center" wrapText="1"/>
    </xf>
    <xf numFmtId="0" fontId="41" fillId="0" borderId="128" xfId="0" applyFont="1" applyFill="1" applyBorder="1" applyAlignment="1">
      <alignment horizontal="center" vertical="center" textRotation="90"/>
    </xf>
    <xf numFmtId="166" fontId="41" fillId="0" borderId="161" xfId="2" applyNumberFormat="1" applyFont="1" applyFill="1" applyBorder="1" applyAlignment="1">
      <alignment horizontal="center" vertical="center" wrapText="1"/>
    </xf>
    <xf numFmtId="166" fontId="41" fillId="0" borderId="136" xfId="2" applyNumberFormat="1" applyFont="1" applyFill="1" applyBorder="1" applyAlignment="1">
      <alignment horizontal="center" vertical="center" wrapText="1"/>
    </xf>
    <xf numFmtId="0" fontId="45" fillId="0" borderId="161" xfId="0" applyFont="1" applyFill="1" applyBorder="1" applyAlignment="1">
      <alignment horizontal="center" vertical="center" textRotation="90" wrapText="1"/>
    </xf>
    <xf numFmtId="0" fontId="45" fillId="0" borderId="101" xfId="0" applyFont="1" applyFill="1" applyBorder="1" applyAlignment="1">
      <alignment horizontal="center" vertical="center" textRotation="90" wrapText="1"/>
    </xf>
    <xf numFmtId="0" fontId="45" fillId="0" borderId="136" xfId="0" applyFont="1" applyFill="1" applyBorder="1" applyAlignment="1">
      <alignment horizontal="center" vertical="center" textRotation="90" wrapText="1"/>
    </xf>
    <xf numFmtId="166" fontId="41" fillId="0" borderId="119" xfId="2" applyNumberFormat="1" applyFont="1" applyFill="1" applyBorder="1" applyAlignment="1">
      <alignment horizontal="center" vertical="center" wrapText="1"/>
    </xf>
    <xf numFmtId="171" fontId="45" fillId="0" borderId="54" xfId="2" applyNumberFormat="1" applyFont="1" applyFill="1" applyBorder="1" applyAlignment="1">
      <alignment horizontal="center" vertical="center" wrapText="1"/>
    </xf>
    <xf numFmtId="171" fontId="45" fillId="0" borderId="57" xfId="2" applyNumberFormat="1" applyFont="1" applyFill="1" applyBorder="1" applyAlignment="1">
      <alignment horizontal="center" vertical="center" wrapText="1"/>
    </xf>
    <xf numFmtId="171" fontId="45" fillId="0" borderId="98" xfId="2" applyNumberFormat="1" applyFont="1" applyFill="1" applyBorder="1" applyAlignment="1">
      <alignment horizontal="center" vertical="center" wrapText="1"/>
    </xf>
    <xf numFmtId="0" fontId="47" fillId="0" borderId="54" xfId="0" applyFont="1" applyFill="1" applyBorder="1" applyAlignment="1">
      <alignment horizontal="center" vertical="center" textRotation="90"/>
    </xf>
    <xf numFmtId="0" fontId="47" fillId="0" borderId="57" xfId="0" applyFont="1" applyFill="1" applyBorder="1" applyAlignment="1">
      <alignment horizontal="center" vertical="center" textRotation="90"/>
    </xf>
    <xf numFmtId="0" fontId="47" fillId="0" borderId="101" xfId="0" applyFont="1" applyFill="1" applyBorder="1" applyAlignment="1">
      <alignment horizontal="center" vertical="center" textRotation="90"/>
    </xf>
    <xf numFmtId="166" fontId="45" fillId="0" borderId="134" xfId="2" applyNumberFormat="1" applyFont="1" applyFill="1" applyBorder="1" applyAlignment="1">
      <alignment horizontal="center" vertical="center" wrapText="1"/>
    </xf>
    <xf numFmtId="0" fontId="45" fillId="0" borderId="128" xfId="0" applyFont="1" applyFill="1" applyBorder="1" applyAlignment="1">
      <alignment horizontal="center" vertical="center" textRotation="90" wrapText="1"/>
    </xf>
    <xf numFmtId="0" fontId="41" fillId="0" borderId="128" xfId="0" applyFont="1" applyFill="1" applyBorder="1" applyAlignment="1">
      <alignment horizontal="center" vertical="center" wrapText="1"/>
    </xf>
    <xf numFmtId="0" fontId="44" fillId="0" borderId="131" xfId="0" applyFont="1" applyFill="1" applyBorder="1" applyAlignment="1">
      <alignment horizontal="center" vertical="center" wrapText="1"/>
    </xf>
    <xf numFmtId="0" fontId="44" fillId="0" borderId="144" xfId="0" applyFont="1" applyFill="1" applyBorder="1" applyAlignment="1">
      <alignment horizontal="center" vertical="center" wrapText="1"/>
    </xf>
    <xf numFmtId="0" fontId="41" fillId="0" borderId="49" xfId="0" applyFont="1" applyFill="1" applyBorder="1" applyAlignment="1">
      <alignment horizontal="center" vertical="center" textRotation="90" wrapText="1"/>
    </xf>
    <xf numFmtId="0" fontId="41" fillId="0" borderId="71" xfId="0" applyFont="1" applyFill="1" applyBorder="1" applyAlignment="1">
      <alignment horizontal="center" vertical="center" textRotation="90" wrapText="1"/>
    </xf>
    <xf numFmtId="0" fontId="42" fillId="28" borderId="0" xfId="0" applyFont="1" applyFill="1" applyAlignment="1">
      <alignment horizontal="center"/>
    </xf>
    <xf numFmtId="0" fontId="111" fillId="30" borderId="0" xfId="0" applyFont="1" applyFill="1" applyAlignment="1">
      <alignment horizontal="center" wrapText="1"/>
    </xf>
    <xf numFmtId="0" fontId="112" fillId="33" borderId="49" xfId="0" applyFont="1" applyFill="1" applyBorder="1" applyAlignment="1">
      <alignment horizontal="left" wrapText="1"/>
    </xf>
    <xf numFmtId="0" fontId="113" fillId="33" borderId="49" xfId="0" applyFont="1" applyFill="1" applyBorder="1" applyAlignment="1">
      <alignment horizontal="center"/>
    </xf>
    <xf numFmtId="0" fontId="48" fillId="28" borderId="54" xfId="0" applyFont="1" applyFill="1" applyBorder="1" applyAlignment="1">
      <alignment horizontal="center" vertical="center" wrapText="1"/>
    </xf>
    <xf numFmtId="0" fontId="48" fillId="28" borderId="57" xfId="0" applyFont="1" applyFill="1" applyBorder="1" applyAlignment="1">
      <alignment horizontal="center" vertical="center" wrapText="1"/>
    </xf>
    <xf numFmtId="0" fontId="48" fillId="28" borderId="49" xfId="0" applyFont="1" applyFill="1" applyBorder="1" applyAlignment="1">
      <alignment horizontal="center" vertical="center" wrapText="1"/>
    </xf>
    <xf numFmtId="0" fontId="49" fillId="28" borderId="49" xfId="0" applyFont="1" applyFill="1" applyBorder="1" applyAlignment="1">
      <alignment horizontal="center" vertical="center" wrapText="1"/>
    </xf>
    <xf numFmtId="0" fontId="48" fillId="28" borderId="2" xfId="0" applyFont="1" applyFill="1" applyBorder="1" applyAlignment="1">
      <alignment horizontal="center" vertical="center" textRotation="90"/>
    </xf>
    <xf numFmtId="0" fontId="48" fillId="28" borderId="156" xfId="0" applyFont="1" applyFill="1" applyBorder="1" applyAlignment="1">
      <alignment horizontal="center" vertical="center" textRotation="90"/>
    </xf>
    <xf numFmtId="0" fontId="48" fillId="28" borderId="157" xfId="0" applyFont="1" applyFill="1" applyBorder="1" applyAlignment="1">
      <alignment horizontal="center" vertical="center" textRotation="90"/>
    </xf>
    <xf numFmtId="0" fontId="48" fillId="28" borderId="159" xfId="0" applyFont="1" applyFill="1" applyBorder="1" applyAlignment="1">
      <alignment horizontal="center" vertical="center" textRotation="90"/>
    </xf>
    <xf numFmtId="0" fontId="48" fillId="28" borderId="160" xfId="0" applyFont="1" applyFill="1" applyBorder="1" applyAlignment="1">
      <alignment horizontal="center" vertical="center" textRotation="90"/>
    </xf>
    <xf numFmtId="0" fontId="48" fillId="0" borderId="192" xfId="0" applyFont="1" applyFill="1" applyBorder="1" applyAlignment="1">
      <alignment horizontal="center" vertical="center" textRotation="90"/>
    </xf>
    <xf numFmtId="0" fontId="57" fillId="0" borderId="0" xfId="67" applyFont="1" applyAlignment="1">
      <alignment horizontal="center"/>
    </xf>
    <xf numFmtId="0" fontId="58" fillId="0" borderId="0" xfId="67" applyFont="1" applyAlignment="1">
      <alignment horizontal="left" vertical="center"/>
    </xf>
    <xf numFmtId="0" fontId="56" fillId="0" borderId="128" xfId="68" applyFont="1" applyBorder="1" applyAlignment="1">
      <alignment horizontal="center" vertical="center" textRotation="90"/>
    </xf>
    <xf numFmtId="0" fontId="52" fillId="0" borderId="128" xfId="68" applyFont="1" applyBorder="1" applyAlignment="1">
      <alignment horizontal="center" vertical="center" textRotation="90"/>
    </xf>
    <xf numFmtId="0" fontId="56" fillId="0" borderId="128" xfId="68" applyFont="1" applyBorder="1" applyAlignment="1">
      <alignment horizontal="center" vertical="center" wrapText="1"/>
    </xf>
    <xf numFmtId="0" fontId="52" fillId="0" borderId="128" xfId="68" applyFont="1" applyBorder="1" applyAlignment="1">
      <alignment horizontal="center" vertical="center" wrapText="1"/>
    </xf>
    <xf numFmtId="0" fontId="56" fillId="0" borderId="131" xfId="68" applyFont="1" applyBorder="1" applyAlignment="1">
      <alignment horizontal="center" vertical="center" wrapText="1"/>
    </xf>
    <xf numFmtId="0" fontId="56" fillId="0" borderId="144" xfId="68" applyFont="1" applyBorder="1" applyAlignment="1">
      <alignment horizontal="center" vertical="center" wrapText="1"/>
    </xf>
    <xf numFmtId="0" fontId="56" fillId="0" borderId="0" xfId="67" applyFont="1" applyAlignment="1">
      <alignment horizontal="center"/>
    </xf>
    <xf numFmtId="49" fontId="56" fillId="0" borderId="0" xfId="32" applyNumberFormat="1" applyFont="1" applyFill="1" applyBorder="1" applyAlignment="1">
      <alignment horizontal="center"/>
    </xf>
    <xf numFmtId="14" fontId="56" fillId="0" borderId="128" xfId="32" applyNumberFormat="1" applyFont="1" applyBorder="1" applyAlignment="1">
      <alignment horizontal="center" vertical="center" wrapText="1"/>
    </xf>
    <xf numFmtId="0" fontId="56" fillId="0" borderId="128" xfId="68" applyFont="1" applyBorder="1" applyAlignment="1">
      <alignment horizontal="center" vertical="center"/>
    </xf>
    <xf numFmtId="0" fontId="130" fillId="0" borderId="0" xfId="67" applyFont="1" applyAlignment="1">
      <alignment horizontal="left" vertical="center" wrapText="1"/>
    </xf>
    <xf numFmtId="0" fontId="57" fillId="0" borderId="0" xfId="67" applyFont="1" applyAlignment="1">
      <alignment horizontal="center" vertical="center"/>
    </xf>
    <xf numFmtId="0" fontId="130" fillId="0" borderId="0" xfId="67" applyFont="1" applyAlignment="1">
      <alignment horizontal="left"/>
    </xf>
    <xf numFmtId="0" fontId="52" fillId="0" borderId="0" xfId="67" applyFont="1" applyAlignment="1">
      <alignment horizontal="center"/>
    </xf>
    <xf numFmtId="167" fontId="52" fillId="0" borderId="0" xfId="32" applyNumberFormat="1" applyFont="1" applyFill="1" applyBorder="1" applyAlignment="1">
      <alignment horizontal="center"/>
    </xf>
    <xf numFmtId="0" fontId="51" fillId="0" borderId="192" xfId="0" applyFont="1" applyBorder="1" applyAlignment="1">
      <alignment horizontal="left" vertical="center" wrapText="1"/>
    </xf>
    <xf numFmtId="0" fontId="51" fillId="0" borderId="192" xfId="0" applyFont="1" applyBorder="1" applyAlignment="1">
      <alignment horizontal="center" vertical="center" wrapText="1"/>
    </xf>
    <xf numFmtId="167" fontId="62" fillId="0" borderId="192" xfId="1" applyNumberFormat="1" applyFont="1" applyFill="1" applyBorder="1" applyAlignment="1">
      <alignment horizontal="center" vertical="center" wrapText="1"/>
    </xf>
    <xf numFmtId="167" fontId="94" fillId="0" borderId="192" xfId="1" applyNumberFormat="1" applyFont="1" applyFill="1" applyBorder="1" applyAlignment="1">
      <alignment horizontal="center" vertical="center" wrapText="1"/>
    </xf>
    <xf numFmtId="177" fontId="64" fillId="0" borderId="61" xfId="49" applyNumberFormat="1" applyFont="1" applyFill="1" applyBorder="1" applyAlignment="1">
      <alignment horizontal="left" vertical="center" wrapText="1" indent="2"/>
    </xf>
    <xf numFmtId="177" fontId="64" fillId="0" borderId="62" xfId="49" applyNumberFormat="1" applyFont="1" applyFill="1" applyBorder="1" applyAlignment="1">
      <alignment horizontal="left" vertical="center" wrapText="1" indent="2"/>
    </xf>
    <xf numFmtId="177" fontId="56" fillId="28" borderId="0" xfId="49" applyNumberFormat="1" applyFont="1" applyFill="1" applyAlignment="1">
      <alignment horizontal="center" vertical="center" wrapText="1"/>
    </xf>
    <xf numFmtId="177" fontId="64" fillId="28" borderId="36" xfId="49" applyNumberFormat="1" applyFont="1" applyFill="1" applyBorder="1" applyAlignment="1">
      <alignment horizontal="center" vertical="center" wrapText="1"/>
    </xf>
    <xf numFmtId="177" fontId="64" fillId="28" borderId="38" xfId="49" applyNumberFormat="1" applyFont="1" applyFill="1" applyBorder="1" applyAlignment="1">
      <alignment horizontal="center" vertical="center" wrapText="1"/>
    </xf>
    <xf numFmtId="177" fontId="64" fillId="28" borderId="37" xfId="49" applyNumberFormat="1" applyFont="1" applyFill="1" applyBorder="1" applyAlignment="1">
      <alignment horizontal="center" vertical="center"/>
    </xf>
    <xf numFmtId="177" fontId="64" fillId="28" borderId="150" xfId="49" applyNumberFormat="1" applyFont="1" applyFill="1" applyBorder="1" applyAlignment="1">
      <alignment horizontal="center" vertical="center"/>
    </xf>
    <xf numFmtId="177" fontId="64" fillId="28" borderId="37" xfId="49" applyNumberFormat="1" applyFont="1" applyFill="1" applyBorder="1" applyAlignment="1">
      <alignment horizontal="center" vertical="center" wrapText="1"/>
    </xf>
    <xf numFmtId="177" fontId="64" fillId="28" borderId="150" xfId="49" applyNumberFormat="1" applyFont="1" applyFill="1" applyBorder="1" applyAlignment="1">
      <alignment horizontal="center" vertical="center" wrapText="1"/>
    </xf>
    <xf numFmtId="177" fontId="64" fillId="28" borderId="39" xfId="49" applyNumberFormat="1" applyFont="1" applyFill="1" applyBorder="1" applyAlignment="1">
      <alignment horizontal="center" vertical="center"/>
    </xf>
    <xf numFmtId="177" fontId="64" fillId="28" borderId="40" xfId="49" applyNumberFormat="1" applyFont="1" applyFill="1" applyBorder="1" applyAlignment="1">
      <alignment horizontal="center" vertical="center"/>
    </xf>
    <xf numFmtId="0" fontId="76" fillId="0" borderId="0" xfId="49" applyFont="1" applyAlignment="1">
      <alignment horizontal="left" wrapText="1"/>
    </xf>
    <xf numFmtId="0" fontId="122" fillId="0" borderId="0" xfId="49" applyFont="1" applyAlignment="1">
      <alignment horizontal="right"/>
    </xf>
    <xf numFmtId="0" fontId="65" fillId="0" borderId="0" xfId="49" applyFont="1" applyAlignment="1">
      <alignment horizontal="center" wrapText="1"/>
    </xf>
    <xf numFmtId="0" fontId="65" fillId="0" borderId="0" xfId="49" applyFont="1" applyAlignment="1">
      <alignment horizontal="center"/>
    </xf>
    <xf numFmtId="3" fontId="68" fillId="0" borderId="1" xfId="49" applyNumberFormat="1" applyFont="1" applyBorder="1" applyAlignment="1">
      <alignment horizontal="center" vertical="center"/>
    </xf>
    <xf numFmtId="3" fontId="66" fillId="0" borderId="1" xfId="49" applyNumberFormat="1" applyFont="1" applyBorder="1" applyAlignment="1">
      <alignment horizontal="center" vertical="center"/>
    </xf>
    <xf numFmtId="3" fontId="69" fillId="0" borderId="134" xfId="49" applyNumberFormat="1" applyFont="1" applyBorder="1" applyAlignment="1">
      <alignment horizontal="center" vertical="center" wrapText="1"/>
    </xf>
    <xf numFmtId="3" fontId="69" fillId="0" borderId="101" xfId="49" applyNumberFormat="1" applyFont="1" applyBorder="1" applyAlignment="1">
      <alignment horizontal="center" vertical="center" wrapText="1"/>
    </xf>
    <xf numFmtId="3" fontId="69" fillId="0" borderId="136" xfId="49" applyNumberFormat="1" applyFont="1" applyBorder="1" applyAlignment="1">
      <alignment horizontal="center" vertical="center" wrapText="1"/>
    </xf>
    <xf numFmtId="0" fontId="82" fillId="28" borderId="0" xfId="72" applyFont="1" applyFill="1" applyAlignment="1" applyProtection="1">
      <alignment horizontal="center" vertical="center" wrapText="1"/>
      <protection locked="0"/>
    </xf>
    <xf numFmtId="0" fontId="80" fillId="28" borderId="145" xfId="72" applyFill="1" applyBorder="1" applyAlignment="1">
      <alignment horizontal="center"/>
    </xf>
    <xf numFmtId="0" fontId="93" fillId="28" borderId="152" xfId="72" applyFont="1" applyFill="1" applyBorder="1" applyAlignment="1">
      <alignment horizontal="right" wrapText="1"/>
    </xf>
    <xf numFmtId="0" fontId="126" fillId="0" borderId="165" xfId="49" applyFont="1" applyBorder="1" applyAlignment="1">
      <alignment horizontal="center" vertical="center" wrapText="1"/>
    </xf>
    <xf numFmtId="0" fontId="67" fillId="0" borderId="166" xfId="49" applyFont="1" applyBorder="1" applyAlignment="1">
      <alignment vertical="center"/>
    </xf>
    <xf numFmtId="0" fontId="67" fillId="0" borderId="167" xfId="49" applyFont="1" applyBorder="1" applyAlignment="1">
      <alignment vertical="center"/>
    </xf>
    <xf numFmtId="0" fontId="134" fillId="0" borderId="0" xfId="49" applyFont="1" applyAlignment="1">
      <alignment horizontal="center" vertical="top" wrapText="1"/>
    </xf>
    <xf numFmtId="0" fontId="135" fillId="0" borderId="0" xfId="49" applyFont="1"/>
    <xf numFmtId="0" fontId="106" fillId="0" borderId="21" xfId="49" applyFont="1" applyBorder="1" applyAlignment="1">
      <alignment horizontal="center" vertical="center" wrapText="1"/>
    </xf>
    <xf numFmtId="0" fontId="106" fillId="0" borderId="24" xfId="49" applyFont="1" applyBorder="1" applyAlignment="1">
      <alignment horizontal="center" vertical="center" wrapText="1"/>
    </xf>
    <xf numFmtId="0" fontId="106" fillId="0" borderId="22" xfId="49" applyFont="1" applyBorder="1" applyAlignment="1">
      <alignment horizontal="center" vertical="center" wrapText="1"/>
    </xf>
    <xf numFmtId="0" fontId="95" fillId="0" borderId="8" xfId="49" applyFont="1" applyBorder="1" applyAlignment="1">
      <alignment horizontal="center" vertical="center" wrapText="1"/>
    </xf>
    <xf numFmtId="0" fontId="95" fillId="0" borderId="9" xfId="49" applyFont="1" applyBorder="1" applyAlignment="1">
      <alignment horizontal="center" vertical="center" wrapText="1"/>
    </xf>
    <xf numFmtId="0" fontId="107" fillId="0" borderId="1" xfId="49" applyFont="1" applyBorder="1" applyAlignment="1">
      <alignment horizontal="center" vertical="center" wrapText="1"/>
    </xf>
    <xf numFmtId="0" fontId="106" fillId="25" borderId="0" xfId="49" applyFont="1" applyFill="1" applyBorder="1" applyAlignment="1">
      <alignment horizontal="center" vertical="center" wrapText="1"/>
    </xf>
    <xf numFmtId="0" fontId="106" fillId="0" borderId="1" xfId="49" applyFont="1" applyBorder="1" applyAlignment="1">
      <alignment horizontal="center" vertical="center" wrapText="1"/>
    </xf>
    <xf numFmtId="0" fontId="96" fillId="0" borderId="0" xfId="49" applyFont="1" applyFill="1" applyBorder="1" applyAlignment="1">
      <alignment horizontal="right" vertical="center"/>
    </xf>
    <xf numFmtId="0" fontId="53" fillId="0" borderId="0" xfId="49" applyFont="1" applyFill="1" applyBorder="1" applyAlignment="1">
      <alignment horizontal="right" vertical="center" wrapText="1"/>
    </xf>
    <xf numFmtId="0" fontId="96" fillId="0" borderId="0" xfId="49" applyFont="1" applyFill="1" applyBorder="1" applyAlignment="1">
      <alignment horizontal="right" vertical="center" wrapText="1"/>
    </xf>
    <xf numFmtId="0" fontId="53" fillId="0" borderId="0" xfId="49" applyFont="1" applyFill="1" applyBorder="1" applyAlignment="1">
      <alignment horizontal="right" vertical="center"/>
    </xf>
    <xf numFmtId="0" fontId="117" fillId="0" borderId="23" xfId="74" applyFont="1" applyBorder="1" applyAlignment="1">
      <alignment horizontal="center" vertical="center" wrapText="1"/>
    </xf>
    <xf numFmtId="0" fontId="117" fillId="0" borderId="56" xfId="74" applyFont="1" applyBorder="1" applyAlignment="1">
      <alignment horizontal="center" vertical="center" wrapText="1"/>
    </xf>
    <xf numFmtId="3" fontId="118" fillId="0" borderId="55" xfId="74" applyNumberFormat="1" applyFont="1" applyBorder="1" applyAlignment="1">
      <alignment horizontal="center" vertical="center" wrapText="1"/>
    </xf>
    <xf numFmtId="0" fontId="115" fillId="0" borderId="145" xfId="74" applyFont="1" applyFill="1" applyBorder="1" applyAlignment="1">
      <alignment horizontal="center" vertical="center" wrapText="1"/>
    </xf>
    <xf numFmtId="0" fontId="117" fillId="0" borderId="161" xfId="74" applyFont="1" applyBorder="1" applyAlignment="1">
      <alignment horizontal="center" vertical="center" wrapText="1"/>
    </xf>
    <xf numFmtId="0" fontId="117" fillId="0" borderId="57" xfId="74" applyFont="1" applyBorder="1" applyAlignment="1">
      <alignment horizontal="center" vertical="center" wrapText="1"/>
    </xf>
    <xf numFmtId="0" fontId="117" fillId="0" borderId="136" xfId="74" applyFont="1" applyBorder="1" applyAlignment="1">
      <alignment horizontal="center" vertical="center" wrapText="1"/>
    </xf>
    <xf numFmtId="0" fontId="101" fillId="25" borderId="93" xfId="76" applyFont="1" applyFill="1" applyBorder="1" applyAlignment="1">
      <alignment horizontal="left" vertical="center"/>
    </xf>
    <xf numFmtId="0" fontId="101" fillId="25" borderId="48" xfId="76" applyFont="1" applyFill="1" applyBorder="1" applyAlignment="1">
      <alignment horizontal="left" vertical="center"/>
    </xf>
    <xf numFmtId="0" fontId="101" fillId="25" borderId="69" xfId="76" applyFont="1" applyFill="1" applyBorder="1" applyAlignment="1">
      <alignment horizontal="left" vertical="center"/>
    </xf>
    <xf numFmtId="0" fontId="64" fillId="25" borderId="0" xfId="49" applyFont="1" applyFill="1" applyBorder="1" applyAlignment="1">
      <alignment horizontal="center" wrapText="1"/>
    </xf>
    <xf numFmtId="0" fontId="101" fillId="25" borderId="170" xfId="76" applyFont="1" applyFill="1" applyBorder="1" applyAlignment="1">
      <alignment horizontal="center" vertical="center"/>
    </xf>
    <xf numFmtId="0" fontId="101" fillId="25" borderId="171" xfId="76" applyFont="1" applyFill="1" applyBorder="1" applyAlignment="1">
      <alignment horizontal="center" vertical="center"/>
    </xf>
    <xf numFmtId="0" fontId="101" fillId="25" borderId="175" xfId="76" applyFont="1" applyFill="1" applyBorder="1" applyAlignment="1">
      <alignment horizontal="left" vertical="center"/>
    </xf>
    <xf numFmtId="0" fontId="101" fillId="25" borderId="176" xfId="76" applyFont="1" applyFill="1" applyBorder="1" applyAlignment="1">
      <alignment horizontal="left" vertical="center"/>
    </xf>
    <xf numFmtId="0" fontId="101" fillId="25" borderId="177" xfId="76" applyFont="1" applyFill="1" applyBorder="1" applyAlignment="1">
      <alignment horizontal="left" vertical="center"/>
    </xf>
    <xf numFmtId="0" fontId="101" fillId="25" borderId="103" xfId="76" applyFont="1" applyFill="1" applyBorder="1" applyAlignment="1">
      <alignment horizontal="left" vertical="center"/>
    </xf>
    <xf numFmtId="0" fontId="101" fillId="25" borderId="104" xfId="76" applyFont="1" applyFill="1" applyBorder="1" applyAlignment="1">
      <alignment horizontal="left" vertical="center"/>
    </xf>
    <xf numFmtId="0" fontId="101" fillId="25" borderId="106" xfId="76" applyFont="1" applyFill="1" applyBorder="1" applyAlignment="1">
      <alignment horizontal="left" vertical="center"/>
    </xf>
    <xf numFmtId="0" fontId="101" fillId="25" borderId="111" xfId="76" applyFont="1" applyFill="1" applyBorder="1" applyAlignment="1">
      <alignment horizontal="left" vertical="center"/>
    </xf>
    <xf numFmtId="0" fontId="101" fillId="25" borderId="112" xfId="76" applyFont="1" applyFill="1" applyBorder="1" applyAlignment="1">
      <alignment horizontal="left" vertical="center"/>
    </xf>
    <xf numFmtId="0" fontId="101" fillId="25" borderId="113" xfId="76" applyFont="1" applyFill="1" applyBorder="1" applyAlignment="1">
      <alignment horizontal="left" vertical="center"/>
    </xf>
    <xf numFmtId="0" fontId="100" fillId="25" borderId="181" xfId="76" applyFont="1" applyFill="1" applyBorder="1" applyAlignment="1">
      <alignment horizontal="center" vertical="center"/>
    </xf>
    <xf numFmtId="0" fontId="100" fillId="25" borderId="182" xfId="76" applyFont="1" applyFill="1" applyBorder="1" applyAlignment="1">
      <alignment horizontal="center" vertical="center"/>
    </xf>
    <xf numFmtId="0" fontId="100" fillId="25" borderId="183" xfId="76" applyFont="1" applyFill="1" applyBorder="1" applyAlignment="1">
      <alignment horizontal="center" vertical="center"/>
    </xf>
    <xf numFmtId="0" fontId="101" fillId="25" borderId="1" xfId="76" applyFont="1" applyFill="1" applyBorder="1" applyAlignment="1">
      <alignment horizontal="center" vertical="center"/>
    </xf>
    <xf numFmtId="0" fontId="101" fillId="25" borderId="43" xfId="76" applyFont="1" applyFill="1" applyBorder="1" applyAlignment="1">
      <alignment horizontal="left" vertical="center"/>
    </xf>
    <xf numFmtId="0" fontId="101" fillId="25" borderId="3" xfId="76" applyFont="1" applyFill="1" applyBorder="1" applyAlignment="1">
      <alignment horizontal="left" vertical="center"/>
    </xf>
    <xf numFmtId="0" fontId="101" fillId="25" borderId="4" xfId="76" applyFont="1" applyFill="1" applyBorder="1" applyAlignment="1">
      <alignment horizontal="left" vertical="center"/>
    </xf>
    <xf numFmtId="0" fontId="101" fillId="25" borderId="95" xfId="76" applyFont="1" applyFill="1" applyBorder="1" applyAlignment="1">
      <alignment horizontal="left" vertical="center" wrapText="1"/>
    </xf>
    <xf numFmtId="0" fontId="64" fillId="25" borderId="1" xfId="78" applyFont="1" applyFill="1" applyBorder="1" applyAlignment="1">
      <alignment horizontal="center" vertical="center"/>
    </xf>
    <xf numFmtId="0" fontId="101" fillId="25" borderId="118" xfId="76" applyFont="1" applyFill="1" applyBorder="1" applyAlignment="1">
      <alignment horizontal="left" vertical="center"/>
    </xf>
    <xf numFmtId="0" fontId="101" fillId="25" borderId="59" xfId="76" applyFont="1" applyFill="1" applyBorder="1" applyAlignment="1">
      <alignment horizontal="left" vertical="center"/>
    </xf>
    <xf numFmtId="0" fontId="101" fillId="25" borderId="60" xfId="76" applyFont="1" applyFill="1" applyBorder="1" applyAlignment="1">
      <alignment horizontal="left" vertical="center"/>
    </xf>
    <xf numFmtId="0" fontId="100" fillId="25" borderId="21" xfId="76" applyFont="1" applyFill="1" applyBorder="1" applyAlignment="1">
      <alignment horizontal="center" vertical="center"/>
    </xf>
    <xf numFmtId="0" fontId="100" fillId="25" borderId="187" xfId="76" applyFont="1" applyFill="1" applyBorder="1" applyAlignment="1">
      <alignment horizontal="center" vertical="center"/>
    </xf>
    <xf numFmtId="0" fontId="100" fillId="25" borderId="188" xfId="76" applyFont="1" applyFill="1" applyBorder="1" applyAlignment="1">
      <alignment horizontal="center" vertical="center"/>
    </xf>
    <xf numFmtId="0" fontId="100" fillId="25" borderId="0" xfId="76" applyFont="1" applyFill="1" applyAlignment="1">
      <alignment horizontal="left"/>
    </xf>
    <xf numFmtId="0" fontId="101" fillId="25" borderId="189" xfId="76" applyFont="1" applyFill="1" applyBorder="1" applyAlignment="1">
      <alignment horizontal="left" vertical="center"/>
    </xf>
    <xf numFmtId="0" fontId="54" fillId="0" borderId="36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4" fillId="0" borderId="74" xfId="0" applyFont="1" applyBorder="1" applyAlignment="1">
      <alignment horizontal="center" vertical="center"/>
    </xf>
    <xf numFmtId="0" fontId="54" fillId="0" borderId="75" xfId="0" applyFont="1" applyBorder="1" applyAlignment="1">
      <alignment horizontal="center" vertical="center"/>
    </xf>
    <xf numFmtId="0" fontId="119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120" fillId="0" borderId="0" xfId="0" applyFont="1" applyAlignment="1">
      <alignment horizontal="center"/>
    </xf>
    <xf numFmtId="0" fontId="54" fillId="0" borderId="72" xfId="0" applyFont="1" applyBorder="1" applyAlignment="1">
      <alignment horizontal="center" vertical="center"/>
    </xf>
    <xf numFmtId="0" fontId="54" fillId="0" borderId="73" xfId="0" applyFont="1" applyBorder="1" applyAlignment="1">
      <alignment horizontal="center" vertical="center"/>
    </xf>
    <xf numFmtId="0" fontId="54" fillId="0" borderId="82" xfId="0" applyFont="1" applyBorder="1" applyAlignment="1">
      <alignment horizontal="center" vertical="center" wrapText="1"/>
    </xf>
    <xf numFmtId="0" fontId="54" fillId="0" borderId="7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42" fontId="0" fillId="0" borderId="76" xfId="0" applyNumberFormat="1" applyBorder="1" applyAlignment="1">
      <alignment horizontal="center" vertical="center"/>
    </xf>
    <xf numFmtId="42" fontId="0" fillId="0" borderId="75" xfId="0" applyNumberFormat="1" applyBorder="1" applyAlignment="1">
      <alignment horizontal="center" vertical="center"/>
    </xf>
    <xf numFmtId="0" fontId="0" fillId="0" borderId="194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54" fillId="0" borderId="83" xfId="0" applyFont="1" applyBorder="1" applyAlignment="1">
      <alignment horizontal="center" vertical="center"/>
    </xf>
    <xf numFmtId="0" fontId="54" fillId="0" borderId="84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 wrapText="1"/>
    </xf>
    <xf numFmtId="42" fontId="0" fillId="28" borderId="76" xfId="0" applyNumberFormat="1" applyFill="1" applyBorder="1" applyAlignment="1">
      <alignment horizontal="center" vertical="center"/>
    </xf>
    <xf numFmtId="42" fontId="0" fillId="28" borderId="122" xfId="0" applyNumberFormat="1" applyFill="1" applyBorder="1" applyAlignment="1">
      <alignment horizontal="center" vertical="center"/>
    </xf>
    <xf numFmtId="42" fontId="0" fillId="28" borderId="75" xfId="0" applyNumberFormat="1" applyFill="1" applyBorder="1" applyAlignment="1">
      <alignment horizontal="center" vertical="center"/>
    </xf>
    <xf numFmtId="0" fontId="54" fillId="0" borderId="121" xfId="0" applyFont="1" applyBorder="1" applyAlignment="1">
      <alignment horizontal="center" vertical="center" wrapText="1"/>
    </xf>
    <xf numFmtId="169" fontId="0" fillId="28" borderId="196" xfId="0" applyNumberFormat="1" applyFill="1" applyBorder="1" applyAlignment="1">
      <alignment horizontal="center" vertical="center"/>
    </xf>
    <xf numFmtId="169" fontId="0" fillId="28" borderId="125" xfId="0" applyNumberFormat="1" applyFill="1" applyBorder="1" applyAlignment="1">
      <alignment horizontal="center" vertical="center"/>
    </xf>
    <xf numFmtId="169" fontId="0" fillId="28" borderId="79" xfId="0" applyNumberFormat="1" applyFill="1" applyBorder="1" applyAlignment="1">
      <alignment horizontal="center" vertical="center"/>
    </xf>
    <xf numFmtId="0" fontId="99" fillId="0" borderId="97" xfId="0" applyFont="1" applyBorder="1" applyAlignment="1">
      <alignment horizontal="left" wrapText="1"/>
    </xf>
    <xf numFmtId="169" fontId="0" fillId="28" borderId="126" xfId="0" applyNumberForma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54" fillId="28" borderId="123" xfId="0" applyFont="1" applyFill="1" applyBorder="1" applyAlignment="1">
      <alignment horizontal="center" vertical="center" wrapText="1"/>
    </xf>
    <xf numFmtId="0" fontId="54" fillId="28" borderId="124" xfId="0" applyFont="1" applyFill="1" applyBorder="1" applyAlignment="1">
      <alignment horizontal="center" vertical="center" wrapText="1"/>
    </xf>
    <xf numFmtId="169" fontId="0" fillId="28" borderId="161" xfId="0" applyNumberFormat="1" applyFill="1" applyBorder="1" applyAlignment="1">
      <alignment horizontal="right" vertical="center"/>
    </xf>
    <xf numFmtId="169" fontId="0" fillId="28" borderId="57" xfId="0" applyNumberFormat="1" applyFill="1" applyBorder="1" applyAlignment="1">
      <alignment horizontal="right" vertical="center"/>
    </xf>
    <xf numFmtId="169" fontId="0" fillId="28" borderId="136" xfId="0" applyNumberFormat="1" applyFill="1" applyBorder="1" applyAlignment="1">
      <alignment horizontal="right" vertical="center"/>
    </xf>
    <xf numFmtId="42" fontId="0" fillId="28" borderId="161" xfId="0" applyNumberFormat="1" applyFill="1" applyBorder="1" applyAlignment="1">
      <alignment horizontal="center" vertical="center"/>
    </xf>
    <xf numFmtId="42" fontId="0" fillId="28" borderId="57" xfId="0" applyNumberFormat="1" applyFill="1" applyBorder="1" applyAlignment="1">
      <alignment horizontal="center" vertical="center"/>
    </xf>
    <xf numFmtId="42" fontId="0" fillId="28" borderId="136" xfId="0" applyNumberFormat="1" applyFill="1" applyBorder="1" applyAlignment="1">
      <alignment horizontal="center" vertical="center"/>
    </xf>
    <xf numFmtId="0" fontId="54" fillId="28" borderId="82" xfId="0" applyFont="1" applyFill="1" applyBorder="1" applyAlignment="1">
      <alignment horizontal="center" vertical="center" wrapText="1"/>
    </xf>
    <xf numFmtId="0" fontId="54" fillId="28" borderId="73" xfId="0" applyFont="1" applyFill="1" applyBorder="1" applyAlignment="1">
      <alignment horizontal="center" vertical="center" wrapText="1"/>
    </xf>
    <xf numFmtId="0" fontId="0" fillId="0" borderId="80" xfId="0" applyBorder="1" applyAlignment="1">
      <alignment wrapText="1"/>
    </xf>
    <xf numFmtId="0" fontId="0" fillId="0" borderId="0" xfId="0" applyAlignment="1">
      <alignment wrapText="1"/>
    </xf>
    <xf numFmtId="0" fontId="99" fillId="0" borderId="97" xfId="0" applyFont="1" applyBorder="1" applyAlignment="1">
      <alignment horizontal="center" wrapText="1"/>
    </xf>
    <xf numFmtId="0" fontId="99" fillId="0" borderId="0" xfId="0" applyFont="1" applyAlignment="1">
      <alignment horizontal="center" wrapText="1"/>
    </xf>
    <xf numFmtId="169" fontId="0" fillId="0" borderId="197" xfId="0" applyNumberFormat="1" applyBorder="1" applyAlignment="1">
      <alignment horizontal="center" vertical="center"/>
    </xf>
    <xf numFmtId="169" fontId="0" fillId="0" borderId="198" xfId="0" applyNumberFormat="1" applyBorder="1" applyAlignment="1">
      <alignment horizontal="center" vertical="center"/>
    </xf>
    <xf numFmtId="169" fontId="0" fillId="0" borderId="199" xfId="0" applyNumberFormat="1" applyBorder="1" applyAlignment="1">
      <alignment horizontal="center" vertical="center"/>
    </xf>
    <xf numFmtId="0" fontId="0" fillId="0" borderId="192" xfId="0" applyBorder="1" applyAlignment="1">
      <alignment horizontal="center"/>
    </xf>
    <xf numFmtId="0" fontId="54" fillId="0" borderId="192" xfId="0" applyFont="1" applyBorder="1" applyAlignment="1">
      <alignment horizontal="center" vertical="center"/>
    </xf>
    <xf numFmtId="0" fontId="0" fillId="0" borderId="192" xfId="0" applyBorder="1" applyAlignment="1">
      <alignment horizontal="center" vertical="center"/>
    </xf>
    <xf numFmtId="0" fontId="119" fillId="0" borderId="0" xfId="0" applyFont="1" applyAlignment="1">
      <alignment horizontal="center" wrapText="1"/>
    </xf>
    <xf numFmtId="0" fontId="0" fillId="0" borderId="97" xfId="0" applyBorder="1" applyAlignment="1">
      <alignment horizontal="left" wrapText="1"/>
    </xf>
    <xf numFmtId="0" fontId="54" fillId="0" borderId="0" xfId="0" applyFont="1" applyAlignment="1">
      <alignment horizontal="center" wrapText="1"/>
    </xf>
    <xf numFmtId="0" fontId="54" fillId="0" borderId="72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54" fillId="0" borderId="83" xfId="0" applyFont="1" applyBorder="1" applyAlignment="1">
      <alignment horizontal="center" vertical="center" wrapText="1"/>
    </xf>
    <xf numFmtId="0" fontId="54" fillId="0" borderId="84" xfId="0" applyFont="1" applyBorder="1" applyAlignment="1">
      <alignment horizontal="center" vertical="center" wrapText="1"/>
    </xf>
    <xf numFmtId="0" fontId="77" fillId="0" borderId="0" xfId="0" applyFont="1" applyAlignment="1">
      <alignment horizontal="center" wrapText="1"/>
    </xf>
    <xf numFmtId="0" fontId="49" fillId="0" borderId="0" xfId="70" applyFont="1" applyAlignment="1">
      <alignment horizontal="center" vertical="center" wrapText="1"/>
    </xf>
    <xf numFmtId="0" fontId="52" fillId="0" borderId="0" xfId="75" applyFont="1" applyAlignment="1">
      <alignment horizontal="left" wrapText="1"/>
    </xf>
    <xf numFmtId="0" fontId="79" fillId="0" borderId="0" xfId="75" applyFont="1" applyAlignment="1">
      <alignment horizontal="center"/>
    </xf>
    <xf numFmtId="0" fontId="96" fillId="31" borderId="192" xfId="0" applyFont="1" applyFill="1" applyBorder="1" applyAlignment="1">
      <alignment horizontal="center" vertical="center" wrapText="1"/>
    </xf>
    <xf numFmtId="0" fontId="96" fillId="31" borderId="161" xfId="0" applyFont="1" applyFill="1" applyBorder="1" applyAlignment="1">
      <alignment horizontal="center" vertical="center" wrapText="1"/>
    </xf>
    <xf numFmtId="0" fontId="96" fillId="31" borderId="57" xfId="0" applyFont="1" applyFill="1" applyBorder="1" applyAlignment="1">
      <alignment horizontal="center" vertical="center" wrapText="1"/>
    </xf>
    <xf numFmtId="0" fontId="96" fillId="31" borderId="136" xfId="0" applyFont="1" applyFill="1" applyBorder="1" applyAlignment="1">
      <alignment horizontal="center" vertical="center" wrapText="1"/>
    </xf>
    <xf numFmtId="0" fontId="96" fillId="31" borderId="151" xfId="0" applyFont="1" applyFill="1" applyBorder="1" applyAlignment="1">
      <alignment horizontal="center" vertical="center" wrapText="1"/>
    </xf>
    <xf numFmtId="0" fontId="96" fillId="31" borderId="152" xfId="0" applyFont="1" applyFill="1" applyBorder="1" applyAlignment="1">
      <alignment horizontal="center" vertical="center" wrapText="1"/>
    </xf>
    <xf numFmtId="0" fontId="96" fillId="31" borderId="153" xfId="0" applyFont="1" applyFill="1" applyBorder="1" applyAlignment="1">
      <alignment horizontal="center" vertical="center" wrapText="1"/>
    </xf>
    <xf numFmtId="0" fontId="96" fillId="31" borderId="123" xfId="0" applyFont="1" applyFill="1" applyBorder="1" applyAlignment="1">
      <alignment horizontal="center" vertical="center" wrapText="1"/>
    </xf>
    <xf numFmtId="0" fontId="96" fillId="31" borderId="145" xfId="0" applyFont="1" applyFill="1" applyBorder="1" applyAlignment="1">
      <alignment horizontal="center" vertical="center" wrapText="1"/>
    </xf>
    <xf numFmtId="0" fontId="96" fillId="31" borderId="124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96" fillId="31" borderId="191" xfId="0" applyFont="1" applyFill="1" applyBorder="1" applyAlignment="1">
      <alignment horizontal="center" vertical="center" wrapText="1"/>
    </xf>
    <xf numFmtId="0" fontId="96" fillId="31" borderId="195" xfId="0" applyFont="1" applyFill="1" applyBorder="1" applyAlignment="1">
      <alignment horizontal="center" vertical="center" wrapText="1"/>
    </xf>
    <xf numFmtId="0" fontId="52" fillId="0" borderId="0" xfId="75" applyFont="1" applyAlignment="1">
      <alignment horizontal="center" wrapText="1"/>
    </xf>
    <xf numFmtId="0" fontId="96" fillId="31" borderId="184" xfId="0" applyFont="1" applyFill="1" applyBorder="1" applyAlignment="1">
      <alignment horizontal="center" vertical="center" wrapText="1"/>
    </xf>
    <xf numFmtId="0" fontId="96" fillId="31" borderId="0" xfId="0" applyFont="1" applyFill="1" applyAlignment="1">
      <alignment horizontal="center" vertical="center" wrapText="1"/>
    </xf>
  </cellXfs>
  <cellStyles count="132">
    <cellStyle name="20% - Accent1" xfId="3" xr:uid="{00000000-0005-0000-0000-000000000000}"/>
    <cellStyle name="20% - Accent1 2" xfId="88" xr:uid="{00000000-0005-0000-0000-000001000000}"/>
    <cellStyle name="20% - Accent2" xfId="4" xr:uid="{00000000-0005-0000-0000-000002000000}"/>
    <cellStyle name="20% - Accent2 2" xfId="89" xr:uid="{00000000-0005-0000-0000-000003000000}"/>
    <cellStyle name="20% - Accent3" xfId="5" xr:uid="{00000000-0005-0000-0000-000004000000}"/>
    <cellStyle name="20% - Accent3 2" xfId="90" xr:uid="{00000000-0005-0000-0000-000005000000}"/>
    <cellStyle name="20% - Accent4" xfId="6" xr:uid="{00000000-0005-0000-0000-000006000000}"/>
    <cellStyle name="20% - Accent4 2" xfId="91" xr:uid="{00000000-0005-0000-0000-000007000000}"/>
    <cellStyle name="20% - Accent5" xfId="7" xr:uid="{00000000-0005-0000-0000-000008000000}"/>
    <cellStyle name="20% - Accent5 2" xfId="92" xr:uid="{00000000-0005-0000-0000-000009000000}"/>
    <cellStyle name="20% - Accent6" xfId="8" xr:uid="{00000000-0005-0000-0000-00000A000000}"/>
    <cellStyle name="20% - Accent6 2" xfId="93" xr:uid="{00000000-0005-0000-0000-00000B000000}"/>
    <cellStyle name="40% - Accent1" xfId="9" xr:uid="{00000000-0005-0000-0000-00000C000000}"/>
    <cellStyle name="40% - Accent1 2" xfId="94" xr:uid="{00000000-0005-0000-0000-00000D000000}"/>
    <cellStyle name="40% - Accent2" xfId="10" xr:uid="{00000000-0005-0000-0000-00000E000000}"/>
    <cellStyle name="40% - Accent2 2" xfId="95" xr:uid="{00000000-0005-0000-0000-00000F000000}"/>
    <cellStyle name="40% - Accent3" xfId="11" xr:uid="{00000000-0005-0000-0000-000010000000}"/>
    <cellStyle name="40% - Accent3 2" xfId="96" xr:uid="{00000000-0005-0000-0000-000011000000}"/>
    <cellStyle name="40% - Accent4" xfId="12" xr:uid="{00000000-0005-0000-0000-000012000000}"/>
    <cellStyle name="40% - Accent4 2" xfId="97" xr:uid="{00000000-0005-0000-0000-000013000000}"/>
    <cellStyle name="40% - Accent5" xfId="13" xr:uid="{00000000-0005-0000-0000-000014000000}"/>
    <cellStyle name="40% - Accent5 2" xfId="98" xr:uid="{00000000-0005-0000-0000-000015000000}"/>
    <cellStyle name="40% - Accent6" xfId="14" xr:uid="{00000000-0005-0000-0000-000016000000}"/>
    <cellStyle name="40% - Accent6 2" xfId="99" xr:uid="{00000000-0005-0000-0000-000017000000}"/>
    <cellStyle name="60% - Accent1" xfId="15" xr:uid="{00000000-0005-0000-0000-000018000000}"/>
    <cellStyle name="60% - Accent2" xfId="16" xr:uid="{00000000-0005-0000-0000-000019000000}"/>
    <cellStyle name="60% - Accent3" xfId="17" xr:uid="{00000000-0005-0000-0000-00001A000000}"/>
    <cellStyle name="60% - Accent4" xfId="18" xr:uid="{00000000-0005-0000-0000-00001B000000}"/>
    <cellStyle name="60% - Accent5" xfId="19" xr:uid="{00000000-0005-0000-0000-00001C000000}"/>
    <cellStyle name="60% - Accent6" xfId="20" xr:uid="{00000000-0005-0000-0000-00001D000000}"/>
    <cellStyle name="Accent1" xfId="21" xr:uid="{00000000-0005-0000-0000-00001E000000}"/>
    <cellStyle name="Accent2" xfId="22" xr:uid="{00000000-0005-0000-0000-00001F000000}"/>
    <cellStyle name="Accent3" xfId="23" xr:uid="{00000000-0005-0000-0000-000020000000}"/>
    <cellStyle name="Accent4" xfId="24" xr:uid="{00000000-0005-0000-0000-000021000000}"/>
    <cellStyle name="Accent5" xfId="25" xr:uid="{00000000-0005-0000-0000-000022000000}"/>
    <cellStyle name="Accent6" xfId="26" xr:uid="{00000000-0005-0000-0000-000023000000}"/>
    <cellStyle name="Bad" xfId="27" xr:uid="{00000000-0005-0000-0000-000024000000}"/>
    <cellStyle name="Calculation" xfId="28" xr:uid="{00000000-0005-0000-0000-000025000000}"/>
    <cellStyle name="Calculation 2" xfId="100" xr:uid="{00000000-0005-0000-0000-000026000000}"/>
    <cellStyle name="Check Cell" xfId="29" xr:uid="{00000000-0005-0000-0000-000027000000}"/>
    <cellStyle name="Explanatory Text" xfId="30" xr:uid="{00000000-0005-0000-0000-000028000000}"/>
    <cellStyle name="Ezres" xfId="1" builtinId="3"/>
    <cellStyle name="Ezres [0] 2" xfId="31" xr:uid="{00000000-0005-0000-0000-00002A000000}"/>
    <cellStyle name="Ezres 10" xfId="84" xr:uid="{00000000-0005-0000-0000-00002B000000}"/>
    <cellStyle name="Ezres 11" xfId="81" xr:uid="{00000000-0005-0000-0000-00002C000000}"/>
    <cellStyle name="Ezres 12" xfId="86" xr:uid="{00000000-0005-0000-0000-00002D000000}"/>
    <cellStyle name="Ezres 13" xfId="85" xr:uid="{00000000-0005-0000-0000-00002E000000}"/>
    <cellStyle name="Ezres 14" xfId="87" xr:uid="{00000000-0005-0000-0000-00002F000000}"/>
    <cellStyle name="Ezres 15" xfId="101" xr:uid="{00000000-0005-0000-0000-000030000000}"/>
    <cellStyle name="Ezres 2" xfId="32" xr:uid="{00000000-0005-0000-0000-000031000000}"/>
    <cellStyle name="Ezres 2 2" xfId="77" xr:uid="{00000000-0005-0000-0000-000032000000}"/>
    <cellStyle name="Ezres 3" xfId="33" xr:uid="{00000000-0005-0000-0000-000033000000}"/>
    <cellStyle name="Ezres 3 2" xfId="34" xr:uid="{00000000-0005-0000-0000-000034000000}"/>
    <cellStyle name="Ezres 3 3" xfId="102" xr:uid="{00000000-0005-0000-0000-000035000000}"/>
    <cellStyle name="Ezres 3_célhitel állomány 2010 tervezéshez" xfId="35" xr:uid="{00000000-0005-0000-0000-000036000000}"/>
    <cellStyle name="Ezres 4" xfId="36" xr:uid="{00000000-0005-0000-0000-000037000000}"/>
    <cellStyle name="Ezres 4 2" xfId="37" xr:uid="{00000000-0005-0000-0000-000038000000}"/>
    <cellStyle name="Ezres 4 3" xfId="103" xr:uid="{00000000-0005-0000-0000-000039000000}"/>
    <cellStyle name="Ezres 5" xfId="38" xr:uid="{00000000-0005-0000-0000-00003A000000}"/>
    <cellStyle name="Ezres 5 2" xfId="105" xr:uid="{00000000-0005-0000-0000-00003B000000}"/>
    <cellStyle name="Ezres 5 3" xfId="104" xr:uid="{00000000-0005-0000-0000-00003C000000}"/>
    <cellStyle name="Ezres 6" xfId="39" xr:uid="{00000000-0005-0000-0000-00003D000000}"/>
    <cellStyle name="Ezres 7" xfId="40" xr:uid="{00000000-0005-0000-0000-00003E000000}"/>
    <cellStyle name="Ezres 7 2" xfId="107" xr:uid="{00000000-0005-0000-0000-00003F000000}"/>
    <cellStyle name="Ezres 7 3" xfId="108" xr:uid="{00000000-0005-0000-0000-000040000000}"/>
    <cellStyle name="Ezres 7 4" xfId="106" xr:uid="{00000000-0005-0000-0000-000041000000}"/>
    <cellStyle name="Ezres 8" xfId="80" xr:uid="{00000000-0005-0000-0000-000042000000}"/>
    <cellStyle name="Ezres 8 2" xfId="109" xr:uid="{00000000-0005-0000-0000-000043000000}"/>
    <cellStyle name="Ezres 9" xfId="82" xr:uid="{00000000-0005-0000-0000-000044000000}"/>
    <cellStyle name="Good" xfId="41" xr:uid="{00000000-0005-0000-0000-000045000000}"/>
    <cellStyle name="Heading 1" xfId="42" xr:uid="{00000000-0005-0000-0000-000046000000}"/>
    <cellStyle name="Heading 2" xfId="43" xr:uid="{00000000-0005-0000-0000-000047000000}"/>
    <cellStyle name="Heading 3" xfId="44" xr:uid="{00000000-0005-0000-0000-000048000000}"/>
    <cellStyle name="Heading 4" xfId="45" xr:uid="{00000000-0005-0000-0000-000049000000}"/>
    <cellStyle name="Input" xfId="46" xr:uid="{00000000-0005-0000-0000-00004A000000}"/>
    <cellStyle name="Input 2" xfId="110" xr:uid="{00000000-0005-0000-0000-00004B000000}"/>
    <cellStyle name="Linked Cell" xfId="47" xr:uid="{00000000-0005-0000-0000-00004C000000}"/>
    <cellStyle name="Neutral" xfId="48" xr:uid="{00000000-0005-0000-0000-00004D000000}"/>
    <cellStyle name="Normál" xfId="0" builtinId="0"/>
    <cellStyle name="Normál 2" xfId="49" xr:uid="{00000000-0005-0000-0000-00004F000000}"/>
    <cellStyle name="Normál 2 2" xfId="50" xr:uid="{00000000-0005-0000-0000-000050000000}"/>
    <cellStyle name="Normál 2 3" xfId="112" xr:uid="{00000000-0005-0000-0000-000051000000}"/>
    <cellStyle name="Normál 2 4" xfId="51" xr:uid="{00000000-0005-0000-0000-000052000000}"/>
    <cellStyle name="Normál 2 5" xfId="111" xr:uid="{00000000-0005-0000-0000-000053000000}"/>
    <cellStyle name="Normál 2_4.4.5 utca Könyvvizsgálói tábla" xfId="52" xr:uid="{00000000-0005-0000-0000-000054000000}"/>
    <cellStyle name="Normál 3" xfId="53" xr:uid="{00000000-0005-0000-0000-000055000000}"/>
    <cellStyle name="Normál 3 2" xfId="113" xr:uid="{00000000-0005-0000-0000-000056000000}"/>
    <cellStyle name="Normál 4" xfId="54" xr:uid="{00000000-0005-0000-0000-000057000000}"/>
    <cellStyle name="Normál 4 2" xfId="76" xr:uid="{00000000-0005-0000-0000-000058000000}"/>
    <cellStyle name="Normál 5" xfId="55" xr:uid="{00000000-0005-0000-0000-000059000000}"/>
    <cellStyle name="Normál 5 2" xfId="56" xr:uid="{00000000-0005-0000-0000-00005A000000}"/>
    <cellStyle name="Normál 5 3" xfId="74" xr:uid="{00000000-0005-0000-0000-00005B000000}"/>
    <cellStyle name="Normál 6" xfId="114" xr:uid="{00000000-0005-0000-0000-00005C000000}"/>
    <cellStyle name="Normál 7" xfId="115" xr:uid="{00000000-0005-0000-0000-00005D000000}"/>
    <cellStyle name="Normál 7 2" xfId="73" xr:uid="{00000000-0005-0000-0000-00005E000000}"/>
    <cellStyle name="Normál 7 2 2" xfId="116" xr:uid="{00000000-0005-0000-0000-00005F000000}"/>
    <cellStyle name="Normál 8" xfId="117" xr:uid="{00000000-0005-0000-0000-000060000000}"/>
    <cellStyle name="Normál 9" xfId="130" xr:uid="{00000000-0005-0000-0000-000061000000}"/>
    <cellStyle name="Normál_2005.2.a-2.etábl. terv" xfId="78" xr:uid="{00000000-0005-0000-0000-000062000000}"/>
    <cellStyle name="Normál_2012 Költségvetés pályázatok" xfId="70" xr:uid="{00000000-0005-0000-0000-000063000000}"/>
    <cellStyle name="Normál_Másolat eredetijeZARSZREND11" xfId="72" xr:uid="{00000000-0005-0000-0000-000064000000}"/>
    <cellStyle name="Normál_Mese indikátor" xfId="75" xr:uid="{00000000-0005-0000-0000-000065000000}"/>
    <cellStyle name="Normál_Részesedések a mérlegalátámasztás 2.sz. melléklete" xfId="67" xr:uid="{00000000-0005-0000-0000-000066000000}"/>
    <cellStyle name="Normál_Támop indikátor" xfId="71" xr:uid="{00000000-0005-0000-0000-000067000000}"/>
    <cellStyle name="Normál_vagyon, egyszerűsített mérleg 2007. dec 31." xfId="68" xr:uid="{00000000-0005-0000-0000-000068000000}"/>
    <cellStyle name="Note" xfId="57" xr:uid="{00000000-0005-0000-0000-000069000000}"/>
    <cellStyle name="Note 2" xfId="119" xr:uid="{00000000-0005-0000-0000-00006A000000}"/>
    <cellStyle name="Note 3" xfId="118" xr:uid="{00000000-0005-0000-0000-00006B000000}"/>
    <cellStyle name="Output" xfId="58" xr:uid="{00000000-0005-0000-0000-00006C000000}"/>
    <cellStyle name="Output 2" xfId="120" xr:uid="{00000000-0005-0000-0000-00006D000000}"/>
    <cellStyle name="Pénznem" xfId="2" builtinId="4"/>
    <cellStyle name="Pénznem 2" xfId="59" xr:uid="{00000000-0005-0000-0000-00006F000000}"/>
    <cellStyle name="Pénznem 2 2" xfId="123" xr:uid="{00000000-0005-0000-0000-000070000000}"/>
    <cellStyle name="Pénznem 2 3" xfId="122" xr:uid="{00000000-0005-0000-0000-000071000000}"/>
    <cellStyle name="Pénznem 3" xfId="60" xr:uid="{00000000-0005-0000-0000-000072000000}"/>
    <cellStyle name="Pénznem 3 2" xfId="79" xr:uid="{00000000-0005-0000-0000-000073000000}"/>
    <cellStyle name="Pénznem 3 2 2" xfId="125" xr:uid="{00000000-0005-0000-0000-000074000000}"/>
    <cellStyle name="Pénznem 3 3" xfId="124" xr:uid="{00000000-0005-0000-0000-000075000000}"/>
    <cellStyle name="Pénznem 4" xfId="83" xr:uid="{00000000-0005-0000-0000-000076000000}"/>
    <cellStyle name="Pénznem 5" xfId="121" xr:uid="{00000000-0005-0000-0000-000077000000}"/>
    <cellStyle name="Százalék 2" xfId="61" xr:uid="{00000000-0005-0000-0000-000078000000}"/>
    <cellStyle name="Százalék 2 2" xfId="62" xr:uid="{00000000-0005-0000-0000-000079000000}"/>
    <cellStyle name="Százalék 2 3" xfId="127" xr:uid="{00000000-0005-0000-0000-00007A000000}"/>
    <cellStyle name="Százalék 2 4" xfId="131" xr:uid="{00000000-0005-0000-0000-00007B000000}"/>
    <cellStyle name="Százalék 2_zárszámadás 0407.II" xfId="63" xr:uid="{00000000-0005-0000-0000-00007C000000}"/>
    <cellStyle name="Százalék 3" xfId="69" xr:uid="{00000000-0005-0000-0000-00007D000000}"/>
    <cellStyle name="Százalék 3 2" xfId="128" xr:uid="{00000000-0005-0000-0000-00007E000000}"/>
    <cellStyle name="Százalék 4" xfId="126" xr:uid="{00000000-0005-0000-0000-00007F000000}"/>
    <cellStyle name="Title" xfId="64" xr:uid="{00000000-0005-0000-0000-000080000000}"/>
    <cellStyle name="Total" xfId="65" xr:uid="{00000000-0005-0000-0000-000081000000}"/>
    <cellStyle name="Total 2" xfId="129" xr:uid="{00000000-0005-0000-0000-000082000000}"/>
    <cellStyle name="Warning Text" xfId="66" xr:uid="{00000000-0005-0000-0000-00008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33;nz&#252;gy/2021/Z&#225;rsz&#225;mad&#225;s%202021/Z&#225;rsz&#225;mad&#225;si%20rendelet/2021.%20z&#225;rsz&#225;mad&#225;s%20t&#225;bl&#225;zat%20A%20t&#225;bla%2005.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stenbreinerika/Documents/P&#225;ly&#225;zatos%20t&#225;bl&#225;k%20ASP-b&#337;l/8.9.%20sz&#225;m&#250;%20sz&#225;mla&#246;sszes&#237;t&#337;k_DH%20csapviz_h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a sz. Önkormányzat 2021. "/>
      <sheetName val="1.b sz. Önkormányzat 2021."/>
      <sheetName val="2.1. sz. PMH"/>
      <sheetName val="2.2. sz. Hétszínvirág Óvoda"/>
      <sheetName val="2.3. sz. Mese Óvoda"/>
      <sheetName val="2.4. sz. Bölcsőde"/>
      <sheetName val="2.5. sz. Gyermekjóléti"/>
      <sheetName val="2.6 sz. Területi"/>
      <sheetName val="2.7. sz. Könyvtár"/>
      <sheetName val="2.8. sz. Műv.Ház"/>
      <sheetName val="2.9. sz. Szivárvány Ó."/>
      <sheetName val="2.10. sz. Intézmények összesen"/>
      <sheetName val="3. sz.Városi szintű összesen"/>
      <sheetName val="4.sz.Felhalm.c.pe.átadás"/>
      <sheetName val="5.sz.Műk.c.pe.átadás"/>
      <sheetName val="6.sz. Beruházások"/>
      <sheetName val="7. sz. Felújítások"/>
      <sheetName val="8.sz.Tartalékok"/>
      <sheetName val="9.sz. Szociális"/>
      <sheetName val="10.sz.Intézményfinanszírozás"/>
      <sheetName val="11.sz. Állami támogatás"/>
      <sheetName val="12.sz.mell. Létszámtábla"/>
    </sheetNames>
    <sheetDataSet>
      <sheetData sheetId="0">
        <row r="33">
          <cell r="DP33">
            <v>1130365</v>
          </cell>
          <cell r="EN33">
            <v>10638259</v>
          </cell>
          <cell r="EQ33">
            <v>964780</v>
          </cell>
          <cell r="ET33">
            <v>6015193</v>
          </cell>
          <cell r="FL33">
            <v>17859950</v>
          </cell>
          <cell r="GM33">
            <v>48054360</v>
          </cell>
          <cell r="GS33">
            <v>176186</v>
          </cell>
        </row>
        <row r="34">
          <cell r="AM34">
            <v>2776429803</v>
          </cell>
        </row>
      </sheetData>
      <sheetData sheetId="1">
        <row r="32">
          <cell r="DA32">
            <v>603091876</v>
          </cell>
          <cell r="DD32">
            <v>145281097</v>
          </cell>
          <cell r="DG32">
            <v>24805172</v>
          </cell>
          <cell r="DJ32">
            <v>32200</v>
          </cell>
          <cell r="DM32">
            <v>3160693888</v>
          </cell>
          <cell r="DS32">
            <v>8138488</v>
          </cell>
        </row>
      </sheetData>
      <sheetData sheetId="2">
        <row r="33">
          <cell r="AJ33">
            <v>4315000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2017-2018"/>
      <sheetName val="Beadott számla1"/>
      <sheetName val="személyi"/>
      <sheetName val="Beadott számla 2"/>
      <sheetName val="személyi 2"/>
    </sheetNames>
    <sheetDataSet>
      <sheetData sheetId="0"/>
      <sheetData sheetId="1"/>
      <sheetData sheetId="2"/>
      <sheetData sheetId="3"/>
      <sheetData sheetId="4">
        <row r="39">
          <cell r="M39">
            <v>248039342.56</v>
          </cell>
        </row>
        <row r="41">
          <cell r="M41">
            <v>5739671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1:D23"/>
  <sheetViews>
    <sheetView zoomScaleNormal="100" workbookViewId="0">
      <selection activeCell="B22" sqref="B22:D23"/>
    </sheetView>
  </sheetViews>
  <sheetFormatPr defaultRowHeight="15" x14ac:dyDescent="0.25"/>
  <cols>
    <col min="2" max="4" width="16.7109375" customWidth="1"/>
  </cols>
  <sheetData>
    <row r="11" spans="2:4" ht="57.75" customHeight="1" x14ac:dyDescent="0.25">
      <c r="B11" s="816" t="s">
        <v>927</v>
      </c>
      <c r="C11" s="816"/>
      <c r="D11" s="816"/>
    </row>
    <row r="12" spans="2:4" hidden="1" x14ac:dyDescent="0.25">
      <c r="B12" s="816"/>
      <c r="C12" s="816"/>
      <c r="D12" s="816"/>
    </row>
    <row r="17" spans="2:4" x14ac:dyDescent="0.25">
      <c r="C17" s="58" t="s">
        <v>412</v>
      </c>
    </row>
    <row r="20" spans="2:4" ht="24.75" customHeight="1" x14ac:dyDescent="0.25"/>
    <row r="22" spans="2:4" x14ac:dyDescent="0.25">
      <c r="B22" s="817" t="s">
        <v>925</v>
      </c>
      <c r="C22" s="817"/>
      <c r="D22" s="817"/>
    </row>
    <row r="23" spans="2:4" x14ac:dyDescent="0.25">
      <c r="B23" s="817"/>
      <c r="C23" s="817"/>
      <c r="D23" s="817"/>
    </row>
  </sheetData>
  <mergeCells count="2">
    <mergeCell ref="B11:D12"/>
    <mergeCell ref="B22:D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41"/>
  <sheetViews>
    <sheetView view="pageBreakPreview" zoomScale="60" zoomScaleNormal="100" workbookViewId="0">
      <selection activeCell="E11" sqref="E11"/>
    </sheetView>
  </sheetViews>
  <sheetFormatPr defaultColWidth="8" defaultRowHeight="12.75" x14ac:dyDescent="0.2"/>
  <cols>
    <col min="1" max="1" width="3.42578125" style="188" customWidth="1"/>
    <col min="2" max="2" width="32.7109375" style="188" customWidth="1"/>
    <col min="3" max="3" width="16.28515625" style="188" bestFit="1" customWidth="1"/>
    <col min="4" max="4" width="16.42578125" style="188" bestFit="1" customWidth="1"/>
    <col min="5" max="7" width="14.140625" style="188" bestFit="1" customWidth="1"/>
    <col min="8" max="11" width="13.42578125" style="188" customWidth="1"/>
    <col min="12" max="12" width="14.140625" style="188" bestFit="1" customWidth="1"/>
    <col min="13" max="13" width="16.5703125" style="188" bestFit="1" customWidth="1"/>
    <col min="14" max="14" width="12.140625" style="188" bestFit="1" customWidth="1"/>
    <col min="15" max="15" width="14.7109375" style="188" bestFit="1" customWidth="1"/>
    <col min="16" max="16" width="13.7109375" style="188" bestFit="1" customWidth="1"/>
    <col min="17" max="17" width="13.42578125" style="188" bestFit="1" customWidth="1"/>
    <col min="18" max="16384" width="8" style="188"/>
  </cols>
  <sheetData>
    <row r="1" spans="1:17" ht="15" x14ac:dyDescent="0.25">
      <c r="C1" s="189"/>
    </row>
    <row r="2" spans="1:17" ht="15" x14ac:dyDescent="0.25">
      <c r="C2" s="189"/>
    </row>
    <row r="3" spans="1:17" ht="24.75" customHeight="1" x14ac:dyDescent="0.2">
      <c r="A3" s="982" t="s">
        <v>1126</v>
      </c>
      <c r="B3" s="982"/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190"/>
      <c r="N3" s="191"/>
    </row>
    <row r="4" spans="1:17" ht="18" customHeight="1" x14ac:dyDescent="0.2">
      <c r="A4" s="191"/>
      <c r="B4" s="191"/>
      <c r="C4" s="191"/>
      <c r="J4" s="983" t="s">
        <v>736</v>
      </c>
      <c r="K4" s="983"/>
      <c r="L4" s="983"/>
      <c r="M4" s="372"/>
      <c r="N4" s="372"/>
    </row>
    <row r="5" spans="1:17" s="192" customFormat="1" ht="71.25" customHeight="1" x14ac:dyDescent="0.2">
      <c r="A5" s="373" t="s">
        <v>62</v>
      </c>
      <c r="B5" s="374" t="s">
        <v>2</v>
      </c>
      <c r="C5" s="375" t="s">
        <v>288</v>
      </c>
      <c r="D5" s="376" t="s">
        <v>11</v>
      </c>
      <c r="E5" s="376" t="s">
        <v>12</v>
      </c>
      <c r="F5" s="376" t="s">
        <v>13</v>
      </c>
      <c r="G5" s="376" t="s">
        <v>14</v>
      </c>
      <c r="H5" s="376" t="s">
        <v>584</v>
      </c>
      <c r="I5" s="376" t="s">
        <v>583</v>
      </c>
      <c r="J5" s="376" t="s">
        <v>38</v>
      </c>
      <c r="K5" s="376" t="s">
        <v>585</v>
      </c>
      <c r="L5" s="376" t="s">
        <v>15</v>
      </c>
      <c r="N5" s="377"/>
    </row>
    <row r="6" spans="1:17" ht="51" customHeight="1" x14ac:dyDescent="0.2">
      <c r="A6" s="680" t="s">
        <v>3</v>
      </c>
      <c r="B6" s="378" t="s">
        <v>1127</v>
      </c>
      <c r="C6" s="379">
        <f t="shared" ref="C6:L6" si="0">SUM(C7:C8)</f>
        <v>2179852453</v>
      </c>
      <c r="D6" s="379">
        <f t="shared" si="0"/>
        <v>29064973</v>
      </c>
      <c r="E6" s="379">
        <f t="shared" si="0"/>
        <v>14978821</v>
      </c>
      <c r="F6" s="379">
        <f t="shared" si="0"/>
        <v>75595018</v>
      </c>
      <c r="G6" s="379">
        <f t="shared" si="0"/>
        <v>6155053</v>
      </c>
      <c r="H6" s="379">
        <f t="shared" si="0"/>
        <v>6124573</v>
      </c>
      <c r="I6" s="379">
        <f t="shared" si="0"/>
        <v>7917584</v>
      </c>
      <c r="J6" s="379">
        <f t="shared" si="0"/>
        <v>3929762</v>
      </c>
      <c r="K6" s="379">
        <f t="shared" si="0"/>
        <v>6016789</v>
      </c>
      <c r="L6" s="379">
        <f t="shared" si="0"/>
        <v>13440753</v>
      </c>
      <c r="M6" s="193">
        <f>SUM(C6:L6)</f>
        <v>2343075779</v>
      </c>
      <c r="N6" s="380"/>
      <c r="O6" s="194"/>
    </row>
    <row r="7" spans="1:17" ht="40.5" customHeight="1" x14ac:dyDescent="0.2">
      <c r="A7" s="680" t="s">
        <v>4</v>
      </c>
      <c r="B7" s="384" t="s">
        <v>737</v>
      </c>
      <c r="C7" s="212">
        <v>2179852453</v>
      </c>
      <c r="D7" s="212">
        <v>29064973</v>
      </c>
      <c r="E7" s="212">
        <v>14978821</v>
      </c>
      <c r="F7" s="212">
        <v>75595018</v>
      </c>
      <c r="G7" s="212">
        <v>6155053</v>
      </c>
      <c r="H7" s="212">
        <v>6124573</v>
      </c>
      <c r="I7" s="212">
        <v>7917584</v>
      </c>
      <c r="J7" s="212">
        <v>3929762</v>
      </c>
      <c r="K7" s="212">
        <v>6016789</v>
      </c>
      <c r="L7" s="212">
        <v>13440753</v>
      </c>
      <c r="M7" s="193" t="e">
        <f>SUM(#REF!)</f>
        <v>#REF!</v>
      </c>
      <c r="N7" s="197"/>
      <c r="O7" s="194"/>
    </row>
    <row r="8" spans="1:17" ht="39" customHeight="1" x14ac:dyDescent="0.2">
      <c r="A8" s="198" t="s">
        <v>5</v>
      </c>
      <c r="B8" s="199" t="s">
        <v>853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193">
        <f>SUM(C8:L8)</f>
        <v>0</v>
      </c>
      <c r="N8" s="197"/>
      <c r="O8" s="194"/>
    </row>
    <row r="9" spans="1:17" ht="33.75" customHeight="1" x14ac:dyDescent="0.2">
      <c r="A9" s="200" t="s">
        <v>6</v>
      </c>
      <c r="B9" s="381" t="s">
        <v>289</v>
      </c>
      <c r="C9" s="201">
        <v>12723970620</v>
      </c>
      <c r="D9" s="202">
        <v>790871343</v>
      </c>
      <c r="E9" s="202">
        <v>334060589</v>
      </c>
      <c r="F9" s="202">
        <v>794140834</v>
      </c>
      <c r="G9" s="202">
        <v>417394917</v>
      </c>
      <c r="H9" s="202">
        <v>65043994</v>
      </c>
      <c r="I9" s="202">
        <v>125102287</v>
      </c>
      <c r="J9" s="202">
        <v>71204307</v>
      </c>
      <c r="K9" s="203">
        <v>251097907</v>
      </c>
      <c r="L9" s="204">
        <v>316712902</v>
      </c>
      <c r="M9" s="193">
        <f t="shared" ref="M9:M16" si="1">SUM(C9:L9)</f>
        <v>15889599700</v>
      </c>
      <c r="N9" s="205"/>
      <c r="O9" s="194">
        <f>+N9-M9</f>
        <v>-15889599700</v>
      </c>
      <c r="P9" s="194">
        <f>+O9/9</f>
        <v>-1765511077.7777777</v>
      </c>
      <c r="Q9" s="194"/>
    </row>
    <row r="10" spans="1:17" ht="33.75" customHeight="1" x14ac:dyDescent="0.2">
      <c r="A10" s="680" t="s">
        <v>7</v>
      </c>
      <c r="B10" s="382" t="s">
        <v>616</v>
      </c>
      <c r="C10" s="195">
        <v>-9119753353</v>
      </c>
      <c r="D10" s="196">
        <f>-752196462</f>
        <v>-752196462</v>
      </c>
      <c r="E10" s="196">
        <v>-314360697</v>
      </c>
      <c r="F10" s="196">
        <v>-715342138</v>
      </c>
      <c r="G10" s="196">
        <v>-411105274</v>
      </c>
      <c r="H10" s="196">
        <v>-58379706</v>
      </c>
      <c r="I10" s="196">
        <v>-110153005</v>
      </c>
      <c r="J10" s="196">
        <v>-67767120</v>
      </c>
      <c r="K10" s="206">
        <v>-245451779</v>
      </c>
      <c r="L10" s="207">
        <v>-305166135</v>
      </c>
      <c r="M10" s="193">
        <f t="shared" si="1"/>
        <v>-12099675669</v>
      </c>
      <c r="N10" s="205"/>
      <c r="O10" s="194"/>
      <c r="P10" s="194"/>
      <c r="Q10" s="194"/>
    </row>
    <row r="11" spans="1:17" ht="41.25" customHeight="1" x14ac:dyDescent="0.2">
      <c r="A11" s="680" t="s">
        <v>8</v>
      </c>
      <c r="B11" s="681" t="s">
        <v>1128</v>
      </c>
      <c r="C11" s="682">
        <v>-2223087460</v>
      </c>
      <c r="D11" s="683">
        <v>-29678306</v>
      </c>
      <c r="E11" s="683">
        <v>-14940715</v>
      </c>
      <c r="F11" s="683">
        <v>-75408069</v>
      </c>
      <c r="G11" s="683">
        <v>-6155053</v>
      </c>
      <c r="H11" s="683">
        <v>-6124573</v>
      </c>
      <c r="I11" s="683">
        <v>-7917584</v>
      </c>
      <c r="J11" s="683">
        <v>-3929762</v>
      </c>
      <c r="K11" s="684">
        <v>-6016789</v>
      </c>
      <c r="L11" s="684">
        <v>-13440753</v>
      </c>
      <c r="M11" s="193"/>
      <c r="N11" s="205"/>
      <c r="O11" s="194"/>
      <c r="P11" s="194"/>
      <c r="Q11" s="194"/>
    </row>
    <row r="12" spans="1:17" ht="58.5" customHeight="1" x14ac:dyDescent="0.2">
      <c r="A12" s="680" t="s">
        <v>9</v>
      </c>
      <c r="B12" s="383" t="s">
        <v>1129</v>
      </c>
      <c r="C12" s="208">
        <v>37986757</v>
      </c>
      <c r="D12" s="208">
        <v>496667</v>
      </c>
      <c r="E12" s="208">
        <v>-1314</v>
      </c>
      <c r="F12" s="208">
        <v>-164959</v>
      </c>
      <c r="G12" s="208"/>
      <c r="H12" s="208">
        <v>-88</v>
      </c>
      <c r="I12" s="208"/>
      <c r="J12" s="208"/>
      <c r="K12" s="208"/>
      <c r="L12" s="208"/>
      <c r="M12" s="193">
        <f t="shared" si="1"/>
        <v>38317063</v>
      </c>
      <c r="N12" s="205"/>
      <c r="O12" s="194"/>
    </row>
    <row r="13" spans="1:17" ht="51" customHeight="1" x14ac:dyDescent="0.2">
      <c r="A13" s="680" t="s">
        <v>23</v>
      </c>
      <c r="B13" s="209" t="s">
        <v>1130</v>
      </c>
      <c r="C13" s="210">
        <f>+C14+C15</f>
        <v>3598969017</v>
      </c>
      <c r="D13" s="210">
        <f>+D14+D15</f>
        <v>38558215</v>
      </c>
      <c r="E13" s="210">
        <f t="shared" ref="E13:L13" si="2">+E14+E15</f>
        <v>19736684</v>
      </c>
      <c r="F13" s="210">
        <f t="shared" si="2"/>
        <v>78820686</v>
      </c>
      <c r="G13" s="210">
        <f t="shared" si="2"/>
        <v>6289643</v>
      </c>
      <c r="H13" s="210">
        <f t="shared" si="2"/>
        <v>6664200</v>
      </c>
      <c r="I13" s="210">
        <f t="shared" si="2"/>
        <v>14949282</v>
      </c>
      <c r="J13" s="210">
        <f t="shared" si="2"/>
        <v>3437187</v>
      </c>
      <c r="K13" s="210">
        <f t="shared" si="2"/>
        <v>5646128</v>
      </c>
      <c r="L13" s="210">
        <f t="shared" si="2"/>
        <v>11546767</v>
      </c>
      <c r="M13" s="193">
        <f>SUM(C13:L13)</f>
        <v>3784617809</v>
      </c>
      <c r="N13" s="211"/>
      <c r="O13" s="194"/>
    </row>
    <row r="14" spans="1:17" ht="43.5" customHeight="1" x14ac:dyDescent="0.2">
      <c r="A14" s="680" t="s">
        <v>25</v>
      </c>
      <c r="B14" s="213" t="s">
        <v>737</v>
      </c>
      <c r="C14" s="214">
        <v>3598969017</v>
      </c>
      <c r="D14" s="214">
        <f>38153794+404421</f>
        <v>38558215</v>
      </c>
      <c r="E14" s="214">
        <v>19736684</v>
      </c>
      <c r="F14" s="214">
        <v>78820686</v>
      </c>
      <c r="G14" s="214">
        <v>6289643</v>
      </c>
      <c r="H14" s="214">
        <v>6664200</v>
      </c>
      <c r="I14" s="214">
        <v>14949282</v>
      </c>
      <c r="J14" s="214">
        <v>3437187</v>
      </c>
      <c r="K14" s="214">
        <v>5646128</v>
      </c>
      <c r="L14" s="214">
        <v>11546767</v>
      </c>
      <c r="M14" s="193">
        <f>SUM(C7:L7)</f>
        <v>2343075779</v>
      </c>
      <c r="N14" s="205"/>
      <c r="O14" s="194"/>
    </row>
    <row r="15" spans="1:17" ht="43.5" customHeight="1" x14ac:dyDescent="0.2">
      <c r="A15" s="680" t="s">
        <v>27</v>
      </c>
      <c r="B15" s="213" t="s">
        <v>738</v>
      </c>
      <c r="C15" s="214">
        <v>0</v>
      </c>
      <c r="D15" s="214">
        <v>0</v>
      </c>
      <c r="E15" s="214">
        <v>0</v>
      </c>
      <c r="F15" s="214">
        <v>0</v>
      </c>
      <c r="G15" s="214">
        <v>0</v>
      </c>
      <c r="H15" s="214">
        <v>0</v>
      </c>
      <c r="I15" s="214">
        <v>0</v>
      </c>
      <c r="J15" s="214">
        <v>0</v>
      </c>
      <c r="K15" s="214">
        <v>0</v>
      </c>
      <c r="L15" s="214">
        <v>0</v>
      </c>
      <c r="M15" s="193">
        <f>SUM(C15:L15)</f>
        <v>0</v>
      </c>
      <c r="N15" s="205"/>
      <c r="O15" s="194"/>
    </row>
    <row r="16" spans="1:17" ht="19.5" customHeight="1" x14ac:dyDescent="0.2">
      <c r="A16" s="984" t="s">
        <v>854</v>
      </c>
      <c r="B16" s="984"/>
      <c r="C16" s="215">
        <v>1121865</v>
      </c>
      <c r="D16" s="216"/>
      <c r="E16" s="216"/>
      <c r="F16" s="216"/>
      <c r="G16" s="216"/>
      <c r="H16" s="216"/>
      <c r="I16" s="216"/>
      <c r="J16" s="216"/>
      <c r="K16" s="216"/>
      <c r="L16" s="216"/>
      <c r="M16" s="193">
        <f t="shared" si="1"/>
        <v>1121865</v>
      </c>
    </row>
    <row r="17" spans="3:14" x14ac:dyDescent="0.2">
      <c r="C17" s="193"/>
    </row>
    <row r="18" spans="3:14" x14ac:dyDescent="0.2">
      <c r="C18" s="385"/>
      <c r="D18" s="385"/>
      <c r="E18" s="385"/>
      <c r="F18" s="385"/>
      <c r="G18" s="385"/>
      <c r="H18" s="385"/>
      <c r="I18" s="385"/>
      <c r="J18" s="385"/>
      <c r="K18" s="385"/>
      <c r="L18" s="385"/>
    </row>
    <row r="19" spans="3:14" x14ac:dyDescent="0.2">
      <c r="C19" s="217">
        <f>+C6+C9+C10+C12+C11</f>
        <v>3598969017</v>
      </c>
      <c r="D19" s="217">
        <f>+D6+D9+D10+D12+D11</f>
        <v>38558215</v>
      </c>
      <c r="E19" s="217">
        <f t="shared" ref="E19:L19" si="3">+E6+E9+E10+E12+E11</f>
        <v>19736684</v>
      </c>
      <c r="F19" s="217">
        <f t="shared" si="3"/>
        <v>78820686</v>
      </c>
      <c r="G19" s="217">
        <f t="shared" si="3"/>
        <v>6289643</v>
      </c>
      <c r="H19" s="217">
        <f t="shared" si="3"/>
        <v>6664200</v>
      </c>
      <c r="I19" s="217">
        <f t="shared" si="3"/>
        <v>14949282</v>
      </c>
      <c r="J19" s="217">
        <f t="shared" si="3"/>
        <v>3437187</v>
      </c>
      <c r="K19" s="217">
        <f t="shared" si="3"/>
        <v>5646128</v>
      </c>
      <c r="L19" s="217">
        <f t="shared" si="3"/>
        <v>11546767</v>
      </c>
      <c r="M19" s="217"/>
      <c r="N19" s="217"/>
    </row>
    <row r="20" spans="3:14" ht="7.5" customHeight="1" x14ac:dyDescent="0.2"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</row>
    <row r="21" spans="3:14" x14ac:dyDescent="0.2">
      <c r="C21" s="217">
        <f>+C13-C19</f>
        <v>0</v>
      </c>
      <c r="D21" s="217">
        <f>+D13-D19</f>
        <v>0</v>
      </c>
      <c r="E21" s="217">
        <f t="shared" ref="E21:L21" si="4">+E13-E19</f>
        <v>0</v>
      </c>
      <c r="F21" s="217">
        <f t="shared" si="4"/>
        <v>0</v>
      </c>
      <c r="G21" s="217">
        <f t="shared" si="4"/>
        <v>0</v>
      </c>
      <c r="H21" s="217">
        <f t="shared" si="4"/>
        <v>0</v>
      </c>
      <c r="I21" s="217">
        <f t="shared" si="4"/>
        <v>0</v>
      </c>
      <c r="J21" s="217">
        <f t="shared" si="4"/>
        <v>0</v>
      </c>
      <c r="K21" s="217">
        <f t="shared" si="4"/>
        <v>0</v>
      </c>
      <c r="L21" s="217">
        <f t="shared" si="4"/>
        <v>0</v>
      </c>
      <c r="M21" s="217"/>
      <c r="N21" s="217"/>
    </row>
    <row r="22" spans="3:14" x14ac:dyDescent="0.2">
      <c r="C22" s="193"/>
      <c r="D22" s="193"/>
      <c r="E22" s="193"/>
      <c r="F22" s="193"/>
      <c r="G22" s="193"/>
      <c r="H22" s="193"/>
      <c r="I22" s="193"/>
      <c r="J22" s="193"/>
      <c r="K22" s="193"/>
      <c r="L22" s="193"/>
    </row>
    <row r="23" spans="3:14" x14ac:dyDescent="0.2">
      <c r="C23" s="217"/>
      <c r="D23" s="217"/>
      <c r="E23" s="217"/>
      <c r="F23" s="217"/>
      <c r="G23" s="217"/>
      <c r="H23" s="217"/>
      <c r="I23" s="217"/>
      <c r="J23" s="217"/>
      <c r="K23" s="217"/>
      <c r="L23" s="217"/>
    </row>
    <row r="25" spans="3:14" x14ac:dyDescent="0.2">
      <c r="C25" s="218"/>
      <c r="D25" s="218"/>
      <c r="E25" s="218"/>
      <c r="F25" s="218"/>
      <c r="G25" s="218"/>
      <c r="H25" s="218"/>
      <c r="I25" s="218"/>
      <c r="J25" s="218"/>
      <c r="K25" s="218"/>
      <c r="L25" s="218"/>
    </row>
    <row r="26" spans="3:14" x14ac:dyDescent="0.2"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</row>
    <row r="27" spans="3:14" x14ac:dyDescent="0.2">
      <c r="C27" s="193"/>
      <c r="D27" s="193"/>
      <c r="E27" s="193"/>
      <c r="F27" s="193"/>
      <c r="G27" s="193"/>
      <c r="H27" s="193"/>
      <c r="I27" s="193"/>
      <c r="J27" s="193"/>
      <c r="K27" s="193"/>
      <c r="L27" s="193"/>
    </row>
    <row r="28" spans="3:14" x14ac:dyDescent="0.2">
      <c r="C28" s="220"/>
    </row>
    <row r="30" spans="3:14" x14ac:dyDescent="0.2">
      <c r="C30" s="193"/>
    </row>
    <row r="32" spans="3:14" x14ac:dyDescent="0.2">
      <c r="C32" s="193"/>
      <c r="D32" s="193"/>
      <c r="E32" s="193"/>
      <c r="F32" s="193"/>
      <c r="G32" s="193"/>
      <c r="H32" s="193"/>
      <c r="I32" s="193"/>
      <c r="J32" s="193"/>
      <c r="K32" s="193"/>
      <c r="L32" s="193"/>
    </row>
    <row r="33" spans="3:12" x14ac:dyDescent="0.2">
      <c r="C33" s="193"/>
      <c r="D33" s="193"/>
      <c r="E33" s="193"/>
      <c r="F33" s="193"/>
      <c r="G33" s="193"/>
      <c r="H33" s="193"/>
      <c r="I33" s="193"/>
      <c r="J33" s="193"/>
      <c r="K33" s="193"/>
      <c r="L33" s="193"/>
    </row>
    <row r="34" spans="3:12" x14ac:dyDescent="0.2">
      <c r="C34" s="193"/>
      <c r="D34" s="193"/>
      <c r="E34" s="193"/>
      <c r="F34" s="193"/>
      <c r="G34" s="193"/>
      <c r="H34" s="193"/>
      <c r="I34" s="193"/>
      <c r="J34" s="193"/>
      <c r="K34" s="193"/>
      <c r="L34" s="193"/>
    </row>
    <row r="35" spans="3:12" x14ac:dyDescent="0.2">
      <c r="C35" s="216"/>
      <c r="D35" s="216"/>
      <c r="E35" s="216"/>
      <c r="F35" s="216"/>
      <c r="G35" s="216"/>
      <c r="H35" s="216"/>
      <c r="I35" s="216"/>
      <c r="J35" s="216"/>
      <c r="K35" s="216"/>
      <c r="L35" s="216"/>
    </row>
    <row r="36" spans="3:12" x14ac:dyDescent="0.2">
      <c r="C36" s="193"/>
      <c r="D36" s="193"/>
      <c r="E36" s="193"/>
      <c r="F36" s="193"/>
      <c r="G36" s="193"/>
      <c r="H36" s="193"/>
      <c r="I36" s="193"/>
      <c r="J36" s="193"/>
      <c r="K36" s="193"/>
      <c r="L36" s="193"/>
    </row>
    <row r="38" spans="3:12" x14ac:dyDescent="0.2">
      <c r="C38" s="193"/>
    </row>
    <row r="40" spans="3:12" x14ac:dyDescent="0.2">
      <c r="C40" s="193"/>
      <c r="D40" s="193"/>
      <c r="E40" s="193"/>
      <c r="F40" s="193"/>
      <c r="G40" s="193"/>
      <c r="H40" s="193"/>
      <c r="I40" s="193"/>
      <c r="J40" s="193"/>
      <c r="K40" s="193"/>
      <c r="L40" s="193"/>
    </row>
    <row r="41" spans="3:12" x14ac:dyDescent="0.2">
      <c r="C41" s="220"/>
      <c r="D41" s="220"/>
      <c r="E41" s="220"/>
      <c r="F41" s="220"/>
      <c r="G41" s="220"/>
      <c r="H41" s="220"/>
      <c r="I41" s="220"/>
      <c r="J41" s="220"/>
      <c r="K41" s="220"/>
      <c r="L41" s="220"/>
    </row>
  </sheetData>
  <mergeCells count="3">
    <mergeCell ref="A3:L3"/>
    <mergeCell ref="J4:L4"/>
    <mergeCell ref="A16:B16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Header>&amp;CDunaharaszti Város Önkormányzata
2021. zárszámadás&amp;R&amp;A</oddHeader>
  </headerFooter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88"/>
  <sheetViews>
    <sheetView view="pageBreakPreview" topLeftCell="A33" zoomScale="80" zoomScaleNormal="100" zoomScaleSheetLayoutView="80" workbookViewId="0">
      <selection activeCell="T33" sqref="T33"/>
    </sheetView>
  </sheetViews>
  <sheetFormatPr defaultRowHeight="12.75" x14ac:dyDescent="0.2"/>
  <cols>
    <col min="1" max="1" width="8.140625" style="432" customWidth="1"/>
    <col min="2" max="2" width="41" style="432" customWidth="1"/>
    <col min="3" max="3" width="25.28515625" style="432" customWidth="1"/>
    <col min="4" max="4" width="24.28515625" style="432" customWidth="1"/>
    <col min="5" max="5" width="29.7109375" style="432" customWidth="1"/>
    <col min="6" max="16384" width="9.140625" style="432"/>
  </cols>
  <sheetData>
    <row r="1" spans="1:5" ht="60.75" customHeight="1" x14ac:dyDescent="0.2">
      <c r="A1" s="985" t="s">
        <v>81</v>
      </c>
      <c r="B1" s="986"/>
      <c r="C1" s="986"/>
      <c r="D1" s="986"/>
      <c r="E1" s="987"/>
    </row>
    <row r="2" spans="1:5" s="615" customFormat="1" ht="24" x14ac:dyDescent="0.25">
      <c r="A2" s="662" t="s">
        <v>62</v>
      </c>
      <c r="B2" s="663" t="s">
        <v>2</v>
      </c>
      <c r="C2" s="663" t="s">
        <v>82</v>
      </c>
      <c r="D2" s="663" t="s">
        <v>83</v>
      </c>
      <c r="E2" s="663" t="s">
        <v>84</v>
      </c>
    </row>
    <row r="3" spans="1:5" x14ac:dyDescent="0.2">
      <c r="A3" s="664" t="s">
        <v>85</v>
      </c>
      <c r="B3" s="665" t="s">
        <v>86</v>
      </c>
      <c r="C3" s="666">
        <v>9041810</v>
      </c>
      <c r="D3" s="666">
        <v>0</v>
      </c>
      <c r="E3" s="667">
        <v>5738145</v>
      </c>
    </row>
    <row r="4" spans="1:5" x14ac:dyDescent="0.2">
      <c r="A4" s="668" t="s">
        <v>87</v>
      </c>
      <c r="B4" s="669" t="s">
        <v>88</v>
      </c>
      <c r="C4" s="670">
        <v>7426233</v>
      </c>
      <c r="D4" s="670">
        <v>0</v>
      </c>
      <c r="E4" s="671">
        <v>6681373</v>
      </c>
    </row>
    <row r="5" spans="1:5" x14ac:dyDescent="0.2">
      <c r="A5" s="672" t="s">
        <v>90</v>
      </c>
      <c r="B5" s="673" t="s">
        <v>91</v>
      </c>
      <c r="C5" s="674">
        <v>16468043</v>
      </c>
      <c r="D5" s="674">
        <v>0</v>
      </c>
      <c r="E5" s="675">
        <v>12419518</v>
      </c>
    </row>
    <row r="6" spans="1:5" ht="25.5" x14ac:dyDescent="0.2">
      <c r="A6" s="668" t="s">
        <v>92</v>
      </c>
      <c r="B6" s="669" t="s">
        <v>93</v>
      </c>
      <c r="C6" s="670">
        <v>21999953492</v>
      </c>
      <c r="D6" s="670">
        <v>0</v>
      </c>
      <c r="E6" s="671">
        <v>21937990708</v>
      </c>
    </row>
    <row r="7" spans="1:5" ht="25.5" x14ac:dyDescent="0.2">
      <c r="A7" s="668" t="s">
        <v>94</v>
      </c>
      <c r="B7" s="669" t="s">
        <v>95</v>
      </c>
      <c r="C7" s="670">
        <v>411018386</v>
      </c>
      <c r="D7" s="670">
        <v>0</v>
      </c>
      <c r="E7" s="671">
        <v>362559066</v>
      </c>
    </row>
    <row r="8" spans="1:5" x14ac:dyDescent="0.2">
      <c r="A8" s="668" t="s">
        <v>96</v>
      </c>
      <c r="B8" s="669" t="s">
        <v>97</v>
      </c>
      <c r="C8" s="670">
        <v>108701546</v>
      </c>
      <c r="D8" s="670">
        <v>0</v>
      </c>
      <c r="E8" s="671">
        <v>599762111</v>
      </c>
    </row>
    <row r="9" spans="1:5" x14ac:dyDescent="0.2">
      <c r="A9" s="668" t="s">
        <v>98</v>
      </c>
      <c r="B9" s="669" t="s">
        <v>99</v>
      </c>
      <c r="C9" s="670">
        <v>584522737</v>
      </c>
      <c r="D9" s="670">
        <v>0</v>
      </c>
      <c r="E9" s="671">
        <v>584522737</v>
      </c>
    </row>
    <row r="10" spans="1:5" x14ac:dyDescent="0.2">
      <c r="A10" s="672" t="s">
        <v>100</v>
      </c>
      <c r="B10" s="673" t="s">
        <v>101</v>
      </c>
      <c r="C10" s="674">
        <v>23104196161</v>
      </c>
      <c r="D10" s="674">
        <v>0</v>
      </c>
      <c r="E10" s="675">
        <v>23484834622</v>
      </c>
    </row>
    <row r="11" spans="1:5" ht="25.5" x14ac:dyDescent="0.2">
      <c r="A11" s="668" t="s">
        <v>102</v>
      </c>
      <c r="B11" s="669" t="s">
        <v>1088</v>
      </c>
      <c r="C11" s="670">
        <v>434170000</v>
      </c>
      <c r="D11" s="670">
        <v>0</v>
      </c>
      <c r="E11" s="671">
        <v>432300000</v>
      </c>
    </row>
    <row r="12" spans="1:5" ht="25.5" x14ac:dyDescent="0.2">
      <c r="A12" s="668" t="s">
        <v>104</v>
      </c>
      <c r="B12" s="669" t="s">
        <v>105</v>
      </c>
      <c r="C12" s="670">
        <v>434170000</v>
      </c>
      <c r="D12" s="670">
        <v>0</v>
      </c>
      <c r="E12" s="671">
        <v>432300000</v>
      </c>
    </row>
    <row r="13" spans="1:5" ht="25.5" x14ac:dyDescent="0.2">
      <c r="A13" s="668" t="s">
        <v>114</v>
      </c>
      <c r="B13" s="669" t="s">
        <v>113</v>
      </c>
      <c r="C13" s="670">
        <v>13200</v>
      </c>
      <c r="D13" s="670">
        <v>0</v>
      </c>
      <c r="E13" s="671">
        <v>13200</v>
      </c>
    </row>
    <row r="14" spans="1:5" ht="25.5" x14ac:dyDescent="0.2">
      <c r="A14" s="672" t="s">
        <v>116</v>
      </c>
      <c r="B14" s="673" t="s">
        <v>115</v>
      </c>
      <c r="C14" s="674">
        <v>434183200</v>
      </c>
      <c r="D14" s="674">
        <v>0</v>
      </c>
      <c r="E14" s="675">
        <v>432313200</v>
      </c>
    </row>
    <row r="15" spans="1:5" ht="25.5" x14ac:dyDescent="0.2">
      <c r="A15" s="668" t="s">
        <v>118</v>
      </c>
      <c r="B15" s="669" t="s">
        <v>117</v>
      </c>
      <c r="C15" s="670">
        <v>368438692</v>
      </c>
      <c r="D15" s="670">
        <v>0</v>
      </c>
      <c r="E15" s="671">
        <v>363225482</v>
      </c>
    </row>
    <row r="16" spans="1:5" x14ac:dyDescent="0.2">
      <c r="A16" s="668" t="s">
        <v>1089</v>
      </c>
      <c r="B16" s="669" t="s">
        <v>120</v>
      </c>
      <c r="C16" s="670">
        <v>368438692</v>
      </c>
      <c r="D16" s="670">
        <v>0</v>
      </c>
      <c r="E16" s="671">
        <v>363225482</v>
      </c>
    </row>
    <row r="17" spans="1:5" ht="25.5" x14ac:dyDescent="0.2">
      <c r="A17" s="672" t="s">
        <v>123</v>
      </c>
      <c r="B17" s="673" t="s">
        <v>122</v>
      </c>
      <c r="C17" s="674">
        <v>368438692</v>
      </c>
      <c r="D17" s="674">
        <v>0</v>
      </c>
      <c r="E17" s="675">
        <v>363225482</v>
      </c>
    </row>
    <row r="18" spans="1:5" ht="38.25" x14ac:dyDescent="0.2">
      <c r="A18" s="672" t="s">
        <v>125</v>
      </c>
      <c r="B18" s="673" t="s">
        <v>124</v>
      </c>
      <c r="C18" s="674">
        <v>23923286096</v>
      </c>
      <c r="D18" s="674">
        <v>0</v>
      </c>
      <c r="E18" s="675">
        <v>24292792822</v>
      </c>
    </row>
    <row r="19" spans="1:5" x14ac:dyDescent="0.2">
      <c r="A19" s="668" t="s">
        <v>1090</v>
      </c>
      <c r="B19" s="669" t="s">
        <v>126</v>
      </c>
      <c r="C19" s="670">
        <v>3766879</v>
      </c>
      <c r="D19" s="670">
        <v>0</v>
      </c>
      <c r="E19" s="671">
        <v>4613830</v>
      </c>
    </row>
    <row r="20" spans="1:5" x14ac:dyDescent="0.2">
      <c r="A20" s="672" t="s">
        <v>129</v>
      </c>
      <c r="B20" s="673" t="s">
        <v>128</v>
      </c>
      <c r="C20" s="674">
        <v>3766879</v>
      </c>
      <c r="D20" s="674">
        <v>0</v>
      </c>
      <c r="E20" s="675">
        <v>4613830</v>
      </c>
    </row>
    <row r="21" spans="1:5" ht="25.5" x14ac:dyDescent="0.2">
      <c r="A21" s="672" t="s">
        <v>1091</v>
      </c>
      <c r="B21" s="673" t="s">
        <v>133</v>
      </c>
      <c r="C21" s="674">
        <v>3766879</v>
      </c>
      <c r="D21" s="674">
        <v>0</v>
      </c>
      <c r="E21" s="675">
        <v>4613830</v>
      </c>
    </row>
    <row r="22" spans="1:5" x14ac:dyDescent="0.2">
      <c r="A22" s="668" t="s">
        <v>1092</v>
      </c>
      <c r="B22" s="669" t="s">
        <v>135</v>
      </c>
      <c r="C22" s="670">
        <v>2337916002</v>
      </c>
      <c r="D22" s="670">
        <v>0</v>
      </c>
      <c r="E22" s="671">
        <v>3784309485</v>
      </c>
    </row>
    <row r="23" spans="1:5" x14ac:dyDescent="0.2">
      <c r="A23" s="668" t="s">
        <v>1093</v>
      </c>
      <c r="B23" s="669" t="s">
        <v>136</v>
      </c>
      <c r="C23" s="670">
        <v>5159777</v>
      </c>
      <c r="D23" s="670">
        <v>0</v>
      </c>
      <c r="E23" s="671">
        <v>308324</v>
      </c>
    </row>
    <row r="24" spans="1:5" x14ac:dyDescent="0.2">
      <c r="A24" s="672" t="s">
        <v>1094</v>
      </c>
      <c r="B24" s="673" t="s">
        <v>137</v>
      </c>
      <c r="C24" s="674">
        <v>2343075779</v>
      </c>
      <c r="D24" s="674">
        <v>0</v>
      </c>
      <c r="E24" s="675">
        <v>3784617809</v>
      </c>
    </row>
    <row r="25" spans="1:5" x14ac:dyDescent="0.2">
      <c r="A25" s="672" t="s">
        <v>1095</v>
      </c>
      <c r="B25" s="673" t="s">
        <v>138</v>
      </c>
      <c r="C25" s="674">
        <v>2343075779</v>
      </c>
      <c r="D25" s="674">
        <v>0</v>
      </c>
      <c r="E25" s="675">
        <v>3784617809</v>
      </c>
    </row>
    <row r="26" spans="1:5" ht="38.25" x14ac:dyDescent="0.2">
      <c r="A26" s="668" t="s">
        <v>1096</v>
      </c>
      <c r="B26" s="669" t="s">
        <v>139</v>
      </c>
      <c r="C26" s="670">
        <v>114264585</v>
      </c>
      <c r="D26" s="670">
        <v>0</v>
      </c>
      <c r="E26" s="671">
        <v>46979111</v>
      </c>
    </row>
    <row r="27" spans="1:5" ht="25.5" x14ac:dyDescent="0.2">
      <c r="A27" s="668" t="s">
        <v>143</v>
      </c>
      <c r="B27" s="669" t="s">
        <v>140</v>
      </c>
      <c r="C27" s="670">
        <v>33112962</v>
      </c>
      <c r="D27" s="670">
        <v>0</v>
      </c>
      <c r="E27" s="671">
        <v>13889158</v>
      </c>
    </row>
    <row r="28" spans="1:5" ht="25.5" x14ac:dyDescent="0.2">
      <c r="A28" s="668" t="s">
        <v>145</v>
      </c>
      <c r="B28" s="669" t="s">
        <v>141</v>
      </c>
      <c r="C28" s="670">
        <v>74322936</v>
      </c>
      <c r="D28" s="670">
        <v>0</v>
      </c>
      <c r="E28" s="671">
        <v>29661178</v>
      </c>
    </row>
    <row r="29" spans="1:5" ht="25.5" x14ac:dyDescent="0.2">
      <c r="A29" s="668" t="s">
        <v>147</v>
      </c>
      <c r="B29" s="669" t="s">
        <v>142</v>
      </c>
      <c r="C29" s="670">
        <v>6828687</v>
      </c>
      <c r="D29" s="670">
        <v>0</v>
      </c>
      <c r="E29" s="671">
        <v>3428775</v>
      </c>
    </row>
    <row r="30" spans="1:5" ht="38.25" x14ac:dyDescent="0.2">
      <c r="A30" s="668" t="s">
        <v>149</v>
      </c>
      <c r="B30" s="669" t="s">
        <v>144</v>
      </c>
      <c r="C30" s="670">
        <v>33629372</v>
      </c>
      <c r="D30" s="670">
        <v>0</v>
      </c>
      <c r="E30" s="671">
        <v>122463761</v>
      </c>
    </row>
    <row r="31" spans="1:5" ht="51" x14ac:dyDescent="0.2">
      <c r="A31" s="668" t="s">
        <v>151</v>
      </c>
      <c r="B31" s="669" t="s">
        <v>146</v>
      </c>
      <c r="C31" s="670">
        <v>1023363</v>
      </c>
      <c r="D31" s="670">
        <v>0</v>
      </c>
      <c r="E31" s="671">
        <v>639611</v>
      </c>
    </row>
    <row r="32" spans="1:5" ht="25.5" x14ac:dyDescent="0.2">
      <c r="A32" s="668" t="s">
        <v>1097</v>
      </c>
      <c r="B32" s="669" t="s">
        <v>148</v>
      </c>
      <c r="C32" s="670">
        <v>6242472</v>
      </c>
      <c r="D32" s="670">
        <v>0</v>
      </c>
      <c r="E32" s="671">
        <v>71730648</v>
      </c>
    </row>
    <row r="33" spans="1:5" ht="25.5" x14ac:dyDescent="0.2">
      <c r="A33" s="668" t="s">
        <v>1098</v>
      </c>
      <c r="B33" s="669" t="s">
        <v>150</v>
      </c>
      <c r="C33" s="670">
        <v>20478551</v>
      </c>
      <c r="D33" s="670">
        <v>0</v>
      </c>
      <c r="E33" s="671">
        <v>25735652</v>
      </c>
    </row>
    <row r="34" spans="1:5" ht="38.25" x14ac:dyDescent="0.2">
      <c r="A34" s="668" t="s">
        <v>1099</v>
      </c>
      <c r="B34" s="669" t="s">
        <v>152</v>
      </c>
      <c r="C34" s="670">
        <v>5519966</v>
      </c>
      <c r="D34" s="670">
        <v>0</v>
      </c>
      <c r="E34" s="671">
        <v>24220662</v>
      </c>
    </row>
    <row r="35" spans="1:5" ht="25.5" x14ac:dyDescent="0.2">
      <c r="A35" s="668" t="s">
        <v>1100</v>
      </c>
      <c r="B35" s="669" t="s">
        <v>153</v>
      </c>
      <c r="C35" s="670">
        <v>365020</v>
      </c>
      <c r="D35" s="670">
        <v>0</v>
      </c>
      <c r="E35" s="671">
        <v>137188</v>
      </c>
    </row>
    <row r="36" spans="1:5" ht="25.5" x14ac:dyDescent="0.2">
      <c r="A36" s="672" t="s">
        <v>1101</v>
      </c>
      <c r="B36" s="673" t="s">
        <v>154</v>
      </c>
      <c r="C36" s="674">
        <v>147893957</v>
      </c>
      <c r="D36" s="674">
        <v>0</v>
      </c>
      <c r="E36" s="675">
        <v>169442872</v>
      </c>
    </row>
    <row r="37" spans="1:5" ht="38.25" x14ac:dyDescent="0.2">
      <c r="A37" s="668" t="s">
        <v>1102</v>
      </c>
      <c r="B37" s="669" t="s">
        <v>155</v>
      </c>
      <c r="C37" s="670">
        <v>1690850674</v>
      </c>
      <c r="D37" s="670">
        <v>0</v>
      </c>
      <c r="E37" s="671">
        <v>1647820093</v>
      </c>
    </row>
    <row r="38" spans="1:5" ht="25.5" x14ac:dyDescent="0.2">
      <c r="A38" s="668" t="s">
        <v>159</v>
      </c>
      <c r="B38" s="669" t="s">
        <v>156</v>
      </c>
      <c r="C38" s="670">
        <v>624165</v>
      </c>
      <c r="D38" s="670">
        <v>0</v>
      </c>
      <c r="E38" s="671">
        <v>15381224</v>
      </c>
    </row>
    <row r="39" spans="1:5" ht="38.25" x14ac:dyDescent="0.2">
      <c r="A39" s="668" t="s">
        <v>160</v>
      </c>
      <c r="B39" s="669" t="s">
        <v>157</v>
      </c>
      <c r="C39" s="670">
        <v>1690224489</v>
      </c>
      <c r="D39" s="670">
        <v>0</v>
      </c>
      <c r="E39" s="671">
        <v>1629435718</v>
      </c>
    </row>
    <row r="40" spans="1:5" ht="38.25" x14ac:dyDescent="0.2">
      <c r="A40" s="668" t="s">
        <v>1103</v>
      </c>
      <c r="B40" s="669" t="s">
        <v>158</v>
      </c>
      <c r="C40" s="670">
        <v>2020</v>
      </c>
      <c r="D40" s="670">
        <v>0</v>
      </c>
      <c r="E40" s="671">
        <v>3003151</v>
      </c>
    </row>
    <row r="41" spans="1:5" ht="38.25" x14ac:dyDescent="0.2">
      <c r="A41" s="668" t="s">
        <v>162</v>
      </c>
      <c r="B41" s="669" t="s">
        <v>161</v>
      </c>
      <c r="C41" s="670">
        <v>14452600</v>
      </c>
      <c r="D41" s="670">
        <v>0</v>
      </c>
      <c r="E41" s="671">
        <v>19664700</v>
      </c>
    </row>
    <row r="42" spans="1:5" ht="51" x14ac:dyDescent="0.2">
      <c r="A42" s="668" t="s">
        <v>1104</v>
      </c>
      <c r="B42" s="669" t="s">
        <v>163</v>
      </c>
      <c r="C42" s="670">
        <v>14452600</v>
      </c>
      <c r="D42" s="670">
        <v>0</v>
      </c>
      <c r="E42" s="671">
        <v>19664700</v>
      </c>
    </row>
    <row r="43" spans="1:5" ht="25.5" x14ac:dyDescent="0.2">
      <c r="A43" s="672" t="s">
        <v>166</v>
      </c>
      <c r="B43" s="673" t="s">
        <v>164</v>
      </c>
      <c r="C43" s="674">
        <v>1705303274</v>
      </c>
      <c r="D43" s="674">
        <v>0</v>
      </c>
      <c r="E43" s="675">
        <v>1667484793</v>
      </c>
    </row>
    <row r="44" spans="1:5" x14ac:dyDescent="0.2">
      <c r="A44" s="668" t="s">
        <v>1105</v>
      </c>
      <c r="B44" s="669" t="s">
        <v>165</v>
      </c>
      <c r="C44" s="670">
        <v>50316224</v>
      </c>
      <c r="D44" s="670">
        <v>0</v>
      </c>
      <c r="E44" s="671">
        <v>7617872</v>
      </c>
    </row>
    <row r="45" spans="1:5" ht="25.5" x14ac:dyDescent="0.2">
      <c r="A45" s="668" t="s">
        <v>168</v>
      </c>
      <c r="B45" s="669" t="s">
        <v>507</v>
      </c>
      <c r="C45" s="670">
        <v>49702891</v>
      </c>
      <c r="D45" s="670">
        <v>0</v>
      </c>
      <c r="E45" s="671">
        <v>3704450</v>
      </c>
    </row>
    <row r="46" spans="1:5" ht="25.5" x14ac:dyDescent="0.2">
      <c r="A46" s="668" t="s">
        <v>1106</v>
      </c>
      <c r="B46" s="669" t="s">
        <v>167</v>
      </c>
      <c r="C46" s="670">
        <v>613333</v>
      </c>
      <c r="D46" s="670">
        <v>0</v>
      </c>
      <c r="E46" s="671">
        <v>116666</v>
      </c>
    </row>
    <row r="47" spans="1:5" ht="25.5" x14ac:dyDescent="0.2">
      <c r="A47" s="668" t="s">
        <v>171</v>
      </c>
      <c r="B47" s="669" t="s">
        <v>169</v>
      </c>
      <c r="C47" s="670">
        <v>0</v>
      </c>
      <c r="D47" s="670">
        <v>0</v>
      </c>
      <c r="E47" s="671">
        <v>3796756</v>
      </c>
    </row>
    <row r="48" spans="1:5" x14ac:dyDescent="0.2">
      <c r="A48" s="668" t="s">
        <v>1107</v>
      </c>
      <c r="B48" s="669" t="s">
        <v>170</v>
      </c>
      <c r="C48" s="670">
        <v>550000</v>
      </c>
      <c r="D48" s="670">
        <v>0</v>
      </c>
      <c r="E48" s="671">
        <v>550000</v>
      </c>
    </row>
    <row r="49" spans="1:5" ht="25.5" x14ac:dyDescent="0.2">
      <c r="A49" s="672" t="s">
        <v>174</v>
      </c>
      <c r="B49" s="673" t="s">
        <v>172</v>
      </c>
      <c r="C49" s="674">
        <v>50866224</v>
      </c>
      <c r="D49" s="674">
        <v>0</v>
      </c>
      <c r="E49" s="675">
        <v>8167872</v>
      </c>
    </row>
    <row r="50" spans="1:5" x14ac:dyDescent="0.2">
      <c r="A50" s="672" t="s">
        <v>175</v>
      </c>
      <c r="B50" s="673" t="s">
        <v>173</v>
      </c>
      <c r="C50" s="674">
        <v>1904063455</v>
      </c>
      <c r="D50" s="674">
        <v>0</v>
      </c>
      <c r="E50" s="675">
        <v>1845095537</v>
      </c>
    </row>
    <row r="51" spans="1:5" ht="25.5" x14ac:dyDescent="0.2">
      <c r="A51" s="668" t="s">
        <v>176</v>
      </c>
      <c r="B51" s="669" t="s">
        <v>1108</v>
      </c>
      <c r="C51" s="670">
        <v>0</v>
      </c>
      <c r="D51" s="670">
        <v>0</v>
      </c>
      <c r="E51" s="671">
        <v>580500</v>
      </c>
    </row>
    <row r="52" spans="1:5" ht="25.5" x14ac:dyDescent="0.2">
      <c r="A52" s="668" t="s">
        <v>178</v>
      </c>
      <c r="B52" s="669" t="s">
        <v>508</v>
      </c>
      <c r="C52" s="670">
        <v>10985000</v>
      </c>
      <c r="D52" s="670">
        <v>0</v>
      </c>
      <c r="E52" s="671">
        <v>14496000</v>
      </c>
    </row>
    <row r="53" spans="1:5" ht="38.25" x14ac:dyDescent="0.2">
      <c r="A53" s="668" t="s">
        <v>1109</v>
      </c>
      <c r="B53" s="669" t="s">
        <v>509</v>
      </c>
      <c r="C53" s="670">
        <v>1021381</v>
      </c>
      <c r="D53" s="670">
        <v>0</v>
      </c>
      <c r="E53" s="671">
        <v>419708</v>
      </c>
    </row>
    <row r="54" spans="1:5" ht="25.5" x14ac:dyDescent="0.2">
      <c r="A54" s="668" t="s">
        <v>180</v>
      </c>
      <c r="B54" s="669" t="s">
        <v>510</v>
      </c>
      <c r="C54" s="670">
        <v>-1021381</v>
      </c>
      <c r="D54" s="670">
        <v>0</v>
      </c>
      <c r="E54" s="671">
        <v>-419708</v>
      </c>
    </row>
    <row r="55" spans="1:5" ht="25.5" x14ac:dyDescent="0.2">
      <c r="A55" s="672" t="s">
        <v>182</v>
      </c>
      <c r="B55" s="673" t="s">
        <v>511</v>
      </c>
      <c r="C55" s="674">
        <v>10985000</v>
      </c>
      <c r="D55" s="674">
        <v>0</v>
      </c>
      <c r="E55" s="675">
        <v>15076500</v>
      </c>
    </row>
    <row r="56" spans="1:5" x14ac:dyDescent="0.2">
      <c r="A56" s="668" t="s">
        <v>1110</v>
      </c>
      <c r="B56" s="669" t="s">
        <v>512</v>
      </c>
      <c r="C56" s="670">
        <v>-8441000</v>
      </c>
      <c r="D56" s="670">
        <v>0</v>
      </c>
      <c r="E56" s="671">
        <v>-655001000</v>
      </c>
    </row>
    <row r="57" spans="1:5" ht="25.5" x14ac:dyDescent="0.2">
      <c r="A57" s="672" t="s">
        <v>1111</v>
      </c>
      <c r="B57" s="673" t="s">
        <v>513</v>
      </c>
      <c r="C57" s="674">
        <v>-8441000</v>
      </c>
      <c r="D57" s="674">
        <v>0</v>
      </c>
      <c r="E57" s="675">
        <v>-655001000</v>
      </c>
    </row>
    <row r="58" spans="1:5" ht="25.5" x14ac:dyDescent="0.2">
      <c r="A58" s="672" t="s">
        <v>1112</v>
      </c>
      <c r="B58" s="673" t="s">
        <v>514</v>
      </c>
      <c r="C58" s="674">
        <v>2544000</v>
      </c>
      <c r="D58" s="674">
        <v>0</v>
      </c>
      <c r="E58" s="675">
        <v>-639924500</v>
      </c>
    </row>
    <row r="59" spans="1:5" ht="25.5" x14ac:dyDescent="0.2">
      <c r="A59" s="668" t="s">
        <v>190</v>
      </c>
      <c r="B59" s="669" t="s">
        <v>177</v>
      </c>
      <c r="C59" s="670">
        <v>7595306</v>
      </c>
      <c r="D59" s="670">
        <v>0</v>
      </c>
      <c r="E59" s="671">
        <v>8968803</v>
      </c>
    </row>
    <row r="60" spans="1:5" ht="25.5" x14ac:dyDescent="0.2">
      <c r="A60" s="672" t="s">
        <v>192</v>
      </c>
      <c r="B60" s="673" t="s">
        <v>179</v>
      </c>
      <c r="C60" s="674">
        <v>7595306</v>
      </c>
      <c r="D60" s="674">
        <v>0</v>
      </c>
      <c r="E60" s="675">
        <v>8968803</v>
      </c>
    </row>
    <row r="61" spans="1:5" ht="36.75" customHeight="1" x14ac:dyDescent="0.2">
      <c r="A61" s="672" t="s">
        <v>193</v>
      </c>
      <c r="B61" s="673" t="s">
        <v>181</v>
      </c>
      <c r="C61" s="674">
        <v>28184331515</v>
      </c>
      <c r="D61" s="674">
        <v>0</v>
      </c>
      <c r="E61" s="675">
        <v>29296164301</v>
      </c>
    </row>
    <row r="62" spans="1:5" x14ac:dyDescent="0.2">
      <c r="A62" s="668" t="s">
        <v>194</v>
      </c>
      <c r="B62" s="669" t="s">
        <v>183</v>
      </c>
      <c r="C62" s="670">
        <v>24191884537</v>
      </c>
      <c r="D62" s="670">
        <v>0</v>
      </c>
      <c r="E62" s="671">
        <v>24191884537</v>
      </c>
    </row>
    <row r="63" spans="1:5" x14ac:dyDescent="0.2">
      <c r="A63" s="668" t="s">
        <v>195</v>
      </c>
      <c r="B63" s="669" t="s">
        <v>184</v>
      </c>
      <c r="C63" s="670">
        <v>-1113990524</v>
      </c>
      <c r="D63" s="670">
        <v>0</v>
      </c>
      <c r="E63" s="671">
        <v>-1113990524</v>
      </c>
    </row>
    <row r="64" spans="1:5" ht="25.5" x14ac:dyDescent="0.2">
      <c r="A64" s="668" t="s">
        <v>197</v>
      </c>
      <c r="B64" s="669" t="s">
        <v>617</v>
      </c>
      <c r="C64" s="670">
        <v>458684030</v>
      </c>
      <c r="D64" s="670">
        <v>0</v>
      </c>
      <c r="E64" s="671">
        <v>458684030</v>
      </c>
    </row>
    <row r="65" spans="1:5" x14ac:dyDescent="0.2">
      <c r="A65" s="668" t="s">
        <v>199</v>
      </c>
      <c r="B65" s="669" t="s">
        <v>185</v>
      </c>
      <c r="C65" s="670">
        <v>-1919876885</v>
      </c>
      <c r="D65" s="670">
        <v>0</v>
      </c>
      <c r="E65" s="671">
        <v>-1530438311</v>
      </c>
    </row>
    <row r="66" spans="1:5" x14ac:dyDescent="0.2">
      <c r="A66" s="668" t="s">
        <v>200</v>
      </c>
      <c r="B66" s="669" t="s">
        <v>186</v>
      </c>
      <c r="C66" s="670">
        <v>584535937</v>
      </c>
      <c r="D66" s="670">
        <v>0</v>
      </c>
      <c r="E66" s="671">
        <v>584535937</v>
      </c>
    </row>
    <row r="67" spans="1:5" x14ac:dyDescent="0.2">
      <c r="A67" s="668" t="s">
        <v>1113</v>
      </c>
      <c r="B67" s="669" t="s">
        <v>187</v>
      </c>
      <c r="C67" s="670">
        <v>389438574</v>
      </c>
      <c r="D67" s="670">
        <v>0</v>
      </c>
      <c r="E67" s="671">
        <v>699154544</v>
      </c>
    </row>
    <row r="68" spans="1:5" x14ac:dyDescent="0.2">
      <c r="A68" s="672" t="s">
        <v>201</v>
      </c>
      <c r="B68" s="673" t="s">
        <v>188</v>
      </c>
      <c r="C68" s="674">
        <v>22590675669</v>
      </c>
      <c r="D68" s="674">
        <v>0</v>
      </c>
      <c r="E68" s="675">
        <v>23289830213</v>
      </c>
    </row>
    <row r="69" spans="1:5" ht="25.5" x14ac:dyDescent="0.2">
      <c r="A69" s="668" t="s">
        <v>202</v>
      </c>
      <c r="B69" s="669" t="s">
        <v>189</v>
      </c>
      <c r="C69" s="670">
        <v>136285</v>
      </c>
      <c r="D69" s="670">
        <v>0</v>
      </c>
      <c r="E69" s="671">
        <v>398972</v>
      </c>
    </row>
    <row r="70" spans="1:5" ht="25.5" x14ac:dyDescent="0.2">
      <c r="A70" s="668" t="s">
        <v>1114</v>
      </c>
      <c r="B70" s="669" t="s">
        <v>191</v>
      </c>
      <c r="C70" s="670">
        <v>74078868</v>
      </c>
      <c r="D70" s="670">
        <v>0</v>
      </c>
      <c r="E70" s="671">
        <v>16483350</v>
      </c>
    </row>
    <row r="71" spans="1:5" ht="25.5" x14ac:dyDescent="0.2">
      <c r="A71" s="668" t="s">
        <v>1115</v>
      </c>
      <c r="B71" s="669" t="s">
        <v>196</v>
      </c>
      <c r="C71" s="670">
        <v>33800</v>
      </c>
      <c r="D71" s="670">
        <v>0</v>
      </c>
      <c r="E71" s="671">
        <v>0</v>
      </c>
    </row>
    <row r="72" spans="1:5" ht="25.5" x14ac:dyDescent="0.2">
      <c r="A72" s="668" t="s">
        <v>1116</v>
      </c>
      <c r="B72" s="669" t="s">
        <v>198</v>
      </c>
      <c r="C72" s="670">
        <v>60960</v>
      </c>
      <c r="D72" s="670">
        <v>0</v>
      </c>
      <c r="E72" s="671">
        <v>374731</v>
      </c>
    </row>
    <row r="73" spans="1:5" ht="25.5" x14ac:dyDescent="0.2">
      <c r="A73" s="672" t="s">
        <v>205</v>
      </c>
      <c r="B73" s="673" t="s">
        <v>203</v>
      </c>
      <c r="C73" s="674">
        <v>74309913</v>
      </c>
      <c r="D73" s="674">
        <v>0</v>
      </c>
      <c r="E73" s="675">
        <v>17257053</v>
      </c>
    </row>
    <row r="74" spans="1:5" ht="25.5" x14ac:dyDescent="0.2">
      <c r="A74" s="668" t="s">
        <v>1117</v>
      </c>
      <c r="B74" s="669" t="s">
        <v>204</v>
      </c>
      <c r="C74" s="670">
        <v>403621</v>
      </c>
      <c r="D74" s="670">
        <v>0</v>
      </c>
      <c r="E74" s="671">
        <v>1391200</v>
      </c>
    </row>
    <row r="75" spans="1:5" ht="38.25" x14ac:dyDescent="0.2">
      <c r="A75" s="668" t="s">
        <v>1118</v>
      </c>
      <c r="B75" s="669" t="s">
        <v>515</v>
      </c>
      <c r="C75" s="670">
        <v>562980564</v>
      </c>
      <c r="D75" s="670">
        <v>0</v>
      </c>
      <c r="E75" s="671">
        <v>535545229</v>
      </c>
    </row>
    <row r="76" spans="1:5" ht="51" x14ac:dyDescent="0.2">
      <c r="A76" s="668" t="s">
        <v>1119</v>
      </c>
      <c r="B76" s="669" t="s">
        <v>206</v>
      </c>
      <c r="C76" s="670">
        <v>500214417</v>
      </c>
      <c r="D76" s="670">
        <v>0</v>
      </c>
      <c r="E76" s="671">
        <v>472031793</v>
      </c>
    </row>
    <row r="77" spans="1:5" ht="38.25" x14ac:dyDescent="0.2">
      <c r="A77" s="668" t="s">
        <v>1120</v>
      </c>
      <c r="B77" s="669" t="s">
        <v>516</v>
      </c>
      <c r="C77" s="670">
        <v>62766147</v>
      </c>
      <c r="D77" s="670">
        <v>0</v>
      </c>
      <c r="E77" s="671">
        <v>63513436</v>
      </c>
    </row>
    <row r="78" spans="1:5" ht="25.5" x14ac:dyDescent="0.2">
      <c r="A78" s="672" t="s">
        <v>210</v>
      </c>
      <c r="B78" s="673" t="s">
        <v>207</v>
      </c>
      <c r="C78" s="674">
        <v>563384185</v>
      </c>
      <c r="D78" s="674">
        <v>0</v>
      </c>
      <c r="E78" s="675">
        <v>536936429</v>
      </c>
    </row>
    <row r="79" spans="1:5" x14ac:dyDescent="0.2">
      <c r="A79" s="668" t="s">
        <v>1121</v>
      </c>
      <c r="B79" s="669" t="s">
        <v>517</v>
      </c>
      <c r="C79" s="670">
        <v>3127748</v>
      </c>
      <c r="D79" s="670">
        <v>0</v>
      </c>
      <c r="E79" s="671">
        <v>2391458</v>
      </c>
    </row>
    <row r="80" spans="1:5" ht="25.5" x14ac:dyDescent="0.2">
      <c r="A80" s="668" t="s">
        <v>1122</v>
      </c>
      <c r="B80" s="669" t="s">
        <v>208</v>
      </c>
      <c r="C80" s="670">
        <v>4014707</v>
      </c>
      <c r="D80" s="670">
        <v>0</v>
      </c>
      <c r="E80" s="671">
        <v>1330935</v>
      </c>
    </row>
    <row r="81" spans="1:5" ht="25.5" x14ac:dyDescent="0.2">
      <c r="A81" s="668" t="s">
        <v>217</v>
      </c>
      <c r="B81" s="669" t="s">
        <v>209</v>
      </c>
      <c r="C81" s="670">
        <v>1121865</v>
      </c>
      <c r="D81" s="670">
        <v>0</v>
      </c>
      <c r="E81" s="671">
        <v>139465</v>
      </c>
    </row>
    <row r="82" spans="1:5" ht="25.5" x14ac:dyDescent="0.2">
      <c r="A82" s="672" t="s">
        <v>518</v>
      </c>
      <c r="B82" s="673" t="s">
        <v>211</v>
      </c>
      <c r="C82" s="674">
        <v>8264320</v>
      </c>
      <c r="D82" s="674">
        <v>0</v>
      </c>
      <c r="E82" s="675">
        <v>3861858</v>
      </c>
    </row>
    <row r="83" spans="1:5" x14ac:dyDescent="0.2">
      <c r="A83" s="672" t="s">
        <v>519</v>
      </c>
      <c r="B83" s="673" t="s">
        <v>212</v>
      </c>
      <c r="C83" s="674">
        <v>645958418</v>
      </c>
      <c r="D83" s="674">
        <v>0</v>
      </c>
      <c r="E83" s="675">
        <v>558055340</v>
      </c>
    </row>
    <row r="84" spans="1:5" ht="25.5" x14ac:dyDescent="0.2">
      <c r="A84" s="668" t="s">
        <v>520</v>
      </c>
      <c r="B84" s="669" t="s">
        <v>213</v>
      </c>
      <c r="C84" s="670">
        <v>1690850674</v>
      </c>
      <c r="D84" s="670">
        <v>0</v>
      </c>
      <c r="E84" s="671">
        <v>1647820093</v>
      </c>
    </row>
    <row r="85" spans="1:5" ht="25.5" x14ac:dyDescent="0.2">
      <c r="A85" s="668" t="s">
        <v>521</v>
      </c>
      <c r="B85" s="669" t="s">
        <v>214</v>
      </c>
      <c r="C85" s="670">
        <v>154157814</v>
      </c>
      <c r="D85" s="670">
        <v>0</v>
      </c>
      <c r="E85" s="671">
        <v>195698040</v>
      </c>
    </row>
    <row r="86" spans="1:5" x14ac:dyDescent="0.2">
      <c r="A86" s="668" t="s">
        <v>1123</v>
      </c>
      <c r="B86" s="669" t="s">
        <v>215</v>
      </c>
      <c r="C86" s="670">
        <v>3102688940</v>
      </c>
      <c r="D86" s="670">
        <v>0</v>
      </c>
      <c r="E86" s="671">
        <v>3604760615</v>
      </c>
    </row>
    <row r="87" spans="1:5" ht="25.5" x14ac:dyDescent="0.2">
      <c r="A87" s="672" t="s">
        <v>1124</v>
      </c>
      <c r="B87" s="673" t="s">
        <v>216</v>
      </c>
      <c r="C87" s="674">
        <v>4947697428</v>
      </c>
      <c r="D87" s="674">
        <v>0</v>
      </c>
      <c r="E87" s="675">
        <v>5448278748</v>
      </c>
    </row>
    <row r="88" spans="1:5" ht="39" customHeight="1" x14ac:dyDescent="0.2">
      <c r="A88" s="676" t="s">
        <v>1125</v>
      </c>
      <c r="B88" s="677" t="s">
        <v>218</v>
      </c>
      <c r="C88" s="678">
        <v>28184331515</v>
      </c>
      <c r="D88" s="678">
        <v>0</v>
      </c>
      <c r="E88" s="679">
        <v>29296164301</v>
      </c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scale="68" orientation="portrait" horizontalDpi="300" verticalDpi="300" r:id="rId1"/>
  <headerFooter alignWithMargins="0">
    <oddHeader>&amp;CDunaharaszti Város Önkormányzata
2021. zárszámadás&amp;R&amp;A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3"/>
  <sheetViews>
    <sheetView view="pageBreakPreview" topLeftCell="A2" zoomScale="60" zoomScaleNormal="100" workbookViewId="0">
      <selection activeCell="A2" sqref="A2:E2"/>
    </sheetView>
  </sheetViews>
  <sheetFormatPr defaultRowHeight="12.75" x14ac:dyDescent="0.2"/>
  <cols>
    <col min="1" max="1" width="9" style="432" customWidth="1"/>
    <col min="2" max="2" width="41" style="432" customWidth="1"/>
    <col min="3" max="3" width="24.28515625" style="432" customWidth="1"/>
    <col min="4" max="4" width="24" style="432" customWidth="1"/>
    <col min="5" max="5" width="24.28515625" style="432" customWidth="1"/>
    <col min="6" max="16384" width="9.140625" style="432"/>
  </cols>
  <sheetData>
    <row r="1" spans="1:5" ht="46.5" customHeight="1" x14ac:dyDescent="0.3">
      <c r="A1" s="988" t="s">
        <v>219</v>
      </c>
      <c r="B1" s="989"/>
      <c r="C1" s="989"/>
      <c r="D1" s="989"/>
      <c r="E1" s="989"/>
    </row>
    <row r="2" spans="1:5" s="615" customFormat="1" ht="27.75" customHeight="1" x14ac:dyDescent="0.25">
      <c r="A2" s="685" t="s">
        <v>62</v>
      </c>
      <c r="B2" s="521" t="s">
        <v>2</v>
      </c>
      <c r="C2" s="521" t="s">
        <v>82</v>
      </c>
      <c r="D2" s="521" t="s">
        <v>83</v>
      </c>
      <c r="E2" s="522" t="s">
        <v>84</v>
      </c>
    </row>
    <row r="3" spans="1:5" ht="18.75" customHeight="1" x14ac:dyDescent="0.2">
      <c r="A3" s="664" t="s">
        <v>85</v>
      </c>
      <c r="B3" s="665" t="s">
        <v>522</v>
      </c>
      <c r="C3" s="666">
        <v>4164032439</v>
      </c>
      <c r="D3" s="666">
        <v>0</v>
      </c>
      <c r="E3" s="667">
        <v>3941564458</v>
      </c>
    </row>
    <row r="4" spans="1:5" ht="25.5" x14ac:dyDescent="0.2">
      <c r="A4" s="668" t="s">
        <v>87</v>
      </c>
      <c r="B4" s="669" t="s">
        <v>523</v>
      </c>
      <c r="C4" s="670">
        <v>194071198</v>
      </c>
      <c r="D4" s="670">
        <v>0</v>
      </c>
      <c r="E4" s="671">
        <v>240746447</v>
      </c>
    </row>
    <row r="5" spans="1:5" ht="25.5" x14ac:dyDescent="0.2">
      <c r="A5" s="668" t="s">
        <v>89</v>
      </c>
      <c r="B5" s="669" t="s">
        <v>524</v>
      </c>
      <c r="C5" s="670">
        <v>135471104</v>
      </c>
      <c r="D5" s="670">
        <v>0</v>
      </c>
      <c r="E5" s="671">
        <v>138088819</v>
      </c>
    </row>
    <row r="6" spans="1:5" ht="25.5" x14ac:dyDescent="0.2">
      <c r="A6" s="672" t="s">
        <v>90</v>
      </c>
      <c r="B6" s="673" t="s">
        <v>525</v>
      </c>
      <c r="C6" s="674">
        <v>4493574741</v>
      </c>
      <c r="D6" s="674">
        <v>0</v>
      </c>
      <c r="E6" s="675">
        <v>4320399724</v>
      </c>
    </row>
    <row r="7" spans="1:5" ht="25.5" x14ac:dyDescent="0.2">
      <c r="A7" s="668" t="s">
        <v>96</v>
      </c>
      <c r="B7" s="669" t="s">
        <v>526</v>
      </c>
      <c r="C7" s="670">
        <v>3385493195</v>
      </c>
      <c r="D7" s="670">
        <v>0</v>
      </c>
      <c r="E7" s="671">
        <v>4679967976</v>
      </c>
    </row>
    <row r="8" spans="1:5" ht="25.5" x14ac:dyDescent="0.2">
      <c r="A8" s="668" t="s">
        <v>98</v>
      </c>
      <c r="B8" s="669" t="s">
        <v>527</v>
      </c>
      <c r="C8" s="670">
        <v>120701142</v>
      </c>
      <c r="D8" s="670">
        <v>0</v>
      </c>
      <c r="E8" s="671">
        <v>97272850</v>
      </c>
    </row>
    <row r="9" spans="1:5" ht="25.5" x14ac:dyDescent="0.2">
      <c r="A9" s="668" t="s">
        <v>100</v>
      </c>
      <c r="B9" s="669" t="s">
        <v>528</v>
      </c>
      <c r="C9" s="670">
        <v>111066981</v>
      </c>
      <c r="D9" s="670">
        <v>0</v>
      </c>
      <c r="E9" s="671">
        <v>114712353</v>
      </c>
    </row>
    <row r="10" spans="1:5" ht="25.5" x14ac:dyDescent="0.2">
      <c r="A10" s="668" t="s">
        <v>102</v>
      </c>
      <c r="B10" s="669" t="s">
        <v>529</v>
      </c>
      <c r="C10" s="670">
        <v>196454345</v>
      </c>
      <c r="D10" s="670">
        <v>0</v>
      </c>
      <c r="E10" s="671">
        <v>715874112</v>
      </c>
    </row>
    <row r="11" spans="1:5" ht="25.5" x14ac:dyDescent="0.2">
      <c r="A11" s="672" t="s">
        <v>103</v>
      </c>
      <c r="B11" s="673" t="s">
        <v>530</v>
      </c>
      <c r="C11" s="674">
        <v>3813715663</v>
      </c>
      <c r="D11" s="674">
        <v>0</v>
      </c>
      <c r="E11" s="675">
        <v>5607827291</v>
      </c>
    </row>
    <row r="12" spans="1:5" x14ac:dyDescent="0.2">
      <c r="A12" s="668" t="s">
        <v>104</v>
      </c>
      <c r="B12" s="669" t="s">
        <v>531</v>
      </c>
      <c r="C12" s="670">
        <v>61951366</v>
      </c>
      <c r="D12" s="670">
        <v>0</v>
      </c>
      <c r="E12" s="671">
        <v>92325418</v>
      </c>
    </row>
    <row r="13" spans="1:5" x14ac:dyDescent="0.2">
      <c r="A13" s="668" t="s">
        <v>106</v>
      </c>
      <c r="B13" s="669" t="s">
        <v>532</v>
      </c>
      <c r="C13" s="670">
        <v>1247067994</v>
      </c>
      <c r="D13" s="670">
        <v>0</v>
      </c>
      <c r="E13" s="671">
        <v>1346069083</v>
      </c>
    </row>
    <row r="14" spans="1:5" x14ac:dyDescent="0.2">
      <c r="A14" s="668" t="s">
        <v>107</v>
      </c>
      <c r="B14" s="669" t="s">
        <v>533</v>
      </c>
      <c r="C14" s="670">
        <v>7228856</v>
      </c>
      <c r="D14" s="670">
        <v>0</v>
      </c>
      <c r="E14" s="671">
        <v>6442329</v>
      </c>
    </row>
    <row r="15" spans="1:5" x14ac:dyDescent="0.2">
      <c r="A15" s="668" t="s">
        <v>108</v>
      </c>
      <c r="B15" s="669" t="s">
        <v>534</v>
      </c>
      <c r="C15" s="670">
        <v>21249261</v>
      </c>
      <c r="D15" s="670">
        <v>0</v>
      </c>
      <c r="E15" s="671">
        <v>16474477</v>
      </c>
    </row>
    <row r="16" spans="1:5" ht="25.5" x14ac:dyDescent="0.2">
      <c r="A16" s="672" t="s">
        <v>109</v>
      </c>
      <c r="B16" s="673" t="s">
        <v>535</v>
      </c>
      <c r="C16" s="674">
        <v>1337497477</v>
      </c>
      <c r="D16" s="674">
        <v>0</v>
      </c>
      <c r="E16" s="675">
        <v>1461311307</v>
      </c>
    </row>
    <row r="17" spans="1:5" x14ac:dyDescent="0.2">
      <c r="A17" s="668" t="s">
        <v>110</v>
      </c>
      <c r="B17" s="669" t="s">
        <v>536</v>
      </c>
      <c r="C17" s="670">
        <v>1507777196</v>
      </c>
      <c r="D17" s="670">
        <v>0</v>
      </c>
      <c r="E17" s="671">
        <v>1655109560</v>
      </c>
    </row>
    <row r="18" spans="1:5" x14ac:dyDescent="0.2">
      <c r="A18" s="668" t="s">
        <v>111</v>
      </c>
      <c r="B18" s="669" t="s">
        <v>537</v>
      </c>
      <c r="C18" s="670">
        <v>308935072</v>
      </c>
      <c r="D18" s="670">
        <v>0</v>
      </c>
      <c r="E18" s="671">
        <v>364194465</v>
      </c>
    </row>
    <row r="19" spans="1:5" x14ac:dyDescent="0.2">
      <c r="A19" s="668" t="s">
        <v>112</v>
      </c>
      <c r="B19" s="669" t="s">
        <v>538</v>
      </c>
      <c r="C19" s="670">
        <v>319504083</v>
      </c>
      <c r="D19" s="670">
        <v>0</v>
      </c>
      <c r="E19" s="671">
        <v>326239631</v>
      </c>
    </row>
    <row r="20" spans="1:5" ht="25.5" x14ac:dyDescent="0.2">
      <c r="A20" s="672" t="s">
        <v>114</v>
      </c>
      <c r="B20" s="673" t="s">
        <v>539</v>
      </c>
      <c r="C20" s="674">
        <v>2136216351</v>
      </c>
      <c r="D20" s="674">
        <v>0</v>
      </c>
      <c r="E20" s="675">
        <v>2345543656</v>
      </c>
    </row>
    <row r="21" spans="1:5" x14ac:dyDescent="0.2">
      <c r="A21" s="672" t="s">
        <v>116</v>
      </c>
      <c r="B21" s="673" t="s">
        <v>540</v>
      </c>
      <c r="C21" s="674">
        <v>690276108</v>
      </c>
      <c r="D21" s="674">
        <v>0</v>
      </c>
      <c r="E21" s="675">
        <v>711332528</v>
      </c>
    </row>
    <row r="22" spans="1:5" x14ac:dyDescent="0.2">
      <c r="A22" s="672" t="s">
        <v>118</v>
      </c>
      <c r="B22" s="673" t="s">
        <v>541</v>
      </c>
      <c r="C22" s="674">
        <v>3729312861</v>
      </c>
      <c r="D22" s="674">
        <v>0</v>
      </c>
      <c r="E22" s="675">
        <v>4638559693</v>
      </c>
    </row>
    <row r="23" spans="1:5" ht="25.5" x14ac:dyDescent="0.2">
      <c r="A23" s="672" t="s">
        <v>119</v>
      </c>
      <c r="B23" s="673" t="s">
        <v>542</v>
      </c>
      <c r="C23" s="674">
        <v>413987607</v>
      </c>
      <c r="D23" s="674">
        <v>0</v>
      </c>
      <c r="E23" s="675">
        <v>771479831</v>
      </c>
    </row>
    <row r="24" spans="1:5" ht="38.25" x14ac:dyDescent="0.2">
      <c r="A24" s="668" t="s">
        <v>121</v>
      </c>
      <c r="B24" s="669" t="s">
        <v>543</v>
      </c>
      <c r="C24" s="670">
        <v>22916623</v>
      </c>
      <c r="D24" s="670">
        <v>0</v>
      </c>
      <c r="E24" s="671">
        <v>0</v>
      </c>
    </row>
    <row r="25" spans="1:5" ht="25.5" x14ac:dyDescent="0.2">
      <c r="A25" s="668" t="s">
        <v>123</v>
      </c>
      <c r="B25" s="669" t="s">
        <v>544</v>
      </c>
      <c r="C25" s="670">
        <v>1619</v>
      </c>
      <c r="D25" s="670">
        <v>0</v>
      </c>
      <c r="E25" s="671">
        <v>2872</v>
      </c>
    </row>
    <row r="26" spans="1:5" ht="25.5" x14ac:dyDescent="0.2">
      <c r="A26" s="668" t="s">
        <v>125</v>
      </c>
      <c r="B26" s="669" t="s">
        <v>1131</v>
      </c>
      <c r="C26" s="670">
        <v>0</v>
      </c>
      <c r="D26" s="670">
        <v>0</v>
      </c>
      <c r="E26" s="671">
        <v>2692400</v>
      </c>
    </row>
    <row r="27" spans="1:5" ht="38.25" x14ac:dyDescent="0.2">
      <c r="A27" s="672" t="s">
        <v>127</v>
      </c>
      <c r="B27" s="673" t="s">
        <v>545</v>
      </c>
      <c r="C27" s="674">
        <v>22918242</v>
      </c>
      <c r="D27" s="674">
        <v>0</v>
      </c>
      <c r="E27" s="675">
        <v>2695272</v>
      </c>
    </row>
    <row r="28" spans="1:5" ht="25.5" x14ac:dyDescent="0.2">
      <c r="A28" s="668" t="s">
        <v>129</v>
      </c>
      <c r="B28" s="669" t="s">
        <v>546</v>
      </c>
      <c r="C28" s="670">
        <v>18847275</v>
      </c>
      <c r="D28" s="670">
        <v>0</v>
      </c>
      <c r="E28" s="671">
        <v>23180559</v>
      </c>
    </row>
    <row r="29" spans="1:5" ht="25.5" x14ac:dyDescent="0.2">
      <c r="A29" s="668" t="s">
        <v>130</v>
      </c>
      <c r="B29" s="669" t="s">
        <v>547</v>
      </c>
      <c r="C29" s="670">
        <v>28620000</v>
      </c>
      <c r="D29" s="670">
        <v>0</v>
      </c>
      <c r="E29" s="671">
        <v>51840000</v>
      </c>
    </row>
    <row r="30" spans="1:5" ht="25.5" x14ac:dyDescent="0.2">
      <c r="A30" s="672" t="s">
        <v>131</v>
      </c>
      <c r="B30" s="673" t="s">
        <v>548</v>
      </c>
      <c r="C30" s="674">
        <v>47467275</v>
      </c>
      <c r="D30" s="674">
        <v>0</v>
      </c>
      <c r="E30" s="675">
        <v>75020559</v>
      </c>
    </row>
    <row r="31" spans="1:5" ht="25.5" x14ac:dyDescent="0.2">
      <c r="A31" s="672" t="s">
        <v>132</v>
      </c>
      <c r="B31" s="673" t="s">
        <v>549</v>
      </c>
      <c r="C31" s="674">
        <v>-24549033</v>
      </c>
      <c r="D31" s="674">
        <v>0</v>
      </c>
      <c r="E31" s="675">
        <v>-72325287</v>
      </c>
    </row>
    <row r="32" spans="1:5" ht="36.75" customHeight="1" x14ac:dyDescent="0.2">
      <c r="A32" s="676" t="s">
        <v>134</v>
      </c>
      <c r="B32" s="677" t="s">
        <v>550</v>
      </c>
      <c r="C32" s="678">
        <v>389438574</v>
      </c>
      <c r="D32" s="678">
        <v>0</v>
      </c>
      <c r="E32" s="679">
        <v>699154544</v>
      </c>
    </row>
    <row r="33" spans="1:5" x14ac:dyDescent="0.2">
      <c r="A33" s="686"/>
      <c r="B33" s="686"/>
      <c r="C33" s="686"/>
      <c r="D33" s="686"/>
      <c r="E33" s="686"/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scale="72" orientation="portrait" horizontalDpi="300" verticalDpi="300" r:id="rId1"/>
  <headerFooter alignWithMargins="0">
    <oddHeader>&amp;CDunaharaszti Város Önkormányzata
2021. zárszámadás&amp;R&amp;A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40"/>
  <sheetViews>
    <sheetView view="pageBreakPreview" topLeftCell="A7" zoomScale="80" zoomScaleNormal="100" zoomScaleSheetLayoutView="80" workbookViewId="0">
      <selection activeCell="H43" sqref="H43"/>
    </sheetView>
  </sheetViews>
  <sheetFormatPr defaultColWidth="8.85546875" defaultRowHeight="12.75" x14ac:dyDescent="0.2"/>
  <cols>
    <col min="1" max="1" width="4.5703125" style="89" customWidth="1"/>
    <col min="2" max="2" width="61.42578125" style="89" customWidth="1"/>
    <col min="3" max="3" width="8" style="89" customWidth="1"/>
    <col min="4" max="5" width="18.42578125" style="89" bestFit="1" customWidth="1"/>
    <col min="6" max="6" width="18.5703125" style="89" bestFit="1" customWidth="1"/>
    <col min="7" max="7" width="3.85546875" style="89" customWidth="1"/>
    <col min="8" max="8" width="68.140625" style="89" customWidth="1"/>
    <col min="9" max="9" width="7.28515625" style="89" customWidth="1"/>
    <col min="10" max="10" width="19.85546875" style="89" customWidth="1"/>
    <col min="11" max="11" width="17.140625" style="89" customWidth="1"/>
    <col min="12" max="12" width="17.28515625" style="89" bestFit="1" customWidth="1"/>
    <col min="13" max="13" width="8.85546875" style="89"/>
    <col min="14" max="14" width="14.5703125" style="89" bestFit="1" customWidth="1"/>
    <col min="15" max="16384" width="8.85546875" style="89"/>
  </cols>
  <sheetData>
    <row r="1" spans="1:14" ht="35.450000000000003" customHeight="1" x14ac:dyDescent="0.2">
      <c r="A1" s="996" t="s">
        <v>1134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88"/>
      <c r="N1" s="88"/>
    </row>
    <row r="2" spans="1:14" s="90" customFormat="1" ht="3.75" customHeight="1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90" customFormat="1" x14ac:dyDescent="0.2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  <c r="M3" s="89"/>
      <c r="N3" s="89"/>
    </row>
    <row r="4" spans="1:14" ht="18.75" x14ac:dyDescent="0.2">
      <c r="A4" s="995" t="s">
        <v>1</v>
      </c>
      <c r="B4" s="997" t="s">
        <v>353</v>
      </c>
      <c r="C4" s="997"/>
      <c r="D4" s="997"/>
      <c r="E4" s="997"/>
      <c r="F4" s="997"/>
      <c r="G4" s="93"/>
      <c r="H4" s="997" t="s">
        <v>352</v>
      </c>
      <c r="I4" s="997"/>
      <c r="J4" s="997"/>
      <c r="K4" s="997"/>
      <c r="L4" s="997"/>
      <c r="M4" s="90"/>
      <c r="N4" s="90"/>
    </row>
    <row r="5" spans="1:14" ht="18.75" x14ac:dyDescent="0.2">
      <c r="A5" s="995"/>
      <c r="B5" s="993" t="s">
        <v>2</v>
      </c>
      <c r="C5" s="993" t="s">
        <v>351</v>
      </c>
      <c r="D5" s="990" t="s">
        <v>240</v>
      </c>
      <c r="E5" s="991"/>
      <c r="F5" s="992"/>
      <c r="G5" s="94"/>
      <c r="H5" s="993" t="s">
        <v>2</v>
      </c>
      <c r="I5" s="993" t="s">
        <v>351</v>
      </c>
      <c r="J5" s="990" t="s">
        <v>240</v>
      </c>
      <c r="K5" s="991"/>
      <c r="L5" s="992"/>
      <c r="M5" s="90"/>
      <c r="N5" s="90"/>
    </row>
    <row r="6" spans="1:14" ht="29.25" customHeight="1" x14ac:dyDescent="0.2">
      <c r="A6" s="995"/>
      <c r="B6" s="994"/>
      <c r="C6" s="994"/>
      <c r="D6" s="95" t="s">
        <v>409</v>
      </c>
      <c r="E6" s="95" t="s">
        <v>410</v>
      </c>
      <c r="F6" s="95" t="s">
        <v>408</v>
      </c>
      <c r="G6" s="96"/>
      <c r="H6" s="994"/>
      <c r="I6" s="994"/>
      <c r="J6" s="95" t="s">
        <v>409</v>
      </c>
      <c r="K6" s="95" t="s">
        <v>410</v>
      </c>
      <c r="L6" s="95" t="s">
        <v>408</v>
      </c>
      <c r="M6" s="90"/>
      <c r="N6" s="90"/>
    </row>
    <row r="7" spans="1:14" ht="15.75" x14ac:dyDescent="0.2">
      <c r="A7" s="97" t="s">
        <v>3</v>
      </c>
      <c r="B7" s="98" t="s">
        <v>350</v>
      </c>
      <c r="C7" s="99" t="s">
        <v>349</v>
      </c>
      <c r="D7" s="100">
        <v>1656698953</v>
      </c>
      <c r="E7" s="100">
        <v>2239688225</v>
      </c>
      <c r="F7" s="101">
        <v>2232764625</v>
      </c>
      <c r="G7" s="102"/>
      <c r="H7" s="103" t="s">
        <v>348</v>
      </c>
      <c r="I7" s="104" t="s">
        <v>347</v>
      </c>
      <c r="J7" s="100">
        <v>2156697969</v>
      </c>
      <c r="K7" s="100">
        <v>2252297823</v>
      </c>
      <c r="L7" s="101">
        <v>2002788517</v>
      </c>
    </row>
    <row r="8" spans="1:14" ht="15.75" x14ac:dyDescent="0.2">
      <c r="A8" s="97" t="s">
        <v>4</v>
      </c>
      <c r="B8" s="98" t="s">
        <v>346</v>
      </c>
      <c r="C8" s="99" t="s">
        <v>345</v>
      </c>
      <c r="D8" s="100">
        <v>0</v>
      </c>
      <c r="E8" s="100">
        <v>395927066</v>
      </c>
      <c r="F8" s="101">
        <v>395927066</v>
      </c>
      <c r="G8" s="102"/>
      <c r="H8" s="98" t="s">
        <v>344</v>
      </c>
      <c r="I8" s="104" t="s">
        <v>343</v>
      </c>
      <c r="J8" s="100">
        <v>374420063</v>
      </c>
      <c r="K8" s="100">
        <v>388622005</v>
      </c>
      <c r="L8" s="101">
        <v>323149901</v>
      </c>
    </row>
    <row r="9" spans="1:14" ht="15.75" x14ac:dyDescent="0.2">
      <c r="A9" s="97" t="s">
        <v>5</v>
      </c>
      <c r="B9" s="98" t="s">
        <v>342</v>
      </c>
      <c r="C9" s="99" t="s">
        <v>341</v>
      </c>
      <c r="D9" s="100">
        <v>3823624585</v>
      </c>
      <c r="E9" s="100">
        <v>3993559300</v>
      </c>
      <c r="F9" s="101">
        <v>3946580189</v>
      </c>
      <c r="G9" s="102"/>
      <c r="H9" s="98" t="s">
        <v>340</v>
      </c>
      <c r="I9" s="104" t="s">
        <v>339</v>
      </c>
      <c r="J9" s="100">
        <v>2288857050</v>
      </c>
      <c r="K9" s="100">
        <v>3448307334</v>
      </c>
      <c r="L9" s="101">
        <v>2102286414</v>
      </c>
    </row>
    <row r="10" spans="1:14" ht="15.75" x14ac:dyDescent="0.2">
      <c r="A10" s="97" t="s">
        <v>6</v>
      </c>
      <c r="B10" s="98" t="s">
        <v>338</v>
      </c>
      <c r="C10" s="99" t="s">
        <v>337</v>
      </c>
      <c r="D10" s="100">
        <v>420797576</v>
      </c>
      <c r="E10" s="100">
        <v>1287107667</v>
      </c>
      <c r="F10" s="101">
        <v>1164619910</v>
      </c>
      <c r="G10" s="102"/>
      <c r="H10" s="98" t="s">
        <v>336</v>
      </c>
      <c r="I10" s="104" t="s">
        <v>335</v>
      </c>
      <c r="J10" s="100">
        <v>41000000</v>
      </c>
      <c r="K10" s="100">
        <v>40297800</v>
      </c>
      <c r="L10" s="101">
        <v>30255611</v>
      </c>
    </row>
    <row r="11" spans="1:14" ht="15.75" x14ac:dyDescent="0.2">
      <c r="A11" s="97" t="s">
        <v>7</v>
      </c>
      <c r="B11" s="98" t="s">
        <v>334</v>
      </c>
      <c r="C11" s="99" t="s">
        <v>333</v>
      </c>
      <c r="D11" s="100">
        <v>62752000</v>
      </c>
      <c r="E11" s="100">
        <v>2776489803</v>
      </c>
      <c r="F11" s="101">
        <v>2776489803</v>
      </c>
      <c r="G11" s="102"/>
      <c r="H11" s="98" t="s">
        <v>332</v>
      </c>
      <c r="I11" s="104" t="s">
        <v>331</v>
      </c>
      <c r="J11" s="100">
        <v>2157098779</v>
      </c>
      <c r="K11" s="100">
        <v>2550206864</v>
      </c>
      <c r="L11" s="101">
        <v>1298819999</v>
      </c>
    </row>
    <row r="12" spans="1:14" ht="15.75" x14ac:dyDescent="0.2">
      <c r="A12" s="97" t="s">
        <v>8</v>
      </c>
      <c r="B12" s="98" t="s">
        <v>330</v>
      </c>
      <c r="C12" s="99" t="s">
        <v>329</v>
      </c>
      <c r="D12" s="100">
        <v>0</v>
      </c>
      <c r="E12" s="100">
        <v>232014</v>
      </c>
      <c r="F12" s="101">
        <v>232014</v>
      </c>
      <c r="G12" s="102"/>
      <c r="H12" s="98" t="s">
        <v>328</v>
      </c>
      <c r="I12" s="104" t="s">
        <v>327</v>
      </c>
      <c r="J12" s="100">
        <v>913099698</v>
      </c>
      <c r="K12" s="100">
        <v>3962793404</v>
      </c>
      <c r="L12" s="101">
        <v>3052204825</v>
      </c>
    </row>
    <row r="13" spans="1:14" ht="15.75" x14ac:dyDescent="0.2">
      <c r="A13" s="97" t="s">
        <v>9</v>
      </c>
      <c r="B13" s="98" t="s">
        <v>326</v>
      </c>
      <c r="C13" s="99" t="s">
        <v>325</v>
      </c>
      <c r="D13" s="100">
        <v>4974400</v>
      </c>
      <c r="E13" s="100">
        <v>9731900</v>
      </c>
      <c r="F13" s="101">
        <v>9731900</v>
      </c>
      <c r="G13" s="102"/>
      <c r="H13" s="98" t="s">
        <v>324</v>
      </c>
      <c r="I13" s="104" t="s">
        <v>323</v>
      </c>
      <c r="J13" s="100">
        <v>192425195</v>
      </c>
      <c r="K13" s="100">
        <v>367957613</v>
      </c>
      <c r="L13" s="101">
        <v>238663077</v>
      </c>
    </row>
    <row r="14" spans="1:14" ht="15.75" x14ac:dyDescent="0.2">
      <c r="A14" s="97" t="s">
        <v>23</v>
      </c>
      <c r="B14" s="99"/>
      <c r="C14" s="99"/>
      <c r="D14" s="100"/>
      <c r="E14" s="100"/>
      <c r="F14" s="101"/>
      <c r="G14" s="102"/>
      <c r="H14" s="98" t="s">
        <v>322</v>
      </c>
      <c r="I14" s="104" t="s">
        <v>321</v>
      </c>
      <c r="J14" s="100">
        <v>22320000</v>
      </c>
      <c r="K14" s="100">
        <v>51516861</v>
      </c>
      <c r="L14" s="101">
        <v>47516861</v>
      </c>
    </row>
    <row r="15" spans="1:14" s="107" customFormat="1" ht="18" customHeight="1" x14ac:dyDescent="0.2">
      <c r="A15" s="95" t="s">
        <v>25</v>
      </c>
      <c r="B15" s="99" t="s">
        <v>320</v>
      </c>
      <c r="C15" s="99" t="s">
        <v>319</v>
      </c>
      <c r="D15" s="105">
        <f>SUM(D7:D14)</f>
        <v>5968847514</v>
      </c>
      <c r="E15" s="105">
        <f t="shared" ref="E15:F15" si="0">SUM(E7:E14)</f>
        <v>10702735975</v>
      </c>
      <c r="F15" s="105">
        <f t="shared" si="0"/>
        <v>10526345507</v>
      </c>
      <c r="G15" s="106"/>
      <c r="H15" s="99" t="s">
        <v>318</v>
      </c>
      <c r="I15" s="99" t="s">
        <v>317</v>
      </c>
      <c r="J15" s="105">
        <f>SUM(J7:J14)</f>
        <v>8145918754</v>
      </c>
      <c r="K15" s="105">
        <f t="shared" ref="K15:L15" si="1">SUM(K7:K14)</f>
        <v>13061999704</v>
      </c>
      <c r="L15" s="105">
        <f t="shared" si="1"/>
        <v>9095685205</v>
      </c>
    </row>
    <row r="16" spans="1:14" ht="15.75" x14ac:dyDescent="0.2">
      <c r="A16" s="97" t="s">
        <v>27</v>
      </c>
      <c r="B16" s="98" t="s">
        <v>316</v>
      </c>
      <c r="C16" s="99"/>
      <c r="D16" s="100">
        <f>+D7+D9+D10+D12</f>
        <v>5901121114</v>
      </c>
      <c r="E16" s="100">
        <f>+E7+E9+E10+E12</f>
        <v>7520587206</v>
      </c>
      <c r="F16" s="100">
        <f t="shared" ref="F16" si="2">+F7+F9+F10+F12</f>
        <v>7344196738</v>
      </c>
      <c r="G16" s="102"/>
      <c r="H16" s="98" t="s">
        <v>315</v>
      </c>
      <c r="I16" s="98"/>
      <c r="J16" s="100">
        <f>+J7+J8+J9+J10+J11</f>
        <v>7018073861</v>
      </c>
      <c r="K16" s="100">
        <f t="shared" ref="K16:L16" si="3">+K7+K8+K9+K10+K11</f>
        <v>8679731826</v>
      </c>
      <c r="L16" s="100">
        <f t="shared" si="3"/>
        <v>5757300442</v>
      </c>
    </row>
    <row r="17" spans="1:12" ht="15.75" x14ac:dyDescent="0.2">
      <c r="A17" s="97" t="s">
        <v>30</v>
      </c>
      <c r="B17" s="98" t="s">
        <v>314</v>
      </c>
      <c r="C17" s="99"/>
      <c r="D17" s="100">
        <f>+D8+D11+D13</f>
        <v>67726400</v>
      </c>
      <c r="E17" s="100">
        <f>+E8+E11+E13</f>
        <v>3182148769</v>
      </c>
      <c r="F17" s="100">
        <f t="shared" ref="F17" si="4">+F8+F11+F13</f>
        <v>3182148769</v>
      </c>
      <c r="G17" s="102"/>
      <c r="H17" s="98" t="s">
        <v>313</v>
      </c>
      <c r="I17" s="99"/>
      <c r="J17" s="100">
        <f>+J12+J13+J14</f>
        <v>1127844893</v>
      </c>
      <c r="K17" s="100">
        <f t="shared" ref="K17:L17" si="5">+K12+K13+K14</f>
        <v>4382267878</v>
      </c>
      <c r="L17" s="100">
        <f t="shared" si="5"/>
        <v>3338384763</v>
      </c>
    </row>
    <row r="18" spans="1:12" s="107" customFormat="1" ht="15.75" x14ac:dyDescent="0.2">
      <c r="A18" s="95" t="s">
        <v>32</v>
      </c>
      <c r="B18" s="99" t="s">
        <v>312</v>
      </c>
      <c r="C18" s="99" t="s">
        <v>311</v>
      </c>
      <c r="D18" s="105">
        <f>SUM(D19:D25)</f>
        <v>5311818130</v>
      </c>
      <c r="E18" s="105">
        <f t="shared" ref="E18" si="6">SUM(E19:E25)</f>
        <v>5840608898</v>
      </c>
      <c r="F18" s="105">
        <f>SUM(F19:F25)</f>
        <v>5363254193</v>
      </c>
      <c r="G18" s="106"/>
      <c r="H18" s="99" t="s">
        <v>310</v>
      </c>
      <c r="I18" s="99" t="s">
        <v>309</v>
      </c>
      <c r="J18" s="105">
        <f>SUM(J19:J23)</f>
        <v>3134746890</v>
      </c>
      <c r="K18" s="105">
        <f t="shared" ref="K18:L18" si="7">SUM(K19:K23)</f>
        <v>3481345169</v>
      </c>
      <c r="L18" s="105">
        <f t="shared" si="7"/>
        <v>3003990464</v>
      </c>
    </row>
    <row r="19" spans="1:12" s="107" customFormat="1" ht="15.75" x14ac:dyDescent="0.2">
      <c r="A19" s="97" t="s">
        <v>33</v>
      </c>
      <c r="B19" s="108" t="s">
        <v>581</v>
      </c>
      <c r="C19" s="99"/>
      <c r="D19" s="105">
        <v>0</v>
      </c>
      <c r="E19" s="100">
        <v>285060051</v>
      </c>
      <c r="F19" s="100">
        <v>285060051</v>
      </c>
      <c r="G19" s="106"/>
      <c r="H19" s="108" t="s">
        <v>308</v>
      </c>
      <c r="I19" s="98"/>
      <c r="J19" s="100">
        <v>62766147</v>
      </c>
      <c r="K19" s="100">
        <v>284312762</v>
      </c>
      <c r="L19" s="101">
        <v>284312762</v>
      </c>
    </row>
    <row r="20" spans="1:12" ht="15.75" x14ac:dyDescent="0.2">
      <c r="A20" s="97" t="s">
        <v>33</v>
      </c>
      <c r="B20" s="108" t="s">
        <v>748</v>
      </c>
      <c r="C20" s="98"/>
      <c r="D20" s="100">
        <v>1410758710</v>
      </c>
      <c r="E20" s="100">
        <v>1490406842</v>
      </c>
      <c r="F20" s="101">
        <v>1490406842</v>
      </c>
      <c r="G20" s="102"/>
      <c r="H20" s="98" t="s">
        <v>307</v>
      </c>
      <c r="I20" s="99"/>
      <c r="J20" s="100">
        <v>2989846329</v>
      </c>
      <c r="K20" s="100">
        <v>3088134836</v>
      </c>
      <c r="L20" s="101">
        <v>2610780131</v>
      </c>
    </row>
    <row r="21" spans="1:12" ht="15.75" x14ac:dyDescent="0.2">
      <c r="A21" s="97" t="s">
        <v>34</v>
      </c>
      <c r="B21" s="98" t="s">
        <v>749</v>
      </c>
      <c r="C21" s="98"/>
      <c r="D21" s="100">
        <v>857261301</v>
      </c>
      <c r="E21" s="100">
        <v>896292222</v>
      </c>
      <c r="F21" s="101">
        <v>896292222</v>
      </c>
      <c r="G21" s="102"/>
      <c r="H21" s="98" t="s">
        <v>305</v>
      </c>
      <c r="I21" s="109"/>
      <c r="J21" s="100">
        <v>53951790</v>
      </c>
      <c r="K21" s="100">
        <v>80714947</v>
      </c>
      <c r="L21" s="101">
        <v>80714947</v>
      </c>
    </row>
    <row r="22" spans="1:12" ht="15.75" x14ac:dyDescent="0.2">
      <c r="A22" s="97" t="s">
        <v>35</v>
      </c>
      <c r="B22" s="98" t="s">
        <v>306</v>
      </c>
      <c r="C22" s="98"/>
      <c r="D22" s="100">
        <v>2989846329</v>
      </c>
      <c r="E22" s="100">
        <v>3088134836</v>
      </c>
      <c r="F22" s="101">
        <v>2610780131</v>
      </c>
      <c r="G22" s="102"/>
      <c r="H22" s="98" t="s">
        <v>303</v>
      </c>
      <c r="I22" s="111"/>
      <c r="J22" s="100">
        <v>28182624</v>
      </c>
      <c r="K22" s="100">
        <v>28182624</v>
      </c>
      <c r="L22" s="101">
        <v>28182624</v>
      </c>
    </row>
    <row r="23" spans="1:12" ht="15.75" x14ac:dyDescent="0.2">
      <c r="A23" s="97" t="s">
        <v>37</v>
      </c>
      <c r="B23" s="98" t="s">
        <v>304</v>
      </c>
      <c r="C23" s="98"/>
      <c r="D23" s="100">
        <v>53951790</v>
      </c>
      <c r="E23" s="100">
        <v>80714947</v>
      </c>
      <c r="F23" s="101">
        <v>80714947</v>
      </c>
      <c r="G23" s="102"/>
      <c r="H23" s="98" t="s">
        <v>751</v>
      </c>
      <c r="J23" s="100">
        <v>0</v>
      </c>
      <c r="K23" s="100">
        <v>0</v>
      </c>
      <c r="L23" s="100">
        <v>0</v>
      </c>
    </row>
    <row r="24" spans="1:12" ht="15.75" x14ac:dyDescent="0.2">
      <c r="A24" s="97" t="s">
        <v>47</v>
      </c>
      <c r="B24" s="108" t="s">
        <v>302</v>
      </c>
      <c r="C24" s="98"/>
      <c r="D24" s="100">
        <v>0</v>
      </c>
      <c r="E24" s="100">
        <v>0</v>
      </c>
      <c r="F24" s="101">
        <v>0</v>
      </c>
      <c r="G24" s="102"/>
      <c r="H24" s="99"/>
      <c r="I24" s="111"/>
      <c r="J24" s="110"/>
      <c r="K24" s="110"/>
      <c r="L24" s="101"/>
    </row>
    <row r="25" spans="1:12" ht="15.75" x14ac:dyDescent="0.2">
      <c r="A25" s="97" t="s">
        <v>49</v>
      </c>
      <c r="B25" s="108" t="s">
        <v>750</v>
      </c>
      <c r="C25" s="221"/>
      <c r="D25" s="222">
        <v>0</v>
      </c>
      <c r="E25" s="222">
        <v>0</v>
      </c>
      <c r="F25" s="223">
        <v>0</v>
      </c>
      <c r="G25" s="224"/>
      <c r="H25" s="225"/>
      <c r="I25" s="226"/>
      <c r="J25" s="227"/>
      <c r="K25" s="227"/>
      <c r="L25" s="223"/>
    </row>
    <row r="26" spans="1:12" s="107" customFormat="1" ht="18.75" customHeight="1" x14ac:dyDescent="0.25">
      <c r="A26" s="95" t="s">
        <v>49</v>
      </c>
      <c r="B26" s="112" t="s">
        <v>301</v>
      </c>
      <c r="C26" s="113" t="s">
        <v>300</v>
      </c>
      <c r="D26" s="114">
        <f>+D15+D18</f>
        <v>11280665644</v>
      </c>
      <c r="E26" s="114">
        <f t="shared" ref="E26" si="8">+E15+E18</f>
        <v>16543344873</v>
      </c>
      <c r="F26" s="114">
        <f>+F15+F18</f>
        <v>15889599700</v>
      </c>
      <c r="G26" s="115"/>
      <c r="H26" s="116" t="s">
        <v>299</v>
      </c>
      <c r="I26" s="116" t="s">
        <v>298</v>
      </c>
      <c r="J26" s="117">
        <f>+J15+J18</f>
        <v>11280665644</v>
      </c>
      <c r="K26" s="117">
        <f t="shared" ref="K26:L26" si="9">+K15+K18</f>
        <v>16543344873</v>
      </c>
      <c r="L26" s="117">
        <f t="shared" si="9"/>
        <v>12099675669</v>
      </c>
    </row>
    <row r="28" spans="1:12" ht="25.5" x14ac:dyDescent="0.2">
      <c r="D28" s="118" t="s">
        <v>409</v>
      </c>
      <c r="E28" s="118" t="s">
        <v>410</v>
      </c>
      <c r="F28" s="118" t="s">
        <v>408</v>
      </c>
      <c r="J28" s="125"/>
      <c r="K28" s="125"/>
      <c r="L28" s="125"/>
    </row>
    <row r="29" spans="1:12" ht="15.75" x14ac:dyDescent="0.2">
      <c r="B29" s="1001" t="s">
        <v>297</v>
      </c>
      <c r="C29" s="1001"/>
      <c r="D29" s="119">
        <f>+D16</f>
        <v>5901121114</v>
      </c>
      <c r="E29" s="119">
        <f t="shared" ref="E29:F29" si="10">+E16</f>
        <v>7520587206</v>
      </c>
      <c r="F29" s="119">
        <f t="shared" si="10"/>
        <v>7344196738</v>
      </c>
      <c r="G29" s="120"/>
    </row>
    <row r="30" spans="1:12" ht="15.75" x14ac:dyDescent="0.2">
      <c r="B30" s="1001" t="s">
        <v>296</v>
      </c>
      <c r="C30" s="1001"/>
      <c r="D30" s="119">
        <f>+J16</f>
        <v>7018073861</v>
      </c>
      <c r="E30" s="119">
        <f t="shared" ref="E30:F30" si="11">+K16</f>
        <v>8679731826</v>
      </c>
      <c r="F30" s="119">
        <f t="shared" si="11"/>
        <v>5757300442</v>
      </c>
      <c r="G30" s="120"/>
    </row>
    <row r="31" spans="1:12" s="107" customFormat="1" ht="15.75" x14ac:dyDescent="0.2">
      <c r="B31" s="998" t="s">
        <v>295</v>
      </c>
      <c r="C31" s="998"/>
      <c r="D31" s="121">
        <f>+D29-D30</f>
        <v>-1116952747</v>
      </c>
      <c r="E31" s="121">
        <f t="shared" ref="E31:F31" si="12">+E29-E30</f>
        <v>-1159144620</v>
      </c>
      <c r="F31" s="121">
        <f t="shared" si="12"/>
        <v>1586896296</v>
      </c>
      <c r="G31" s="122"/>
    </row>
    <row r="32" spans="1:12" ht="15.75" x14ac:dyDescent="0.2">
      <c r="B32" s="122"/>
      <c r="C32" s="122"/>
      <c r="D32" s="119"/>
      <c r="E32" s="119"/>
      <c r="F32" s="119"/>
      <c r="G32" s="122"/>
    </row>
    <row r="33" spans="2:14" ht="15.75" x14ac:dyDescent="0.2">
      <c r="B33" s="1001" t="s">
        <v>294</v>
      </c>
      <c r="C33" s="1001"/>
      <c r="D33" s="119">
        <f>+D17</f>
        <v>67726400</v>
      </c>
      <c r="E33" s="119">
        <f t="shared" ref="E33:F33" si="13">+E17</f>
        <v>3182148769</v>
      </c>
      <c r="F33" s="119">
        <f t="shared" si="13"/>
        <v>3182148769</v>
      </c>
      <c r="G33" s="120"/>
      <c r="H33" s="125"/>
      <c r="I33" s="125"/>
      <c r="J33" s="125"/>
    </row>
    <row r="34" spans="2:14" ht="15.75" x14ac:dyDescent="0.2">
      <c r="B34" s="1001" t="s">
        <v>293</v>
      </c>
      <c r="C34" s="1001"/>
      <c r="D34" s="119">
        <f>+J17</f>
        <v>1127844893</v>
      </c>
      <c r="E34" s="119">
        <f t="shared" ref="E34:F34" si="14">+K17</f>
        <v>4382267878</v>
      </c>
      <c r="F34" s="119">
        <f t="shared" si="14"/>
        <v>3338384763</v>
      </c>
      <c r="G34" s="120"/>
    </row>
    <row r="35" spans="2:14" s="107" customFormat="1" ht="15.75" x14ac:dyDescent="0.2">
      <c r="B35" s="998" t="s">
        <v>292</v>
      </c>
      <c r="C35" s="998"/>
      <c r="D35" s="121">
        <f>+D33-D34</f>
        <v>-1060118493</v>
      </c>
      <c r="E35" s="121">
        <f t="shared" ref="E35:F35" si="15">+E33-E34</f>
        <v>-1200119109</v>
      </c>
      <c r="F35" s="121">
        <f t="shared" si="15"/>
        <v>-156235994</v>
      </c>
      <c r="G35" s="122"/>
    </row>
    <row r="36" spans="2:14" ht="15.75" x14ac:dyDescent="0.2">
      <c r="B36" s="122"/>
      <c r="C36" s="122"/>
      <c r="D36" s="119"/>
      <c r="E36" s="119"/>
      <c r="F36" s="119"/>
      <c r="G36" s="122"/>
    </row>
    <row r="37" spans="2:14" ht="32.25" customHeight="1" x14ac:dyDescent="0.2">
      <c r="B37" s="999" t="s">
        <v>291</v>
      </c>
      <c r="C37" s="999"/>
      <c r="D37" s="119">
        <f>+D31+D35</f>
        <v>-2177071240</v>
      </c>
      <c r="E37" s="119">
        <f t="shared" ref="E37:F37" si="16">+E31+E35</f>
        <v>-2359263729</v>
      </c>
      <c r="F37" s="119">
        <f t="shared" si="16"/>
        <v>1430660302</v>
      </c>
      <c r="G37" s="123"/>
    </row>
    <row r="38" spans="2:14" ht="39" customHeight="1" x14ac:dyDescent="0.2">
      <c r="B38" s="999" t="s">
        <v>290</v>
      </c>
      <c r="C38" s="999"/>
      <c r="D38" s="119">
        <f>+D18-J18</f>
        <v>2177071240</v>
      </c>
      <c r="E38" s="119">
        <f t="shared" ref="E38" si="17">+E18-K18</f>
        <v>2359263729</v>
      </c>
      <c r="F38" s="119">
        <f t="shared" ref="F38" si="18">+F18-L18</f>
        <v>2359263729</v>
      </c>
      <c r="G38" s="119"/>
    </row>
    <row r="39" spans="2:14" s="107" customFormat="1" ht="36" customHeight="1" x14ac:dyDescent="0.2">
      <c r="B39" s="1000" t="s">
        <v>1135</v>
      </c>
      <c r="C39" s="1000"/>
      <c r="D39" s="121">
        <f>+D37+D38</f>
        <v>0</v>
      </c>
      <c r="E39" s="121">
        <f t="shared" ref="E39:F39" si="19">+E37+E38</f>
        <v>0</v>
      </c>
      <c r="F39" s="121">
        <f t="shared" si="19"/>
        <v>3789924031</v>
      </c>
      <c r="G39" s="124"/>
    </row>
    <row r="40" spans="2:14" x14ac:dyDescent="0.2">
      <c r="N40" s="125">
        <f>+F26-L26</f>
        <v>3789924031</v>
      </c>
    </row>
  </sheetData>
  <mergeCells count="19">
    <mergeCell ref="B35:C35"/>
    <mergeCell ref="B37:C37"/>
    <mergeCell ref="B38:C38"/>
    <mergeCell ref="B39:C39"/>
    <mergeCell ref="B4:F4"/>
    <mergeCell ref="B34:C34"/>
    <mergeCell ref="B33:C33"/>
    <mergeCell ref="B5:B6"/>
    <mergeCell ref="C5:C6"/>
    <mergeCell ref="D5:F5"/>
    <mergeCell ref="B29:C29"/>
    <mergeCell ref="B30:C30"/>
    <mergeCell ref="B31:C31"/>
    <mergeCell ref="J5:L5"/>
    <mergeCell ref="H5:H6"/>
    <mergeCell ref="I5:I6"/>
    <mergeCell ref="A4:A6"/>
    <mergeCell ref="A1:L1"/>
    <mergeCell ref="H4:L4"/>
  </mergeCells>
  <printOptions horizontalCentered="1"/>
  <pageMargins left="0.27559055118110237" right="0.43307086614173229" top="0.74803149606299213" bottom="0.74803149606299213" header="0.31496062992125984" footer="0.31496062992125984"/>
  <pageSetup paperSize="9" scale="53" orientation="landscape" r:id="rId1"/>
  <headerFooter>
    <oddHeader>&amp;CDunaharaszti Város Önkormányzat 
2021. évi zárszámadás&amp;R&amp;A</oddHeader>
    <oddFooter>&amp;C&amp;P/&amp;N</oddFooter>
  </headerFooter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100"/>
  <sheetViews>
    <sheetView view="pageBreakPreview" zoomScaleNormal="100" zoomScaleSheetLayoutView="100" workbookViewId="0">
      <pane xSplit="2" ySplit="2" topLeftCell="C9" activePane="bottomRight" state="frozen"/>
      <selection activeCell="G30" sqref="G30"/>
      <selection pane="topRight" activeCell="G30" sqref="G30"/>
      <selection pane="bottomLeft" activeCell="G30" sqref="G30"/>
      <selection pane="bottomRight" activeCell="E6" sqref="E6"/>
    </sheetView>
  </sheetViews>
  <sheetFormatPr defaultRowHeight="12.75" x14ac:dyDescent="0.2"/>
  <cols>
    <col min="1" max="1" width="5.5703125" style="231" customWidth="1"/>
    <col min="2" max="2" width="55.5703125" style="231" customWidth="1"/>
    <col min="3" max="22" width="14.85546875" style="231" customWidth="1"/>
    <col min="23" max="23" width="15" style="231" customWidth="1"/>
    <col min="24" max="24" width="18.28515625" style="231" bestFit="1" customWidth="1"/>
    <col min="25" max="254" width="9.140625" style="231"/>
    <col min="255" max="255" width="5.5703125" style="231" customWidth="1"/>
    <col min="256" max="256" width="66.140625" style="231" customWidth="1"/>
    <col min="257" max="278" width="14.85546875" style="231" customWidth="1"/>
    <col min="279" max="279" width="15" style="231" customWidth="1"/>
    <col min="280" max="280" width="12.28515625" style="231" bestFit="1" customWidth="1"/>
    <col min="281" max="510" width="9.140625" style="231"/>
    <col min="511" max="511" width="5.5703125" style="231" customWidth="1"/>
    <col min="512" max="512" width="66.140625" style="231" customWidth="1"/>
    <col min="513" max="534" width="14.85546875" style="231" customWidth="1"/>
    <col min="535" max="535" width="15" style="231" customWidth="1"/>
    <col min="536" max="536" width="12.28515625" style="231" bestFit="1" customWidth="1"/>
    <col min="537" max="766" width="9.140625" style="231"/>
    <col min="767" max="767" width="5.5703125" style="231" customWidth="1"/>
    <col min="768" max="768" width="66.140625" style="231" customWidth="1"/>
    <col min="769" max="790" width="14.85546875" style="231" customWidth="1"/>
    <col min="791" max="791" width="15" style="231" customWidth="1"/>
    <col min="792" max="792" width="12.28515625" style="231" bestFit="1" customWidth="1"/>
    <col min="793" max="1022" width="9.140625" style="231"/>
    <col min="1023" max="1023" width="5.5703125" style="231" customWidth="1"/>
    <col min="1024" max="1024" width="66.140625" style="231" customWidth="1"/>
    <col min="1025" max="1046" width="14.85546875" style="231" customWidth="1"/>
    <col min="1047" max="1047" width="15" style="231" customWidth="1"/>
    <col min="1048" max="1048" width="12.28515625" style="231" bestFit="1" customWidth="1"/>
    <col min="1049" max="1278" width="9.140625" style="231"/>
    <col min="1279" max="1279" width="5.5703125" style="231" customWidth="1"/>
    <col min="1280" max="1280" width="66.140625" style="231" customWidth="1"/>
    <col min="1281" max="1302" width="14.85546875" style="231" customWidth="1"/>
    <col min="1303" max="1303" width="15" style="231" customWidth="1"/>
    <col min="1304" max="1304" width="12.28515625" style="231" bestFit="1" customWidth="1"/>
    <col min="1305" max="1534" width="9.140625" style="231"/>
    <col min="1535" max="1535" width="5.5703125" style="231" customWidth="1"/>
    <col min="1536" max="1536" width="66.140625" style="231" customWidth="1"/>
    <col min="1537" max="1558" width="14.85546875" style="231" customWidth="1"/>
    <col min="1559" max="1559" width="15" style="231" customWidth="1"/>
    <col min="1560" max="1560" width="12.28515625" style="231" bestFit="1" customWidth="1"/>
    <col min="1561" max="1790" width="9.140625" style="231"/>
    <col min="1791" max="1791" width="5.5703125" style="231" customWidth="1"/>
    <col min="1792" max="1792" width="66.140625" style="231" customWidth="1"/>
    <col min="1793" max="1814" width="14.85546875" style="231" customWidth="1"/>
    <col min="1815" max="1815" width="15" style="231" customWidth="1"/>
    <col min="1816" max="1816" width="12.28515625" style="231" bestFit="1" customWidth="1"/>
    <col min="1817" max="2046" width="9.140625" style="231"/>
    <col min="2047" max="2047" width="5.5703125" style="231" customWidth="1"/>
    <col min="2048" max="2048" width="66.140625" style="231" customWidth="1"/>
    <col min="2049" max="2070" width="14.85546875" style="231" customWidth="1"/>
    <col min="2071" max="2071" width="15" style="231" customWidth="1"/>
    <col min="2072" max="2072" width="12.28515625" style="231" bestFit="1" customWidth="1"/>
    <col min="2073" max="2302" width="9.140625" style="231"/>
    <col min="2303" max="2303" width="5.5703125" style="231" customWidth="1"/>
    <col min="2304" max="2304" width="66.140625" style="231" customWidth="1"/>
    <col min="2305" max="2326" width="14.85546875" style="231" customWidth="1"/>
    <col min="2327" max="2327" width="15" style="231" customWidth="1"/>
    <col min="2328" max="2328" width="12.28515625" style="231" bestFit="1" customWidth="1"/>
    <col min="2329" max="2558" width="9.140625" style="231"/>
    <col min="2559" max="2559" width="5.5703125" style="231" customWidth="1"/>
    <col min="2560" max="2560" width="66.140625" style="231" customWidth="1"/>
    <col min="2561" max="2582" width="14.85546875" style="231" customWidth="1"/>
    <col min="2583" max="2583" width="15" style="231" customWidth="1"/>
    <col min="2584" max="2584" width="12.28515625" style="231" bestFit="1" customWidth="1"/>
    <col min="2585" max="2814" width="9.140625" style="231"/>
    <col min="2815" max="2815" width="5.5703125" style="231" customWidth="1"/>
    <col min="2816" max="2816" width="66.140625" style="231" customWidth="1"/>
    <col min="2817" max="2838" width="14.85546875" style="231" customWidth="1"/>
    <col min="2839" max="2839" width="15" style="231" customWidth="1"/>
    <col min="2840" max="2840" width="12.28515625" style="231" bestFit="1" customWidth="1"/>
    <col min="2841" max="3070" width="9.140625" style="231"/>
    <col min="3071" max="3071" width="5.5703125" style="231" customWidth="1"/>
    <col min="3072" max="3072" width="66.140625" style="231" customWidth="1"/>
    <col min="3073" max="3094" width="14.85546875" style="231" customWidth="1"/>
    <col min="3095" max="3095" width="15" style="231" customWidth="1"/>
    <col min="3096" max="3096" width="12.28515625" style="231" bestFit="1" customWidth="1"/>
    <col min="3097" max="3326" width="9.140625" style="231"/>
    <col min="3327" max="3327" width="5.5703125" style="231" customWidth="1"/>
    <col min="3328" max="3328" width="66.140625" style="231" customWidth="1"/>
    <col min="3329" max="3350" width="14.85546875" style="231" customWidth="1"/>
    <col min="3351" max="3351" width="15" style="231" customWidth="1"/>
    <col min="3352" max="3352" width="12.28515625" style="231" bestFit="1" customWidth="1"/>
    <col min="3353" max="3582" width="9.140625" style="231"/>
    <col min="3583" max="3583" width="5.5703125" style="231" customWidth="1"/>
    <col min="3584" max="3584" width="66.140625" style="231" customWidth="1"/>
    <col min="3585" max="3606" width="14.85546875" style="231" customWidth="1"/>
    <col min="3607" max="3607" width="15" style="231" customWidth="1"/>
    <col min="3608" max="3608" width="12.28515625" style="231" bestFit="1" customWidth="1"/>
    <col min="3609" max="3838" width="9.140625" style="231"/>
    <col min="3839" max="3839" width="5.5703125" style="231" customWidth="1"/>
    <col min="3840" max="3840" width="66.140625" style="231" customWidth="1"/>
    <col min="3841" max="3862" width="14.85546875" style="231" customWidth="1"/>
    <col min="3863" max="3863" width="15" style="231" customWidth="1"/>
    <col min="3864" max="3864" width="12.28515625" style="231" bestFit="1" customWidth="1"/>
    <col min="3865" max="4094" width="9.140625" style="231"/>
    <col min="4095" max="4095" width="5.5703125" style="231" customWidth="1"/>
    <col min="4096" max="4096" width="66.140625" style="231" customWidth="1"/>
    <col min="4097" max="4118" width="14.85546875" style="231" customWidth="1"/>
    <col min="4119" max="4119" width="15" style="231" customWidth="1"/>
    <col min="4120" max="4120" width="12.28515625" style="231" bestFit="1" customWidth="1"/>
    <col min="4121" max="4350" width="9.140625" style="231"/>
    <col min="4351" max="4351" width="5.5703125" style="231" customWidth="1"/>
    <col min="4352" max="4352" width="66.140625" style="231" customWidth="1"/>
    <col min="4353" max="4374" width="14.85546875" style="231" customWidth="1"/>
    <col min="4375" max="4375" width="15" style="231" customWidth="1"/>
    <col min="4376" max="4376" width="12.28515625" style="231" bestFit="1" customWidth="1"/>
    <col min="4377" max="4606" width="9.140625" style="231"/>
    <col min="4607" max="4607" width="5.5703125" style="231" customWidth="1"/>
    <col min="4608" max="4608" width="66.140625" style="231" customWidth="1"/>
    <col min="4609" max="4630" width="14.85546875" style="231" customWidth="1"/>
    <col min="4631" max="4631" width="15" style="231" customWidth="1"/>
    <col min="4632" max="4632" width="12.28515625" style="231" bestFit="1" customWidth="1"/>
    <col min="4633" max="4862" width="9.140625" style="231"/>
    <col min="4863" max="4863" width="5.5703125" style="231" customWidth="1"/>
    <col min="4864" max="4864" width="66.140625" style="231" customWidth="1"/>
    <col min="4865" max="4886" width="14.85546875" style="231" customWidth="1"/>
    <col min="4887" max="4887" width="15" style="231" customWidth="1"/>
    <col min="4888" max="4888" width="12.28515625" style="231" bestFit="1" customWidth="1"/>
    <col min="4889" max="5118" width="9.140625" style="231"/>
    <col min="5119" max="5119" width="5.5703125" style="231" customWidth="1"/>
    <col min="5120" max="5120" width="66.140625" style="231" customWidth="1"/>
    <col min="5121" max="5142" width="14.85546875" style="231" customWidth="1"/>
    <col min="5143" max="5143" width="15" style="231" customWidth="1"/>
    <col min="5144" max="5144" width="12.28515625" style="231" bestFit="1" customWidth="1"/>
    <col min="5145" max="5374" width="9.140625" style="231"/>
    <col min="5375" max="5375" width="5.5703125" style="231" customWidth="1"/>
    <col min="5376" max="5376" width="66.140625" style="231" customWidth="1"/>
    <col min="5377" max="5398" width="14.85546875" style="231" customWidth="1"/>
    <col min="5399" max="5399" width="15" style="231" customWidth="1"/>
    <col min="5400" max="5400" width="12.28515625" style="231" bestFit="1" customWidth="1"/>
    <col min="5401" max="5630" width="9.140625" style="231"/>
    <col min="5631" max="5631" width="5.5703125" style="231" customWidth="1"/>
    <col min="5632" max="5632" width="66.140625" style="231" customWidth="1"/>
    <col min="5633" max="5654" width="14.85546875" style="231" customWidth="1"/>
    <col min="5655" max="5655" width="15" style="231" customWidth="1"/>
    <col min="5656" max="5656" width="12.28515625" style="231" bestFit="1" customWidth="1"/>
    <col min="5657" max="5886" width="9.140625" style="231"/>
    <col min="5887" max="5887" width="5.5703125" style="231" customWidth="1"/>
    <col min="5888" max="5888" width="66.140625" style="231" customWidth="1"/>
    <col min="5889" max="5910" width="14.85546875" style="231" customWidth="1"/>
    <col min="5911" max="5911" width="15" style="231" customWidth="1"/>
    <col min="5912" max="5912" width="12.28515625" style="231" bestFit="1" customWidth="1"/>
    <col min="5913" max="6142" width="9.140625" style="231"/>
    <col min="6143" max="6143" width="5.5703125" style="231" customWidth="1"/>
    <col min="6144" max="6144" width="66.140625" style="231" customWidth="1"/>
    <col min="6145" max="6166" width="14.85546875" style="231" customWidth="1"/>
    <col min="6167" max="6167" width="15" style="231" customWidth="1"/>
    <col min="6168" max="6168" width="12.28515625" style="231" bestFit="1" customWidth="1"/>
    <col min="6169" max="6398" width="9.140625" style="231"/>
    <col min="6399" max="6399" width="5.5703125" style="231" customWidth="1"/>
    <col min="6400" max="6400" width="66.140625" style="231" customWidth="1"/>
    <col min="6401" max="6422" width="14.85546875" style="231" customWidth="1"/>
    <col min="6423" max="6423" width="15" style="231" customWidth="1"/>
    <col min="6424" max="6424" width="12.28515625" style="231" bestFit="1" customWidth="1"/>
    <col min="6425" max="6654" width="9.140625" style="231"/>
    <col min="6655" max="6655" width="5.5703125" style="231" customWidth="1"/>
    <col min="6656" max="6656" width="66.140625" style="231" customWidth="1"/>
    <col min="6657" max="6678" width="14.85546875" style="231" customWidth="1"/>
    <col min="6679" max="6679" width="15" style="231" customWidth="1"/>
    <col min="6680" max="6680" width="12.28515625" style="231" bestFit="1" customWidth="1"/>
    <col min="6681" max="6910" width="9.140625" style="231"/>
    <col min="6911" max="6911" width="5.5703125" style="231" customWidth="1"/>
    <col min="6912" max="6912" width="66.140625" style="231" customWidth="1"/>
    <col min="6913" max="6934" width="14.85546875" style="231" customWidth="1"/>
    <col min="6935" max="6935" width="15" style="231" customWidth="1"/>
    <col min="6936" max="6936" width="12.28515625" style="231" bestFit="1" customWidth="1"/>
    <col min="6937" max="7166" width="9.140625" style="231"/>
    <col min="7167" max="7167" width="5.5703125" style="231" customWidth="1"/>
    <col min="7168" max="7168" width="66.140625" style="231" customWidth="1"/>
    <col min="7169" max="7190" width="14.85546875" style="231" customWidth="1"/>
    <col min="7191" max="7191" width="15" style="231" customWidth="1"/>
    <col min="7192" max="7192" width="12.28515625" style="231" bestFit="1" customWidth="1"/>
    <col min="7193" max="7422" width="9.140625" style="231"/>
    <col min="7423" max="7423" width="5.5703125" style="231" customWidth="1"/>
    <col min="7424" max="7424" width="66.140625" style="231" customWidth="1"/>
    <col min="7425" max="7446" width="14.85546875" style="231" customWidth="1"/>
    <col min="7447" max="7447" width="15" style="231" customWidth="1"/>
    <col min="7448" max="7448" width="12.28515625" style="231" bestFit="1" customWidth="1"/>
    <col min="7449" max="7678" width="9.140625" style="231"/>
    <col min="7679" max="7679" width="5.5703125" style="231" customWidth="1"/>
    <col min="7680" max="7680" width="66.140625" style="231" customWidth="1"/>
    <col min="7681" max="7702" width="14.85546875" style="231" customWidth="1"/>
    <col min="7703" max="7703" width="15" style="231" customWidth="1"/>
    <col min="7704" max="7704" width="12.28515625" style="231" bestFit="1" customWidth="1"/>
    <col min="7705" max="7934" width="9.140625" style="231"/>
    <col min="7935" max="7935" width="5.5703125" style="231" customWidth="1"/>
    <col min="7936" max="7936" width="66.140625" style="231" customWidth="1"/>
    <col min="7937" max="7958" width="14.85546875" style="231" customWidth="1"/>
    <col min="7959" max="7959" width="15" style="231" customWidth="1"/>
    <col min="7960" max="7960" width="12.28515625" style="231" bestFit="1" customWidth="1"/>
    <col min="7961" max="8190" width="9.140625" style="231"/>
    <col min="8191" max="8191" width="5.5703125" style="231" customWidth="1"/>
    <col min="8192" max="8192" width="66.140625" style="231" customWidth="1"/>
    <col min="8193" max="8214" width="14.85546875" style="231" customWidth="1"/>
    <col min="8215" max="8215" width="15" style="231" customWidth="1"/>
    <col min="8216" max="8216" width="12.28515625" style="231" bestFit="1" customWidth="1"/>
    <col min="8217" max="8446" width="9.140625" style="231"/>
    <col min="8447" max="8447" width="5.5703125" style="231" customWidth="1"/>
    <col min="8448" max="8448" width="66.140625" style="231" customWidth="1"/>
    <col min="8449" max="8470" width="14.85546875" style="231" customWidth="1"/>
    <col min="8471" max="8471" width="15" style="231" customWidth="1"/>
    <col min="8472" max="8472" width="12.28515625" style="231" bestFit="1" customWidth="1"/>
    <col min="8473" max="8702" width="9.140625" style="231"/>
    <col min="8703" max="8703" width="5.5703125" style="231" customWidth="1"/>
    <col min="8704" max="8704" width="66.140625" style="231" customWidth="1"/>
    <col min="8705" max="8726" width="14.85546875" style="231" customWidth="1"/>
    <col min="8727" max="8727" width="15" style="231" customWidth="1"/>
    <col min="8728" max="8728" width="12.28515625" style="231" bestFit="1" customWidth="1"/>
    <col min="8729" max="8958" width="9.140625" style="231"/>
    <col min="8959" max="8959" width="5.5703125" style="231" customWidth="1"/>
    <col min="8960" max="8960" width="66.140625" style="231" customWidth="1"/>
    <col min="8961" max="8982" width="14.85546875" style="231" customWidth="1"/>
    <col min="8983" max="8983" width="15" style="231" customWidth="1"/>
    <col min="8984" max="8984" width="12.28515625" style="231" bestFit="1" customWidth="1"/>
    <col min="8985" max="9214" width="9.140625" style="231"/>
    <col min="9215" max="9215" width="5.5703125" style="231" customWidth="1"/>
    <col min="9216" max="9216" width="66.140625" style="231" customWidth="1"/>
    <col min="9217" max="9238" width="14.85546875" style="231" customWidth="1"/>
    <col min="9239" max="9239" width="15" style="231" customWidth="1"/>
    <col min="9240" max="9240" width="12.28515625" style="231" bestFit="1" customWidth="1"/>
    <col min="9241" max="9470" width="9.140625" style="231"/>
    <col min="9471" max="9471" width="5.5703125" style="231" customWidth="1"/>
    <col min="9472" max="9472" width="66.140625" style="231" customWidth="1"/>
    <col min="9473" max="9494" width="14.85546875" style="231" customWidth="1"/>
    <col min="9495" max="9495" width="15" style="231" customWidth="1"/>
    <col min="9496" max="9496" width="12.28515625" style="231" bestFit="1" customWidth="1"/>
    <col min="9497" max="9726" width="9.140625" style="231"/>
    <col min="9727" max="9727" width="5.5703125" style="231" customWidth="1"/>
    <col min="9728" max="9728" width="66.140625" style="231" customWidth="1"/>
    <col min="9729" max="9750" width="14.85546875" style="231" customWidth="1"/>
    <col min="9751" max="9751" width="15" style="231" customWidth="1"/>
    <col min="9752" max="9752" width="12.28515625" style="231" bestFit="1" customWidth="1"/>
    <col min="9753" max="9982" width="9.140625" style="231"/>
    <col min="9983" max="9983" width="5.5703125" style="231" customWidth="1"/>
    <col min="9984" max="9984" width="66.140625" style="231" customWidth="1"/>
    <col min="9985" max="10006" width="14.85546875" style="231" customWidth="1"/>
    <col min="10007" max="10007" width="15" style="231" customWidth="1"/>
    <col min="10008" max="10008" width="12.28515625" style="231" bestFit="1" customWidth="1"/>
    <col min="10009" max="10238" width="9.140625" style="231"/>
    <col min="10239" max="10239" width="5.5703125" style="231" customWidth="1"/>
    <col min="10240" max="10240" width="66.140625" style="231" customWidth="1"/>
    <col min="10241" max="10262" width="14.85546875" style="231" customWidth="1"/>
    <col min="10263" max="10263" width="15" style="231" customWidth="1"/>
    <col min="10264" max="10264" width="12.28515625" style="231" bestFit="1" customWidth="1"/>
    <col min="10265" max="10494" width="9.140625" style="231"/>
    <col min="10495" max="10495" width="5.5703125" style="231" customWidth="1"/>
    <col min="10496" max="10496" width="66.140625" style="231" customWidth="1"/>
    <col min="10497" max="10518" width="14.85546875" style="231" customWidth="1"/>
    <col min="10519" max="10519" width="15" style="231" customWidth="1"/>
    <col min="10520" max="10520" width="12.28515625" style="231" bestFit="1" customWidth="1"/>
    <col min="10521" max="10750" width="9.140625" style="231"/>
    <col min="10751" max="10751" width="5.5703125" style="231" customWidth="1"/>
    <col min="10752" max="10752" width="66.140625" style="231" customWidth="1"/>
    <col min="10753" max="10774" width="14.85546875" style="231" customWidth="1"/>
    <col min="10775" max="10775" width="15" style="231" customWidth="1"/>
    <col min="10776" max="10776" width="12.28515625" style="231" bestFit="1" customWidth="1"/>
    <col min="10777" max="11006" width="9.140625" style="231"/>
    <col min="11007" max="11007" width="5.5703125" style="231" customWidth="1"/>
    <col min="11008" max="11008" width="66.140625" style="231" customWidth="1"/>
    <col min="11009" max="11030" width="14.85546875" style="231" customWidth="1"/>
    <col min="11031" max="11031" width="15" style="231" customWidth="1"/>
    <col min="11032" max="11032" width="12.28515625" style="231" bestFit="1" customWidth="1"/>
    <col min="11033" max="11262" width="9.140625" style="231"/>
    <col min="11263" max="11263" width="5.5703125" style="231" customWidth="1"/>
    <col min="11264" max="11264" width="66.140625" style="231" customWidth="1"/>
    <col min="11265" max="11286" width="14.85546875" style="231" customWidth="1"/>
    <col min="11287" max="11287" width="15" style="231" customWidth="1"/>
    <col min="11288" max="11288" width="12.28515625" style="231" bestFit="1" customWidth="1"/>
    <col min="11289" max="11518" width="9.140625" style="231"/>
    <col min="11519" max="11519" width="5.5703125" style="231" customWidth="1"/>
    <col min="11520" max="11520" width="66.140625" style="231" customWidth="1"/>
    <col min="11521" max="11542" width="14.85546875" style="231" customWidth="1"/>
    <col min="11543" max="11543" width="15" style="231" customWidth="1"/>
    <col min="11544" max="11544" width="12.28515625" style="231" bestFit="1" customWidth="1"/>
    <col min="11545" max="11774" width="9.140625" style="231"/>
    <col min="11775" max="11775" width="5.5703125" style="231" customWidth="1"/>
    <col min="11776" max="11776" width="66.140625" style="231" customWidth="1"/>
    <col min="11777" max="11798" width="14.85546875" style="231" customWidth="1"/>
    <col min="11799" max="11799" width="15" style="231" customWidth="1"/>
    <col min="11800" max="11800" width="12.28515625" style="231" bestFit="1" customWidth="1"/>
    <col min="11801" max="12030" width="9.140625" style="231"/>
    <col min="12031" max="12031" width="5.5703125" style="231" customWidth="1"/>
    <col min="12032" max="12032" width="66.140625" style="231" customWidth="1"/>
    <col min="12033" max="12054" width="14.85546875" style="231" customWidth="1"/>
    <col min="12055" max="12055" width="15" style="231" customWidth="1"/>
    <col min="12056" max="12056" width="12.28515625" style="231" bestFit="1" customWidth="1"/>
    <col min="12057" max="12286" width="9.140625" style="231"/>
    <col min="12287" max="12287" width="5.5703125" style="231" customWidth="1"/>
    <col min="12288" max="12288" width="66.140625" style="231" customWidth="1"/>
    <col min="12289" max="12310" width="14.85546875" style="231" customWidth="1"/>
    <col min="12311" max="12311" width="15" style="231" customWidth="1"/>
    <col min="12312" max="12312" width="12.28515625" style="231" bestFit="1" customWidth="1"/>
    <col min="12313" max="12542" width="9.140625" style="231"/>
    <col min="12543" max="12543" width="5.5703125" style="231" customWidth="1"/>
    <col min="12544" max="12544" width="66.140625" style="231" customWidth="1"/>
    <col min="12545" max="12566" width="14.85546875" style="231" customWidth="1"/>
    <col min="12567" max="12567" width="15" style="231" customWidth="1"/>
    <col min="12568" max="12568" width="12.28515625" style="231" bestFit="1" customWidth="1"/>
    <col min="12569" max="12798" width="9.140625" style="231"/>
    <col min="12799" max="12799" width="5.5703125" style="231" customWidth="1"/>
    <col min="12800" max="12800" width="66.140625" style="231" customWidth="1"/>
    <col min="12801" max="12822" width="14.85546875" style="231" customWidth="1"/>
    <col min="12823" max="12823" width="15" style="231" customWidth="1"/>
    <col min="12824" max="12824" width="12.28515625" style="231" bestFit="1" customWidth="1"/>
    <col min="12825" max="13054" width="9.140625" style="231"/>
    <col min="13055" max="13055" width="5.5703125" style="231" customWidth="1"/>
    <col min="13056" max="13056" width="66.140625" style="231" customWidth="1"/>
    <col min="13057" max="13078" width="14.85546875" style="231" customWidth="1"/>
    <col min="13079" max="13079" width="15" style="231" customWidth="1"/>
    <col min="13080" max="13080" width="12.28515625" style="231" bestFit="1" customWidth="1"/>
    <col min="13081" max="13310" width="9.140625" style="231"/>
    <col min="13311" max="13311" width="5.5703125" style="231" customWidth="1"/>
    <col min="13312" max="13312" width="66.140625" style="231" customWidth="1"/>
    <col min="13313" max="13334" width="14.85546875" style="231" customWidth="1"/>
    <col min="13335" max="13335" width="15" style="231" customWidth="1"/>
    <col min="13336" max="13336" width="12.28515625" style="231" bestFit="1" customWidth="1"/>
    <col min="13337" max="13566" width="9.140625" style="231"/>
    <col min="13567" max="13567" width="5.5703125" style="231" customWidth="1"/>
    <col min="13568" max="13568" width="66.140625" style="231" customWidth="1"/>
    <col min="13569" max="13590" width="14.85546875" style="231" customWidth="1"/>
    <col min="13591" max="13591" width="15" style="231" customWidth="1"/>
    <col min="13592" max="13592" width="12.28515625" style="231" bestFit="1" customWidth="1"/>
    <col min="13593" max="13822" width="9.140625" style="231"/>
    <col min="13823" max="13823" width="5.5703125" style="231" customWidth="1"/>
    <col min="13824" max="13824" width="66.140625" style="231" customWidth="1"/>
    <col min="13825" max="13846" width="14.85546875" style="231" customWidth="1"/>
    <col min="13847" max="13847" width="15" style="231" customWidth="1"/>
    <col min="13848" max="13848" width="12.28515625" style="231" bestFit="1" customWidth="1"/>
    <col min="13849" max="14078" width="9.140625" style="231"/>
    <col min="14079" max="14079" width="5.5703125" style="231" customWidth="1"/>
    <col min="14080" max="14080" width="66.140625" style="231" customWidth="1"/>
    <col min="14081" max="14102" width="14.85546875" style="231" customWidth="1"/>
    <col min="14103" max="14103" width="15" style="231" customWidth="1"/>
    <col min="14104" max="14104" width="12.28515625" style="231" bestFit="1" customWidth="1"/>
    <col min="14105" max="14334" width="9.140625" style="231"/>
    <col min="14335" max="14335" width="5.5703125" style="231" customWidth="1"/>
    <col min="14336" max="14336" width="66.140625" style="231" customWidth="1"/>
    <col min="14337" max="14358" width="14.85546875" style="231" customWidth="1"/>
    <col min="14359" max="14359" width="15" style="231" customWidth="1"/>
    <col min="14360" max="14360" width="12.28515625" style="231" bestFit="1" customWidth="1"/>
    <col min="14361" max="14590" width="9.140625" style="231"/>
    <col min="14591" max="14591" width="5.5703125" style="231" customWidth="1"/>
    <col min="14592" max="14592" width="66.140625" style="231" customWidth="1"/>
    <col min="14593" max="14614" width="14.85546875" style="231" customWidth="1"/>
    <col min="14615" max="14615" width="15" style="231" customWidth="1"/>
    <col min="14616" max="14616" width="12.28515625" style="231" bestFit="1" customWidth="1"/>
    <col min="14617" max="14846" width="9.140625" style="231"/>
    <col min="14847" max="14847" width="5.5703125" style="231" customWidth="1"/>
    <col min="14848" max="14848" width="66.140625" style="231" customWidth="1"/>
    <col min="14849" max="14870" width="14.85546875" style="231" customWidth="1"/>
    <col min="14871" max="14871" width="15" style="231" customWidth="1"/>
    <col min="14872" max="14872" width="12.28515625" style="231" bestFit="1" customWidth="1"/>
    <col min="14873" max="15102" width="9.140625" style="231"/>
    <col min="15103" max="15103" width="5.5703125" style="231" customWidth="1"/>
    <col min="15104" max="15104" width="66.140625" style="231" customWidth="1"/>
    <col min="15105" max="15126" width="14.85546875" style="231" customWidth="1"/>
    <col min="15127" max="15127" width="15" style="231" customWidth="1"/>
    <col min="15128" max="15128" width="12.28515625" style="231" bestFit="1" customWidth="1"/>
    <col min="15129" max="15358" width="9.140625" style="231"/>
    <col min="15359" max="15359" width="5.5703125" style="231" customWidth="1"/>
    <col min="15360" max="15360" width="66.140625" style="231" customWidth="1"/>
    <col min="15361" max="15382" width="14.85546875" style="231" customWidth="1"/>
    <col min="15383" max="15383" width="15" style="231" customWidth="1"/>
    <col min="15384" max="15384" width="12.28515625" style="231" bestFit="1" customWidth="1"/>
    <col min="15385" max="15614" width="9.140625" style="231"/>
    <col min="15615" max="15615" width="5.5703125" style="231" customWidth="1"/>
    <col min="15616" max="15616" width="66.140625" style="231" customWidth="1"/>
    <col min="15617" max="15638" width="14.85546875" style="231" customWidth="1"/>
    <col min="15639" max="15639" width="15" style="231" customWidth="1"/>
    <col min="15640" max="15640" width="12.28515625" style="231" bestFit="1" customWidth="1"/>
    <col min="15641" max="15870" width="9.140625" style="231"/>
    <col min="15871" max="15871" width="5.5703125" style="231" customWidth="1"/>
    <col min="15872" max="15872" width="66.140625" style="231" customWidth="1"/>
    <col min="15873" max="15894" width="14.85546875" style="231" customWidth="1"/>
    <col min="15895" max="15895" width="15" style="231" customWidth="1"/>
    <col min="15896" max="15896" width="12.28515625" style="231" bestFit="1" customWidth="1"/>
    <col min="15897" max="16126" width="9.140625" style="231"/>
    <col min="16127" max="16127" width="5.5703125" style="231" customWidth="1"/>
    <col min="16128" max="16128" width="66.140625" style="231" customWidth="1"/>
    <col min="16129" max="16150" width="14.85546875" style="231" customWidth="1"/>
    <col min="16151" max="16151" width="15" style="231" customWidth="1"/>
    <col min="16152" max="16152" width="12.28515625" style="231" bestFit="1" customWidth="1"/>
    <col min="16153" max="16384" width="9.140625" style="231"/>
  </cols>
  <sheetData>
    <row r="1" spans="1:25" ht="36.6" customHeight="1" x14ac:dyDescent="0.2">
      <c r="A1" s="232"/>
      <c r="B1" s="233"/>
      <c r="C1" s="1005" t="s">
        <v>926</v>
      </c>
      <c r="D1" s="1005"/>
      <c r="E1" s="1005"/>
      <c r="F1" s="1005"/>
      <c r="G1" s="1005"/>
      <c r="H1" s="1005"/>
      <c r="I1" s="1005"/>
      <c r="J1" s="1005"/>
      <c r="K1" s="1005"/>
      <c r="L1" s="1005"/>
      <c r="M1" s="1005"/>
      <c r="N1" s="1005"/>
      <c r="O1" s="1005"/>
      <c r="P1" s="1005"/>
      <c r="Q1" s="1005"/>
      <c r="R1" s="1005"/>
      <c r="S1" s="1005"/>
      <c r="T1" s="1005"/>
      <c r="U1" s="1005"/>
    </row>
    <row r="2" spans="1:25" s="126" customFormat="1" ht="35.25" customHeight="1" x14ac:dyDescent="0.2">
      <c r="A2" s="234" t="s">
        <v>1</v>
      </c>
      <c r="B2" s="235" t="s">
        <v>2</v>
      </c>
      <c r="C2" s="434" t="s">
        <v>618</v>
      </c>
      <c r="D2" s="434" t="s">
        <v>619</v>
      </c>
      <c r="E2" s="434" t="s">
        <v>620</v>
      </c>
      <c r="F2" s="434" t="s">
        <v>621</v>
      </c>
      <c r="G2" s="434" t="s">
        <v>622</v>
      </c>
      <c r="H2" s="434" t="s">
        <v>623</v>
      </c>
      <c r="I2" s="434" t="s">
        <v>624</v>
      </c>
      <c r="J2" s="434" t="s">
        <v>625</v>
      </c>
      <c r="K2" s="434" t="s">
        <v>626</v>
      </c>
      <c r="L2" s="434" t="s">
        <v>627</v>
      </c>
      <c r="M2" s="434" t="s">
        <v>628</v>
      </c>
      <c r="N2" s="434" t="s">
        <v>629</v>
      </c>
      <c r="O2" s="434" t="s">
        <v>630</v>
      </c>
      <c r="P2" s="434" t="s">
        <v>631</v>
      </c>
      <c r="Q2" s="434" t="s">
        <v>632</v>
      </c>
      <c r="R2" s="434" t="s">
        <v>633</v>
      </c>
      <c r="S2" s="434" t="s">
        <v>634</v>
      </c>
      <c r="T2" s="434" t="s">
        <v>635</v>
      </c>
      <c r="U2" s="434" t="s">
        <v>80</v>
      </c>
    </row>
    <row r="3" spans="1:25" s="237" customFormat="1" ht="21" customHeight="1" x14ac:dyDescent="0.2">
      <c r="A3" s="236" t="s">
        <v>3</v>
      </c>
      <c r="B3" s="236" t="s">
        <v>354</v>
      </c>
      <c r="C3" s="528">
        <f>+C53+C54</f>
        <v>3933904233</v>
      </c>
      <c r="D3" s="528">
        <f>+C3*1.005</f>
        <v>3953573754.1649995</v>
      </c>
      <c r="E3" s="528">
        <f t="shared" ref="E3:T3" si="0">+D3*1.005</f>
        <v>3973341622.9358239</v>
      </c>
      <c r="F3" s="528">
        <f t="shared" si="0"/>
        <v>3993208331.0505028</v>
      </c>
      <c r="G3" s="528">
        <f t="shared" si="0"/>
        <v>4013174372.7057548</v>
      </c>
      <c r="H3" s="528">
        <f t="shared" si="0"/>
        <v>4033240244.569283</v>
      </c>
      <c r="I3" s="528">
        <f t="shared" si="0"/>
        <v>4053406445.792129</v>
      </c>
      <c r="J3" s="528">
        <f t="shared" si="0"/>
        <v>4073673478.0210891</v>
      </c>
      <c r="K3" s="528">
        <f t="shared" si="0"/>
        <v>4094041845.4111943</v>
      </c>
      <c r="L3" s="528">
        <f t="shared" si="0"/>
        <v>4114512054.6382499</v>
      </c>
      <c r="M3" s="528">
        <f t="shared" si="0"/>
        <v>4135084614.9114408</v>
      </c>
      <c r="N3" s="528">
        <f t="shared" si="0"/>
        <v>4155760037.9859977</v>
      </c>
      <c r="O3" s="528">
        <f t="shared" si="0"/>
        <v>4176538838.1759272</v>
      </c>
      <c r="P3" s="528">
        <f t="shared" si="0"/>
        <v>4197421532.3668065</v>
      </c>
      <c r="Q3" s="528">
        <f t="shared" si="0"/>
        <v>4218408640.0286403</v>
      </c>
      <c r="R3" s="528">
        <f t="shared" si="0"/>
        <v>4239500683.2287831</v>
      </c>
      <c r="S3" s="528">
        <f t="shared" si="0"/>
        <v>4260698186.6449265</v>
      </c>
      <c r="T3" s="528">
        <f t="shared" si="0"/>
        <v>4282001677.5781507</v>
      </c>
      <c r="U3" s="530">
        <f t="shared" ref="U3:U17" si="1">SUM(C3:T3)</f>
        <v>73901490593.209702</v>
      </c>
      <c r="V3" s="433" t="e">
        <f>+U3-#REF!</f>
        <v>#REF!</v>
      </c>
    </row>
    <row r="4" spans="1:25" s="237" customFormat="1" ht="21" customHeight="1" x14ac:dyDescent="0.2">
      <c r="A4" s="236" t="s">
        <v>4</v>
      </c>
      <c r="B4" s="236" t="s">
        <v>355</v>
      </c>
      <c r="C4" s="528">
        <v>0</v>
      </c>
      <c r="D4" s="528">
        <v>0</v>
      </c>
      <c r="E4" s="528">
        <v>0</v>
      </c>
      <c r="F4" s="528">
        <v>0</v>
      </c>
      <c r="G4" s="528">
        <v>0</v>
      </c>
      <c r="H4" s="528">
        <v>0</v>
      </c>
      <c r="I4" s="528">
        <v>0</v>
      </c>
      <c r="J4" s="528">
        <v>0</v>
      </c>
      <c r="K4" s="528">
        <v>0</v>
      </c>
      <c r="L4" s="528">
        <v>0</v>
      </c>
      <c r="M4" s="528">
        <v>0</v>
      </c>
      <c r="N4" s="528">
        <v>0</v>
      </c>
      <c r="O4" s="528">
        <v>0</v>
      </c>
      <c r="P4" s="528">
        <v>0</v>
      </c>
      <c r="Q4" s="528">
        <v>0</v>
      </c>
      <c r="R4" s="528">
        <v>0</v>
      </c>
      <c r="S4" s="528">
        <v>0</v>
      </c>
      <c r="T4" s="528">
        <v>0</v>
      </c>
      <c r="U4" s="530">
        <f t="shared" si="1"/>
        <v>0</v>
      </c>
      <c r="V4" s="433" t="e">
        <f>+U4-#REF!</f>
        <v>#REF!</v>
      </c>
    </row>
    <row r="5" spans="1:25" s="187" customFormat="1" ht="21" customHeight="1" x14ac:dyDescent="0.2">
      <c r="A5" s="238" t="s">
        <v>5</v>
      </c>
      <c r="B5" s="238" t="s">
        <v>356</v>
      </c>
      <c r="C5" s="528">
        <f>+C58+C60</f>
        <v>12453488</v>
      </c>
      <c r="D5" s="528">
        <v>3000000</v>
      </c>
      <c r="E5" s="528">
        <v>3000000</v>
      </c>
      <c r="F5" s="528">
        <v>3000000</v>
      </c>
      <c r="G5" s="528">
        <v>3000000</v>
      </c>
      <c r="H5" s="528">
        <v>3000000</v>
      </c>
      <c r="I5" s="528">
        <v>3000000</v>
      </c>
      <c r="J5" s="528">
        <v>3000000</v>
      </c>
      <c r="K5" s="528">
        <v>3000000</v>
      </c>
      <c r="L5" s="528">
        <v>3000000</v>
      </c>
      <c r="M5" s="528">
        <v>3000000</v>
      </c>
      <c r="N5" s="528">
        <v>3000000</v>
      </c>
      <c r="O5" s="528">
        <v>3000000</v>
      </c>
      <c r="P5" s="528">
        <v>3000000</v>
      </c>
      <c r="Q5" s="528">
        <v>3000000</v>
      </c>
      <c r="R5" s="528">
        <v>3000000</v>
      </c>
      <c r="S5" s="528">
        <v>3000000</v>
      </c>
      <c r="T5" s="528">
        <v>3000000</v>
      </c>
      <c r="U5" s="530">
        <f t="shared" si="1"/>
        <v>63453488</v>
      </c>
      <c r="V5" s="433" t="e">
        <f>+U5-#REF!</f>
        <v>#REF!</v>
      </c>
    </row>
    <row r="6" spans="1:25" s="237" customFormat="1" ht="33.75" customHeight="1" x14ac:dyDescent="0.2">
      <c r="A6" s="236" t="s">
        <v>6</v>
      </c>
      <c r="B6" s="236" t="s">
        <v>357</v>
      </c>
      <c r="C6" s="528">
        <f>+C73</f>
        <v>2861268896</v>
      </c>
      <c r="D6" s="528">
        <v>256352858.35499996</v>
      </c>
      <c r="E6" s="528">
        <v>257634622.64677492</v>
      </c>
      <c r="F6" s="528">
        <v>258922795.76000875</v>
      </c>
      <c r="G6" s="528">
        <v>260217409.73880878</v>
      </c>
      <c r="H6" s="528">
        <v>261518496.7875028</v>
      </c>
      <c r="I6" s="528">
        <v>262826089.27144027</v>
      </c>
      <c r="J6" s="528">
        <v>264140219.71779743</v>
      </c>
      <c r="K6" s="528">
        <v>265460920.8163864</v>
      </c>
      <c r="L6" s="528">
        <v>266788225.4204683</v>
      </c>
      <c r="M6" s="528">
        <v>268122166.54757062</v>
      </c>
      <c r="N6" s="528">
        <v>269462777.38030845</v>
      </c>
      <c r="O6" s="528">
        <v>270810091.26720995</v>
      </c>
      <c r="P6" s="528">
        <v>272164141.72354597</v>
      </c>
      <c r="Q6" s="528">
        <v>273524962.43216366</v>
      </c>
      <c r="R6" s="528">
        <v>274892587.24432445</v>
      </c>
      <c r="S6" s="528">
        <v>276267050.18054605</v>
      </c>
      <c r="T6" s="528">
        <v>277648385.43144876</v>
      </c>
      <c r="U6" s="530">
        <f t="shared" si="1"/>
        <v>7398022696.7213039</v>
      </c>
      <c r="V6" s="433" t="e">
        <f>+U6-#REF!</f>
        <v>#REF!</v>
      </c>
    </row>
    <row r="7" spans="1:25" s="237" customFormat="1" ht="21" customHeight="1" x14ac:dyDescent="0.2">
      <c r="A7" s="236" t="s">
        <v>7</v>
      </c>
      <c r="B7" s="236" t="s">
        <v>358</v>
      </c>
      <c r="C7" s="528">
        <v>0</v>
      </c>
      <c r="D7" s="528">
        <v>0</v>
      </c>
      <c r="E7" s="528">
        <v>0</v>
      </c>
      <c r="F7" s="528">
        <v>0</v>
      </c>
      <c r="G7" s="528">
        <v>0</v>
      </c>
      <c r="H7" s="528">
        <v>0</v>
      </c>
      <c r="I7" s="528">
        <v>0</v>
      </c>
      <c r="J7" s="528">
        <v>0</v>
      </c>
      <c r="K7" s="528">
        <v>0</v>
      </c>
      <c r="L7" s="528">
        <v>0</v>
      </c>
      <c r="M7" s="528">
        <v>0</v>
      </c>
      <c r="N7" s="528">
        <v>0</v>
      </c>
      <c r="O7" s="528">
        <v>0</v>
      </c>
      <c r="P7" s="528">
        <v>0</v>
      </c>
      <c r="Q7" s="528">
        <v>0</v>
      </c>
      <c r="R7" s="528">
        <v>0</v>
      </c>
      <c r="S7" s="528">
        <v>0</v>
      </c>
      <c r="T7" s="528">
        <v>0</v>
      </c>
      <c r="U7" s="530">
        <f t="shared" si="1"/>
        <v>0</v>
      </c>
      <c r="V7" s="433" t="e">
        <f>+U7-#REF!</f>
        <v>#REF!</v>
      </c>
    </row>
    <row r="8" spans="1:25" s="237" customFormat="1" ht="21" customHeight="1" x14ac:dyDescent="0.2">
      <c r="A8" s="236" t="s">
        <v>8</v>
      </c>
      <c r="B8" s="236" t="s">
        <v>359</v>
      </c>
      <c r="C8" s="528">
        <v>0</v>
      </c>
      <c r="D8" s="528">
        <v>0</v>
      </c>
      <c r="E8" s="528">
        <v>0</v>
      </c>
      <c r="F8" s="528">
        <v>0</v>
      </c>
      <c r="G8" s="528">
        <v>0</v>
      </c>
      <c r="H8" s="528">
        <v>0</v>
      </c>
      <c r="I8" s="528">
        <v>0</v>
      </c>
      <c r="J8" s="528">
        <v>0</v>
      </c>
      <c r="K8" s="528">
        <v>0</v>
      </c>
      <c r="L8" s="528">
        <v>0</v>
      </c>
      <c r="M8" s="528">
        <v>0</v>
      </c>
      <c r="N8" s="528">
        <v>0</v>
      </c>
      <c r="O8" s="528">
        <v>0</v>
      </c>
      <c r="P8" s="528">
        <v>0</v>
      </c>
      <c r="Q8" s="528">
        <v>0</v>
      </c>
      <c r="R8" s="528">
        <v>0</v>
      </c>
      <c r="S8" s="528">
        <v>0</v>
      </c>
      <c r="T8" s="528">
        <v>0</v>
      </c>
      <c r="U8" s="530">
        <f t="shared" si="1"/>
        <v>0</v>
      </c>
      <c r="V8" s="433" t="e">
        <f>+U8-#REF!</f>
        <v>#REF!</v>
      </c>
    </row>
    <row r="9" spans="1:25" s="237" customFormat="1" ht="21" customHeight="1" x14ac:dyDescent="0.2">
      <c r="A9" s="236" t="s">
        <v>9</v>
      </c>
      <c r="B9" s="236" t="s">
        <v>360</v>
      </c>
      <c r="C9" s="528">
        <v>0</v>
      </c>
      <c r="D9" s="528">
        <v>0</v>
      </c>
      <c r="E9" s="528">
        <v>0</v>
      </c>
      <c r="F9" s="528">
        <v>0</v>
      </c>
      <c r="G9" s="528">
        <v>0</v>
      </c>
      <c r="H9" s="528">
        <v>0</v>
      </c>
      <c r="I9" s="528">
        <v>0</v>
      </c>
      <c r="J9" s="528">
        <v>0</v>
      </c>
      <c r="K9" s="528">
        <v>0</v>
      </c>
      <c r="L9" s="528">
        <v>0</v>
      </c>
      <c r="M9" s="528">
        <v>0</v>
      </c>
      <c r="N9" s="528">
        <v>0</v>
      </c>
      <c r="O9" s="528">
        <v>0</v>
      </c>
      <c r="P9" s="528">
        <v>0</v>
      </c>
      <c r="Q9" s="528">
        <v>0</v>
      </c>
      <c r="R9" s="528">
        <v>0</v>
      </c>
      <c r="S9" s="528">
        <v>0</v>
      </c>
      <c r="T9" s="528">
        <v>0</v>
      </c>
      <c r="U9" s="530">
        <f t="shared" si="1"/>
        <v>0</v>
      </c>
      <c r="V9" s="433" t="e">
        <f>+U9-#REF!</f>
        <v>#REF!</v>
      </c>
    </row>
    <row r="10" spans="1:25" s="237" customFormat="1" ht="21" customHeight="1" x14ac:dyDescent="0.2">
      <c r="A10" s="236" t="s">
        <v>23</v>
      </c>
      <c r="B10" s="239" t="s">
        <v>361</v>
      </c>
      <c r="C10" s="530">
        <f t="shared" ref="C10:T10" si="2">SUM(C3:C9)</f>
        <v>6807626617</v>
      </c>
      <c r="D10" s="530">
        <f t="shared" si="2"/>
        <v>4212926612.5199995</v>
      </c>
      <c r="E10" s="530">
        <f t="shared" si="2"/>
        <v>4233976245.5825987</v>
      </c>
      <c r="F10" s="530">
        <f t="shared" si="2"/>
        <v>4255131126.8105116</v>
      </c>
      <c r="G10" s="530">
        <f t="shared" si="2"/>
        <v>4276391782.4445634</v>
      </c>
      <c r="H10" s="530">
        <f t="shared" si="2"/>
        <v>4297758741.3567858</v>
      </c>
      <c r="I10" s="530">
        <f t="shared" si="2"/>
        <v>4319232535.0635691</v>
      </c>
      <c r="J10" s="530">
        <f t="shared" si="2"/>
        <v>4340813697.7388868</v>
      </c>
      <c r="K10" s="530">
        <f t="shared" si="2"/>
        <v>4362502766.227581</v>
      </c>
      <c r="L10" s="530">
        <f t="shared" si="2"/>
        <v>4384300280.0587177</v>
      </c>
      <c r="M10" s="530">
        <f t="shared" si="2"/>
        <v>4406206781.4590111</v>
      </c>
      <c r="N10" s="530">
        <f t="shared" si="2"/>
        <v>4428222815.3663063</v>
      </c>
      <c r="O10" s="530">
        <f t="shared" si="2"/>
        <v>4450348929.4431372</v>
      </c>
      <c r="P10" s="530">
        <f t="shared" si="2"/>
        <v>4472585674.0903521</v>
      </c>
      <c r="Q10" s="530">
        <f t="shared" si="2"/>
        <v>4494933602.460804</v>
      </c>
      <c r="R10" s="530">
        <f t="shared" si="2"/>
        <v>4517393270.4731073</v>
      </c>
      <c r="S10" s="530">
        <f t="shared" si="2"/>
        <v>4539965236.8254728</v>
      </c>
      <c r="T10" s="530">
        <f t="shared" si="2"/>
        <v>4562650063.0095997</v>
      </c>
      <c r="U10" s="530">
        <f t="shared" si="1"/>
        <v>81362966777.931</v>
      </c>
      <c r="V10" s="433" t="e">
        <f>+U10-#REF!</f>
        <v>#REF!</v>
      </c>
    </row>
    <row r="11" spans="1:25" s="237" customFormat="1" ht="21" customHeight="1" x14ac:dyDescent="0.2">
      <c r="A11" s="236" t="s">
        <v>25</v>
      </c>
      <c r="B11" s="239" t="s">
        <v>362</v>
      </c>
      <c r="C11" s="530">
        <f t="shared" ref="C11:T11" si="3">C10*0.5</f>
        <v>3403813308.5</v>
      </c>
      <c r="D11" s="530">
        <f t="shared" si="3"/>
        <v>2106463306.2599998</v>
      </c>
      <c r="E11" s="530">
        <f t="shared" si="3"/>
        <v>2116988122.7912993</v>
      </c>
      <c r="F11" s="530">
        <f t="shared" si="3"/>
        <v>2127565563.4052558</v>
      </c>
      <c r="G11" s="530">
        <f t="shared" si="3"/>
        <v>2138195891.2222817</v>
      </c>
      <c r="H11" s="530">
        <f t="shared" si="3"/>
        <v>2148879370.6783929</v>
      </c>
      <c r="I11" s="530">
        <f t="shared" si="3"/>
        <v>2159616267.5317845</v>
      </c>
      <c r="J11" s="530">
        <f t="shared" si="3"/>
        <v>2170406848.8694434</v>
      </c>
      <c r="K11" s="530">
        <f t="shared" si="3"/>
        <v>2181251383.1137905</v>
      </c>
      <c r="L11" s="530">
        <f t="shared" si="3"/>
        <v>2192150140.0293589</v>
      </c>
      <c r="M11" s="530">
        <f t="shared" si="3"/>
        <v>2203103390.7295055</v>
      </c>
      <c r="N11" s="530">
        <f t="shared" si="3"/>
        <v>2214111407.6831532</v>
      </c>
      <c r="O11" s="530">
        <f t="shared" si="3"/>
        <v>2225174464.7215686</v>
      </c>
      <c r="P11" s="530">
        <f t="shared" si="3"/>
        <v>2236292837.045176</v>
      </c>
      <c r="Q11" s="530">
        <f t="shared" si="3"/>
        <v>2247466801.230402</v>
      </c>
      <c r="R11" s="530">
        <f t="shared" si="3"/>
        <v>2258696635.2365537</v>
      </c>
      <c r="S11" s="530">
        <f t="shared" si="3"/>
        <v>2269982618.4127364</v>
      </c>
      <c r="T11" s="530">
        <f t="shared" si="3"/>
        <v>2281325031.5047998</v>
      </c>
      <c r="U11" s="530">
        <f t="shared" si="1"/>
        <v>40681483388.9655</v>
      </c>
    </row>
    <row r="12" spans="1:25" s="237" customFormat="1" ht="30" x14ac:dyDescent="0.2">
      <c r="A12" s="236" t="s">
        <v>27</v>
      </c>
      <c r="B12" s="239" t="s">
        <v>363</v>
      </c>
      <c r="C12" s="530">
        <f t="shared" ref="C12:T12" si="4">C13+C22+C23+C24+C25+C26+C27+C28</f>
        <v>51340506</v>
      </c>
      <c r="D12" s="530">
        <f t="shared" si="4"/>
        <v>51255790</v>
      </c>
      <c r="E12" s="530">
        <f t="shared" si="4"/>
        <v>49846659</v>
      </c>
      <c r="F12" s="530">
        <f t="shared" si="4"/>
        <v>48437528</v>
      </c>
      <c r="G12" s="530">
        <f>G13+G22+G23+G24+G25+G26+G27+G28</f>
        <v>47028396</v>
      </c>
      <c r="H12" s="530">
        <f t="shared" si="4"/>
        <v>45619265</v>
      </c>
      <c r="I12" s="530">
        <f t="shared" si="4"/>
        <v>44210133</v>
      </c>
      <c r="J12" s="530">
        <f t="shared" si="4"/>
        <v>42801002</v>
      </c>
      <c r="K12" s="530">
        <f t="shared" si="4"/>
        <v>41391871</v>
      </c>
      <c r="L12" s="530">
        <f t="shared" si="4"/>
        <v>39982739</v>
      </c>
      <c r="M12" s="530">
        <f t="shared" si="4"/>
        <v>38573608</v>
      </c>
      <c r="N12" s="530">
        <f t="shared" si="4"/>
        <v>37164478</v>
      </c>
      <c r="O12" s="530">
        <f t="shared" si="4"/>
        <v>35755347</v>
      </c>
      <c r="P12" s="530">
        <f t="shared" si="4"/>
        <v>34346215</v>
      </c>
      <c r="Q12" s="530">
        <f t="shared" si="4"/>
        <v>32937084</v>
      </c>
      <c r="R12" s="530">
        <f t="shared" si="4"/>
        <v>31527952</v>
      </c>
      <c r="S12" s="530">
        <f t="shared" si="4"/>
        <v>30118820</v>
      </c>
      <c r="T12" s="530">
        <f t="shared" si="4"/>
        <v>21680819</v>
      </c>
      <c r="U12" s="530">
        <f t="shared" si="1"/>
        <v>724018212</v>
      </c>
    </row>
    <row r="13" spans="1:25" ht="21" customHeight="1" x14ac:dyDescent="0.2">
      <c r="A13" s="240" t="s">
        <v>30</v>
      </c>
      <c r="B13" s="236" t="s">
        <v>364</v>
      </c>
      <c r="C13" s="528">
        <f t="shared" ref="C13:T13" si="5">+C14+C18</f>
        <v>51340506</v>
      </c>
      <c r="D13" s="528">
        <f t="shared" si="5"/>
        <v>51255790</v>
      </c>
      <c r="E13" s="528">
        <f t="shared" si="5"/>
        <v>49846659</v>
      </c>
      <c r="F13" s="528">
        <f t="shared" si="5"/>
        <v>48437528</v>
      </c>
      <c r="G13" s="528">
        <f t="shared" si="5"/>
        <v>47028396</v>
      </c>
      <c r="H13" s="528">
        <f t="shared" si="5"/>
        <v>45619265</v>
      </c>
      <c r="I13" s="528">
        <f t="shared" si="5"/>
        <v>44210133</v>
      </c>
      <c r="J13" s="528">
        <f t="shared" si="5"/>
        <v>42801002</v>
      </c>
      <c r="K13" s="528">
        <f t="shared" si="5"/>
        <v>41391871</v>
      </c>
      <c r="L13" s="528">
        <f t="shared" si="5"/>
        <v>39982739</v>
      </c>
      <c r="M13" s="528">
        <f t="shared" si="5"/>
        <v>38573608</v>
      </c>
      <c r="N13" s="528">
        <f t="shared" si="5"/>
        <v>37164478</v>
      </c>
      <c r="O13" s="528">
        <f t="shared" si="5"/>
        <v>35755347</v>
      </c>
      <c r="P13" s="528">
        <f t="shared" si="5"/>
        <v>34346215</v>
      </c>
      <c r="Q13" s="528">
        <f t="shared" si="5"/>
        <v>32937084</v>
      </c>
      <c r="R13" s="528">
        <f t="shared" si="5"/>
        <v>31527952</v>
      </c>
      <c r="S13" s="528">
        <f t="shared" si="5"/>
        <v>30118820</v>
      </c>
      <c r="T13" s="528">
        <f t="shared" si="5"/>
        <v>21680819</v>
      </c>
      <c r="U13" s="530">
        <f t="shared" si="1"/>
        <v>724018212</v>
      </c>
    </row>
    <row r="14" spans="1:25" ht="21" customHeight="1" x14ac:dyDescent="0.2">
      <c r="A14" s="240" t="s">
        <v>32</v>
      </c>
      <c r="B14" s="236" t="s">
        <v>365</v>
      </c>
      <c r="C14" s="528">
        <f t="shared" ref="C14:T14" si="6">+C15+C16+C17</f>
        <v>28182624</v>
      </c>
      <c r="D14" s="528">
        <f t="shared" si="6"/>
        <v>28182624</v>
      </c>
      <c r="E14" s="528">
        <f t="shared" si="6"/>
        <v>28182624</v>
      </c>
      <c r="F14" s="528">
        <f t="shared" si="6"/>
        <v>28182624</v>
      </c>
      <c r="G14" s="528">
        <f t="shared" si="6"/>
        <v>28182624</v>
      </c>
      <c r="H14" s="528">
        <f t="shared" si="6"/>
        <v>28182624</v>
      </c>
      <c r="I14" s="528">
        <f t="shared" si="6"/>
        <v>28182624</v>
      </c>
      <c r="J14" s="528">
        <f t="shared" si="6"/>
        <v>28182624</v>
      </c>
      <c r="K14" s="528">
        <f t="shared" si="6"/>
        <v>28182624</v>
      </c>
      <c r="L14" s="528">
        <f t="shared" si="6"/>
        <v>28182624</v>
      </c>
      <c r="M14" s="528">
        <f t="shared" si="6"/>
        <v>28182624</v>
      </c>
      <c r="N14" s="528">
        <f t="shared" si="6"/>
        <v>28182624</v>
      </c>
      <c r="O14" s="528">
        <f t="shared" si="6"/>
        <v>28182624</v>
      </c>
      <c r="P14" s="528">
        <f t="shared" si="6"/>
        <v>28182624</v>
      </c>
      <c r="Q14" s="528">
        <f t="shared" si="6"/>
        <v>28182624</v>
      </c>
      <c r="R14" s="528">
        <f t="shared" si="6"/>
        <v>28182624</v>
      </c>
      <c r="S14" s="528">
        <f t="shared" si="6"/>
        <v>28182624</v>
      </c>
      <c r="T14" s="528">
        <f t="shared" si="6"/>
        <v>21109809</v>
      </c>
      <c r="U14" s="530">
        <f t="shared" si="1"/>
        <v>500214417</v>
      </c>
      <c r="V14" s="231">
        <f>+'4.sz.tájék.Adósságszolgálat'!E44+'4.sz.tájék.Adósságszolgálat'!E24</f>
        <v>500214417</v>
      </c>
      <c r="X14" s="525">
        <f>+'4.sz.tájék.Adósságszolgálat'!E44</f>
        <v>472031793</v>
      </c>
    </row>
    <row r="15" spans="1:25" ht="15.75" customHeight="1" x14ac:dyDescent="0.2">
      <c r="A15" s="240" t="s">
        <v>366</v>
      </c>
      <c r="B15" s="236" t="s">
        <v>367</v>
      </c>
      <c r="C15" s="528">
        <v>9743592</v>
      </c>
      <c r="D15" s="528">
        <v>9743592</v>
      </c>
      <c r="E15" s="528">
        <v>9743592</v>
      </c>
      <c r="F15" s="528">
        <v>9743592</v>
      </c>
      <c r="G15" s="528">
        <v>9743592</v>
      </c>
      <c r="H15" s="528">
        <v>9743592</v>
      </c>
      <c r="I15" s="528">
        <v>9743592</v>
      </c>
      <c r="J15" s="528">
        <v>9743592</v>
      </c>
      <c r="K15" s="528">
        <v>9743592</v>
      </c>
      <c r="L15" s="528">
        <v>9743592</v>
      </c>
      <c r="M15" s="528">
        <v>9743592</v>
      </c>
      <c r="N15" s="528">
        <v>9743592</v>
      </c>
      <c r="O15" s="528">
        <v>9743592</v>
      </c>
      <c r="P15" s="528">
        <v>9743592</v>
      </c>
      <c r="Q15" s="528">
        <v>9743592</v>
      </c>
      <c r="R15" s="528">
        <v>9743592</v>
      </c>
      <c r="S15" s="528">
        <v>9743592</v>
      </c>
      <c r="T15" s="528">
        <v>9743629</v>
      </c>
      <c r="U15" s="530">
        <f t="shared" si="1"/>
        <v>175384693</v>
      </c>
      <c r="V15" s="231">
        <f>+'4.sz.tájék.Adósságszolgálat'!C45+'4.sz.tájék.Adósságszolgálat'!C24</f>
        <v>175384693</v>
      </c>
      <c r="W15" s="241">
        <f t="shared" ref="W15:W21" si="7">SUM(C15:T15)</f>
        <v>175384693</v>
      </c>
      <c r="X15" s="525">
        <f>+'4.sz.tájék.Adósságszolgálat'!C44</f>
        <v>165641101</v>
      </c>
      <c r="Y15" s="231" t="s">
        <v>869</v>
      </c>
    </row>
    <row r="16" spans="1:25" ht="30" x14ac:dyDescent="0.2">
      <c r="A16" s="240" t="s">
        <v>368</v>
      </c>
      <c r="B16" s="236" t="s">
        <v>369</v>
      </c>
      <c r="C16" s="528">
        <v>4376000</v>
      </c>
      <c r="D16" s="528">
        <v>4376000</v>
      </c>
      <c r="E16" s="528">
        <v>4376000</v>
      </c>
      <c r="F16" s="528">
        <v>4376000</v>
      </c>
      <c r="G16" s="528">
        <v>4376000</v>
      </c>
      <c r="H16" s="528">
        <v>4376000</v>
      </c>
      <c r="I16" s="528">
        <v>4376000</v>
      </c>
      <c r="J16" s="528">
        <v>4376000</v>
      </c>
      <c r="K16" s="528">
        <v>4376000</v>
      </c>
      <c r="L16" s="528">
        <v>4376000</v>
      </c>
      <c r="M16" s="528">
        <v>4376000</v>
      </c>
      <c r="N16" s="528">
        <v>4376000</v>
      </c>
      <c r="O16" s="528">
        <v>4376000</v>
      </c>
      <c r="P16" s="528">
        <v>4376000</v>
      </c>
      <c r="Q16" s="528">
        <v>4376000</v>
      </c>
      <c r="R16" s="528">
        <v>4376000</v>
      </c>
      <c r="S16" s="528">
        <v>4376000</v>
      </c>
      <c r="T16" s="528">
        <v>4334633</v>
      </c>
      <c r="U16" s="530">
        <f t="shared" si="1"/>
        <v>78726633</v>
      </c>
      <c r="V16" s="231">
        <f>+'4.sz.tájék.Adósságszolgálat'!D45+'4.sz.tájék.Adósságszolgálat'!D24</f>
        <v>78726633</v>
      </c>
      <c r="W16" s="241">
        <f t="shared" si="7"/>
        <v>78726633</v>
      </c>
      <c r="X16" s="525">
        <f>+'4.sz.tájék.Adósságszolgálat'!D44</f>
        <v>74350633</v>
      </c>
    </row>
    <row r="17" spans="1:24" s="242" customFormat="1" ht="17.25" customHeight="1" x14ac:dyDescent="0.2">
      <c r="A17" s="236" t="s">
        <v>370</v>
      </c>
      <c r="B17" s="236" t="s">
        <v>371</v>
      </c>
      <c r="C17" s="528">
        <v>14063032</v>
      </c>
      <c r="D17" s="528">
        <v>14063032</v>
      </c>
      <c r="E17" s="528">
        <v>14063032</v>
      </c>
      <c r="F17" s="528">
        <v>14063032</v>
      </c>
      <c r="G17" s="528">
        <v>14063032</v>
      </c>
      <c r="H17" s="528">
        <v>14063032</v>
      </c>
      <c r="I17" s="528">
        <v>14063032</v>
      </c>
      <c r="J17" s="528">
        <v>14063032</v>
      </c>
      <c r="K17" s="528">
        <v>14063032</v>
      </c>
      <c r="L17" s="528">
        <v>14063032</v>
      </c>
      <c r="M17" s="528">
        <v>14063032</v>
      </c>
      <c r="N17" s="528">
        <v>14063032</v>
      </c>
      <c r="O17" s="528">
        <v>14063032</v>
      </c>
      <c r="P17" s="528">
        <v>14063032</v>
      </c>
      <c r="Q17" s="528">
        <v>14063032</v>
      </c>
      <c r="R17" s="528">
        <v>14063032</v>
      </c>
      <c r="S17" s="528">
        <v>14063032</v>
      </c>
      <c r="T17" s="528">
        <v>7031547</v>
      </c>
      <c r="U17" s="530">
        <f t="shared" si="1"/>
        <v>246103091</v>
      </c>
      <c r="V17" s="242">
        <f>+'4.sz.tájék.Adósságszolgálat'!B45+'4.sz.tájék.Adósságszolgálat'!B24</f>
        <v>246103091</v>
      </c>
      <c r="W17" s="241">
        <f t="shared" si="7"/>
        <v>246103091</v>
      </c>
      <c r="X17" s="525">
        <f>+'4.sz.tájék.Adósságszolgálat'!B44</f>
        <v>232040059</v>
      </c>
    </row>
    <row r="18" spans="1:24" s="242" customFormat="1" ht="15.75" customHeight="1" x14ac:dyDescent="0.2">
      <c r="A18" s="236" t="s">
        <v>33</v>
      </c>
      <c r="B18" s="236" t="s">
        <v>372</v>
      </c>
      <c r="C18" s="528">
        <f t="shared" ref="C18:U18" si="8">SUM(C19:C21)</f>
        <v>23157882</v>
      </c>
      <c r="D18" s="528">
        <f t="shared" si="8"/>
        <v>23073166</v>
      </c>
      <c r="E18" s="528">
        <f t="shared" si="8"/>
        <v>21664035</v>
      </c>
      <c r="F18" s="528">
        <f t="shared" si="8"/>
        <v>20254904</v>
      </c>
      <c r="G18" s="528">
        <f t="shared" si="8"/>
        <v>18845772</v>
      </c>
      <c r="H18" s="528">
        <f t="shared" si="8"/>
        <v>17436641</v>
      </c>
      <c r="I18" s="528">
        <f t="shared" si="8"/>
        <v>16027509</v>
      </c>
      <c r="J18" s="528">
        <f t="shared" si="8"/>
        <v>14618378</v>
      </c>
      <c r="K18" s="528">
        <f t="shared" si="8"/>
        <v>13209247</v>
      </c>
      <c r="L18" s="528">
        <f t="shared" si="8"/>
        <v>11800115</v>
      </c>
      <c r="M18" s="528">
        <f t="shared" si="8"/>
        <v>10390984</v>
      </c>
      <c r="N18" s="528">
        <f t="shared" si="8"/>
        <v>8981854</v>
      </c>
      <c r="O18" s="528">
        <f t="shared" si="8"/>
        <v>7572723</v>
      </c>
      <c r="P18" s="528">
        <f t="shared" si="8"/>
        <v>6163591</v>
      </c>
      <c r="Q18" s="528">
        <f t="shared" si="8"/>
        <v>4754460</v>
      </c>
      <c r="R18" s="528">
        <f t="shared" si="8"/>
        <v>3345328</v>
      </c>
      <c r="S18" s="528">
        <f t="shared" si="8"/>
        <v>1936196</v>
      </c>
      <c r="T18" s="528">
        <f t="shared" si="8"/>
        <v>571010</v>
      </c>
      <c r="U18" s="530">
        <f t="shared" si="8"/>
        <v>223803795</v>
      </c>
      <c r="W18" s="241">
        <f t="shared" si="7"/>
        <v>223803795</v>
      </c>
    </row>
    <row r="19" spans="1:24" s="242" customFormat="1" ht="17.25" customHeight="1" x14ac:dyDescent="0.2">
      <c r="A19" s="236" t="s">
        <v>373</v>
      </c>
      <c r="B19" s="236" t="s">
        <v>367</v>
      </c>
      <c r="C19" s="528">
        <v>8140968</v>
      </c>
      <c r="D19" s="528">
        <v>8099363</v>
      </c>
      <c r="E19" s="528">
        <v>7612183</v>
      </c>
      <c r="F19" s="528">
        <v>7125004</v>
      </c>
      <c r="G19" s="528">
        <v>6637824</v>
      </c>
      <c r="H19" s="528">
        <v>6150644</v>
      </c>
      <c r="I19" s="528">
        <v>5663465</v>
      </c>
      <c r="J19" s="528">
        <v>5176285</v>
      </c>
      <c r="K19" s="528">
        <v>4689106</v>
      </c>
      <c r="L19" s="528">
        <v>4201926</v>
      </c>
      <c r="M19" s="528">
        <v>3714746</v>
      </c>
      <c r="N19" s="528">
        <v>3227567</v>
      </c>
      <c r="O19" s="528">
        <v>2740387</v>
      </c>
      <c r="P19" s="528">
        <v>2253208</v>
      </c>
      <c r="Q19" s="528">
        <v>1766028</v>
      </c>
      <c r="R19" s="528">
        <v>1278848</v>
      </c>
      <c r="S19" s="528">
        <v>791668</v>
      </c>
      <c r="T19" s="528">
        <v>304488</v>
      </c>
      <c r="U19" s="530">
        <f t="shared" ref="U19:U31" si="9">SUM(C19:T19)</f>
        <v>79573708</v>
      </c>
      <c r="W19" s="241">
        <f t="shared" si="7"/>
        <v>79573708</v>
      </c>
    </row>
    <row r="20" spans="1:24" s="242" customFormat="1" ht="30" x14ac:dyDescent="0.2">
      <c r="A20" s="236" t="s">
        <v>374</v>
      </c>
      <c r="B20" s="236" t="s">
        <v>369</v>
      </c>
      <c r="C20" s="528">
        <v>3654275</v>
      </c>
      <c r="D20" s="528">
        <v>3635482</v>
      </c>
      <c r="E20" s="528">
        <v>3416682</v>
      </c>
      <c r="F20" s="528">
        <v>3197882</v>
      </c>
      <c r="G20" s="528">
        <v>2979082</v>
      </c>
      <c r="H20" s="528">
        <v>2760282</v>
      </c>
      <c r="I20" s="528">
        <v>2541481</v>
      </c>
      <c r="J20" s="528">
        <v>2322681</v>
      </c>
      <c r="K20" s="528">
        <v>2103881</v>
      </c>
      <c r="L20" s="528">
        <v>1885081</v>
      </c>
      <c r="M20" s="528">
        <v>1666281</v>
      </c>
      <c r="N20" s="528">
        <v>1447482</v>
      </c>
      <c r="O20" s="528">
        <v>1228682</v>
      </c>
      <c r="P20" s="528">
        <v>1009881</v>
      </c>
      <c r="Q20" s="528">
        <v>791082</v>
      </c>
      <c r="R20" s="528">
        <v>572281</v>
      </c>
      <c r="S20" s="528">
        <v>353482</v>
      </c>
      <c r="T20" s="528">
        <v>134681</v>
      </c>
      <c r="U20" s="530">
        <f t="shared" si="9"/>
        <v>35700661</v>
      </c>
      <c r="W20" s="241">
        <f t="shared" si="7"/>
        <v>35700661</v>
      </c>
    </row>
    <row r="21" spans="1:24" s="242" customFormat="1" ht="30" x14ac:dyDescent="0.2">
      <c r="A21" s="236" t="s">
        <v>375</v>
      </c>
      <c r="B21" s="236" t="s">
        <v>371</v>
      </c>
      <c r="C21" s="528">
        <v>11362639</v>
      </c>
      <c r="D21" s="528">
        <v>11338321</v>
      </c>
      <c r="E21" s="528">
        <v>10635170</v>
      </c>
      <c r="F21" s="528">
        <v>9932018</v>
      </c>
      <c r="G21" s="528">
        <v>9228866</v>
      </c>
      <c r="H21" s="528">
        <v>8525715</v>
      </c>
      <c r="I21" s="528">
        <v>7822563</v>
      </c>
      <c r="J21" s="528">
        <v>7119412</v>
      </c>
      <c r="K21" s="528">
        <v>6416260</v>
      </c>
      <c r="L21" s="528">
        <v>5713108</v>
      </c>
      <c r="M21" s="528">
        <v>5009957</v>
      </c>
      <c r="N21" s="528">
        <v>4306805</v>
      </c>
      <c r="O21" s="528">
        <v>3603654</v>
      </c>
      <c r="P21" s="528">
        <v>2900502</v>
      </c>
      <c r="Q21" s="528">
        <v>2197350</v>
      </c>
      <c r="R21" s="528">
        <v>1494199</v>
      </c>
      <c r="S21" s="528">
        <v>791046</v>
      </c>
      <c r="T21" s="528">
        <v>131841</v>
      </c>
      <c r="U21" s="530">
        <f t="shared" si="9"/>
        <v>108529426</v>
      </c>
      <c r="W21" s="241">
        <f t="shared" si="7"/>
        <v>108529426</v>
      </c>
    </row>
    <row r="22" spans="1:24" s="242" customFormat="1" ht="20.25" customHeight="1" x14ac:dyDescent="0.2">
      <c r="A22" s="236" t="s">
        <v>34</v>
      </c>
      <c r="B22" s="236" t="s">
        <v>376</v>
      </c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30">
        <f t="shared" si="9"/>
        <v>0</v>
      </c>
    </row>
    <row r="23" spans="1:24" s="242" customFormat="1" ht="21" customHeight="1" x14ac:dyDescent="0.2">
      <c r="A23" s="236" t="s">
        <v>35</v>
      </c>
      <c r="B23" s="236" t="s">
        <v>377</v>
      </c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30">
        <f t="shared" si="9"/>
        <v>0</v>
      </c>
    </row>
    <row r="24" spans="1:24" s="242" customFormat="1" ht="21" customHeight="1" x14ac:dyDescent="0.2">
      <c r="A24" s="236" t="s">
        <v>37</v>
      </c>
      <c r="B24" s="236" t="s">
        <v>378</v>
      </c>
      <c r="C24" s="528"/>
      <c r="D24" s="528"/>
      <c r="E24" s="528"/>
      <c r="F24" s="528"/>
      <c r="G24" s="528"/>
      <c r="H24" s="528"/>
      <c r="I24" s="528"/>
      <c r="J24" s="528"/>
      <c r="K24" s="528"/>
      <c r="L24" s="528"/>
      <c r="M24" s="528"/>
      <c r="N24" s="528"/>
      <c r="O24" s="528"/>
      <c r="P24" s="528"/>
      <c r="Q24" s="528"/>
      <c r="R24" s="528"/>
      <c r="S24" s="528"/>
      <c r="T24" s="528"/>
      <c r="U24" s="530">
        <f t="shared" si="9"/>
        <v>0</v>
      </c>
    </row>
    <row r="25" spans="1:24" s="242" customFormat="1" ht="20.25" customHeight="1" x14ac:dyDescent="0.2">
      <c r="A25" s="236" t="s">
        <v>47</v>
      </c>
      <c r="B25" s="236" t="s">
        <v>379</v>
      </c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30">
        <f t="shared" si="9"/>
        <v>0</v>
      </c>
    </row>
    <row r="26" spans="1:24" s="242" customFormat="1" ht="20.25" customHeight="1" x14ac:dyDescent="0.2">
      <c r="A26" s="236" t="s">
        <v>49</v>
      </c>
      <c r="B26" s="236" t="s">
        <v>380</v>
      </c>
      <c r="C26" s="528"/>
      <c r="D26" s="528"/>
      <c r="E26" s="528"/>
      <c r="F26" s="528"/>
      <c r="G26" s="528"/>
      <c r="H26" s="528"/>
      <c r="I26" s="528"/>
      <c r="J26" s="528"/>
      <c r="K26" s="528"/>
      <c r="L26" s="528"/>
      <c r="M26" s="528"/>
      <c r="N26" s="528"/>
      <c r="O26" s="528"/>
      <c r="P26" s="528"/>
      <c r="Q26" s="528"/>
      <c r="R26" s="528"/>
      <c r="S26" s="528"/>
      <c r="T26" s="528"/>
      <c r="U26" s="530">
        <f t="shared" si="9"/>
        <v>0</v>
      </c>
    </row>
    <row r="27" spans="1:24" s="242" customFormat="1" ht="22.5" customHeight="1" x14ac:dyDescent="0.2">
      <c r="A27" s="236" t="s">
        <v>66</v>
      </c>
      <c r="B27" s="236" t="s">
        <v>381</v>
      </c>
      <c r="C27" s="528"/>
      <c r="D27" s="528"/>
      <c r="E27" s="528"/>
      <c r="F27" s="528"/>
      <c r="G27" s="528"/>
      <c r="H27" s="528"/>
      <c r="I27" s="528"/>
      <c r="J27" s="528"/>
      <c r="K27" s="528"/>
      <c r="L27" s="528"/>
      <c r="M27" s="528"/>
      <c r="N27" s="528"/>
      <c r="O27" s="528"/>
      <c r="P27" s="528"/>
      <c r="Q27" s="528"/>
      <c r="R27" s="528"/>
      <c r="S27" s="528"/>
      <c r="T27" s="528"/>
      <c r="U27" s="530">
        <f t="shared" si="9"/>
        <v>0</v>
      </c>
    </row>
    <row r="28" spans="1:24" s="242" customFormat="1" ht="22.5" customHeight="1" x14ac:dyDescent="0.2">
      <c r="A28" s="236" t="s">
        <v>67</v>
      </c>
      <c r="B28" s="236" t="s">
        <v>382</v>
      </c>
      <c r="C28" s="528"/>
      <c r="D28" s="528"/>
      <c r="E28" s="528"/>
      <c r="F28" s="528"/>
      <c r="G28" s="528"/>
      <c r="H28" s="528"/>
      <c r="I28" s="528"/>
      <c r="J28" s="528"/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30">
        <f t="shared" si="9"/>
        <v>0</v>
      </c>
    </row>
    <row r="29" spans="1:24" s="242" customFormat="1" ht="30" x14ac:dyDescent="0.2">
      <c r="A29" s="236" t="s">
        <v>68</v>
      </c>
      <c r="B29" s="239" t="s">
        <v>383</v>
      </c>
      <c r="C29" s="530">
        <f t="shared" ref="C29:T29" si="10">C30+C39+C40+C41+C42+C43+C44+C45</f>
        <v>0</v>
      </c>
      <c r="D29" s="530">
        <f t="shared" si="10"/>
        <v>0</v>
      </c>
      <c r="E29" s="530">
        <f t="shared" si="10"/>
        <v>0</v>
      </c>
      <c r="F29" s="530">
        <f t="shared" si="10"/>
        <v>0</v>
      </c>
      <c r="G29" s="530">
        <f t="shared" si="10"/>
        <v>0</v>
      </c>
      <c r="H29" s="530">
        <f t="shared" si="10"/>
        <v>0</v>
      </c>
      <c r="I29" s="530">
        <f t="shared" si="10"/>
        <v>0</v>
      </c>
      <c r="J29" s="530">
        <f t="shared" si="10"/>
        <v>0</v>
      </c>
      <c r="K29" s="530">
        <f t="shared" si="10"/>
        <v>0</v>
      </c>
      <c r="L29" s="530">
        <f t="shared" si="10"/>
        <v>0</v>
      </c>
      <c r="M29" s="530">
        <f t="shared" si="10"/>
        <v>0</v>
      </c>
      <c r="N29" s="530">
        <f t="shared" si="10"/>
        <v>0</v>
      </c>
      <c r="O29" s="530">
        <f t="shared" si="10"/>
        <v>0</v>
      </c>
      <c r="P29" s="530">
        <f t="shared" si="10"/>
        <v>0</v>
      </c>
      <c r="Q29" s="530">
        <f t="shared" si="10"/>
        <v>0</v>
      </c>
      <c r="R29" s="530">
        <f t="shared" si="10"/>
        <v>0</v>
      </c>
      <c r="S29" s="530">
        <f t="shared" si="10"/>
        <v>0</v>
      </c>
      <c r="T29" s="530">
        <f t="shared" si="10"/>
        <v>0</v>
      </c>
      <c r="U29" s="530">
        <f t="shared" si="9"/>
        <v>0</v>
      </c>
    </row>
    <row r="30" spans="1:24" s="242" customFormat="1" ht="18.75" customHeight="1" x14ac:dyDescent="0.2">
      <c r="A30" s="236" t="s">
        <v>69</v>
      </c>
      <c r="B30" s="236" t="s">
        <v>384</v>
      </c>
      <c r="C30" s="528">
        <f t="shared" ref="C30:T30" si="11">SUM(C31:C35)</f>
        <v>0</v>
      </c>
      <c r="D30" s="528">
        <f t="shared" si="11"/>
        <v>0</v>
      </c>
      <c r="E30" s="528">
        <f t="shared" si="11"/>
        <v>0</v>
      </c>
      <c r="F30" s="528">
        <f t="shared" si="11"/>
        <v>0</v>
      </c>
      <c r="G30" s="528">
        <f t="shared" si="11"/>
        <v>0</v>
      </c>
      <c r="H30" s="528">
        <f t="shared" si="11"/>
        <v>0</v>
      </c>
      <c r="I30" s="528">
        <f t="shared" si="11"/>
        <v>0</v>
      </c>
      <c r="J30" s="528">
        <f t="shared" si="11"/>
        <v>0</v>
      </c>
      <c r="K30" s="528">
        <f t="shared" si="11"/>
        <v>0</v>
      </c>
      <c r="L30" s="528">
        <f t="shared" si="11"/>
        <v>0</v>
      </c>
      <c r="M30" s="528">
        <f t="shared" si="11"/>
        <v>0</v>
      </c>
      <c r="N30" s="528">
        <f t="shared" si="11"/>
        <v>0</v>
      </c>
      <c r="O30" s="528">
        <f t="shared" si="11"/>
        <v>0</v>
      </c>
      <c r="P30" s="528">
        <f t="shared" si="11"/>
        <v>0</v>
      </c>
      <c r="Q30" s="528">
        <f t="shared" si="11"/>
        <v>0</v>
      </c>
      <c r="R30" s="528">
        <f t="shared" si="11"/>
        <v>0</v>
      </c>
      <c r="S30" s="528">
        <f t="shared" si="11"/>
        <v>0</v>
      </c>
      <c r="T30" s="528">
        <f t="shared" si="11"/>
        <v>0</v>
      </c>
      <c r="U30" s="530">
        <f t="shared" si="9"/>
        <v>0</v>
      </c>
    </row>
    <row r="31" spans="1:24" s="242" customFormat="1" ht="18.75" customHeight="1" x14ac:dyDescent="0.2">
      <c r="A31" s="236" t="s">
        <v>70</v>
      </c>
      <c r="B31" s="236" t="s">
        <v>385</v>
      </c>
      <c r="C31" s="528">
        <f t="shared" ref="C31:T31" si="12">+C32+C33+C34</f>
        <v>0</v>
      </c>
      <c r="D31" s="528">
        <f t="shared" si="12"/>
        <v>0</v>
      </c>
      <c r="E31" s="528">
        <f t="shared" si="12"/>
        <v>0</v>
      </c>
      <c r="F31" s="528">
        <f t="shared" si="12"/>
        <v>0</v>
      </c>
      <c r="G31" s="528">
        <f t="shared" si="12"/>
        <v>0</v>
      </c>
      <c r="H31" s="528">
        <f t="shared" si="12"/>
        <v>0</v>
      </c>
      <c r="I31" s="528">
        <f t="shared" si="12"/>
        <v>0</v>
      </c>
      <c r="J31" s="528">
        <f t="shared" si="12"/>
        <v>0</v>
      </c>
      <c r="K31" s="528">
        <f t="shared" si="12"/>
        <v>0</v>
      </c>
      <c r="L31" s="528">
        <f t="shared" si="12"/>
        <v>0</v>
      </c>
      <c r="M31" s="528">
        <f t="shared" si="12"/>
        <v>0</v>
      </c>
      <c r="N31" s="528">
        <f t="shared" si="12"/>
        <v>0</v>
      </c>
      <c r="O31" s="528">
        <f t="shared" si="12"/>
        <v>0</v>
      </c>
      <c r="P31" s="528">
        <f t="shared" si="12"/>
        <v>0</v>
      </c>
      <c r="Q31" s="528">
        <f t="shared" si="12"/>
        <v>0</v>
      </c>
      <c r="R31" s="528">
        <f t="shared" si="12"/>
        <v>0</v>
      </c>
      <c r="S31" s="528">
        <f t="shared" si="12"/>
        <v>0</v>
      </c>
      <c r="T31" s="528">
        <f t="shared" si="12"/>
        <v>0</v>
      </c>
      <c r="U31" s="530">
        <f t="shared" si="9"/>
        <v>0</v>
      </c>
    </row>
    <row r="32" spans="1:24" s="242" customFormat="1" ht="19.5" customHeight="1" x14ac:dyDescent="0.2">
      <c r="A32" s="236" t="s">
        <v>386</v>
      </c>
      <c r="B32" s="236" t="s">
        <v>367</v>
      </c>
      <c r="C32" s="528"/>
      <c r="D32" s="528"/>
      <c r="E32" s="528"/>
      <c r="F32" s="528"/>
      <c r="G32" s="528"/>
      <c r="H32" s="528"/>
      <c r="I32" s="528"/>
      <c r="J32" s="528"/>
      <c r="K32" s="528"/>
      <c r="L32" s="528"/>
      <c r="M32" s="528"/>
      <c r="N32" s="528"/>
      <c r="O32" s="528"/>
      <c r="P32" s="528"/>
      <c r="Q32" s="528"/>
      <c r="R32" s="528"/>
      <c r="S32" s="528"/>
      <c r="T32" s="528"/>
      <c r="U32" s="530"/>
    </row>
    <row r="33" spans="1:22" s="242" customFormat="1" ht="30" x14ac:dyDescent="0.2">
      <c r="A33" s="236" t="s">
        <v>387</v>
      </c>
      <c r="B33" s="236" t="s">
        <v>369</v>
      </c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30"/>
    </row>
    <row r="34" spans="1:22" s="242" customFormat="1" ht="18" customHeight="1" x14ac:dyDescent="0.2">
      <c r="A34" s="236" t="s">
        <v>388</v>
      </c>
      <c r="B34" s="236" t="s">
        <v>371</v>
      </c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30"/>
    </row>
    <row r="35" spans="1:22" ht="18" customHeight="1" x14ac:dyDescent="0.2">
      <c r="A35" s="240" t="s">
        <v>71</v>
      </c>
      <c r="B35" s="240" t="s">
        <v>389</v>
      </c>
      <c r="C35" s="528">
        <f t="shared" ref="C35:T35" si="13">+C36+C37+C38</f>
        <v>0</v>
      </c>
      <c r="D35" s="528">
        <f t="shared" si="13"/>
        <v>0</v>
      </c>
      <c r="E35" s="528">
        <f t="shared" si="13"/>
        <v>0</v>
      </c>
      <c r="F35" s="528">
        <f t="shared" si="13"/>
        <v>0</v>
      </c>
      <c r="G35" s="528">
        <f t="shared" si="13"/>
        <v>0</v>
      </c>
      <c r="H35" s="528">
        <f t="shared" si="13"/>
        <v>0</v>
      </c>
      <c r="I35" s="528">
        <f t="shared" si="13"/>
        <v>0</v>
      </c>
      <c r="J35" s="528">
        <f t="shared" si="13"/>
        <v>0</v>
      </c>
      <c r="K35" s="528">
        <f t="shared" si="13"/>
        <v>0</v>
      </c>
      <c r="L35" s="528">
        <f t="shared" si="13"/>
        <v>0</v>
      </c>
      <c r="M35" s="528">
        <f t="shared" si="13"/>
        <v>0</v>
      </c>
      <c r="N35" s="528">
        <f t="shared" si="13"/>
        <v>0</v>
      </c>
      <c r="O35" s="528">
        <f t="shared" si="13"/>
        <v>0</v>
      </c>
      <c r="P35" s="528">
        <f t="shared" si="13"/>
        <v>0</v>
      </c>
      <c r="Q35" s="528">
        <f t="shared" si="13"/>
        <v>0</v>
      </c>
      <c r="R35" s="528">
        <f t="shared" si="13"/>
        <v>0</v>
      </c>
      <c r="S35" s="528">
        <f t="shared" si="13"/>
        <v>0</v>
      </c>
      <c r="T35" s="528">
        <f t="shared" si="13"/>
        <v>0</v>
      </c>
      <c r="U35" s="530">
        <f>SUM(C35:T35)</f>
        <v>0</v>
      </c>
    </row>
    <row r="36" spans="1:22" ht="18" customHeight="1" x14ac:dyDescent="0.2">
      <c r="A36" s="240" t="s">
        <v>390</v>
      </c>
      <c r="B36" s="236" t="s">
        <v>367</v>
      </c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30"/>
    </row>
    <row r="37" spans="1:22" ht="30" x14ac:dyDescent="0.2">
      <c r="A37" s="240" t="s">
        <v>391</v>
      </c>
      <c r="B37" s="236" t="s">
        <v>369</v>
      </c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30"/>
    </row>
    <row r="38" spans="1:22" s="242" customFormat="1" ht="17.25" customHeight="1" x14ac:dyDescent="0.2">
      <c r="A38" s="236" t="s">
        <v>392</v>
      </c>
      <c r="B38" s="236" t="s">
        <v>371</v>
      </c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30"/>
    </row>
    <row r="39" spans="1:22" ht="17.25" customHeight="1" x14ac:dyDescent="0.2">
      <c r="A39" s="240" t="s">
        <v>72</v>
      </c>
      <c r="B39" s="240" t="s">
        <v>376</v>
      </c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30">
        <f t="shared" ref="U39:U47" si="14">SUM(C39:T39)</f>
        <v>0</v>
      </c>
    </row>
    <row r="40" spans="1:22" ht="17.25" customHeight="1" x14ac:dyDescent="0.2">
      <c r="A40" s="240" t="s">
        <v>73</v>
      </c>
      <c r="B40" s="240" t="s">
        <v>377</v>
      </c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30">
        <f t="shared" si="14"/>
        <v>0</v>
      </c>
    </row>
    <row r="41" spans="1:22" ht="20.25" customHeight="1" x14ac:dyDescent="0.2">
      <c r="A41" s="240" t="s">
        <v>74</v>
      </c>
      <c r="B41" s="240" t="s">
        <v>378</v>
      </c>
      <c r="C41" s="528"/>
      <c r="D41" s="528"/>
      <c r="E41" s="528"/>
      <c r="F41" s="528"/>
      <c r="G41" s="528"/>
      <c r="H41" s="528"/>
      <c r="I41" s="528"/>
      <c r="J41" s="528"/>
      <c r="K41" s="528"/>
      <c r="L41" s="528"/>
      <c r="M41" s="528"/>
      <c r="N41" s="528"/>
      <c r="O41" s="528"/>
      <c r="P41" s="528"/>
      <c r="Q41" s="528"/>
      <c r="R41" s="528"/>
      <c r="S41" s="528"/>
      <c r="T41" s="528"/>
      <c r="U41" s="530">
        <f t="shared" si="14"/>
        <v>0</v>
      </c>
    </row>
    <row r="42" spans="1:22" ht="20.25" customHeight="1" x14ac:dyDescent="0.2">
      <c r="A42" s="240" t="s">
        <v>75</v>
      </c>
      <c r="B42" s="240" t="s">
        <v>379</v>
      </c>
      <c r="C42" s="528"/>
      <c r="D42" s="528"/>
      <c r="E42" s="528"/>
      <c r="F42" s="528"/>
      <c r="G42" s="528"/>
      <c r="H42" s="528"/>
      <c r="I42" s="528"/>
      <c r="J42" s="528"/>
      <c r="K42" s="528"/>
      <c r="L42" s="528"/>
      <c r="M42" s="528"/>
      <c r="N42" s="528"/>
      <c r="O42" s="528"/>
      <c r="P42" s="528"/>
      <c r="Q42" s="528"/>
      <c r="R42" s="528"/>
      <c r="S42" s="528"/>
      <c r="T42" s="528"/>
      <c r="U42" s="530">
        <f t="shared" si="14"/>
        <v>0</v>
      </c>
    </row>
    <row r="43" spans="1:22" ht="20.25" customHeight="1" x14ac:dyDescent="0.2">
      <c r="A43" s="240" t="s">
        <v>266</v>
      </c>
      <c r="B43" s="240" t="s">
        <v>380</v>
      </c>
      <c r="C43" s="528"/>
      <c r="D43" s="528"/>
      <c r="E43" s="528"/>
      <c r="F43" s="528"/>
      <c r="G43" s="528"/>
      <c r="H43" s="528"/>
      <c r="I43" s="528"/>
      <c r="J43" s="528"/>
      <c r="K43" s="528"/>
      <c r="L43" s="528"/>
      <c r="M43" s="528"/>
      <c r="N43" s="528"/>
      <c r="O43" s="528"/>
      <c r="P43" s="528"/>
      <c r="Q43" s="528"/>
      <c r="R43" s="528"/>
      <c r="S43" s="528"/>
      <c r="T43" s="528"/>
      <c r="U43" s="530">
        <f t="shared" si="14"/>
        <v>0</v>
      </c>
    </row>
    <row r="44" spans="1:22" ht="20.25" customHeight="1" x14ac:dyDescent="0.2">
      <c r="A44" s="240" t="s">
        <v>267</v>
      </c>
      <c r="B44" s="240" t="s">
        <v>381</v>
      </c>
      <c r="C44" s="528"/>
      <c r="D44" s="528"/>
      <c r="E44" s="528"/>
      <c r="F44" s="528"/>
      <c r="G44" s="528"/>
      <c r="H44" s="528"/>
      <c r="I44" s="528"/>
      <c r="J44" s="528"/>
      <c r="K44" s="528"/>
      <c r="L44" s="528"/>
      <c r="M44" s="528"/>
      <c r="N44" s="528"/>
      <c r="O44" s="528"/>
      <c r="P44" s="528"/>
      <c r="Q44" s="528"/>
      <c r="R44" s="528"/>
      <c r="S44" s="528"/>
      <c r="T44" s="528"/>
      <c r="U44" s="530">
        <f t="shared" si="14"/>
        <v>0</v>
      </c>
    </row>
    <row r="45" spans="1:22" ht="20.25" customHeight="1" x14ac:dyDescent="0.2">
      <c r="A45" s="240" t="s">
        <v>268</v>
      </c>
      <c r="B45" s="240" t="s">
        <v>382</v>
      </c>
      <c r="C45" s="528"/>
      <c r="D45" s="528"/>
      <c r="E45" s="528"/>
      <c r="F45" s="528"/>
      <c r="G45" s="528"/>
      <c r="H45" s="528"/>
      <c r="I45" s="528"/>
      <c r="J45" s="528"/>
      <c r="K45" s="528"/>
      <c r="L45" s="528"/>
      <c r="M45" s="528"/>
      <c r="N45" s="528"/>
      <c r="O45" s="528"/>
      <c r="P45" s="528"/>
      <c r="Q45" s="528"/>
      <c r="R45" s="528"/>
      <c r="S45" s="528"/>
      <c r="T45" s="528"/>
      <c r="U45" s="530">
        <f t="shared" si="14"/>
        <v>0</v>
      </c>
    </row>
    <row r="46" spans="1:22" ht="20.25" customHeight="1" x14ac:dyDescent="0.2">
      <c r="A46" s="240" t="s">
        <v>269</v>
      </c>
      <c r="B46" s="235" t="s">
        <v>393</v>
      </c>
      <c r="C46" s="530">
        <f t="shared" ref="C46:T46" si="15">SUM(C12+C29)</f>
        <v>51340506</v>
      </c>
      <c r="D46" s="530">
        <f t="shared" si="15"/>
        <v>51255790</v>
      </c>
      <c r="E46" s="530">
        <f t="shared" si="15"/>
        <v>49846659</v>
      </c>
      <c r="F46" s="530">
        <f t="shared" si="15"/>
        <v>48437528</v>
      </c>
      <c r="G46" s="530">
        <f t="shared" si="15"/>
        <v>47028396</v>
      </c>
      <c r="H46" s="530">
        <f t="shared" si="15"/>
        <v>45619265</v>
      </c>
      <c r="I46" s="530">
        <f t="shared" si="15"/>
        <v>44210133</v>
      </c>
      <c r="J46" s="530">
        <f t="shared" si="15"/>
        <v>42801002</v>
      </c>
      <c r="K46" s="530">
        <f t="shared" si="15"/>
        <v>41391871</v>
      </c>
      <c r="L46" s="530">
        <f t="shared" si="15"/>
        <v>39982739</v>
      </c>
      <c r="M46" s="530">
        <f t="shared" si="15"/>
        <v>38573608</v>
      </c>
      <c r="N46" s="530">
        <f t="shared" si="15"/>
        <v>37164478</v>
      </c>
      <c r="O46" s="530">
        <f t="shared" si="15"/>
        <v>35755347</v>
      </c>
      <c r="P46" s="530">
        <f t="shared" si="15"/>
        <v>34346215</v>
      </c>
      <c r="Q46" s="530">
        <f t="shared" si="15"/>
        <v>32937084</v>
      </c>
      <c r="R46" s="530">
        <f t="shared" si="15"/>
        <v>31527952</v>
      </c>
      <c r="S46" s="530">
        <f t="shared" si="15"/>
        <v>30118820</v>
      </c>
      <c r="T46" s="530">
        <f t="shared" si="15"/>
        <v>21680819</v>
      </c>
      <c r="U46" s="530">
        <f t="shared" si="14"/>
        <v>724018212</v>
      </c>
    </row>
    <row r="47" spans="1:22" ht="21" customHeight="1" x14ac:dyDescent="0.2">
      <c r="A47" s="240" t="s">
        <v>270</v>
      </c>
      <c r="B47" s="235" t="s">
        <v>394</v>
      </c>
      <c r="C47" s="530">
        <f t="shared" ref="C47:T47" si="16">C11-C46</f>
        <v>3352472802.5</v>
      </c>
      <c r="D47" s="530">
        <f t="shared" si="16"/>
        <v>2055207516.2599998</v>
      </c>
      <c r="E47" s="530">
        <f t="shared" si="16"/>
        <v>2067141463.7912993</v>
      </c>
      <c r="F47" s="530">
        <f t="shared" si="16"/>
        <v>2079128035.4052558</v>
      </c>
      <c r="G47" s="530">
        <f t="shared" si="16"/>
        <v>2091167495.2222817</v>
      </c>
      <c r="H47" s="530">
        <f t="shared" si="16"/>
        <v>2103260105.6783929</v>
      </c>
      <c r="I47" s="530">
        <f t="shared" si="16"/>
        <v>2115406134.5317845</v>
      </c>
      <c r="J47" s="530">
        <f t="shared" si="16"/>
        <v>2127605846.8694434</v>
      </c>
      <c r="K47" s="530">
        <f t="shared" si="16"/>
        <v>2139859512.1137905</v>
      </c>
      <c r="L47" s="530">
        <f t="shared" si="16"/>
        <v>2152167401.0293589</v>
      </c>
      <c r="M47" s="530">
        <f t="shared" si="16"/>
        <v>2164529782.7295055</v>
      </c>
      <c r="N47" s="530">
        <f t="shared" si="16"/>
        <v>2176946929.6831532</v>
      </c>
      <c r="O47" s="530">
        <f t="shared" si="16"/>
        <v>2189419117.7215686</v>
      </c>
      <c r="P47" s="530">
        <f t="shared" si="16"/>
        <v>2201946622.045176</v>
      </c>
      <c r="Q47" s="530">
        <f t="shared" si="16"/>
        <v>2214529717.230402</v>
      </c>
      <c r="R47" s="530">
        <f t="shared" si="16"/>
        <v>2227168683.2365537</v>
      </c>
      <c r="S47" s="530">
        <f t="shared" si="16"/>
        <v>2239863798.4127364</v>
      </c>
      <c r="T47" s="530">
        <f t="shared" si="16"/>
        <v>2259644212.5047998</v>
      </c>
      <c r="U47" s="530">
        <f t="shared" si="14"/>
        <v>39957465176.9655</v>
      </c>
    </row>
    <row r="48" spans="1:22" ht="51" customHeight="1" x14ac:dyDescent="0.2">
      <c r="A48" s="243"/>
      <c r="B48" s="243"/>
      <c r="C48" s="1004"/>
      <c r="D48" s="1004"/>
      <c r="E48" s="1004"/>
      <c r="F48" s="100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5"/>
    </row>
    <row r="49" spans="1:24" ht="15" x14ac:dyDescent="0.2">
      <c r="A49" s="1002"/>
      <c r="B49" s="1006" t="s">
        <v>1178</v>
      </c>
      <c r="C49" s="247"/>
      <c r="D49" s="243"/>
      <c r="E49" s="244"/>
      <c r="F49" s="244"/>
      <c r="G49" s="248"/>
      <c r="H49" s="249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5"/>
    </row>
    <row r="50" spans="1:24" ht="43.15" customHeight="1" x14ac:dyDescent="0.2">
      <c r="A50" s="1003"/>
      <c r="B50" s="1007"/>
      <c r="C50" s="251"/>
      <c r="D50" s="244"/>
      <c r="E50" s="244"/>
      <c r="F50" s="244"/>
      <c r="G50" s="252"/>
      <c r="H50" s="251"/>
      <c r="I50" s="243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5"/>
      <c r="W50" s="244"/>
      <c r="X50" s="244"/>
    </row>
    <row r="51" spans="1:24" ht="15" x14ac:dyDescent="0.2">
      <c r="A51" s="1003"/>
      <c r="B51" s="1007"/>
      <c r="C51" s="251"/>
      <c r="D51" s="244"/>
      <c r="E51" s="244"/>
      <c r="F51" s="244"/>
      <c r="G51" s="252"/>
      <c r="H51" s="251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5"/>
      <c r="W51" s="244"/>
      <c r="X51" s="244"/>
    </row>
    <row r="52" spans="1:24" ht="15" x14ac:dyDescent="0.2">
      <c r="A52" s="1003"/>
      <c r="B52" s="1007"/>
      <c r="C52" s="251"/>
      <c r="D52" s="244"/>
      <c r="E52" s="244"/>
      <c r="F52" s="244"/>
      <c r="G52" s="252"/>
      <c r="H52" s="251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5"/>
      <c r="W52" s="244"/>
      <c r="X52" s="244"/>
    </row>
    <row r="53" spans="1:24" ht="15" x14ac:dyDescent="0.2">
      <c r="A53" s="1003"/>
      <c r="B53" s="1008"/>
      <c r="C53" s="251">
        <f>+'[1]1.b sz. Önkormányzat 2021.'!$DA$32+'[1]1.b sz. Önkormányzat 2021.'!$DD$32+'[1]1.b sz. Önkormányzat 2021.'!$DG$32+'[1]1.b sz. Önkormányzat 2021.'!$DJ$32+'[1]1.b sz. Önkormányzat 2021.'!$DM$32</f>
        <v>3933904233</v>
      </c>
      <c r="D53" s="244"/>
      <c r="E53" s="244"/>
      <c r="F53" s="244"/>
      <c r="G53" s="252"/>
      <c r="H53" s="251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5"/>
    </row>
    <row r="54" spans="1:24" s="397" customFormat="1" ht="15" x14ac:dyDescent="0.2">
      <c r="A54" s="1003"/>
      <c r="B54" s="804" t="s">
        <v>398</v>
      </c>
      <c r="C54" s="250"/>
      <c r="D54" s="244"/>
      <c r="E54" s="244"/>
      <c r="F54" s="244"/>
      <c r="G54" s="252"/>
      <c r="H54" s="251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5"/>
    </row>
    <row r="55" spans="1:24" ht="15" x14ac:dyDescent="0.2">
      <c r="A55" s="1003"/>
      <c r="B55" s="804"/>
      <c r="C55" s="251"/>
      <c r="D55" s="244"/>
      <c r="E55" s="244"/>
      <c r="F55" s="244"/>
      <c r="G55" s="252"/>
      <c r="H55" s="251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5"/>
    </row>
    <row r="56" spans="1:24" ht="15" x14ac:dyDescent="0.2">
      <c r="A56" s="1003"/>
      <c r="B56" s="805" t="s">
        <v>80</v>
      </c>
      <c r="C56" s="251"/>
      <c r="D56" s="244"/>
      <c r="E56" s="244"/>
      <c r="F56" s="244"/>
      <c r="G56" s="252"/>
      <c r="H56" s="251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5"/>
    </row>
    <row r="57" spans="1:24" ht="15" x14ac:dyDescent="0.2">
      <c r="A57" s="253"/>
      <c r="B57" s="804" t="s">
        <v>399</v>
      </c>
      <c r="C57" s="251"/>
      <c r="D57" s="244"/>
      <c r="E57" s="244"/>
      <c r="F57" s="244"/>
      <c r="G57" s="252"/>
      <c r="H57" s="251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5"/>
    </row>
    <row r="58" spans="1:24" ht="15" x14ac:dyDescent="0.2">
      <c r="A58" s="253"/>
      <c r="B58" s="804" t="s">
        <v>400</v>
      </c>
      <c r="C58" s="251">
        <f>+'[1]1.b sz. Önkormányzat 2021.'!$DS$32</f>
        <v>8138488</v>
      </c>
      <c r="D58" s="244"/>
      <c r="E58" s="244"/>
      <c r="F58" s="244"/>
      <c r="G58" s="252"/>
      <c r="H58" s="251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5"/>
    </row>
    <row r="59" spans="1:24" ht="15" x14ac:dyDescent="0.2">
      <c r="A59" s="253"/>
      <c r="B59" s="804" t="s">
        <v>637</v>
      </c>
      <c r="C59" s="251"/>
      <c r="D59" s="244"/>
      <c r="E59" s="244"/>
      <c r="F59" s="244"/>
      <c r="G59" s="252"/>
      <c r="H59" s="251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5"/>
    </row>
    <row r="60" spans="1:24" ht="15" x14ac:dyDescent="0.2">
      <c r="A60" s="253"/>
      <c r="B60" s="804" t="s">
        <v>401</v>
      </c>
      <c r="C60" s="251">
        <f>+'[1]2.1. sz. PMH'!$AJ$33</f>
        <v>4315000</v>
      </c>
      <c r="D60" s="244"/>
      <c r="E60" s="244"/>
      <c r="F60" s="244"/>
      <c r="G60" s="254"/>
      <c r="H60" s="255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5"/>
    </row>
    <row r="61" spans="1:24" ht="15" x14ac:dyDescent="0.2">
      <c r="A61" s="253"/>
      <c r="B61" s="804" t="s">
        <v>638</v>
      </c>
      <c r="C61" s="251"/>
      <c r="D61" s="244"/>
      <c r="E61" s="244"/>
      <c r="F61" s="244"/>
      <c r="G61" s="250"/>
      <c r="H61" s="250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5"/>
    </row>
    <row r="62" spans="1:24" ht="15" x14ac:dyDescent="0.2">
      <c r="A62" s="253"/>
      <c r="B62" s="804"/>
      <c r="C62" s="251"/>
      <c r="D62" s="244"/>
      <c r="E62" s="244"/>
      <c r="F62" s="244"/>
      <c r="G62" s="250"/>
      <c r="H62" s="250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5"/>
    </row>
    <row r="63" spans="1:24" ht="15" x14ac:dyDescent="0.2">
      <c r="A63" s="256"/>
      <c r="B63" s="805" t="s">
        <v>80</v>
      </c>
      <c r="C63" s="250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5"/>
    </row>
    <row r="64" spans="1:24" ht="15" x14ac:dyDescent="0.2">
      <c r="A64" s="253"/>
      <c r="B64" s="804" t="s">
        <v>402</v>
      </c>
      <c r="C64" s="251"/>
      <c r="D64" s="246"/>
      <c r="E64" s="246"/>
      <c r="F64" s="247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5"/>
    </row>
    <row r="65" spans="1:22" ht="15" x14ac:dyDescent="0.2">
      <c r="A65" s="253"/>
      <c r="B65" s="804" t="s">
        <v>1179</v>
      </c>
      <c r="C65" s="251">
        <f>+'[1]1.a sz. Önkormányzat 2021. '!$AM$34</f>
        <v>2776429803</v>
      </c>
      <c r="D65" s="250"/>
      <c r="E65" s="250"/>
      <c r="F65" s="251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5"/>
    </row>
    <row r="66" spans="1:22" ht="15" x14ac:dyDescent="0.2">
      <c r="A66" s="253"/>
      <c r="B66" s="804" t="s">
        <v>1180</v>
      </c>
      <c r="C66" s="251"/>
      <c r="D66" s="250"/>
      <c r="E66" s="250"/>
      <c r="F66" s="251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5"/>
    </row>
    <row r="67" spans="1:22" ht="15" x14ac:dyDescent="0.2">
      <c r="A67" s="253"/>
      <c r="B67" s="804" t="s">
        <v>1181</v>
      </c>
      <c r="C67" s="251">
        <f>+'[1]1.a sz. Önkormányzat 2021. '!$DP$33</f>
        <v>1130365</v>
      </c>
      <c r="D67" s="250"/>
      <c r="E67" s="250"/>
      <c r="F67" s="251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5"/>
    </row>
    <row r="68" spans="1:22" ht="15" x14ac:dyDescent="0.2">
      <c r="A68" s="253"/>
      <c r="B68" s="804" t="s">
        <v>1182</v>
      </c>
      <c r="C68" s="251">
        <f>+'[1]1.a sz. Önkormányzat 2021. '!$EN$33</f>
        <v>10638259</v>
      </c>
      <c r="D68" s="250"/>
      <c r="E68" s="250"/>
      <c r="F68" s="251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5"/>
    </row>
    <row r="69" spans="1:22" ht="15" x14ac:dyDescent="0.2">
      <c r="A69" s="253"/>
      <c r="B69" s="804" t="s">
        <v>636</v>
      </c>
      <c r="C69" s="251">
        <f>+'[1]1.a sz. Önkormányzat 2021. '!$EQ$33</f>
        <v>964780</v>
      </c>
      <c r="D69" s="250"/>
      <c r="E69" s="250"/>
      <c r="F69" s="251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5"/>
    </row>
    <row r="70" spans="1:22" ht="15" x14ac:dyDescent="0.2">
      <c r="A70" s="253"/>
      <c r="B70" s="804" t="s">
        <v>1183</v>
      </c>
      <c r="C70" s="251">
        <f>+'[1]1.a sz. Önkormányzat 2021. '!$ET$33</f>
        <v>6015193</v>
      </c>
      <c r="D70" s="250"/>
      <c r="E70" s="250"/>
      <c r="F70" s="251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5"/>
    </row>
    <row r="71" spans="1:22" ht="15" x14ac:dyDescent="0.2">
      <c r="A71" s="253"/>
      <c r="B71" s="804" t="s">
        <v>747</v>
      </c>
      <c r="C71" s="251">
        <f>+'[1]1.a sz. Önkormányzat 2021. '!$FL$33</f>
        <v>17859950</v>
      </c>
      <c r="D71" s="250"/>
      <c r="E71" s="250"/>
      <c r="F71" s="251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5"/>
    </row>
    <row r="72" spans="1:22" ht="15" x14ac:dyDescent="0.2">
      <c r="A72" s="253"/>
      <c r="B72" s="806" t="s">
        <v>1184</v>
      </c>
      <c r="C72" s="251">
        <f>+'[1]1.a sz. Önkormányzat 2021. '!$GM$33+'[1]1.a sz. Önkormányzat 2021. '!$GS$33</f>
        <v>48230546</v>
      </c>
      <c r="D72" s="250"/>
      <c r="E72" s="250"/>
      <c r="F72" s="251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5"/>
    </row>
    <row r="73" spans="1:22" ht="15" x14ac:dyDescent="0.2">
      <c r="A73" s="253"/>
      <c r="B73" s="804"/>
      <c r="C73" s="251">
        <f>SUM(C65:C72)</f>
        <v>2861268896</v>
      </c>
      <c r="D73" s="250"/>
      <c r="E73" s="250"/>
      <c r="F73" s="251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5"/>
    </row>
    <row r="74" spans="1:22" ht="15" x14ac:dyDescent="0.2">
      <c r="A74" s="253"/>
      <c r="B74" s="804"/>
      <c r="C74" s="255"/>
      <c r="D74" s="250"/>
      <c r="E74" s="250"/>
      <c r="F74" s="251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5"/>
    </row>
    <row r="75" spans="1:22" s="397" customFormat="1" ht="15" x14ac:dyDescent="0.2">
      <c r="A75" s="253"/>
      <c r="B75" s="804"/>
      <c r="C75" s="250"/>
      <c r="D75" s="250"/>
      <c r="E75" s="250"/>
      <c r="F75" s="251"/>
      <c r="G75" s="244"/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V75" s="245"/>
    </row>
    <row r="76" spans="1:22" s="397" customFormat="1" ht="15" x14ac:dyDescent="0.2">
      <c r="A76" s="253"/>
      <c r="B76" s="804"/>
      <c r="C76" s="250"/>
      <c r="D76" s="250"/>
      <c r="E76" s="250"/>
      <c r="F76" s="251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5"/>
    </row>
    <row r="77" spans="1:22" ht="15" x14ac:dyDescent="0.2">
      <c r="A77" s="253"/>
      <c r="B77" s="804" t="s">
        <v>1185</v>
      </c>
      <c r="C77" s="250"/>
      <c r="D77" s="250"/>
      <c r="E77" s="250"/>
      <c r="F77" s="251"/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5"/>
    </row>
    <row r="78" spans="1:22" ht="15" x14ac:dyDescent="0.2">
      <c r="A78" s="253"/>
      <c r="B78" s="804" t="s">
        <v>1186</v>
      </c>
      <c r="C78" s="250"/>
      <c r="D78" s="250"/>
      <c r="E78" s="250"/>
      <c r="F78" s="251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5"/>
    </row>
    <row r="79" spans="1:22" s="432" customFormat="1" ht="15" x14ac:dyDescent="0.2">
      <c r="A79" s="253"/>
      <c r="B79" s="804" t="s">
        <v>639</v>
      </c>
      <c r="C79" s="250"/>
      <c r="D79" s="250"/>
      <c r="E79" s="250"/>
      <c r="F79" s="251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5"/>
    </row>
    <row r="80" spans="1:22" ht="15" x14ac:dyDescent="0.2">
      <c r="A80" s="253"/>
      <c r="B80" s="804" t="s">
        <v>403</v>
      </c>
      <c r="C80" s="250"/>
      <c r="D80" s="250"/>
      <c r="E80" s="250"/>
      <c r="F80" s="251"/>
      <c r="G80" s="244"/>
      <c r="H80" s="244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5"/>
    </row>
    <row r="81" spans="1:22" s="432" customFormat="1" ht="15" x14ac:dyDescent="0.2">
      <c r="A81" s="253"/>
      <c r="B81" s="804" t="s">
        <v>1187</v>
      </c>
      <c r="C81" s="250"/>
      <c r="D81" s="250"/>
      <c r="E81" s="250"/>
      <c r="F81" s="251"/>
      <c r="G81" s="244"/>
      <c r="H81" s="244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5"/>
    </row>
    <row r="82" spans="1:22" s="432" customFormat="1" ht="15" x14ac:dyDescent="0.2">
      <c r="A82" s="253"/>
      <c r="B82" s="804" t="s">
        <v>396</v>
      </c>
      <c r="C82" s="250"/>
      <c r="D82" s="250"/>
      <c r="E82" s="250"/>
      <c r="F82" s="251"/>
      <c r="G82" s="244"/>
      <c r="H82" s="244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5"/>
    </row>
    <row r="83" spans="1:22" s="432" customFormat="1" ht="15" x14ac:dyDescent="0.2">
      <c r="A83" s="253"/>
      <c r="B83" s="804" t="s">
        <v>1188</v>
      </c>
      <c r="C83" s="250"/>
      <c r="D83" s="250"/>
      <c r="E83" s="250"/>
      <c r="F83" s="251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5"/>
    </row>
    <row r="84" spans="1:22" ht="15" x14ac:dyDescent="0.2">
      <c r="A84" s="257"/>
      <c r="B84" s="804" t="s">
        <v>404</v>
      </c>
      <c r="C84" s="244"/>
      <c r="D84" s="250"/>
      <c r="E84" s="250"/>
      <c r="F84" s="251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5"/>
    </row>
    <row r="85" spans="1:22" ht="15" x14ac:dyDescent="0.2">
      <c r="A85" s="243"/>
      <c r="B85" s="804" t="s">
        <v>1189</v>
      </c>
      <c r="C85" s="529"/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5"/>
    </row>
    <row r="86" spans="1:22" ht="15" x14ac:dyDescent="0.25">
      <c r="A86" s="243"/>
      <c r="B86"/>
      <c r="C86" s="244"/>
      <c r="D86" s="244"/>
      <c r="E86" s="244"/>
      <c r="F86" s="244"/>
      <c r="G86" s="244"/>
      <c r="H86" s="244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5"/>
    </row>
    <row r="87" spans="1:22" ht="15" x14ac:dyDescent="0.2">
      <c r="A87" s="243"/>
      <c r="B87" s="804" t="s">
        <v>870</v>
      </c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5"/>
    </row>
    <row r="88" spans="1:22" ht="15" x14ac:dyDescent="0.2">
      <c r="A88" s="232"/>
      <c r="B88" s="804" t="s">
        <v>1190</v>
      </c>
      <c r="C88" s="244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5"/>
    </row>
    <row r="89" spans="1:22" ht="15" x14ac:dyDescent="0.2">
      <c r="A89" s="243"/>
      <c r="B89" s="804" t="s">
        <v>1191</v>
      </c>
      <c r="C89" s="244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5"/>
    </row>
    <row r="90" spans="1:22" ht="15" x14ac:dyDescent="0.2">
      <c r="A90" s="243"/>
      <c r="B90" s="804" t="s">
        <v>1192</v>
      </c>
      <c r="C90" s="244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5"/>
    </row>
    <row r="91" spans="1:22" ht="15" x14ac:dyDescent="0.2">
      <c r="A91" s="243"/>
      <c r="B91" s="804" t="s">
        <v>1193</v>
      </c>
      <c r="C91" s="244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5"/>
    </row>
    <row r="92" spans="1:22" ht="15" x14ac:dyDescent="0.2">
      <c r="A92" s="243"/>
      <c r="B92" s="804" t="s">
        <v>80</v>
      </c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5"/>
    </row>
    <row r="93" spans="1:22" ht="15" x14ac:dyDescent="0.2">
      <c r="A93" s="243"/>
      <c r="B93" s="804"/>
      <c r="C93" s="244"/>
      <c r="D93" s="244"/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5"/>
    </row>
    <row r="94" spans="1:22" ht="15" x14ac:dyDescent="0.2">
      <c r="A94" s="243"/>
      <c r="B94" s="804" t="s">
        <v>405</v>
      </c>
      <c r="C94" s="244"/>
      <c r="D94" s="244"/>
      <c r="E94" s="244"/>
      <c r="F94" s="244"/>
      <c r="G94" s="244"/>
      <c r="H94" s="244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5"/>
    </row>
    <row r="95" spans="1:22" ht="15" x14ac:dyDescent="0.2">
      <c r="A95" s="243"/>
      <c r="B95" s="805" t="s">
        <v>406</v>
      </c>
      <c r="C95" s="244"/>
      <c r="D95" s="244"/>
      <c r="E95" s="244"/>
      <c r="F95" s="244"/>
      <c r="G95" s="244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5"/>
    </row>
    <row r="96" spans="1:22" ht="15" x14ac:dyDescent="0.2">
      <c r="A96" s="243"/>
      <c r="B96" s="804"/>
      <c r="C96" s="244"/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5"/>
    </row>
    <row r="97" spans="1:22" ht="15" x14ac:dyDescent="0.2">
      <c r="A97" s="243"/>
      <c r="B97" s="804" t="s">
        <v>407</v>
      </c>
      <c r="C97" s="244"/>
      <c r="D97" s="244"/>
      <c r="E97" s="244"/>
      <c r="F97" s="244"/>
      <c r="G97" s="244"/>
      <c r="H97" s="244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5"/>
    </row>
    <row r="98" spans="1:22" ht="15" x14ac:dyDescent="0.2">
      <c r="A98" s="243"/>
      <c r="B98" s="804"/>
      <c r="C98" s="244"/>
      <c r="D98" s="244"/>
      <c r="E98" s="244"/>
      <c r="F98" s="244"/>
      <c r="G98" s="244"/>
      <c r="H98" s="244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5"/>
    </row>
    <row r="99" spans="1:22" ht="15" x14ac:dyDescent="0.2">
      <c r="A99" s="243"/>
      <c r="B99" s="243"/>
      <c r="C99" s="244"/>
      <c r="D99" s="244"/>
      <c r="E99" s="244"/>
      <c r="F99" s="244"/>
      <c r="G99" s="244"/>
      <c r="H99" s="244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  <c r="V99" s="245"/>
    </row>
    <row r="100" spans="1:22" ht="15" x14ac:dyDescent="0.2">
      <c r="A100" s="243"/>
      <c r="B100" s="243"/>
      <c r="C100" s="244"/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5"/>
    </row>
  </sheetData>
  <mergeCells count="4">
    <mergeCell ref="A49:A56"/>
    <mergeCell ref="C48:F48"/>
    <mergeCell ref="C1:U1"/>
    <mergeCell ref="B49:B53"/>
  </mergeCells>
  <printOptions horizontalCentered="1" verticalCentered="1"/>
  <pageMargins left="0.19685039370078741" right="0.19685039370078741" top="0" bottom="0" header="0.31496062992125984" footer="0.31496062992125984"/>
  <pageSetup paperSize="9" scale="40" orientation="landscape" r:id="rId1"/>
  <headerFooter>
    <oddHeader>&amp;CDunaharaszti Város Önkormányzata
2021. évi zárszámadás&amp;R&amp;A</oddHeader>
    <oddFooter xml:space="preserve">&amp;C&amp;P/&amp;N
</oddFooter>
  </headerFooter>
  <rowBreaks count="1" manualBreakCount="1">
    <brk id="4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29"/>
  <sheetViews>
    <sheetView view="pageBreakPreview" zoomScaleNormal="100" zoomScaleSheetLayoutView="100" workbookViewId="0">
      <selection activeCell="J13" sqref="J13"/>
    </sheetView>
  </sheetViews>
  <sheetFormatPr defaultRowHeight="12.75" x14ac:dyDescent="0.2"/>
  <cols>
    <col min="1" max="1" width="4.28515625" style="432" customWidth="1"/>
    <col min="2" max="3" width="9.140625" style="432"/>
    <col min="4" max="4" width="14.42578125" style="432" customWidth="1"/>
    <col min="5" max="6" width="14.7109375" style="432" customWidth="1"/>
    <col min="7" max="7" width="10.85546875" style="432" customWidth="1"/>
    <col min="8" max="9" width="15.7109375" style="432" customWidth="1"/>
    <col min="10" max="10" width="12.5703125" style="432" customWidth="1"/>
    <col min="11" max="11" width="13.140625" style="432" customWidth="1"/>
    <col min="12" max="12" width="13.7109375" style="432" customWidth="1"/>
    <col min="13" max="16384" width="9.140625" style="432"/>
  </cols>
  <sheetData>
    <row r="1" spans="1:12" ht="32.25" customHeight="1" x14ac:dyDescent="0.2">
      <c r="A1" s="1012" t="s">
        <v>1132</v>
      </c>
      <c r="B1" s="1012"/>
      <c r="C1" s="1012"/>
      <c r="D1" s="1012"/>
      <c r="E1" s="1012"/>
      <c r="F1" s="1012"/>
      <c r="G1" s="1012"/>
      <c r="H1" s="1012"/>
      <c r="I1" s="1012"/>
      <c r="J1" s="1012"/>
      <c r="K1" s="1012"/>
      <c r="L1" s="1012"/>
    </row>
    <row r="2" spans="1:12" x14ac:dyDescent="0.2">
      <c r="A2" s="812"/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</row>
    <row r="3" spans="1:12" x14ac:dyDescent="0.2">
      <c r="A3" s="813" t="s">
        <v>572</v>
      </c>
      <c r="B3" s="813"/>
      <c r="C3" s="813"/>
      <c r="D3" s="813"/>
      <c r="E3" s="813"/>
      <c r="F3" s="813"/>
      <c r="G3" s="813"/>
      <c r="H3" s="814"/>
      <c r="I3" s="814"/>
      <c r="J3" s="814"/>
      <c r="K3" s="814"/>
      <c r="L3" s="815" t="s">
        <v>571</v>
      </c>
    </row>
    <row r="4" spans="1:12" ht="71.25" customHeight="1" x14ac:dyDescent="0.2">
      <c r="A4" s="689" t="s">
        <v>264</v>
      </c>
      <c r="B4" s="1013" t="s">
        <v>559</v>
      </c>
      <c r="C4" s="1013"/>
      <c r="D4" s="1014"/>
      <c r="E4" s="690" t="s">
        <v>558</v>
      </c>
      <c r="F4" s="690" t="s">
        <v>1133</v>
      </c>
      <c r="G4" s="416" t="s">
        <v>408</v>
      </c>
      <c r="H4" s="691" t="s">
        <v>745</v>
      </c>
      <c r="I4" s="691" t="s">
        <v>746</v>
      </c>
      <c r="J4" s="416" t="s">
        <v>408</v>
      </c>
      <c r="K4" s="401" t="s">
        <v>556</v>
      </c>
      <c r="L4" s="416" t="s">
        <v>555</v>
      </c>
    </row>
    <row r="5" spans="1:12" ht="18.75" customHeight="1" x14ac:dyDescent="0.2">
      <c r="A5" s="692" t="s">
        <v>3</v>
      </c>
      <c r="B5" s="1015" t="s">
        <v>570</v>
      </c>
      <c r="C5" s="1016"/>
      <c r="D5" s="1017"/>
      <c r="E5" s="402"/>
      <c r="F5" s="402"/>
      <c r="G5" s="693"/>
      <c r="H5" s="693">
        <v>5500000</v>
      </c>
      <c r="I5" s="693">
        <v>6500000</v>
      </c>
      <c r="J5" s="693">
        <v>6485000</v>
      </c>
      <c r="K5" s="402"/>
      <c r="L5" s="403"/>
    </row>
    <row r="6" spans="1:12" ht="18.75" customHeight="1" x14ac:dyDescent="0.2">
      <c r="A6" s="694" t="s">
        <v>4</v>
      </c>
      <c r="B6" s="1018" t="s">
        <v>569</v>
      </c>
      <c r="C6" s="1019"/>
      <c r="D6" s="1020"/>
      <c r="E6" s="404"/>
      <c r="F6" s="404"/>
      <c r="G6" s="695"/>
      <c r="H6" s="695"/>
      <c r="I6" s="695"/>
      <c r="J6" s="695"/>
      <c r="K6" s="404"/>
      <c r="L6" s="405"/>
    </row>
    <row r="7" spans="1:12" ht="18.75" customHeight="1" x14ac:dyDescent="0.2">
      <c r="A7" s="696" t="s">
        <v>5</v>
      </c>
      <c r="B7" s="1021" t="s">
        <v>568</v>
      </c>
      <c r="C7" s="1022"/>
      <c r="D7" s="1023"/>
      <c r="E7" s="406"/>
      <c r="F7" s="406"/>
      <c r="G7" s="407"/>
      <c r="H7" s="407"/>
      <c r="I7" s="407"/>
      <c r="J7" s="407"/>
      <c r="K7" s="406"/>
      <c r="L7" s="408"/>
    </row>
    <row r="8" spans="1:12" ht="20.25" customHeight="1" x14ac:dyDescent="0.2">
      <c r="A8" s="1024" t="s">
        <v>552</v>
      </c>
      <c r="B8" s="1025"/>
      <c r="C8" s="1025"/>
      <c r="D8" s="1026"/>
      <c r="E8" s="409">
        <f t="shared" ref="E8:L8" si="0">SUM(E5:E7)</f>
        <v>0</v>
      </c>
      <c r="F8" s="409">
        <f t="shared" si="0"/>
        <v>0</v>
      </c>
      <c r="G8" s="409">
        <f t="shared" si="0"/>
        <v>0</v>
      </c>
      <c r="H8" s="409">
        <f t="shared" si="0"/>
        <v>5500000</v>
      </c>
      <c r="I8" s="409">
        <f t="shared" si="0"/>
        <v>6500000</v>
      </c>
      <c r="J8" s="409">
        <f t="shared" si="0"/>
        <v>6485000</v>
      </c>
      <c r="K8" s="410">
        <f t="shared" si="0"/>
        <v>0</v>
      </c>
      <c r="L8" s="697">
        <f t="shared" si="0"/>
        <v>0</v>
      </c>
    </row>
    <row r="9" spans="1:12" x14ac:dyDescent="0.2">
      <c r="A9" s="698"/>
      <c r="B9" s="699"/>
      <c r="C9" s="699"/>
      <c r="D9" s="414"/>
      <c r="E9" s="411"/>
      <c r="F9" s="411"/>
      <c r="G9" s="411"/>
      <c r="H9" s="412"/>
      <c r="I9" s="412"/>
      <c r="J9" s="412"/>
      <c r="K9" s="412"/>
      <c r="L9" s="687"/>
    </row>
    <row r="10" spans="1:12" x14ac:dyDescent="0.2">
      <c r="A10" s="688" t="s">
        <v>567</v>
      </c>
      <c r="B10" s="413"/>
      <c r="C10" s="413"/>
      <c r="D10" s="413"/>
      <c r="E10" s="413"/>
      <c r="F10" s="399"/>
      <c r="G10" s="399"/>
      <c r="H10" s="412"/>
      <c r="I10" s="412"/>
      <c r="J10" s="412"/>
      <c r="K10" s="412"/>
      <c r="L10" s="687"/>
    </row>
    <row r="11" spans="1:12" x14ac:dyDescent="0.2">
      <c r="A11" s="700"/>
      <c r="B11" s="414"/>
      <c r="C11" s="414"/>
      <c r="D11" s="414"/>
      <c r="E11" s="414"/>
      <c r="F11" s="414"/>
      <c r="G11" s="414"/>
      <c r="H11" s="412"/>
      <c r="I11" s="412"/>
      <c r="J11" s="412"/>
      <c r="K11" s="412"/>
      <c r="L11" s="687"/>
    </row>
    <row r="12" spans="1:12" x14ac:dyDescent="0.2">
      <c r="A12" s="701" t="s">
        <v>566</v>
      </c>
      <c r="B12" s="399"/>
      <c r="C12" s="399"/>
      <c r="D12" s="399"/>
      <c r="E12" s="399"/>
      <c r="F12" s="399"/>
      <c r="G12" s="399"/>
      <c r="H12" s="400"/>
      <c r="I12" s="400"/>
      <c r="J12" s="400"/>
      <c r="K12" s="400"/>
      <c r="L12" s="687"/>
    </row>
    <row r="13" spans="1:12" ht="70.5" customHeight="1" x14ac:dyDescent="0.2">
      <c r="A13" s="415" t="s">
        <v>264</v>
      </c>
      <c r="B13" s="1027" t="s">
        <v>559</v>
      </c>
      <c r="C13" s="1027"/>
      <c r="D13" s="1027"/>
      <c r="E13" s="690" t="s">
        <v>558</v>
      </c>
      <c r="F13" s="690" t="s">
        <v>557</v>
      </c>
      <c r="G13" s="702" t="s">
        <v>408</v>
      </c>
      <c r="H13" s="691" t="s">
        <v>745</v>
      </c>
      <c r="I13" s="691" t="s">
        <v>746</v>
      </c>
      <c r="J13" s="416" t="s">
        <v>408</v>
      </c>
      <c r="K13" s="401" t="s">
        <v>556</v>
      </c>
      <c r="L13" s="416" t="s">
        <v>555</v>
      </c>
    </row>
    <row r="14" spans="1:12" ht="18.75" customHeight="1" x14ac:dyDescent="0.2">
      <c r="A14" s="417" t="s">
        <v>3</v>
      </c>
      <c r="B14" s="1028" t="s">
        <v>395</v>
      </c>
      <c r="C14" s="1029"/>
      <c r="D14" s="1030"/>
      <c r="E14" s="418"/>
      <c r="F14" s="418"/>
      <c r="G14" s="418"/>
      <c r="H14" s="526">
        <v>2350000</v>
      </c>
      <c r="I14" s="526">
        <v>2600000</v>
      </c>
      <c r="J14" s="526">
        <v>2529478</v>
      </c>
      <c r="K14" s="418"/>
      <c r="L14" s="418"/>
    </row>
    <row r="15" spans="1:12" ht="18.75" customHeight="1" x14ac:dyDescent="0.2">
      <c r="A15" s="703" t="s">
        <v>4</v>
      </c>
      <c r="B15" s="1009" t="s">
        <v>565</v>
      </c>
      <c r="C15" s="1010"/>
      <c r="D15" s="1011"/>
      <c r="E15" s="704"/>
      <c r="F15" s="704"/>
      <c r="G15" s="704"/>
      <c r="H15" s="705">
        <v>6000000</v>
      </c>
      <c r="I15" s="705">
        <v>13000000</v>
      </c>
      <c r="J15" s="705">
        <v>12753891</v>
      </c>
      <c r="K15" s="704"/>
      <c r="L15" s="704"/>
    </row>
    <row r="16" spans="1:12" ht="18.75" customHeight="1" x14ac:dyDescent="0.2">
      <c r="A16" s="703" t="s">
        <v>5</v>
      </c>
      <c r="B16" s="1009" t="s">
        <v>564</v>
      </c>
      <c r="C16" s="1010"/>
      <c r="D16" s="1011"/>
      <c r="E16" s="704"/>
      <c r="F16" s="704"/>
      <c r="G16" s="704"/>
      <c r="H16" s="705">
        <v>7600000</v>
      </c>
      <c r="I16" s="705">
        <f t="shared" ref="I16:I20" si="1">+H16</f>
        <v>7600000</v>
      </c>
      <c r="J16" s="705">
        <v>7204389</v>
      </c>
      <c r="K16" s="704"/>
      <c r="L16" s="704"/>
    </row>
    <row r="17" spans="1:14" ht="18.75" customHeight="1" x14ac:dyDescent="0.2">
      <c r="A17" s="703" t="s">
        <v>6</v>
      </c>
      <c r="B17" s="1009" t="s">
        <v>397</v>
      </c>
      <c r="C17" s="1010"/>
      <c r="D17" s="1011"/>
      <c r="E17" s="704"/>
      <c r="F17" s="704"/>
      <c r="G17" s="704"/>
      <c r="H17" s="705">
        <v>1000000</v>
      </c>
      <c r="I17" s="705">
        <f t="shared" si="1"/>
        <v>1000000</v>
      </c>
      <c r="J17" s="705">
        <v>62500</v>
      </c>
      <c r="K17" s="704"/>
      <c r="L17" s="704"/>
    </row>
    <row r="18" spans="1:14" ht="18.75" customHeight="1" x14ac:dyDescent="0.2">
      <c r="A18" s="703" t="s">
        <v>7</v>
      </c>
      <c r="B18" s="1009" t="s">
        <v>563</v>
      </c>
      <c r="C18" s="1010"/>
      <c r="D18" s="1011"/>
      <c r="E18" s="704"/>
      <c r="F18" s="704"/>
      <c r="G18" s="704"/>
      <c r="H18" s="705"/>
      <c r="I18" s="705"/>
      <c r="J18" s="705">
        <v>0</v>
      </c>
      <c r="K18" s="704"/>
      <c r="L18" s="704"/>
    </row>
    <row r="19" spans="1:14" ht="18.75" customHeight="1" x14ac:dyDescent="0.2">
      <c r="A19" s="703" t="s">
        <v>8</v>
      </c>
      <c r="B19" s="1009" t="s">
        <v>562</v>
      </c>
      <c r="C19" s="1010"/>
      <c r="D19" s="1011"/>
      <c r="E19" s="704"/>
      <c r="F19" s="704"/>
      <c r="G19" s="704"/>
      <c r="H19" s="705">
        <v>2500000</v>
      </c>
      <c r="I19" s="705">
        <f t="shared" si="1"/>
        <v>2500000</v>
      </c>
      <c r="J19" s="705">
        <v>2252734</v>
      </c>
      <c r="K19" s="704"/>
      <c r="L19" s="704"/>
    </row>
    <row r="20" spans="1:14" ht="18.75" customHeight="1" x14ac:dyDescent="0.2">
      <c r="A20" s="419" t="s">
        <v>9</v>
      </c>
      <c r="B20" s="1033" t="s">
        <v>561</v>
      </c>
      <c r="C20" s="1034"/>
      <c r="D20" s="1035"/>
      <c r="E20" s="420"/>
      <c r="F20" s="420"/>
      <c r="G20" s="420"/>
      <c r="H20" s="527">
        <v>100000</v>
      </c>
      <c r="I20" s="527">
        <f t="shared" si="1"/>
        <v>100000</v>
      </c>
      <c r="J20" s="527">
        <v>0</v>
      </c>
      <c r="K20" s="420"/>
      <c r="L20" s="420"/>
    </row>
    <row r="21" spans="1:14" ht="24" customHeight="1" x14ac:dyDescent="0.2">
      <c r="A21" s="1036" t="s">
        <v>552</v>
      </c>
      <c r="B21" s="1037"/>
      <c r="C21" s="1037"/>
      <c r="D21" s="1038"/>
      <c r="E21" s="706">
        <f t="shared" ref="E21:L21" si="2">SUM(E14:E20)</f>
        <v>0</v>
      </c>
      <c r="F21" s="706">
        <f t="shared" si="2"/>
        <v>0</v>
      </c>
      <c r="G21" s="706">
        <f t="shared" si="2"/>
        <v>0</v>
      </c>
      <c r="H21" s="421">
        <f t="shared" si="2"/>
        <v>19550000</v>
      </c>
      <c r="I21" s="421">
        <f t="shared" si="2"/>
        <v>26800000</v>
      </c>
      <c r="J21" s="421">
        <f t="shared" si="2"/>
        <v>24802992</v>
      </c>
      <c r="K21" s="422">
        <f t="shared" si="2"/>
        <v>0</v>
      </c>
      <c r="L21" s="422">
        <f t="shared" si="2"/>
        <v>0</v>
      </c>
    </row>
    <row r="22" spans="1:14" x14ac:dyDescent="0.2">
      <c r="A22" s="414"/>
      <c r="B22" s="414"/>
      <c r="C22" s="414"/>
      <c r="D22" s="414"/>
      <c r="E22" s="414"/>
      <c r="F22" s="414"/>
      <c r="G22" s="414"/>
      <c r="H22" s="412"/>
      <c r="I22" s="412"/>
      <c r="J22" s="412"/>
      <c r="K22" s="412"/>
      <c r="L22" s="398"/>
    </row>
    <row r="23" spans="1:14" x14ac:dyDescent="0.2">
      <c r="A23" s="1039" t="s">
        <v>560</v>
      </c>
      <c r="B23" s="1039"/>
      <c r="C23" s="1039"/>
      <c r="D23" s="1039"/>
      <c r="E23" s="1039"/>
      <c r="F23" s="1039"/>
      <c r="G23" s="1039"/>
      <c r="H23" s="1039"/>
      <c r="I23" s="1039"/>
      <c r="J23" s="1039"/>
      <c r="K23" s="1039"/>
      <c r="L23" s="1039"/>
      <c r="M23" s="1039"/>
      <c r="N23" s="1039"/>
    </row>
    <row r="24" spans="1:14" ht="74.25" customHeight="1" x14ac:dyDescent="0.2">
      <c r="A24" s="689" t="s">
        <v>264</v>
      </c>
      <c r="B24" s="1013" t="s">
        <v>559</v>
      </c>
      <c r="C24" s="1013"/>
      <c r="D24" s="1014"/>
      <c r="E24" s="690" t="s">
        <v>558</v>
      </c>
      <c r="F24" s="690" t="s">
        <v>557</v>
      </c>
      <c r="G24" s="702" t="s">
        <v>408</v>
      </c>
      <c r="H24" s="691" t="s">
        <v>745</v>
      </c>
      <c r="I24" s="691" t="s">
        <v>746</v>
      </c>
      <c r="J24" s="416" t="s">
        <v>408</v>
      </c>
      <c r="K24" s="401" t="s">
        <v>556</v>
      </c>
      <c r="L24" s="416" t="s">
        <v>555</v>
      </c>
    </row>
    <row r="25" spans="1:14" ht="20.25" customHeight="1" x14ac:dyDescent="0.2">
      <c r="A25" s="707" t="s">
        <v>3</v>
      </c>
      <c r="B25" s="1040" t="s">
        <v>554</v>
      </c>
      <c r="C25" s="1040"/>
      <c r="D25" s="1040"/>
      <c r="E25" s="423"/>
      <c r="F25" s="423"/>
      <c r="G25" s="708"/>
      <c r="H25" s="709"/>
      <c r="I25" s="709"/>
      <c r="J25" s="709"/>
      <c r="K25" s="423"/>
      <c r="L25" s="423"/>
    </row>
    <row r="26" spans="1:14" ht="20.25" customHeight="1" x14ac:dyDescent="0.2">
      <c r="A26" s="424" t="s">
        <v>4</v>
      </c>
      <c r="B26" s="1031" t="s">
        <v>553</v>
      </c>
      <c r="C26" s="1031"/>
      <c r="D26" s="1031"/>
      <c r="E26" s="425"/>
      <c r="F26" s="425"/>
      <c r="G26" s="425"/>
      <c r="H26" s="587">
        <v>5100000</v>
      </c>
      <c r="I26" s="587">
        <v>6180000</v>
      </c>
      <c r="J26" s="587">
        <f>4150000+2030000</f>
        <v>6180000</v>
      </c>
      <c r="K26" s="425"/>
      <c r="L26" s="425"/>
    </row>
    <row r="27" spans="1:14" ht="23.25" customHeight="1" x14ac:dyDescent="0.2">
      <c r="A27" s="1032" t="s">
        <v>552</v>
      </c>
      <c r="B27" s="1032"/>
      <c r="C27" s="1032"/>
      <c r="D27" s="1032"/>
      <c r="E27" s="426">
        <f t="shared" ref="E27:L27" si="3">SUM(E25:E26)</f>
        <v>0</v>
      </c>
      <c r="F27" s="426">
        <f t="shared" si="3"/>
        <v>0</v>
      </c>
      <c r="G27" s="426">
        <f t="shared" si="3"/>
        <v>0</v>
      </c>
      <c r="H27" s="427">
        <f t="shared" si="3"/>
        <v>5100000</v>
      </c>
      <c r="I27" s="427">
        <f t="shared" si="3"/>
        <v>6180000</v>
      </c>
      <c r="J27" s="427">
        <f t="shared" si="3"/>
        <v>6180000</v>
      </c>
      <c r="K27" s="426">
        <f t="shared" si="3"/>
        <v>0</v>
      </c>
      <c r="L27" s="426">
        <f t="shared" si="3"/>
        <v>0</v>
      </c>
    </row>
    <row r="28" spans="1:14" x14ac:dyDescent="0.2">
      <c r="A28" s="428"/>
      <c r="B28" s="428"/>
      <c r="C28" s="429"/>
      <c r="D28" s="430"/>
      <c r="E28" s="430"/>
      <c r="F28" s="430"/>
      <c r="G28" s="430"/>
      <c r="H28" s="412"/>
      <c r="I28" s="412"/>
      <c r="J28" s="412"/>
      <c r="K28" s="412"/>
      <c r="L28" s="398"/>
    </row>
    <row r="29" spans="1:14" x14ac:dyDescent="0.2">
      <c r="A29" s="399" t="s">
        <v>551</v>
      </c>
      <c r="B29" s="399"/>
      <c r="C29" s="399"/>
      <c r="D29" s="399"/>
      <c r="E29" s="399"/>
      <c r="F29" s="399"/>
      <c r="G29" s="399"/>
      <c r="H29" s="431"/>
      <c r="I29" s="431"/>
      <c r="J29" s="431"/>
      <c r="K29" s="431"/>
      <c r="L29" s="398"/>
    </row>
  </sheetData>
  <mergeCells count="20">
    <mergeCell ref="B26:D26"/>
    <mergeCell ref="A27:D27"/>
    <mergeCell ref="B19:D19"/>
    <mergeCell ref="B20:D20"/>
    <mergeCell ref="A21:D21"/>
    <mergeCell ref="A23:N23"/>
    <mergeCell ref="B24:D24"/>
    <mergeCell ref="B25:D25"/>
    <mergeCell ref="B18:D18"/>
    <mergeCell ref="A1:L1"/>
    <mergeCell ref="B4:D4"/>
    <mergeCell ref="B5:D5"/>
    <mergeCell ref="B6:D6"/>
    <mergeCell ref="B7:D7"/>
    <mergeCell ref="A8:D8"/>
    <mergeCell ref="B13:D13"/>
    <mergeCell ref="B14:D14"/>
    <mergeCell ref="B15:D15"/>
    <mergeCell ref="B16:D16"/>
    <mergeCell ref="B17:D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&amp;CDunaharaszti Város Önkormányzata
2021. zárszámadás&amp;R&amp;A</oddHeader>
    <oddFooter xml:space="preserve">&amp;C&amp;P/&amp;N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R34"/>
  <sheetViews>
    <sheetView view="pageBreakPreview" zoomScaleNormal="100" zoomScaleSheetLayoutView="100" workbookViewId="0">
      <selection activeCell="C26" sqref="C26"/>
    </sheetView>
  </sheetViews>
  <sheetFormatPr defaultRowHeight="15" x14ac:dyDescent="0.25"/>
  <cols>
    <col min="1" max="1" width="3.5703125" bestFit="1" customWidth="1"/>
    <col min="2" max="2" width="44.5703125" customWidth="1"/>
    <col min="3" max="3" width="22.140625" customWidth="1"/>
    <col min="4" max="4" width="21.85546875" bestFit="1" customWidth="1"/>
    <col min="5" max="10" width="21.85546875" customWidth="1"/>
    <col min="11" max="11" width="19.7109375" customWidth="1"/>
    <col min="12" max="12" width="14.5703125" bestFit="1" customWidth="1"/>
    <col min="13" max="13" width="15.140625" bestFit="1" customWidth="1"/>
    <col min="16" max="16" width="11.42578125" bestFit="1" customWidth="1"/>
  </cols>
  <sheetData>
    <row r="1" spans="1:13" ht="18.75" x14ac:dyDescent="0.3">
      <c r="A1" s="1045" t="s">
        <v>652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</row>
    <row r="2" spans="1:13" x14ac:dyDescent="0.25">
      <c r="A2" s="1046" t="s">
        <v>653</v>
      </c>
      <c r="B2" s="1046"/>
      <c r="C2" s="1046"/>
      <c r="D2" s="1046"/>
      <c r="E2" s="1046"/>
      <c r="F2" s="1046"/>
      <c r="G2" s="1046"/>
      <c r="H2" s="1046"/>
      <c r="I2" s="1046"/>
      <c r="J2" s="1046"/>
      <c r="K2" s="1046"/>
    </row>
    <row r="3" spans="1:13" ht="15.75" x14ac:dyDescent="0.25">
      <c r="A3" s="1047" t="s">
        <v>654</v>
      </c>
      <c r="B3" s="1047"/>
      <c r="C3" s="1047"/>
      <c r="D3" s="1047"/>
      <c r="E3" s="1047"/>
      <c r="F3" s="1047"/>
      <c r="G3" s="1047"/>
      <c r="H3" s="1047"/>
      <c r="I3" s="1047"/>
      <c r="J3" s="1047"/>
      <c r="K3" s="1047"/>
    </row>
    <row r="5" spans="1:13" ht="15.75" x14ac:dyDescent="0.25">
      <c r="B5" s="263"/>
      <c r="C5" s="264"/>
    </row>
    <row r="6" spans="1:13" ht="16.5" thickBot="1" x14ac:dyDescent="0.3">
      <c r="B6" s="263"/>
      <c r="C6" s="264"/>
    </row>
    <row r="7" spans="1:13" ht="45.75" customHeight="1" x14ac:dyDescent="0.25">
      <c r="A7" s="1048" t="s">
        <v>655</v>
      </c>
      <c r="B7" s="1049"/>
      <c r="C7" s="265" t="s">
        <v>642</v>
      </c>
      <c r="D7" s="265" t="s">
        <v>656</v>
      </c>
      <c r="E7" s="265" t="s">
        <v>643</v>
      </c>
      <c r="F7" s="1050" t="s">
        <v>644</v>
      </c>
      <c r="G7" s="1051"/>
      <c r="H7" s="265" t="s">
        <v>755</v>
      </c>
      <c r="I7" s="265" t="s">
        <v>876</v>
      </c>
      <c r="J7" s="265" t="s">
        <v>1141</v>
      </c>
      <c r="K7" s="266" t="s">
        <v>645</v>
      </c>
    </row>
    <row r="8" spans="1:13" ht="23.25" customHeight="1" thickBot="1" x14ac:dyDescent="0.3">
      <c r="A8" s="1052" t="s">
        <v>646</v>
      </c>
      <c r="B8" s="1053"/>
      <c r="C8" s="267">
        <v>397909188</v>
      </c>
      <c r="D8" s="267">
        <v>0</v>
      </c>
      <c r="E8" s="267">
        <v>369494188</v>
      </c>
      <c r="F8" s="1054">
        <v>28415000</v>
      </c>
      <c r="G8" s="1055"/>
      <c r="H8" s="714">
        <v>0</v>
      </c>
      <c r="I8" s="714">
        <v>1</v>
      </c>
      <c r="J8" s="714">
        <v>2</v>
      </c>
      <c r="K8" s="268">
        <f>C8-E8-F8</f>
        <v>0</v>
      </c>
    </row>
    <row r="9" spans="1:13" ht="15.75" thickBot="1" x14ac:dyDescent="0.3">
      <c r="A9" s="272"/>
      <c r="B9" s="273"/>
      <c r="C9" s="274"/>
      <c r="D9" s="274"/>
      <c r="E9" s="274"/>
      <c r="F9" s="275"/>
      <c r="G9" s="275"/>
      <c r="H9" s="275"/>
      <c r="I9" s="275"/>
      <c r="J9" s="275"/>
    </row>
    <row r="10" spans="1:13" ht="60" x14ac:dyDescent="0.25">
      <c r="A10" s="1041" t="s">
        <v>647</v>
      </c>
      <c r="B10" s="1042"/>
      <c r="C10" s="451" t="s">
        <v>648</v>
      </c>
      <c r="D10" s="716" t="s">
        <v>759</v>
      </c>
      <c r="E10" s="439" t="s">
        <v>649</v>
      </c>
      <c r="F10" s="439" t="s">
        <v>650</v>
      </c>
      <c r="G10" s="439" t="s">
        <v>758</v>
      </c>
      <c r="H10" s="439" t="s">
        <v>756</v>
      </c>
      <c r="I10" s="439" t="s">
        <v>875</v>
      </c>
      <c r="J10" s="439" t="s">
        <v>1140</v>
      </c>
      <c r="K10" s="452" t="s">
        <v>645</v>
      </c>
    </row>
    <row r="11" spans="1:13" ht="21" customHeight="1" x14ac:dyDescent="0.25">
      <c r="A11" s="270" t="s">
        <v>3</v>
      </c>
      <c r="B11" s="718" t="s">
        <v>657</v>
      </c>
      <c r="C11" s="719">
        <v>3789045</v>
      </c>
      <c r="D11" s="720">
        <v>0</v>
      </c>
      <c r="E11" s="719">
        <v>0</v>
      </c>
      <c r="F11" s="720">
        <v>3789045</v>
      </c>
      <c r="G11" s="720">
        <v>3789045</v>
      </c>
      <c r="H11" s="720">
        <v>0</v>
      </c>
      <c r="I11" s="720">
        <v>0</v>
      </c>
      <c r="J11" s="453">
        <f t="shared" ref="J11:J24" si="0">+C11-D11-E11-G11-H11</f>
        <v>0</v>
      </c>
      <c r="K11" s="453"/>
      <c r="L11" s="276">
        <f t="shared" ref="L11:L25" si="1">+D11+E11+G11</f>
        <v>3789045</v>
      </c>
      <c r="M11" s="276">
        <f t="shared" ref="M11:M23" si="2">+L11-C11</f>
        <v>0</v>
      </c>
    </row>
    <row r="12" spans="1:13" ht="21" customHeight="1" x14ac:dyDescent="0.25">
      <c r="A12" s="270" t="s">
        <v>4</v>
      </c>
      <c r="B12" s="718" t="s">
        <v>658</v>
      </c>
      <c r="C12" s="719">
        <v>2928430</v>
      </c>
      <c r="D12" s="720">
        <v>0</v>
      </c>
      <c r="E12" s="719">
        <v>2928430</v>
      </c>
      <c r="F12" s="720">
        <v>0</v>
      </c>
      <c r="G12" s="720"/>
      <c r="H12" s="720">
        <v>0</v>
      </c>
      <c r="I12" s="720">
        <v>0</v>
      </c>
      <c r="J12" s="453">
        <f t="shared" si="0"/>
        <v>0</v>
      </c>
      <c r="K12" s="453"/>
      <c r="L12" s="276">
        <f t="shared" si="1"/>
        <v>2928430</v>
      </c>
      <c r="M12" s="276">
        <f t="shared" si="2"/>
        <v>0</v>
      </c>
    </row>
    <row r="13" spans="1:13" ht="21" customHeight="1" x14ac:dyDescent="0.25">
      <c r="A13" s="270" t="s">
        <v>5</v>
      </c>
      <c r="B13" s="718" t="s">
        <v>659</v>
      </c>
      <c r="C13" s="719">
        <v>3937000</v>
      </c>
      <c r="D13" s="720">
        <v>3937000</v>
      </c>
      <c r="E13" s="719">
        <v>0</v>
      </c>
      <c r="F13" s="720">
        <v>0</v>
      </c>
      <c r="G13" s="720"/>
      <c r="H13" s="720">
        <v>0</v>
      </c>
      <c r="I13" s="720">
        <v>0</v>
      </c>
      <c r="J13" s="453">
        <f t="shared" si="0"/>
        <v>0</v>
      </c>
      <c r="K13" s="453"/>
      <c r="L13" s="276">
        <f t="shared" si="1"/>
        <v>3937000</v>
      </c>
      <c r="M13" s="276">
        <f t="shared" si="2"/>
        <v>0</v>
      </c>
    </row>
    <row r="14" spans="1:13" ht="21" customHeight="1" x14ac:dyDescent="0.25">
      <c r="A14" s="270" t="s">
        <v>6</v>
      </c>
      <c r="B14" s="718" t="s">
        <v>660</v>
      </c>
      <c r="C14" s="719">
        <v>999998</v>
      </c>
      <c r="D14" s="720">
        <v>999998</v>
      </c>
      <c r="E14" s="719">
        <v>0</v>
      </c>
      <c r="F14" s="720">
        <v>0</v>
      </c>
      <c r="G14" s="720"/>
      <c r="H14" s="720">
        <v>0</v>
      </c>
      <c r="I14" s="720">
        <v>0</v>
      </c>
      <c r="J14" s="453">
        <f t="shared" si="0"/>
        <v>0</v>
      </c>
      <c r="K14" s="453"/>
      <c r="L14" s="276">
        <f t="shared" si="1"/>
        <v>999998</v>
      </c>
      <c r="M14" s="276">
        <f t="shared" si="2"/>
        <v>0</v>
      </c>
    </row>
    <row r="15" spans="1:13" ht="21" customHeight="1" x14ac:dyDescent="0.25">
      <c r="A15" s="270" t="s">
        <v>7</v>
      </c>
      <c r="B15" s="718" t="s">
        <v>661</v>
      </c>
      <c r="C15" s="719">
        <v>174110</v>
      </c>
      <c r="D15" s="720">
        <v>174110</v>
      </c>
      <c r="E15" s="719">
        <v>0</v>
      </c>
      <c r="F15" s="720">
        <v>0</v>
      </c>
      <c r="G15" s="720"/>
      <c r="H15" s="720">
        <v>0</v>
      </c>
      <c r="I15" s="720">
        <v>0</v>
      </c>
      <c r="J15" s="453">
        <f t="shared" si="0"/>
        <v>0</v>
      </c>
      <c r="K15" s="453"/>
      <c r="L15" s="276">
        <f t="shared" si="1"/>
        <v>174110</v>
      </c>
      <c r="M15" s="276">
        <f t="shared" si="2"/>
        <v>0</v>
      </c>
    </row>
    <row r="16" spans="1:13" ht="21.75" customHeight="1" x14ac:dyDescent="0.25">
      <c r="A16" s="270" t="s">
        <v>8</v>
      </c>
      <c r="B16" s="718" t="s">
        <v>662</v>
      </c>
      <c r="C16" s="719">
        <v>1496857</v>
      </c>
      <c r="D16" s="720">
        <v>0</v>
      </c>
      <c r="E16" s="719">
        <v>0</v>
      </c>
      <c r="F16" s="720">
        <v>1496857</v>
      </c>
      <c r="G16" s="720">
        <v>1496857</v>
      </c>
      <c r="H16" s="720">
        <v>0</v>
      </c>
      <c r="I16" s="720">
        <v>0</v>
      </c>
      <c r="J16" s="453">
        <f t="shared" si="0"/>
        <v>0</v>
      </c>
      <c r="K16" s="453"/>
      <c r="L16" s="276">
        <f t="shared" si="1"/>
        <v>1496857</v>
      </c>
      <c r="M16" s="276">
        <f t="shared" si="2"/>
        <v>0</v>
      </c>
    </row>
    <row r="17" spans="1:18" ht="21.75" customHeight="1" x14ac:dyDescent="0.25">
      <c r="A17" s="270" t="s">
        <v>9</v>
      </c>
      <c r="B17" s="718" t="s">
        <v>663</v>
      </c>
      <c r="C17" s="719">
        <v>200000</v>
      </c>
      <c r="D17" s="720">
        <v>0</v>
      </c>
      <c r="E17" s="719">
        <v>0</v>
      </c>
      <c r="F17" s="720">
        <v>200000</v>
      </c>
      <c r="G17" s="720">
        <v>200000</v>
      </c>
      <c r="H17" s="720">
        <v>0</v>
      </c>
      <c r="I17" s="720">
        <v>0</v>
      </c>
      <c r="J17" s="453">
        <f t="shared" si="0"/>
        <v>0</v>
      </c>
      <c r="K17" s="453"/>
      <c r="L17" s="276">
        <f t="shared" si="1"/>
        <v>200000</v>
      </c>
      <c r="M17" s="276">
        <f t="shared" si="2"/>
        <v>0</v>
      </c>
    </row>
    <row r="18" spans="1:18" ht="21" customHeight="1" x14ac:dyDescent="0.25">
      <c r="A18" s="270" t="s">
        <v>23</v>
      </c>
      <c r="B18" s="718" t="s">
        <v>664</v>
      </c>
      <c r="C18" s="719">
        <v>3746500</v>
      </c>
      <c r="D18" s="720">
        <v>0</v>
      </c>
      <c r="E18" s="719">
        <v>0</v>
      </c>
      <c r="F18" s="720">
        <v>3746500</v>
      </c>
      <c r="G18" s="720">
        <v>3746500</v>
      </c>
      <c r="H18" s="720">
        <v>0</v>
      </c>
      <c r="I18" s="720">
        <v>0</v>
      </c>
      <c r="J18" s="453">
        <f t="shared" si="0"/>
        <v>0</v>
      </c>
      <c r="K18" s="453"/>
      <c r="L18" s="276">
        <f t="shared" si="1"/>
        <v>3746500</v>
      </c>
      <c r="M18" s="276">
        <f t="shared" si="2"/>
        <v>0</v>
      </c>
    </row>
    <row r="19" spans="1:18" ht="21" customHeight="1" x14ac:dyDescent="0.25">
      <c r="A19" s="270" t="s">
        <v>25</v>
      </c>
      <c r="B19" s="718" t="s">
        <v>665</v>
      </c>
      <c r="C19" s="719">
        <v>12125706</v>
      </c>
      <c r="D19" s="720">
        <v>0</v>
      </c>
      <c r="E19" s="719">
        <f>12155706-30000</f>
        <v>12125706</v>
      </c>
      <c r="F19" s="720">
        <v>-160020</v>
      </c>
      <c r="G19" s="720">
        <v>-160020</v>
      </c>
      <c r="H19" s="720">
        <v>0</v>
      </c>
      <c r="I19" s="720">
        <v>0</v>
      </c>
      <c r="J19" s="453">
        <f t="shared" si="0"/>
        <v>160020</v>
      </c>
      <c r="K19" s="453"/>
      <c r="L19" s="276">
        <f t="shared" si="1"/>
        <v>11965686</v>
      </c>
      <c r="M19" s="276">
        <f t="shared" si="2"/>
        <v>-160020</v>
      </c>
      <c r="N19">
        <v>-160020</v>
      </c>
    </row>
    <row r="20" spans="1:18" ht="21" customHeight="1" x14ac:dyDescent="0.25">
      <c r="A20" s="270" t="s">
        <v>27</v>
      </c>
      <c r="B20" s="718" t="s">
        <v>666</v>
      </c>
      <c r="C20" s="719">
        <v>9450000</v>
      </c>
      <c r="D20" s="720">
        <v>0</v>
      </c>
      <c r="E20" s="719">
        <v>0</v>
      </c>
      <c r="F20" s="720">
        <v>4725000</v>
      </c>
      <c r="G20" s="720">
        <v>4725000</v>
      </c>
      <c r="H20" s="720">
        <v>4725000</v>
      </c>
      <c r="I20" s="720">
        <v>0</v>
      </c>
      <c r="J20" s="453">
        <f t="shared" si="0"/>
        <v>0</v>
      </c>
      <c r="K20" s="453"/>
      <c r="L20" s="276">
        <f t="shared" si="1"/>
        <v>4725000</v>
      </c>
      <c r="M20" s="276">
        <f t="shared" si="2"/>
        <v>-4725000</v>
      </c>
    </row>
    <row r="21" spans="1:18" ht="21" customHeight="1" x14ac:dyDescent="0.25">
      <c r="A21" s="270" t="s">
        <v>30</v>
      </c>
      <c r="B21" s="718" t="s">
        <v>667</v>
      </c>
      <c r="C21" s="719">
        <v>329386319</v>
      </c>
      <c r="D21" s="720">
        <v>0</v>
      </c>
      <c r="E21" s="719">
        <v>0</v>
      </c>
      <c r="F21" s="720">
        <f>329386319-45113745-12180711</f>
        <v>272091863</v>
      </c>
      <c r="G21" s="720">
        <f>261319062+11569260-796500+41</f>
        <v>272091863</v>
      </c>
      <c r="H21" s="720">
        <v>57294456</v>
      </c>
      <c r="I21" s="720">
        <v>0</v>
      </c>
      <c r="J21" s="453">
        <f t="shared" si="0"/>
        <v>0</v>
      </c>
      <c r="K21" s="453"/>
      <c r="L21" s="276">
        <f t="shared" si="1"/>
        <v>272091863</v>
      </c>
      <c r="M21" s="276">
        <f t="shared" si="2"/>
        <v>-57294456</v>
      </c>
    </row>
    <row r="22" spans="1:18" ht="21" customHeight="1" x14ac:dyDescent="0.25">
      <c r="A22" s="270" t="s">
        <v>32</v>
      </c>
      <c r="B22" s="718" t="s">
        <v>668</v>
      </c>
      <c r="C22" s="719">
        <v>370000</v>
      </c>
      <c r="D22" s="720">
        <v>0</v>
      </c>
      <c r="E22" s="719">
        <v>157034</v>
      </c>
      <c r="F22" s="720">
        <f>205000+7966-2296</f>
        <v>210670</v>
      </c>
      <c r="G22" s="721">
        <f>205000+5000-5045</f>
        <v>204955</v>
      </c>
      <c r="H22" s="721">
        <v>0</v>
      </c>
      <c r="I22" s="721">
        <v>0</v>
      </c>
      <c r="J22" s="271">
        <f t="shared" si="0"/>
        <v>8011</v>
      </c>
      <c r="K22" s="271"/>
      <c r="L22" s="276">
        <f t="shared" si="1"/>
        <v>361989</v>
      </c>
      <c r="M22" s="276">
        <f t="shared" si="2"/>
        <v>-8011</v>
      </c>
      <c r="N22">
        <v>-2296</v>
      </c>
    </row>
    <row r="23" spans="1:18" ht="21" customHeight="1" x14ac:dyDescent="0.25">
      <c r="A23" s="270" t="s">
        <v>33</v>
      </c>
      <c r="B23" s="718" t="s">
        <v>669</v>
      </c>
      <c r="C23" s="719">
        <v>29305223</v>
      </c>
      <c r="D23" s="720">
        <v>0</v>
      </c>
      <c r="E23" s="719">
        <v>0</v>
      </c>
      <c r="F23" s="720">
        <v>29305223</v>
      </c>
      <c r="G23" s="721">
        <f>29305222+1</f>
        <v>29305223</v>
      </c>
      <c r="H23" s="721">
        <v>0</v>
      </c>
      <c r="I23" s="721">
        <v>0</v>
      </c>
      <c r="J23" s="271">
        <f t="shared" si="0"/>
        <v>0</v>
      </c>
      <c r="K23" s="271"/>
      <c r="L23" s="276">
        <f t="shared" si="1"/>
        <v>29305223</v>
      </c>
      <c r="M23" s="276">
        <f t="shared" si="2"/>
        <v>0</v>
      </c>
      <c r="R23" t="s">
        <v>757</v>
      </c>
    </row>
    <row r="24" spans="1:18" ht="21" customHeight="1" x14ac:dyDescent="0.25">
      <c r="A24" s="722" t="s">
        <v>34</v>
      </c>
      <c r="B24" s="718" t="s">
        <v>670</v>
      </c>
      <c r="C24" s="723"/>
      <c r="D24" s="540"/>
      <c r="E24" s="723"/>
      <c r="F24" s="540"/>
      <c r="G24" s="724"/>
      <c r="H24" s="724">
        <v>0</v>
      </c>
      <c r="I24" s="724">
        <v>0</v>
      </c>
      <c r="J24" s="271">
        <f t="shared" si="0"/>
        <v>0</v>
      </c>
      <c r="K24" s="271"/>
      <c r="L24" s="276">
        <f t="shared" si="1"/>
        <v>0</v>
      </c>
      <c r="M24" s="276"/>
      <c r="P24" s="276">
        <f>476355-J24</f>
        <v>476355</v>
      </c>
      <c r="R24">
        <f>2316+160000</f>
        <v>162316</v>
      </c>
    </row>
    <row r="25" spans="1:18" ht="28.5" customHeight="1" thickBot="1" x14ac:dyDescent="0.3">
      <c r="A25" s="1043" t="s">
        <v>770</v>
      </c>
      <c r="B25" s="1044"/>
      <c r="C25" s="454">
        <f t="shared" ref="C25:G25" si="3">SUM(C11:C23)</f>
        <v>397909188</v>
      </c>
      <c r="D25" s="454">
        <f t="shared" si="3"/>
        <v>5111108</v>
      </c>
      <c r="E25" s="454">
        <f t="shared" si="3"/>
        <v>15211170</v>
      </c>
      <c r="F25" s="454">
        <f t="shared" si="3"/>
        <v>315405138</v>
      </c>
      <c r="G25" s="725">
        <f t="shared" si="3"/>
        <v>315399423</v>
      </c>
      <c r="H25" s="725">
        <f>SUM(H11:H23)</f>
        <v>62019456</v>
      </c>
      <c r="I25" s="725">
        <f>SUM(I11:I23)</f>
        <v>0</v>
      </c>
      <c r="J25" s="725">
        <f t="shared" ref="J25:K25" si="4">SUM(J11:J23)</f>
        <v>168031</v>
      </c>
      <c r="K25" s="725">
        <f t="shared" si="4"/>
        <v>0</v>
      </c>
      <c r="L25" s="276">
        <f t="shared" si="1"/>
        <v>335721701</v>
      </c>
      <c r="M25" s="277">
        <f>+C25-L25</f>
        <v>62187487</v>
      </c>
    </row>
    <row r="26" spans="1:18" x14ac:dyDescent="0.25">
      <c r="C26" s="300"/>
      <c r="G26" s="277"/>
    </row>
    <row r="27" spans="1:18" x14ac:dyDescent="0.25">
      <c r="F27" s="277"/>
      <c r="G27" s="277"/>
      <c r="H27" s="277"/>
      <c r="I27" s="277"/>
      <c r="J27" s="277"/>
      <c r="K27" s="277"/>
    </row>
    <row r="28" spans="1:18" s="809" customFormat="1" x14ac:dyDescent="0.25">
      <c r="B28" s="809" t="s">
        <v>1195</v>
      </c>
      <c r="K28" s="810"/>
    </row>
    <row r="29" spans="1:18" x14ac:dyDescent="0.25">
      <c r="K29" s="277">
        <f>168031-K25</f>
        <v>168031</v>
      </c>
    </row>
    <row r="33" spans="11:11" x14ac:dyDescent="0.25">
      <c r="K33" s="276"/>
    </row>
    <row r="34" spans="11:11" x14ac:dyDescent="0.25">
      <c r="K34" s="276"/>
    </row>
  </sheetData>
  <mergeCells count="9">
    <mergeCell ref="A10:B10"/>
    <mergeCell ref="A25:B25"/>
    <mergeCell ref="A1:K1"/>
    <mergeCell ref="A2:K2"/>
    <mergeCell ref="A3:K3"/>
    <mergeCell ref="A7:B7"/>
    <mergeCell ref="F7:G7"/>
    <mergeCell ref="A8:B8"/>
    <mergeCell ref="F8:G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r:id="rId1"/>
  <headerFooter>
    <oddHeader>&amp;CDunaharaszti Város Önkormányzata
2021. évi zárszámadás&amp;R&amp;A</oddHeader>
    <oddFooter>&amp;C&amp;P/&amp;N</oddFooter>
  </headerFooter>
  <colBreaks count="1" manualBreakCount="1">
    <brk id="11" max="2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O27"/>
  <sheetViews>
    <sheetView view="pageBreakPreview" topLeftCell="A4" zoomScaleNormal="100" zoomScaleSheetLayoutView="100" workbookViewId="0">
      <selection activeCell="K8" sqref="K8"/>
    </sheetView>
  </sheetViews>
  <sheetFormatPr defaultRowHeight="15" x14ac:dyDescent="0.25"/>
  <cols>
    <col min="1" max="1" width="2.5703125" bestFit="1" customWidth="1"/>
    <col min="2" max="2" width="54" bestFit="1" customWidth="1"/>
    <col min="3" max="3" width="13.140625" customWidth="1"/>
    <col min="4" max="4" width="20" customWidth="1"/>
    <col min="5" max="5" width="20.5703125" bestFit="1" customWidth="1"/>
    <col min="6" max="6" width="22.140625" customWidth="1"/>
    <col min="7" max="7" width="21.85546875" customWidth="1"/>
    <col min="8" max="8" width="23" customWidth="1"/>
    <col min="9" max="11" width="21.85546875" customWidth="1"/>
    <col min="12" max="12" width="18.28515625" customWidth="1"/>
    <col min="13" max="13" width="14.5703125" bestFit="1" customWidth="1"/>
    <col min="14" max="14" width="13.5703125" customWidth="1"/>
    <col min="15" max="15" width="14.5703125" bestFit="1" customWidth="1"/>
  </cols>
  <sheetData>
    <row r="1" spans="1:14" ht="18.75" x14ac:dyDescent="0.3">
      <c r="A1" s="1045" t="s">
        <v>688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  <c r="L1" s="1045"/>
    </row>
    <row r="2" spans="1:14" x14ac:dyDescent="0.25">
      <c r="A2" s="1046" t="s">
        <v>689</v>
      </c>
      <c r="B2" s="1046"/>
      <c r="C2" s="1046"/>
      <c r="D2" s="1046"/>
      <c r="E2" s="1046"/>
      <c r="F2" s="1046"/>
      <c r="G2" s="1046"/>
      <c r="H2" s="1046"/>
      <c r="I2" s="1046"/>
      <c r="J2" s="1046"/>
      <c r="K2" s="1046"/>
      <c r="L2" s="1046"/>
    </row>
    <row r="3" spans="1:14" ht="15.75" x14ac:dyDescent="0.25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</row>
    <row r="4" spans="1:14" ht="16.5" thickBot="1" x14ac:dyDescent="0.3">
      <c r="B4" s="263"/>
      <c r="C4" s="264"/>
      <c r="D4" s="264"/>
      <c r="E4" s="264"/>
      <c r="F4" s="264"/>
    </row>
    <row r="5" spans="1:14" ht="34.5" customHeight="1" x14ac:dyDescent="0.25">
      <c r="A5" s="1048" t="s">
        <v>690</v>
      </c>
      <c r="B5" s="1049"/>
      <c r="C5" s="1050" t="s">
        <v>642</v>
      </c>
      <c r="D5" s="1066"/>
      <c r="E5" s="1051"/>
      <c r="F5" s="265" t="s">
        <v>643</v>
      </c>
      <c r="G5" s="1050" t="s">
        <v>760</v>
      </c>
      <c r="H5" s="1051"/>
      <c r="I5" s="265" t="s">
        <v>755</v>
      </c>
      <c r="J5" s="265" t="s">
        <v>876</v>
      </c>
      <c r="K5" s="265" t="s">
        <v>1141</v>
      </c>
      <c r="L5" s="266" t="s">
        <v>645</v>
      </c>
    </row>
    <row r="6" spans="1:14" ht="31.5" customHeight="1" thickBot="1" x14ac:dyDescent="0.3">
      <c r="A6" s="1062" t="s">
        <v>761</v>
      </c>
      <c r="B6" s="1053"/>
      <c r="C6" s="1063">
        <v>167235060</v>
      </c>
      <c r="D6" s="1064"/>
      <c r="E6" s="1065"/>
      <c r="F6" s="715">
        <v>0</v>
      </c>
      <c r="G6" s="715">
        <v>125426295</v>
      </c>
      <c r="H6" s="715"/>
      <c r="I6" s="715">
        <v>0</v>
      </c>
      <c r="J6" s="715">
        <v>41808765</v>
      </c>
      <c r="K6" s="715" t="s">
        <v>78</v>
      </c>
      <c r="L6" s="715">
        <v>0</v>
      </c>
    </row>
    <row r="7" spans="1:14" ht="45" x14ac:dyDescent="0.25">
      <c r="A7" s="1041" t="s">
        <v>647</v>
      </c>
      <c r="B7" s="1042"/>
      <c r="C7" s="439" t="s">
        <v>648</v>
      </c>
      <c r="D7" s="451" t="s">
        <v>762</v>
      </c>
      <c r="E7" s="451" t="s">
        <v>763</v>
      </c>
      <c r="F7" s="439" t="s">
        <v>649</v>
      </c>
      <c r="G7" s="439" t="s">
        <v>650</v>
      </c>
      <c r="H7" s="439" t="s">
        <v>764</v>
      </c>
      <c r="I7" s="439" t="s">
        <v>756</v>
      </c>
      <c r="J7" s="439" t="s">
        <v>875</v>
      </c>
      <c r="K7" s="439" t="s">
        <v>1140</v>
      </c>
      <c r="L7" s="452" t="s">
        <v>645</v>
      </c>
    </row>
    <row r="8" spans="1:14" ht="29.25" customHeight="1" x14ac:dyDescent="0.25">
      <c r="A8" s="1056" t="s">
        <v>3</v>
      </c>
      <c r="B8" s="726" t="s">
        <v>692</v>
      </c>
      <c r="C8" s="727">
        <v>168361667</v>
      </c>
      <c r="D8" s="728">
        <v>622564189</v>
      </c>
      <c r="E8" s="728">
        <v>649268979</v>
      </c>
      <c r="F8" s="728"/>
      <c r="G8" s="729">
        <v>29494617</v>
      </c>
      <c r="H8" s="729">
        <v>29494617</v>
      </c>
      <c r="I8" s="729">
        <f>371212219-29494617</f>
        <v>341717602</v>
      </c>
      <c r="J8" s="729">
        <v>278056760</v>
      </c>
      <c r="K8" s="729"/>
      <c r="L8" s="440">
        <f>+E8-F8-H8-I8-J8</f>
        <v>0</v>
      </c>
      <c r="M8" s="277">
        <f t="shared" ref="M8:M20" si="0">+F8+H8+I8+L8</f>
        <v>371212219</v>
      </c>
      <c r="N8" s="277">
        <f t="shared" ref="N8:N20" si="1">+M8-E8</f>
        <v>-278056760</v>
      </c>
    </row>
    <row r="9" spans="1:14" ht="33" customHeight="1" x14ac:dyDescent="0.25">
      <c r="A9" s="1057"/>
      <c r="B9" s="726" t="s">
        <v>877</v>
      </c>
      <c r="C9" s="727">
        <v>6200000</v>
      </c>
      <c r="D9" s="728">
        <v>22926229</v>
      </c>
      <c r="E9" s="728">
        <v>23826454</v>
      </c>
      <c r="F9" s="728"/>
      <c r="G9" s="729"/>
      <c r="H9" s="729"/>
      <c r="I9" s="729"/>
      <c r="J9" s="729">
        <v>23826454</v>
      </c>
      <c r="K9" s="729"/>
      <c r="L9" s="440">
        <f>+E9-F9-H9-I9-J9</f>
        <v>0</v>
      </c>
      <c r="M9" s="277">
        <f t="shared" si="0"/>
        <v>0</v>
      </c>
      <c r="N9" s="277">
        <f t="shared" si="1"/>
        <v>-23826454</v>
      </c>
    </row>
    <row r="10" spans="1:14" ht="32.25" customHeight="1" x14ac:dyDescent="0.25">
      <c r="A10" s="1057"/>
      <c r="B10" s="730" t="s">
        <v>723</v>
      </c>
      <c r="C10" s="727">
        <v>749999</v>
      </c>
      <c r="D10" s="728">
        <v>2773328</v>
      </c>
      <c r="E10" s="728">
        <v>2773328</v>
      </c>
      <c r="F10" s="728"/>
      <c r="G10" s="729"/>
      <c r="H10" s="729"/>
      <c r="I10" s="729"/>
      <c r="J10" s="729">
        <v>2773328</v>
      </c>
      <c r="K10" s="729"/>
      <c r="L10" s="440">
        <f>+E10-F10-H10-I10-J10</f>
        <v>0</v>
      </c>
      <c r="M10" s="277">
        <f t="shared" si="0"/>
        <v>0</v>
      </c>
      <c r="N10" s="277">
        <f t="shared" si="1"/>
        <v>-2773328</v>
      </c>
    </row>
    <row r="11" spans="1:14" ht="18" customHeight="1" x14ac:dyDescent="0.25">
      <c r="A11" s="1058"/>
      <c r="B11" s="731" t="s">
        <v>693</v>
      </c>
      <c r="C11" s="727">
        <v>2800000</v>
      </c>
      <c r="D11" s="728">
        <v>10353783</v>
      </c>
      <c r="E11" s="728">
        <v>11383479</v>
      </c>
      <c r="F11" s="728"/>
      <c r="G11" s="729"/>
      <c r="H11" s="729"/>
      <c r="I11" s="729"/>
      <c r="J11" s="729">
        <v>11383479</v>
      </c>
      <c r="K11" s="729"/>
      <c r="L11" s="440">
        <f>+E11-F11-H11-I11-J11</f>
        <v>0</v>
      </c>
      <c r="M11" s="277">
        <f t="shared" si="0"/>
        <v>0</v>
      </c>
      <c r="N11" s="277">
        <f t="shared" si="1"/>
        <v>-11383479</v>
      </c>
    </row>
    <row r="12" spans="1:14" ht="30.75" customHeight="1" x14ac:dyDescent="0.25">
      <c r="A12" s="1056" t="s">
        <v>4</v>
      </c>
      <c r="B12" s="726" t="s">
        <v>694</v>
      </c>
      <c r="C12" s="727">
        <v>2000000</v>
      </c>
      <c r="D12" s="728">
        <v>2000000</v>
      </c>
      <c r="E12" s="728">
        <v>2538600</v>
      </c>
      <c r="F12" s="728">
        <v>2538600</v>
      </c>
      <c r="G12" s="729"/>
      <c r="H12" s="729"/>
      <c r="I12" s="729"/>
      <c r="J12" s="729"/>
      <c r="K12" s="729"/>
      <c r="L12" s="440">
        <f t="shared" ref="L12:L19" si="2">+E12-F12-H12-I12</f>
        <v>0</v>
      </c>
      <c r="M12" s="277">
        <f t="shared" si="0"/>
        <v>2538600</v>
      </c>
      <c r="N12" s="277">
        <f t="shared" si="1"/>
        <v>0</v>
      </c>
    </row>
    <row r="13" spans="1:14" ht="18" customHeight="1" x14ac:dyDescent="0.25">
      <c r="A13" s="1057"/>
      <c r="B13" s="732" t="s">
        <v>695</v>
      </c>
      <c r="C13" s="727">
        <v>3378200</v>
      </c>
      <c r="D13" s="728">
        <v>3378200</v>
      </c>
      <c r="E13" s="728">
        <v>3344701</v>
      </c>
      <c r="F13" s="728"/>
      <c r="G13" s="729">
        <v>3344701</v>
      </c>
      <c r="H13" s="729">
        <v>3344701</v>
      </c>
      <c r="I13" s="729"/>
      <c r="J13" s="729"/>
      <c r="K13" s="729"/>
      <c r="L13" s="440">
        <f t="shared" si="2"/>
        <v>0</v>
      </c>
      <c r="M13" s="277">
        <f t="shared" si="0"/>
        <v>3344701</v>
      </c>
      <c r="N13" s="277">
        <f t="shared" si="1"/>
        <v>0</v>
      </c>
    </row>
    <row r="14" spans="1:14" ht="18" customHeight="1" x14ac:dyDescent="0.25">
      <c r="A14" s="1058"/>
      <c r="B14" s="732" t="s">
        <v>696</v>
      </c>
      <c r="C14" s="727">
        <v>4000000</v>
      </c>
      <c r="D14" s="728">
        <v>4000000</v>
      </c>
      <c r="E14" s="728">
        <v>6642100</v>
      </c>
      <c r="F14" s="728"/>
      <c r="G14" s="729">
        <v>6642100</v>
      </c>
      <c r="H14" s="729">
        <v>6642100</v>
      </c>
      <c r="I14" s="729"/>
      <c r="J14" s="729"/>
      <c r="K14" s="729"/>
      <c r="L14" s="440">
        <f t="shared" si="2"/>
        <v>0</v>
      </c>
      <c r="M14" s="277">
        <f t="shared" si="0"/>
        <v>6642100</v>
      </c>
      <c r="N14" s="277">
        <f t="shared" si="1"/>
        <v>0</v>
      </c>
    </row>
    <row r="15" spans="1:14" ht="18" customHeight="1" x14ac:dyDescent="0.25">
      <c r="A15" s="270" t="s">
        <v>5</v>
      </c>
      <c r="B15" s="732" t="s">
        <v>697</v>
      </c>
      <c r="C15" s="727">
        <v>1968280</v>
      </c>
      <c r="D15" s="727">
        <v>1968280</v>
      </c>
      <c r="E15" s="728">
        <v>1460500</v>
      </c>
      <c r="F15" s="728"/>
      <c r="G15" s="729">
        <v>1243000</v>
      </c>
      <c r="H15" s="729">
        <f>381000</f>
        <v>381000</v>
      </c>
      <c r="I15" s="729">
        <v>1079500</v>
      </c>
      <c r="J15" s="729"/>
      <c r="K15" s="729"/>
      <c r="L15" s="440">
        <f t="shared" si="2"/>
        <v>0</v>
      </c>
      <c r="M15" s="277">
        <f t="shared" si="0"/>
        <v>1460500</v>
      </c>
      <c r="N15" s="277">
        <f t="shared" si="1"/>
        <v>0</v>
      </c>
    </row>
    <row r="16" spans="1:14" ht="18" customHeight="1" x14ac:dyDescent="0.25">
      <c r="A16" s="270" t="s">
        <v>6</v>
      </c>
      <c r="B16" s="732" t="s">
        <v>698</v>
      </c>
      <c r="C16" s="727">
        <v>1968280</v>
      </c>
      <c r="D16" s="727">
        <v>1968280</v>
      </c>
      <c r="E16" s="728">
        <v>1968280</v>
      </c>
      <c r="F16" s="728"/>
      <c r="G16" s="729">
        <v>1968280</v>
      </c>
      <c r="H16" s="729">
        <v>1968280</v>
      </c>
      <c r="I16" s="729"/>
      <c r="J16" s="729"/>
      <c r="K16" s="729"/>
      <c r="L16" s="440">
        <f t="shared" si="2"/>
        <v>0</v>
      </c>
      <c r="M16" s="277">
        <f t="shared" si="0"/>
        <v>1968280</v>
      </c>
      <c r="N16" s="277">
        <f t="shared" si="1"/>
        <v>0</v>
      </c>
    </row>
    <row r="17" spans="1:15" ht="18" customHeight="1" x14ac:dyDescent="0.25">
      <c r="A17" s="270" t="s">
        <v>7</v>
      </c>
      <c r="B17" s="732" t="s">
        <v>699</v>
      </c>
      <c r="C17" s="727">
        <v>4920703</v>
      </c>
      <c r="D17" s="728">
        <v>4920703</v>
      </c>
      <c r="E17" s="728">
        <v>4845354</v>
      </c>
      <c r="F17" s="728"/>
      <c r="G17" s="729"/>
      <c r="H17" s="729"/>
      <c r="I17" s="729"/>
      <c r="J17" s="729">
        <v>4826517</v>
      </c>
      <c r="K17" s="729"/>
      <c r="L17" s="440">
        <f>+E17-F17-H17-I17-J17</f>
        <v>18837</v>
      </c>
      <c r="M17" s="277">
        <f t="shared" si="0"/>
        <v>18837</v>
      </c>
      <c r="N17" s="277">
        <f t="shared" si="1"/>
        <v>-4826517</v>
      </c>
    </row>
    <row r="18" spans="1:15" ht="18" customHeight="1" x14ac:dyDescent="0.25">
      <c r="A18" s="1056" t="s">
        <v>8</v>
      </c>
      <c r="B18" s="732" t="s">
        <v>700</v>
      </c>
      <c r="C18" s="727">
        <v>63500</v>
      </c>
      <c r="D18" s="728">
        <v>63500</v>
      </c>
      <c r="E18" s="728">
        <v>30000</v>
      </c>
      <c r="F18" s="728"/>
      <c r="G18" s="729">
        <v>30000</v>
      </c>
      <c r="H18" s="729">
        <v>30000</v>
      </c>
      <c r="I18" s="729"/>
      <c r="J18" s="729"/>
      <c r="K18" s="729"/>
      <c r="L18" s="440">
        <f t="shared" si="2"/>
        <v>0</v>
      </c>
      <c r="M18" s="277">
        <f t="shared" si="0"/>
        <v>30000</v>
      </c>
      <c r="N18" s="277">
        <f t="shared" si="1"/>
        <v>0</v>
      </c>
    </row>
    <row r="19" spans="1:15" ht="18" customHeight="1" x14ac:dyDescent="0.25">
      <c r="A19" s="1057"/>
      <c r="B19" s="732" t="s">
        <v>701</v>
      </c>
      <c r="C19" s="727">
        <v>19000</v>
      </c>
      <c r="D19" s="728">
        <v>19000</v>
      </c>
      <c r="E19" s="728">
        <v>0</v>
      </c>
      <c r="F19" s="728"/>
      <c r="G19" s="729"/>
      <c r="H19" s="729"/>
      <c r="I19" s="729"/>
      <c r="J19" s="729"/>
      <c r="K19" s="729"/>
      <c r="L19" s="440">
        <f t="shared" si="2"/>
        <v>0</v>
      </c>
      <c r="M19" s="277">
        <f t="shared" si="0"/>
        <v>0</v>
      </c>
      <c r="N19" s="277">
        <f t="shared" si="1"/>
        <v>0</v>
      </c>
    </row>
    <row r="20" spans="1:15" ht="18" customHeight="1" thickBot="1" x14ac:dyDescent="0.3">
      <c r="A20" s="1059"/>
      <c r="B20" s="732" t="s">
        <v>702</v>
      </c>
      <c r="C20" s="727">
        <v>317500</v>
      </c>
      <c r="D20" s="728">
        <v>317500</v>
      </c>
      <c r="E20" s="728">
        <v>361900</v>
      </c>
      <c r="F20" s="728"/>
      <c r="G20" s="729"/>
      <c r="H20" s="729"/>
      <c r="I20" s="729"/>
      <c r="J20" s="729">
        <v>361900</v>
      </c>
      <c r="K20" s="729"/>
      <c r="L20" s="440">
        <f>+E20-F20-H20-I20-J20</f>
        <v>0</v>
      </c>
      <c r="M20" s="277">
        <f t="shared" si="0"/>
        <v>0</v>
      </c>
      <c r="N20" s="277">
        <f t="shared" si="1"/>
        <v>-361900</v>
      </c>
    </row>
    <row r="21" spans="1:15" ht="28.5" customHeight="1" thickBot="1" x14ac:dyDescent="0.3">
      <c r="A21" s="1060" t="s">
        <v>770</v>
      </c>
      <c r="B21" s="1061"/>
      <c r="C21" s="456">
        <f>SUM(C8:C20)</f>
        <v>196747129</v>
      </c>
      <c r="D21" s="456">
        <f>SUM(D8:D20)+2</f>
        <v>677252994</v>
      </c>
      <c r="E21" s="456">
        <f t="shared" ref="E21:M21" si="3">SUM(E8:E20)</f>
        <v>708443675</v>
      </c>
      <c r="F21" s="457">
        <f t="shared" si="3"/>
        <v>2538600</v>
      </c>
      <c r="G21" s="457">
        <f t="shared" si="3"/>
        <v>42722698</v>
      </c>
      <c r="H21" s="457">
        <f t="shared" si="3"/>
        <v>41860698</v>
      </c>
      <c r="I21" s="457">
        <f t="shared" si="3"/>
        <v>342797102</v>
      </c>
      <c r="J21" s="457">
        <f t="shared" ref="J21:K21" si="4">SUM(J8:J20)</f>
        <v>321228438</v>
      </c>
      <c r="K21" s="457">
        <f t="shared" si="4"/>
        <v>0</v>
      </c>
      <c r="L21" s="444">
        <f t="shared" si="3"/>
        <v>18837</v>
      </c>
      <c r="M21" s="277">
        <f t="shared" si="3"/>
        <v>387215237</v>
      </c>
    </row>
    <row r="22" spans="1:15" x14ac:dyDescent="0.25">
      <c r="E22" s="277"/>
      <c r="F22" s="436"/>
      <c r="G22" s="717"/>
      <c r="L22" s="437"/>
    </row>
    <row r="23" spans="1:15" x14ac:dyDescent="0.25">
      <c r="H23" s="276"/>
      <c r="L23" s="437"/>
    </row>
    <row r="24" spans="1:15" x14ac:dyDescent="0.25">
      <c r="B24" t="s">
        <v>878</v>
      </c>
      <c r="L24" s="437"/>
      <c r="O24" s="276"/>
    </row>
    <row r="25" spans="1:15" x14ac:dyDescent="0.25">
      <c r="L25" s="437"/>
    </row>
    <row r="27" spans="1:15" x14ac:dyDescent="0.25">
      <c r="L27" s="438"/>
    </row>
  </sheetData>
  <mergeCells count="12">
    <mergeCell ref="A6:B6"/>
    <mergeCell ref="C6:E6"/>
    <mergeCell ref="A1:L1"/>
    <mergeCell ref="A2:L2"/>
    <mergeCell ref="A5:B5"/>
    <mergeCell ref="C5:E5"/>
    <mergeCell ref="G5:H5"/>
    <mergeCell ref="A7:B7"/>
    <mergeCell ref="A8:A11"/>
    <mergeCell ref="A12:A14"/>
    <mergeCell ref="A18:A20"/>
    <mergeCell ref="A21:B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&amp;CDunaharaszti Város Önkormányzata
2021. évi zárszámadás&amp;R&amp;A</oddHeader>
    <oddFooter>&amp;C&amp;P/&amp;N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M18"/>
  <sheetViews>
    <sheetView view="pageBreakPreview" zoomScaleNormal="100" zoomScaleSheetLayoutView="100" workbookViewId="0">
      <selection activeCell="A15" sqref="A15:XFD15"/>
    </sheetView>
  </sheetViews>
  <sheetFormatPr defaultRowHeight="15" x14ac:dyDescent="0.25"/>
  <cols>
    <col min="1" max="1" width="2.5703125" bestFit="1" customWidth="1"/>
    <col min="2" max="2" width="56.85546875" customWidth="1"/>
    <col min="3" max="5" width="22.140625" customWidth="1"/>
    <col min="6" max="10" width="21.85546875" customWidth="1"/>
    <col min="11" max="11" width="18.28515625" customWidth="1"/>
    <col min="12" max="12" width="14.5703125" bestFit="1" customWidth="1"/>
    <col min="13" max="13" width="12.85546875" bestFit="1" customWidth="1"/>
  </cols>
  <sheetData>
    <row r="1" spans="1:13" ht="18.75" x14ac:dyDescent="0.3">
      <c r="A1" s="1045" t="s">
        <v>703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</row>
    <row r="2" spans="1:13" x14ac:dyDescent="0.25">
      <c r="A2" s="1046" t="s">
        <v>704</v>
      </c>
      <c r="B2" s="1046"/>
      <c r="C2" s="1046"/>
      <c r="D2" s="1046"/>
      <c r="E2" s="1046"/>
      <c r="F2" s="1046"/>
      <c r="G2" s="1046"/>
      <c r="H2" s="1046"/>
      <c r="I2" s="1046"/>
      <c r="J2" s="1046"/>
      <c r="K2" s="1046"/>
    </row>
    <row r="4" spans="1:13" ht="16.5" thickBot="1" x14ac:dyDescent="0.3">
      <c r="B4" s="263"/>
      <c r="C4" s="264"/>
      <c r="D4" s="264"/>
      <c r="E4" s="264"/>
    </row>
    <row r="5" spans="1:13" ht="36.75" customHeight="1" x14ac:dyDescent="0.25">
      <c r="A5" s="1048" t="s">
        <v>690</v>
      </c>
      <c r="B5" s="1049"/>
      <c r="C5" s="1050" t="s">
        <v>642</v>
      </c>
      <c r="D5" s="1051"/>
      <c r="E5" s="265" t="s">
        <v>643</v>
      </c>
      <c r="F5" s="1050" t="s">
        <v>644</v>
      </c>
      <c r="G5" s="1051"/>
      <c r="H5" s="265" t="s">
        <v>755</v>
      </c>
      <c r="I5" s="265" t="s">
        <v>876</v>
      </c>
      <c r="J5" s="265" t="s">
        <v>1141</v>
      </c>
      <c r="K5" s="266" t="s">
        <v>645</v>
      </c>
    </row>
    <row r="6" spans="1:13" ht="22.5" customHeight="1" thickBot="1" x14ac:dyDescent="0.3">
      <c r="A6" s="1062" t="s">
        <v>691</v>
      </c>
      <c r="B6" s="1053"/>
      <c r="C6" s="267">
        <v>294598883</v>
      </c>
      <c r="D6" s="714">
        <v>294526877</v>
      </c>
      <c r="E6" s="714"/>
      <c r="F6" s="1054">
        <v>220949160</v>
      </c>
      <c r="G6" s="1055"/>
      <c r="H6" s="714">
        <v>73577717</v>
      </c>
      <c r="I6" s="714" t="s">
        <v>78</v>
      </c>
      <c r="J6" s="714"/>
      <c r="K6" s="268">
        <f>+D6-F6-H6</f>
        <v>0</v>
      </c>
    </row>
    <row r="7" spans="1:13" ht="45" x14ac:dyDescent="0.25">
      <c r="A7" s="1041" t="s">
        <v>647</v>
      </c>
      <c r="B7" s="1042"/>
      <c r="C7" s="269" t="s">
        <v>765</v>
      </c>
      <c r="D7" s="265" t="s">
        <v>766</v>
      </c>
      <c r="E7" s="265" t="s">
        <v>649</v>
      </c>
      <c r="F7" s="265" t="s">
        <v>650</v>
      </c>
      <c r="G7" s="439" t="s">
        <v>767</v>
      </c>
      <c r="H7" s="439" t="s">
        <v>756</v>
      </c>
      <c r="I7" s="439" t="s">
        <v>875</v>
      </c>
      <c r="J7" s="439" t="s">
        <v>1140</v>
      </c>
      <c r="K7" s="266" t="s">
        <v>768</v>
      </c>
    </row>
    <row r="8" spans="1:13" ht="33" customHeight="1" x14ac:dyDescent="0.25">
      <c r="A8" s="733" t="s">
        <v>3</v>
      </c>
      <c r="B8" s="734" t="s">
        <v>705</v>
      </c>
      <c r="C8" s="735">
        <v>327478361</v>
      </c>
      <c r="D8" s="736">
        <v>327478361</v>
      </c>
      <c r="E8" s="737"/>
      <c r="F8" s="712">
        <v>81333782</v>
      </c>
      <c r="G8" s="712">
        <f>64044710*1.27</f>
        <v>81336781.700000003</v>
      </c>
      <c r="H8" s="712">
        <f>192134128+51876214</f>
        <v>244010342</v>
      </c>
      <c r="I8" s="712" t="s">
        <v>78</v>
      </c>
      <c r="J8" s="712" t="s">
        <v>78</v>
      </c>
      <c r="K8" s="1067">
        <f>D8-G8-H8-E8</f>
        <v>2131237.3000000119</v>
      </c>
    </row>
    <row r="9" spans="1:13" ht="45" x14ac:dyDescent="0.25">
      <c r="A9" s="733" t="s">
        <v>4</v>
      </c>
      <c r="B9" s="738" t="s">
        <v>706</v>
      </c>
      <c r="C9" s="739">
        <f>6809560+1200000</f>
        <v>8009560</v>
      </c>
      <c r="D9" s="541">
        <v>8693177</v>
      </c>
      <c r="E9" s="542">
        <v>1736000</v>
      </c>
      <c r="F9" s="712">
        <v>6757177</v>
      </c>
      <c r="G9" s="712">
        <v>6757177</v>
      </c>
      <c r="H9" s="712">
        <v>200000</v>
      </c>
      <c r="I9" s="712" t="s">
        <v>78</v>
      </c>
      <c r="J9" s="712" t="s">
        <v>78</v>
      </c>
      <c r="K9" s="1068"/>
      <c r="M9" s="276">
        <f>+E9+G9+H9</f>
        <v>8693177</v>
      </c>
    </row>
    <row r="10" spans="1:13" ht="23.25" customHeight="1" x14ac:dyDescent="0.25">
      <c r="A10" s="733" t="s">
        <v>5</v>
      </c>
      <c r="B10" s="740" t="s">
        <v>697</v>
      </c>
      <c r="C10" s="739">
        <v>1270000</v>
      </c>
      <c r="D10" s="541">
        <v>762000</v>
      </c>
      <c r="E10" s="542"/>
      <c r="F10" s="712">
        <v>862000</v>
      </c>
      <c r="G10" s="712">
        <v>762000</v>
      </c>
      <c r="H10" s="712"/>
      <c r="I10" s="712" t="s">
        <v>78</v>
      </c>
      <c r="J10" s="712" t="s">
        <v>78</v>
      </c>
      <c r="K10" s="1068"/>
    </row>
    <row r="11" spans="1:13" ht="23.25" customHeight="1" x14ac:dyDescent="0.25">
      <c r="A11" s="733" t="s">
        <v>6</v>
      </c>
      <c r="B11" s="741" t="s">
        <v>698</v>
      </c>
      <c r="C11" s="735">
        <v>3429000</v>
      </c>
      <c r="D11" s="736">
        <v>3429000</v>
      </c>
      <c r="E11" s="737"/>
      <c r="F11" s="712"/>
      <c r="G11" s="712"/>
      <c r="H11" s="712">
        <v>3429000</v>
      </c>
      <c r="I11" s="712" t="s">
        <v>78</v>
      </c>
      <c r="J11" s="712" t="s">
        <v>78</v>
      </c>
      <c r="K11" s="1068"/>
    </row>
    <row r="12" spans="1:13" ht="23.25" customHeight="1" x14ac:dyDescent="0.25">
      <c r="A12" s="733" t="s">
        <v>7</v>
      </c>
      <c r="B12" s="741" t="s">
        <v>707</v>
      </c>
      <c r="C12" s="735">
        <v>6000000</v>
      </c>
      <c r="D12" s="736">
        <v>5739670</v>
      </c>
      <c r="E12" s="737"/>
      <c r="F12" s="712"/>
      <c r="G12" s="712"/>
      <c r="H12" s="712">
        <v>5739670</v>
      </c>
      <c r="I12" s="712" t="s">
        <v>78</v>
      </c>
      <c r="J12" s="712" t="s">
        <v>78</v>
      </c>
      <c r="K12" s="1068"/>
      <c r="L12" s="441">
        <v>357023</v>
      </c>
      <c r="M12" t="s">
        <v>769</v>
      </c>
    </row>
    <row r="13" spans="1:13" ht="23.25" customHeight="1" thickBot="1" x14ac:dyDescent="0.3">
      <c r="A13" s="733" t="s">
        <v>8</v>
      </c>
      <c r="B13" s="741" t="s">
        <v>700</v>
      </c>
      <c r="C13" s="735">
        <v>400000</v>
      </c>
      <c r="D13" s="736">
        <v>400000</v>
      </c>
      <c r="E13" s="737"/>
      <c r="F13" s="712"/>
      <c r="G13" s="712"/>
      <c r="H13" s="712">
        <v>400000</v>
      </c>
      <c r="I13" s="712" t="s">
        <v>78</v>
      </c>
      <c r="J13" s="712" t="s">
        <v>78</v>
      </c>
      <c r="K13" s="1069"/>
    </row>
    <row r="14" spans="1:13" ht="24.75" customHeight="1" thickBot="1" x14ac:dyDescent="0.3">
      <c r="A14" s="1060" t="s">
        <v>651</v>
      </c>
      <c r="B14" s="1061"/>
      <c r="C14" s="301">
        <f t="shared" ref="C14:K14" si="0">SUM(C8:C13)</f>
        <v>346586921</v>
      </c>
      <c r="D14" s="301">
        <f t="shared" si="0"/>
        <v>346502208</v>
      </c>
      <c r="E14" s="442">
        <f t="shared" si="0"/>
        <v>1736000</v>
      </c>
      <c r="F14" s="443">
        <f t="shared" si="0"/>
        <v>88952959</v>
      </c>
      <c r="G14" s="443">
        <f t="shared" si="0"/>
        <v>88855958.700000003</v>
      </c>
      <c r="H14" s="443">
        <f t="shared" si="0"/>
        <v>253779012</v>
      </c>
      <c r="I14" s="443">
        <f t="shared" si="0"/>
        <v>0</v>
      </c>
      <c r="J14" s="443">
        <f t="shared" si="0"/>
        <v>0</v>
      </c>
      <c r="K14" s="459">
        <f t="shared" si="0"/>
        <v>2131237.3000000119</v>
      </c>
      <c r="L14" s="276"/>
    </row>
    <row r="15" spans="1:13" s="809" customFormat="1" ht="34.5" customHeight="1" x14ac:dyDescent="0.25">
      <c r="A15" s="1070" t="s">
        <v>1197</v>
      </c>
      <c r="B15" s="1070"/>
      <c r="C15" s="1070"/>
      <c r="D15" s="1070"/>
      <c r="E15" s="1070"/>
      <c r="F15" s="1070"/>
      <c r="G15" s="1070"/>
      <c r="H15" s="1070"/>
      <c r="I15" s="1070"/>
      <c r="J15" s="1070"/>
      <c r="K15" s="1070"/>
    </row>
    <row r="17" spans="6:10" x14ac:dyDescent="0.25">
      <c r="F17" s="276">
        <f>+E14+G14+H14</f>
        <v>344370970.69999999</v>
      </c>
      <c r="H17" s="445">
        <f>+'[2]Beadott számla 2'!$M$39+'[2]Beadott számla 2'!$M$41</f>
        <v>253779013.56</v>
      </c>
      <c r="I17" s="445"/>
      <c r="J17" s="445"/>
    </row>
    <row r="18" spans="6:10" x14ac:dyDescent="0.25">
      <c r="H18" s="276">
        <f>+H17-H14</f>
        <v>1.5600000023841858</v>
      </c>
      <c r="I18" s="276"/>
      <c r="J18" s="276"/>
    </row>
  </sheetData>
  <mergeCells count="11">
    <mergeCell ref="A7:B7"/>
    <mergeCell ref="K8:K13"/>
    <mergeCell ref="A14:B14"/>
    <mergeCell ref="A15:K15"/>
    <mergeCell ref="A1:K1"/>
    <mergeCell ref="A2:K2"/>
    <mergeCell ref="A5:B5"/>
    <mergeCell ref="C5:D5"/>
    <mergeCell ref="F5:G5"/>
    <mergeCell ref="A6:B6"/>
    <mergeCell ref="F6:G6"/>
  </mergeCells>
  <printOptions horizontalCentered="1"/>
  <pageMargins left="0.70866141732283472" right="0.70866141732283472" top="1.1417322834645669" bottom="0.74803149606299213" header="0.31496062992125984" footer="0.31496062992125984"/>
  <pageSetup paperSize="9" scale="51" orientation="landscape" r:id="rId1"/>
  <headerFooter>
    <oddHeader>&amp;CDunaharaszti Város Önkormányzata
2021. évi zárszámadás&amp;R&amp;A</oddHeader>
    <oddFooter>&amp;C&amp;P/&amp;N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J16"/>
  <sheetViews>
    <sheetView view="pageBreakPreview" zoomScale="91" zoomScaleNormal="100" zoomScaleSheetLayoutView="91" workbookViewId="0">
      <selection activeCell="F18" sqref="F18"/>
    </sheetView>
  </sheetViews>
  <sheetFormatPr defaultRowHeight="15" x14ac:dyDescent="0.25"/>
  <cols>
    <col min="1" max="1" width="2.5703125" bestFit="1" customWidth="1"/>
    <col min="2" max="2" width="54" bestFit="1" customWidth="1"/>
    <col min="3" max="4" width="22.140625" customWidth="1"/>
    <col min="5" max="7" width="21.85546875" customWidth="1"/>
    <col min="8" max="8" width="18.28515625" customWidth="1"/>
    <col min="9" max="9" width="14.5703125" bestFit="1" customWidth="1"/>
    <col min="10" max="10" width="11.5703125" bestFit="1" customWidth="1"/>
  </cols>
  <sheetData>
    <row r="1" spans="1:10" ht="18.75" x14ac:dyDescent="0.3">
      <c r="A1" s="1045" t="s">
        <v>788</v>
      </c>
      <c r="B1" s="1045"/>
      <c r="C1" s="1045"/>
      <c r="D1" s="1045"/>
      <c r="E1" s="1045"/>
      <c r="F1" s="1045"/>
      <c r="G1" s="1045"/>
      <c r="H1" s="1045"/>
    </row>
    <row r="2" spans="1:10" x14ac:dyDescent="0.25">
      <c r="A2" s="1046" t="s">
        <v>708</v>
      </c>
      <c r="B2" s="1046"/>
      <c r="C2" s="1046"/>
      <c r="D2" s="1046"/>
      <c r="E2" s="1046"/>
      <c r="F2" s="1046"/>
      <c r="G2" s="1046"/>
      <c r="H2" s="1046"/>
    </row>
    <row r="4" spans="1:10" ht="16.5" thickBot="1" x14ac:dyDescent="0.3">
      <c r="B4" s="263"/>
      <c r="C4" s="264"/>
      <c r="D4" s="264"/>
    </row>
    <row r="5" spans="1:10" ht="39.75" customHeight="1" x14ac:dyDescent="0.25">
      <c r="A5" s="1048" t="s">
        <v>690</v>
      </c>
      <c r="B5" s="1049"/>
      <c r="C5" s="1050" t="s">
        <v>642</v>
      </c>
      <c r="D5" s="1051"/>
      <c r="E5" s="265" t="s">
        <v>644</v>
      </c>
      <c r="F5" s="265" t="s">
        <v>755</v>
      </c>
      <c r="G5" s="265" t="s">
        <v>876</v>
      </c>
      <c r="H5" s="266" t="s">
        <v>645</v>
      </c>
    </row>
    <row r="6" spans="1:10" ht="15.75" thickBot="1" x14ac:dyDescent="0.3">
      <c r="A6" s="1062" t="s">
        <v>789</v>
      </c>
      <c r="B6" s="1053"/>
      <c r="C6" s="1054">
        <v>44029765</v>
      </c>
      <c r="D6" s="1055"/>
      <c r="E6" s="714">
        <v>24216370</v>
      </c>
      <c r="F6" s="714"/>
      <c r="G6" s="714">
        <v>19813395</v>
      </c>
      <c r="H6" s="268" t="s">
        <v>78</v>
      </c>
    </row>
    <row r="7" spans="1:10" ht="30" x14ac:dyDescent="0.25">
      <c r="A7" s="1041" t="s">
        <v>647</v>
      </c>
      <c r="B7" s="1042"/>
      <c r="C7" s="1050" t="s">
        <v>648</v>
      </c>
      <c r="D7" s="1051"/>
      <c r="E7" s="439" t="s">
        <v>650</v>
      </c>
      <c r="F7" s="265" t="s">
        <v>756</v>
      </c>
      <c r="G7" s="265" t="s">
        <v>875</v>
      </c>
      <c r="H7" s="266" t="s">
        <v>645</v>
      </c>
    </row>
    <row r="8" spans="1:10" ht="30" x14ac:dyDescent="0.25">
      <c r="A8" s="733" t="s">
        <v>3</v>
      </c>
      <c r="B8" s="726" t="s">
        <v>709</v>
      </c>
      <c r="C8" s="742">
        <v>47976715</v>
      </c>
      <c r="D8" s="743">
        <v>71624638</v>
      </c>
      <c r="E8" s="744">
        <v>0</v>
      </c>
      <c r="F8" s="744">
        <v>71624638</v>
      </c>
      <c r="G8" s="744">
        <v>0</v>
      </c>
      <c r="H8" s="280">
        <f>+D8-E8-F8</f>
        <v>0</v>
      </c>
    </row>
    <row r="9" spans="1:10" ht="22.5" customHeight="1" x14ac:dyDescent="0.25">
      <c r="A9" s="733" t="s">
        <v>4</v>
      </c>
      <c r="B9" s="726" t="s">
        <v>710</v>
      </c>
      <c r="C9" s="742">
        <v>8620760</v>
      </c>
      <c r="D9" s="743">
        <v>12110720</v>
      </c>
      <c r="E9" s="744">
        <v>0</v>
      </c>
      <c r="F9" s="744">
        <v>12110720</v>
      </c>
      <c r="G9" s="744">
        <v>0</v>
      </c>
      <c r="H9" s="280">
        <f t="shared" ref="H9:H15" si="0">+D9-E9-F9</f>
        <v>0</v>
      </c>
    </row>
    <row r="10" spans="1:10" ht="30" x14ac:dyDescent="0.25">
      <c r="A10" s="733" t="s">
        <v>5</v>
      </c>
      <c r="B10" s="730" t="s">
        <v>711</v>
      </c>
      <c r="C10" s="742">
        <v>959880</v>
      </c>
      <c r="D10" s="743">
        <v>1179712</v>
      </c>
      <c r="E10" s="744">
        <v>0</v>
      </c>
      <c r="F10" s="744">
        <v>1179712</v>
      </c>
      <c r="G10" s="744">
        <v>0</v>
      </c>
      <c r="H10" s="280">
        <f t="shared" si="0"/>
        <v>0</v>
      </c>
    </row>
    <row r="11" spans="1:10" ht="60" x14ac:dyDescent="0.25">
      <c r="A11" s="733" t="s">
        <v>6</v>
      </c>
      <c r="B11" s="726" t="s">
        <v>712</v>
      </c>
      <c r="C11" s="742">
        <v>2727310</v>
      </c>
      <c r="D11" s="743">
        <v>2096256</v>
      </c>
      <c r="E11" s="744">
        <v>1118356</v>
      </c>
      <c r="F11" s="744">
        <v>977900</v>
      </c>
      <c r="G11" s="744">
        <v>0</v>
      </c>
      <c r="H11" s="280">
        <f t="shared" si="0"/>
        <v>0</v>
      </c>
    </row>
    <row r="12" spans="1:10" ht="30" x14ac:dyDescent="0.25">
      <c r="A12" s="733" t="s">
        <v>7</v>
      </c>
      <c r="B12" s="726" t="s">
        <v>713</v>
      </c>
      <c r="C12" s="742">
        <v>450000</v>
      </c>
      <c r="D12" s="743">
        <v>762000</v>
      </c>
      <c r="E12" s="744">
        <v>0</v>
      </c>
      <c r="F12" s="744">
        <v>762000</v>
      </c>
      <c r="G12" s="744">
        <v>0</v>
      </c>
      <c r="H12" s="280">
        <f t="shared" si="0"/>
        <v>0</v>
      </c>
    </row>
    <row r="13" spans="1:10" ht="19.5" customHeight="1" x14ac:dyDescent="0.25">
      <c r="A13" s="733" t="s">
        <v>8</v>
      </c>
      <c r="B13" s="732" t="s">
        <v>698</v>
      </c>
      <c r="C13" s="742">
        <v>470000</v>
      </c>
      <c r="D13" s="743">
        <v>1794000</v>
      </c>
      <c r="E13" s="744">
        <v>0</v>
      </c>
      <c r="F13" s="744">
        <v>1794000</v>
      </c>
      <c r="G13" s="744">
        <v>0</v>
      </c>
      <c r="H13" s="280">
        <f t="shared" si="0"/>
        <v>0</v>
      </c>
    </row>
    <row r="14" spans="1:10" ht="19.5" customHeight="1" x14ac:dyDescent="0.25">
      <c r="A14" s="733" t="s">
        <v>9</v>
      </c>
      <c r="B14" s="732" t="s">
        <v>699</v>
      </c>
      <c r="C14" s="742">
        <v>1400000</v>
      </c>
      <c r="D14" s="742">
        <v>1399404</v>
      </c>
      <c r="E14" s="745">
        <v>0</v>
      </c>
      <c r="F14" s="744">
        <v>1399404</v>
      </c>
      <c r="G14" s="744">
        <v>0</v>
      </c>
      <c r="H14" s="280">
        <f t="shared" si="0"/>
        <v>0</v>
      </c>
      <c r="I14" s="746"/>
      <c r="J14" s="276"/>
    </row>
    <row r="15" spans="1:10" ht="30.75" thickBot="1" x14ac:dyDescent="0.3">
      <c r="A15" s="733" t="s">
        <v>23</v>
      </c>
      <c r="B15" s="726" t="s">
        <v>714</v>
      </c>
      <c r="C15" s="742">
        <v>295000</v>
      </c>
      <c r="D15" s="747">
        <v>294999</v>
      </c>
      <c r="E15" s="746">
        <v>0</v>
      </c>
      <c r="F15" s="746">
        <v>294999</v>
      </c>
      <c r="G15" s="744">
        <v>0</v>
      </c>
      <c r="H15" s="280">
        <f t="shared" si="0"/>
        <v>0</v>
      </c>
    </row>
    <row r="16" spans="1:10" ht="21.75" customHeight="1" thickBot="1" x14ac:dyDescent="0.3">
      <c r="A16" s="1060" t="s">
        <v>770</v>
      </c>
      <c r="B16" s="1061"/>
      <c r="C16" s="281">
        <f>SUM(C8:C15)</f>
        <v>62899665</v>
      </c>
      <c r="D16" s="281">
        <f>SUM(D8:D15)</f>
        <v>91261729</v>
      </c>
      <c r="E16" s="281">
        <f t="shared" ref="E16:H16" si="1">SUM(E8:E15)</f>
        <v>1118356</v>
      </c>
      <c r="F16" s="281">
        <f t="shared" si="1"/>
        <v>90143373</v>
      </c>
      <c r="G16" s="281">
        <f t="shared" si="1"/>
        <v>0</v>
      </c>
      <c r="H16" s="302">
        <f t="shared" si="1"/>
        <v>0</v>
      </c>
      <c r="I16" s="277"/>
    </row>
  </sheetData>
  <mergeCells count="9">
    <mergeCell ref="A7:B7"/>
    <mergeCell ref="C7:D7"/>
    <mergeCell ref="A16:B16"/>
    <mergeCell ref="A1:H1"/>
    <mergeCell ref="A2:H2"/>
    <mergeCell ref="A5:B5"/>
    <mergeCell ref="C5:D5"/>
    <mergeCell ref="A6:B6"/>
    <mergeCell ref="C6:D6"/>
  </mergeCells>
  <printOptions horizontalCentered="1"/>
  <pageMargins left="0.70866141732283472" right="0.70866141732283472" top="1.1417322834645669" bottom="0.74803149606299213" header="0.31496062992125984" footer="0.31496062992125984"/>
  <pageSetup paperSize="9" scale="70" orientation="landscape" r:id="rId1"/>
  <headerFooter>
    <oddHeader>&amp;CDunaharaszti Város Önkormányzata
2021. évi zárszámadás&amp;R&amp;A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M35"/>
  <sheetViews>
    <sheetView view="pageBreakPreview" zoomScale="70" zoomScaleNormal="100" zoomScaleSheetLayoutView="70" zoomScalePageLayoutView="70" workbookViewId="0">
      <selection activeCell="D17" sqref="D17"/>
    </sheetView>
  </sheetViews>
  <sheetFormatPr defaultColWidth="9.140625" defaultRowHeight="15" x14ac:dyDescent="0.25"/>
  <cols>
    <col min="1" max="1" width="8.140625" style="1" customWidth="1"/>
    <col min="2" max="2" width="9.140625" style="1"/>
    <col min="3" max="3" width="64.28515625" style="1" customWidth="1"/>
    <col min="4" max="11" width="23.85546875" style="1" customWidth="1"/>
    <col min="12" max="12" width="22.42578125" style="1" customWidth="1"/>
    <col min="13" max="13" width="25.7109375" style="1" customWidth="1"/>
    <col min="14" max="16384" width="9.140625" style="1"/>
  </cols>
  <sheetData>
    <row r="1" spans="1:13" ht="36.75" customHeight="1" x14ac:dyDescent="0.35">
      <c r="A1" s="833" t="s">
        <v>0</v>
      </c>
      <c r="B1" s="833"/>
      <c r="C1" s="833"/>
      <c r="D1" s="833"/>
      <c r="E1" s="833"/>
      <c r="F1" s="833"/>
      <c r="G1" s="833"/>
      <c r="H1" s="833"/>
      <c r="I1" s="833"/>
      <c r="J1" s="833"/>
      <c r="K1" s="833"/>
      <c r="L1" s="833"/>
      <c r="M1" s="833"/>
    </row>
    <row r="2" spans="1:13" ht="40.5" customHeight="1" x14ac:dyDescent="0.25"/>
    <row r="3" spans="1:13" ht="19.5" customHeight="1" x14ac:dyDescent="0.3">
      <c r="A3" s="834" t="s">
        <v>1</v>
      </c>
      <c r="B3" s="836" t="s">
        <v>2</v>
      </c>
      <c r="C3" s="837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23</v>
      </c>
      <c r="L3" s="297" t="s">
        <v>25</v>
      </c>
      <c r="M3" s="840" t="s">
        <v>10</v>
      </c>
    </row>
    <row r="4" spans="1:13" ht="78" x14ac:dyDescent="0.25">
      <c r="A4" s="835"/>
      <c r="B4" s="838"/>
      <c r="C4" s="839"/>
      <c r="D4" s="298" t="s">
        <v>11</v>
      </c>
      <c r="E4" s="303" t="s">
        <v>12</v>
      </c>
      <c r="F4" s="303" t="s">
        <v>13</v>
      </c>
      <c r="G4" s="303" t="s">
        <v>14</v>
      </c>
      <c r="H4" s="303" t="s">
        <v>15</v>
      </c>
      <c r="I4" s="303" t="s">
        <v>586</v>
      </c>
      <c r="J4" s="303" t="s">
        <v>584</v>
      </c>
      <c r="K4" s="303" t="s">
        <v>583</v>
      </c>
      <c r="L4" s="299" t="s">
        <v>38</v>
      </c>
      <c r="M4" s="841"/>
    </row>
    <row r="5" spans="1:13" ht="23.25" x14ac:dyDescent="0.3">
      <c r="A5" s="544" t="s">
        <v>3</v>
      </c>
      <c r="B5" s="842" t="s">
        <v>16</v>
      </c>
      <c r="C5" s="843"/>
      <c r="D5" s="295">
        <v>11367750</v>
      </c>
      <c r="E5" s="295">
        <v>13459056</v>
      </c>
      <c r="F5" s="295">
        <v>266888458</v>
      </c>
      <c r="G5" s="295">
        <v>1042970</v>
      </c>
      <c r="H5" s="295">
        <v>485107</v>
      </c>
      <c r="I5" s="295">
        <v>523279</v>
      </c>
      <c r="J5" s="295">
        <v>977333</v>
      </c>
      <c r="K5" s="295">
        <v>12807521</v>
      </c>
      <c r="L5" s="296">
        <v>2970924</v>
      </c>
      <c r="M5" s="291">
        <f t="shared" ref="M5:M34" si="0">SUM(D5:L5)</f>
        <v>310522398</v>
      </c>
    </row>
    <row r="6" spans="1:13" ht="23.25" customHeight="1" x14ac:dyDescent="0.3">
      <c r="A6" s="544" t="s">
        <v>4</v>
      </c>
      <c r="B6" s="831" t="s">
        <v>17</v>
      </c>
      <c r="C6" s="832"/>
      <c r="D6" s="174">
        <v>752196462</v>
      </c>
      <c r="E6" s="174">
        <v>314360697</v>
      </c>
      <c r="F6" s="174">
        <v>715342138</v>
      </c>
      <c r="G6" s="174">
        <v>411105274</v>
      </c>
      <c r="H6" s="174">
        <v>305166135</v>
      </c>
      <c r="I6" s="174">
        <v>245451779</v>
      </c>
      <c r="J6" s="174">
        <v>58379706</v>
      </c>
      <c r="K6" s="174">
        <v>110153005</v>
      </c>
      <c r="L6" s="286">
        <v>67767120</v>
      </c>
      <c r="M6" s="291">
        <f t="shared" si="0"/>
        <v>2979922316</v>
      </c>
    </row>
    <row r="7" spans="1:13" ht="81" customHeight="1" x14ac:dyDescent="0.3">
      <c r="A7" s="545" t="s">
        <v>5</v>
      </c>
      <c r="B7" s="844" t="s">
        <v>18</v>
      </c>
      <c r="C7" s="845"/>
      <c r="D7" s="282">
        <f t="shared" ref="D7:L7" si="1">+D5-D6</f>
        <v>-740828712</v>
      </c>
      <c r="E7" s="282">
        <f t="shared" si="1"/>
        <v>-300901641</v>
      </c>
      <c r="F7" s="282">
        <f>+F5-F6</f>
        <v>-448453680</v>
      </c>
      <c r="G7" s="282">
        <f>+G5-G6</f>
        <v>-410062304</v>
      </c>
      <c r="H7" s="282">
        <f t="shared" si="1"/>
        <v>-304681028</v>
      </c>
      <c r="I7" s="282">
        <f t="shared" si="1"/>
        <v>-244928500</v>
      </c>
      <c r="J7" s="282">
        <f t="shared" si="1"/>
        <v>-57402373</v>
      </c>
      <c r="K7" s="282">
        <f t="shared" si="1"/>
        <v>-97345484</v>
      </c>
      <c r="L7" s="287">
        <f t="shared" si="1"/>
        <v>-64796196</v>
      </c>
      <c r="M7" s="292">
        <f t="shared" si="0"/>
        <v>-2669399918</v>
      </c>
    </row>
    <row r="8" spans="1:13" ht="23.25" customHeight="1" x14ac:dyDescent="0.3">
      <c r="A8" s="544" t="s">
        <v>6</v>
      </c>
      <c r="B8" s="831" t="s">
        <v>19</v>
      </c>
      <c r="C8" s="832"/>
      <c r="D8" s="174">
        <v>779503593</v>
      </c>
      <c r="E8" s="174">
        <v>320601533</v>
      </c>
      <c r="F8" s="174">
        <v>527252376</v>
      </c>
      <c r="G8" s="174">
        <v>416351947</v>
      </c>
      <c r="H8" s="174">
        <v>316227795</v>
      </c>
      <c r="I8" s="174">
        <v>250574628</v>
      </c>
      <c r="J8" s="174">
        <v>64066661</v>
      </c>
      <c r="K8" s="174">
        <v>112294766</v>
      </c>
      <c r="L8" s="286">
        <v>68233383</v>
      </c>
      <c r="M8" s="291">
        <f t="shared" si="0"/>
        <v>2855106682</v>
      </c>
    </row>
    <row r="9" spans="1:13" ht="23.25" customHeight="1" x14ac:dyDescent="0.3">
      <c r="A9" s="544" t="s">
        <v>7</v>
      </c>
      <c r="B9" s="831" t="s">
        <v>20</v>
      </c>
      <c r="C9" s="832"/>
      <c r="D9" s="174"/>
      <c r="E9" s="174"/>
      <c r="F9" s="174"/>
      <c r="G9" s="174"/>
      <c r="H9" s="174"/>
      <c r="I9" s="174"/>
      <c r="J9" s="174"/>
      <c r="K9" s="174"/>
      <c r="L9" s="286"/>
      <c r="M9" s="291">
        <f t="shared" si="0"/>
        <v>0</v>
      </c>
    </row>
    <row r="10" spans="1:13" ht="88.5" customHeight="1" x14ac:dyDescent="0.3">
      <c r="A10" s="546" t="s">
        <v>8</v>
      </c>
      <c r="B10" s="829" t="s">
        <v>21</v>
      </c>
      <c r="C10" s="830"/>
      <c r="D10" s="175">
        <f t="shared" ref="D10:L10" si="2">+D8-D9</f>
        <v>779503593</v>
      </c>
      <c r="E10" s="175">
        <f t="shared" si="2"/>
        <v>320601533</v>
      </c>
      <c r="F10" s="175">
        <f t="shared" si="2"/>
        <v>527252376</v>
      </c>
      <c r="G10" s="175">
        <f t="shared" si="2"/>
        <v>416351947</v>
      </c>
      <c r="H10" s="175">
        <f t="shared" si="2"/>
        <v>316227795</v>
      </c>
      <c r="I10" s="175">
        <f t="shared" si="2"/>
        <v>250574628</v>
      </c>
      <c r="J10" s="175">
        <f t="shared" si="2"/>
        <v>64066661</v>
      </c>
      <c r="K10" s="175">
        <f t="shared" si="2"/>
        <v>112294766</v>
      </c>
      <c r="L10" s="288">
        <f t="shared" si="2"/>
        <v>68233383</v>
      </c>
      <c r="M10" s="291">
        <f t="shared" si="0"/>
        <v>2855106682</v>
      </c>
    </row>
    <row r="11" spans="1:13" ht="73.900000000000006" customHeight="1" x14ac:dyDescent="0.3">
      <c r="A11" s="546" t="s">
        <v>9</v>
      </c>
      <c r="B11" s="829" t="s">
        <v>22</v>
      </c>
      <c r="C11" s="830"/>
      <c r="D11" s="175">
        <f t="shared" ref="D11:L11" si="3">+D7+D10</f>
        <v>38674881</v>
      </c>
      <c r="E11" s="175">
        <f t="shared" si="3"/>
        <v>19699892</v>
      </c>
      <c r="F11" s="175">
        <f t="shared" si="3"/>
        <v>78798696</v>
      </c>
      <c r="G11" s="175">
        <f t="shared" si="3"/>
        <v>6289643</v>
      </c>
      <c r="H11" s="175">
        <f t="shared" si="3"/>
        <v>11546767</v>
      </c>
      <c r="I11" s="175">
        <f t="shared" si="3"/>
        <v>5646128</v>
      </c>
      <c r="J11" s="175">
        <f t="shared" si="3"/>
        <v>6664288</v>
      </c>
      <c r="K11" s="175">
        <f t="shared" si="3"/>
        <v>14949282</v>
      </c>
      <c r="L11" s="288">
        <f t="shared" si="3"/>
        <v>3437187</v>
      </c>
      <c r="M11" s="291">
        <f t="shared" si="0"/>
        <v>185706764</v>
      </c>
    </row>
    <row r="12" spans="1:13" ht="23.25" customHeight="1" x14ac:dyDescent="0.3">
      <c r="A12" s="546" t="s">
        <v>23</v>
      </c>
      <c r="B12" s="829" t="s">
        <v>24</v>
      </c>
      <c r="C12" s="830"/>
      <c r="D12" s="175">
        <v>0</v>
      </c>
      <c r="E12" s="175">
        <v>0</v>
      </c>
      <c r="F12" s="175">
        <v>0</v>
      </c>
      <c r="G12" s="175">
        <v>0</v>
      </c>
      <c r="H12" s="175">
        <v>0</v>
      </c>
      <c r="I12" s="175">
        <v>0</v>
      </c>
      <c r="J12" s="175">
        <v>0</v>
      </c>
      <c r="K12" s="175">
        <v>0</v>
      </c>
      <c r="L12" s="288">
        <v>0</v>
      </c>
      <c r="M12" s="291">
        <f t="shared" si="0"/>
        <v>0</v>
      </c>
    </row>
    <row r="13" spans="1:13" ht="60.75" customHeight="1" x14ac:dyDescent="0.3">
      <c r="A13" s="546" t="s">
        <v>25</v>
      </c>
      <c r="B13" s="821" t="s">
        <v>26</v>
      </c>
      <c r="C13" s="826"/>
      <c r="D13" s="283">
        <f>+D11+D12</f>
        <v>38674881</v>
      </c>
      <c r="E13" s="283">
        <f t="shared" ref="E13:L13" si="4">+E11+E12</f>
        <v>19699892</v>
      </c>
      <c r="F13" s="283">
        <f t="shared" si="4"/>
        <v>78798696</v>
      </c>
      <c r="G13" s="283">
        <f t="shared" si="4"/>
        <v>6289643</v>
      </c>
      <c r="H13" s="283">
        <f t="shared" si="4"/>
        <v>11546767</v>
      </c>
      <c r="I13" s="283">
        <f t="shared" si="4"/>
        <v>5646128</v>
      </c>
      <c r="J13" s="283">
        <f t="shared" si="4"/>
        <v>6664288</v>
      </c>
      <c r="K13" s="283">
        <f t="shared" si="4"/>
        <v>14949282</v>
      </c>
      <c r="L13" s="289">
        <f t="shared" si="4"/>
        <v>3437187</v>
      </c>
      <c r="M13" s="291">
        <f t="shared" si="0"/>
        <v>185706764</v>
      </c>
    </row>
    <row r="14" spans="1:13" ht="30.75" customHeight="1" x14ac:dyDescent="0.3">
      <c r="A14" s="546" t="s">
        <v>27</v>
      </c>
      <c r="B14" s="820" t="s">
        <v>838</v>
      </c>
      <c r="C14" s="821"/>
      <c r="D14" s="283">
        <f>SUM(D15:D16)</f>
        <v>884945</v>
      </c>
      <c r="E14" s="283">
        <f t="shared" ref="E14:L14" si="5">SUM(E15:E16)</f>
        <v>326636</v>
      </c>
      <c r="F14" s="283">
        <f t="shared" si="5"/>
        <v>12644817</v>
      </c>
      <c r="G14" s="283">
        <f t="shared" si="5"/>
        <v>726432</v>
      </c>
      <c r="H14" s="283">
        <f t="shared" si="5"/>
        <v>404943</v>
      </c>
      <c r="I14" s="283">
        <f t="shared" si="5"/>
        <v>245157</v>
      </c>
      <c r="J14" s="283">
        <f t="shared" si="5"/>
        <v>63043</v>
      </c>
      <c r="K14" s="283">
        <f t="shared" si="5"/>
        <v>343864</v>
      </c>
      <c r="L14" s="283">
        <f t="shared" si="5"/>
        <v>92040</v>
      </c>
      <c r="M14" s="291">
        <f t="shared" si="0"/>
        <v>15731877</v>
      </c>
    </row>
    <row r="15" spans="1:13" ht="30.75" customHeight="1" x14ac:dyDescent="0.25">
      <c r="A15" s="822"/>
      <c r="B15" s="818" t="s">
        <v>28</v>
      </c>
      <c r="C15" s="819"/>
      <c r="D15" s="492">
        <f>+'13.c.sz.m.Kötött maradvány'!E170</f>
        <v>884945</v>
      </c>
      <c r="E15" s="492">
        <f>+'13.c.sz.m.Kötött maradvány'!E107</f>
        <v>326636</v>
      </c>
      <c r="F15" s="492">
        <f>+'13.c.sz.m.Kötött maradvány'!E133</f>
        <v>12644817</v>
      </c>
      <c r="G15" s="492">
        <f>+'13.c.sz.m.Kötött maradvány'!E153</f>
        <v>726432</v>
      </c>
      <c r="H15" s="492">
        <f>+'13.c.sz.m.Kötött maradvány'!E188</f>
        <v>404943</v>
      </c>
      <c r="I15" s="492">
        <f>+'13.c.sz.m.Kötött maradvány'!E233</f>
        <v>245157</v>
      </c>
      <c r="J15" s="492">
        <f>+'13.c.sz.m.Kötött maradvány'!E249</f>
        <v>63043</v>
      </c>
      <c r="K15" s="492">
        <f>+'13.c.sz.m.Kötött maradvány'!E218</f>
        <v>343864</v>
      </c>
      <c r="L15" s="493">
        <f>+'13.c.sz.m.Kötött maradvány'!C202</f>
        <v>92040</v>
      </c>
      <c r="M15" s="291">
        <f t="shared" si="0"/>
        <v>15731877</v>
      </c>
    </row>
    <row r="16" spans="1:13" ht="30.75" customHeight="1" x14ac:dyDescent="0.25">
      <c r="A16" s="822"/>
      <c r="B16" s="818" t="s">
        <v>29</v>
      </c>
      <c r="C16" s="819"/>
      <c r="D16" s="492"/>
      <c r="E16" s="492"/>
      <c r="F16" s="492"/>
      <c r="G16" s="492"/>
      <c r="H16" s="492"/>
      <c r="I16" s="492"/>
      <c r="J16" s="492"/>
      <c r="K16" s="492"/>
      <c r="L16" s="493"/>
      <c r="M16" s="291">
        <f t="shared" si="0"/>
        <v>0</v>
      </c>
    </row>
    <row r="17" spans="1:13" ht="40.5" customHeight="1" x14ac:dyDescent="0.3">
      <c r="A17" s="546" t="s">
        <v>30</v>
      </c>
      <c r="B17" s="820" t="s">
        <v>729</v>
      </c>
      <c r="C17" s="821"/>
      <c r="D17" s="283">
        <f>SUM(D18:D19)</f>
        <v>0</v>
      </c>
      <c r="E17" s="283">
        <f t="shared" ref="E17:L17" si="6">SUM(E18:E19)</f>
        <v>0</v>
      </c>
      <c r="F17" s="283">
        <f t="shared" si="6"/>
        <v>0</v>
      </c>
      <c r="G17" s="283">
        <f t="shared" si="6"/>
        <v>0</v>
      </c>
      <c r="H17" s="283">
        <f t="shared" si="6"/>
        <v>0</v>
      </c>
      <c r="I17" s="283">
        <f t="shared" si="6"/>
        <v>0</v>
      </c>
      <c r="J17" s="283">
        <f t="shared" si="6"/>
        <v>0</v>
      </c>
      <c r="K17" s="283">
        <f t="shared" si="6"/>
        <v>0</v>
      </c>
      <c r="L17" s="283">
        <f t="shared" si="6"/>
        <v>0</v>
      </c>
      <c r="M17" s="291">
        <f t="shared" si="0"/>
        <v>0</v>
      </c>
    </row>
    <row r="18" spans="1:13" ht="30.75" customHeight="1" x14ac:dyDescent="0.25">
      <c r="A18" s="822"/>
      <c r="B18" s="818" t="s">
        <v>28</v>
      </c>
      <c r="C18" s="819"/>
      <c r="D18" s="492"/>
      <c r="E18" s="492"/>
      <c r="F18" s="492"/>
      <c r="G18" s="492"/>
      <c r="H18" s="492"/>
      <c r="I18" s="492"/>
      <c r="J18" s="492"/>
      <c r="K18" s="492"/>
      <c r="L18" s="493"/>
      <c r="M18" s="291">
        <f t="shared" si="0"/>
        <v>0</v>
      </c>
    </row>
    <row r="19" spans="1:13" ht="30.75" customHeight="1" x14ac:dyDescent="0.25">
      <c r="A19" s="822"/>
      <c r="B19" s="818" t="s">
        <v>29</v>
      </c>
      <c r="C19" s="819"/>
      <c r="D19" s="492"/>
      <c r="E19" s="492"/>
      <c r="F19" s="492"/>
      <c r="G19" s="492"/>
      <c r="H19" s="492"/>
      <c r="I19" s="492"/>
      <c r="J19" s="492"/>
      <c r="K19" s="492"/>
      <c r="L19" s="493"/>
      <c r="M19" s="291">
        <f t="shared" si="0"/>
        <v>0</v>
      </c>
    </row>
    <row r="20" spans="1:13" ht="33" customHeight="1" x14ac:dyDescent="0.3">
      <c r="A20" s="546" t="s">
        <v>32</v>
      </c>
      <c r="B20" s="820" t="s">
        <v>839</v>
      </c>
      <c r="C20" s="821"/>
      <c r="D20" s="283">
        <f>SUM(D21:D22)</f>
        <v>0</v>
      </c>
      <c r="E20" s="283">
        <f t="shared" ref="E20:L20" si="7">SUM(E21:E22)</f>
        <v>0</v>
      </c>
      <c r="F20" s="283">
        <f t="shared" si="7"/>
        <v>0</v>
      </c>
      <c r="G20" s="283">
        <f t="shared" si="7"/>
        <v>0</v>
      </c>
      <c r="H20" s="283">
        <f t="shared" si="7"/>
        <v>0</v>
      </c>
      <c r="I20" s="283">
        <f t="shared" si="7"/>
        <v>0</v>
      </c>
      <c r="J20" s="283">
        <f t="shared" si="7"/>
        <v>340528</v>
      </c>
      <c r="K20" s="283">
        <f t="shared" si="7"/>
        <v>0</v>
      </c>
      <c r="L20" s="283">
        <f t="shared" si="7"/>
        <v>0</v>
      </c>
      <c r="M20" s="291">
        <f t="shared" si="0"/>
        <v>340528</v>
      </c>
    </row>
    <row r="21" spans="1:13" ht="33" customHeight="1" x14ac:dyDescent="0.25">
      <c r="A21" s="822"/>
      <c r="B21" s="818" t="s">
        <v>28</v>
      </c>
      <c r="C21" s="819"/>
      <c r="D21" s="492"/>
      <c r="E21" s="492"/>
      <c r="F21" s="492"/>
      <c r="G21" s="492"/>
      <c r="H21" s="492"/>
      <c r="I21" s="492"/>
      <c r="J21" s="492"/>
      <c r="K21" s="492"/>
      <c r="L21" s="493"/>
      <c r="M21" s="291">
        <f t="shared" si="0"/>
        <v>0</v>
      </c>
    </row>
    <row r="22" spans="1:13" ht="33" customHeight="1" x14ac:dyDescent="0.25">
      <c r="A22" s="822"/>
      <c r="B22" s="818" t="s">
        <v>29</v>
      </c>
      <c r="C22" s="819"/>
      <c r="D22" s="492"/>
      <c r="E22" s="492"/>
      <c r="F22" s="492"/>
      <c r="G22" s="492"/>
      <c r="H22" s="492"/>
      <c r="I22" s="492"/>
      <c r="J22" s="492">
        <f>+'13.c.sz.m.Kötött maradvány'!E253</f>
        <v>340528</v>
      </c>
      <c r="K22" s="492"/>
      <c r="L22" s="493"/>
      <c r="M22" s="291">
        <f t="shared" si="0"/>
        <v>340528</v>
      </c>
    </row>
    <row r="23" spans="1:13" ht="39.75" customHeight="1" x14ac:dyDescent="0.3">
      <c r="A23" s="546" t="s">
        <v>33</v>
      </c>
      <c r="B23" s="820" t="s">
        <v>806</v>
      </c>
      <c r="C23" s="821"/>
      <c r="D23" s="283">
        <f>SUM(D24:D25)</f>
        <v>3201142</v>
      </c>
      <c r="E23" s="283">
        <f t="shared" ref="E23:L23" si="8">SUM(E24:E25)</f>
        <v>328897</v>
      </c>
      <c r="F23" s="283">
        <f t="shared" si="8"/>
        <v>2952098</v>
      </c>
      <c r="G23" s="283">
        <f t="shared" si="8"/>
        <v>22860</v>
      </c>
      <c r="H23" s="283">
        <f t="shared" si="8"/>
        <v>22860</v>
      </c>
      <c r="I23" s="283">
        <f t="shared" si="8"/>
        <v>22860</v>
      </c>
      <c r="J23" s="283">
        <f t="shared" si="8"/>
        <v>22948</v>
      </c>
      <c r="K23" s="283">
        <f t="shared" si="8"/>
        <v>3451127</v>
      </c>
      <c r="L23" s="283">
        <f t="shared" si="8"/>
        <v>276860</v>
      </c>
      <c r="M23" s="291">
        <f t="shared" si="0"/>
        <v>10301652</v>
      </c>
    </row>
    <row r="24" spans="1:13" ht="33" customHeight="1" x14ac:dyDescent="0.25">
      <c r="A24" s="822"/>
      <c r="B24" s="818" t="s">
        <v>28</v>
      </c>
      <c r="C24" s="819"/>
      <c r="D24" s="492">
        <f>+'13.c.sz.m.Kötött maradvány'!E180</f>
        <v>3201142</v>
      </c>
      <c r="E24" s="492">
        <f>+'13.c.sz.m.Kötött maradvány'!E113</f>
        <v>328897</v>
      </c>
      <c r="F24" s="492">
        <f>+'13.c.sz.m.Kötött maradvány'!E142</f>
        <v>2952098</v>
      </c>
      <c r="G24" s="492">
        <f>+'13.c.sz.m.Kötött maradvány'!E158</f>
        <v>22860</v>
      </c>
      <c r="H24" s="492">
        <f>+'13.c.sz.m.Kötött maradvány'!E193</f>
        <v>22860</v>
      </c>
      <c r="I24" s="492">
        <f>+'13.c.sz.m.Kötött maradvány'!E238</f>
        <v>22860</v>
      </c>
      <c r="J24" s="492">
        <f>+'13.c.sz.m.Kötött maradvány'!E257</f>
        <v>22948</v>
      </c>
      <c r="K24" s="492">
        <f>+'13.c.sz.m.Kötött maradvány'!E224</f>
        <v>302860</v>
      </c>
      <c r="L24" s="493">
        <f>+'13.c.sz.m.Kötött maradvány'!C208</f>
        <v>276860</v>
      </c>
      <c r="M24" s="291">
        <f t="shared" si="0"/>
        <v>7153385</v>
      </c>
    </row>
    <row r="25" spans="1:13" ht="28.5" customHeight="1" x14ac:dyDescent="0.25">
      <c r="A25" s="822"/>
      <c r="B25" s="818" t="s">
        <v>29</v>
      </c>
      <c r="C25" s="819"/>
      <c r="D25" s="492"/>
      <c r="E25" s="492"/>
      <c r="F25" s="492"/>
      <c r="G25" s="492"/>
      <c r="H25" s="492"/>
      <c r="I25" s="492"/>
      <c r="J25" s="492"/>
      <c r="K25" s="492">
        <f>+'13.c.sz.m.Kötött maradvány'!E226</f>
        <v>3148267</v>
      </c>
      <c r="L25" s="493"/>
      <c r="M25" s="291">
        <f t="shared" si="0"/>
        <v>3148267</v>
      </c>
    </row>
    <row r="26" spans="1:13" ht="28.5" customHeight="1" x14ac:dyDescent="0.3">
      <c r="A26" s="546" t="s">
        <v>34</v>
      </c>
      <c r="B26" s="820" t="s">
        <v>837</v>
      </c>
      <c r="C26" s="821"/>
      <c r="D26" s="283">
        <f>SUM(D27:D28)</f>
        <v>0</v>
      </c>
      <c r="E26" s="283">
        <f t="shared" ref="E26:L26" si="9">SUM(E27:E28)</f>
        <v>0</v>
      </c>
      <c r="F26" s="283">
        <f t="shared" si="9"/>
        <v>0</v>
      </c>
      <c r="G26" s="283">
        <f t="shared" si="9"/>
        <v>0</v>
      </c>
      <c r="H26" s="283">
        <f t="shared" si="9"/>
        <v>0</v>
      </c>
      <c r="I26" s="283">
        <f t="shared" si="9"/>
        <v>0</v>
      </c>
      <c r="J26" s="283">
        <f t="shared" si="9"/>
        <v>0</v>
      </c>
      <c r="K26" s="283">
        <f t="shared" si="9"/>
        <v>0</v>
      </c>
      <c r="L26" s="283">
        <f t="shared" si="9"/>
        <v>0</v>
      </c>
      <c r="M26" s="291">
        <f t="shared" si="0"/>
        <v>0</v>
      </c>
    </row>
    <row r="27" spans="1:13" ht="28.5" customHeight="1" x14ac:dyDescent="0.25">
      <c r="A27" s="822"/>
      <c r="B27" s="818" t="s">
        <v>28</v>
      </c>
      <c r="C27" s="819"/>
      <c r="D27" s="492"/>
      <c r="E27" s="492"/>
      <c r="F27" s="492"/>
      <c r="G27" s="492"/>
      <c r="H27" s="492"/>
      <c r="I27" s="492"/>
      <c r="J27" s="492"/>
      <c r="K27" s="492"/>
      <c r="L27" s="493"/>
      <c r="M27" s="291">
        <f t="shared" si="0"/>
        <v>0</v>
      </c>
    </row>
    <row r="28" spans="1:13" ht="28.5" customHeight="1" x14ac:dyDescent="0.25">
      <c r="A28" s="822"/>
      <c r="B28" s="818" t="s">
        <v>29</v>
      </c>
      <c r="C28" s="819"/>
      <c r="D28" s="492"/>
      <c r="E28" s="492"/>
      <c r="F28" s="492"/>
      <c r="G28" s="492"/>
      <c r="H28" s="492"/>
      <c r="I28" s="492"/>
      <c r="J28" s="492"/>
      <c r="K28" s="492"/>
      <c r="L28" s="493"/>
      <c r="M28" s="291">
        <f t="shared" si="0"/>
        <v>0</v>
      </c>
    </row>
    <row r="29" spans="1:13" s="494" customFormat="1" ht="42.75" customHeight="1" x14ac:dyDescent="0.3">
      <c r="A29" s="546" t="s">
        <v>35</v>
      </c>
      <c r="B29" s="821" t="s">
        <v>582</v>
      </c>
      <c r="C29" s="826"/>
      <c r="D29" s="283">
        <f>SUM(D30:D31)</f>
        <v>4086087</v>
      </c>
      <c r="E29" s="283">
        <f t="shared" ref="E29:L29" si="10">SUM(E30:E31)</f>
        <v>655533</v>
      </c>
      <c r="F29" s="283">
        <f t="shared" si="10"/>
        <v>15596915</v>
      </c>
      <c r="G29" s="283">
        <f t="shared" si="10"/>
        <v>749292</v>
      </c>
      <c r="H29" s="283">
        <f t="shared" si="10"/>
        <v>427803</v>
      </c>
      <c r="I29" s="283">
        <f t="shared" si="10"/>
        <v>268017</v>
      </c>
      <c r="J29" s="283">
        <f t="shared" si="10"/>
        <v>426519</v>
      </c>
      <c r="K29" s="283">
        <f t="shared" si="10"/>
        <v>3794991</v>
      </c>
      <c r="L29" s="283">
        <f t="shared" si="10"/>
        <v>368900</v>
      </c>
      <c r="M29" s="291">
        <f t="shared" si="0"/>
        <v>26374057</v>
      </c>
    </row>
    <row r="30" spans="1:13" ht="23.25" customHeight="1" x14ac:dyDescent="0.25">
      <c r="A30" s="823"/>
      <c r="B30" s="818" t="s">
        <v>28</v>
      </c>
      <c r="C30" s="819"/>
      <c r="D30" s="492">
        <f>+D15+D18+D21+D24+D27</f>
        <v>4086087</v>
      </c>
      <c r="E30" s="492">
        <f t="shared" ref="E30:L30" si="11">+E15+E18+E21+E24+E27</f>
        <v>655533</v>
      </c>
      <c r="F30" s="492">
        <f t="shared" si="11"/>
        <v>15596915</v>
      </c>
      <c r="G30" s="492">
        <f t="shared" si="11"/>
        <v>749292</v>
      </c>
      <c r="H30" s="492">
        <f t="shared" si="11"/>
        <v>427803</v>
      </c>
      <c r="I30" s="492">
        <f t="shared" si="11"/>
        <v>268017</v>
      </c>
      <c r="J30" s="492">
        <f t="shared" si="11"/>
        <v>85991</v>
      </c>
      <c r="K30" s="492">
        <f t="shared" si="11"/>
        <v>646724</v>
      </c>
      <c r="L30" s="492">
        <f t="shared" si="11"/>
        <v>368900</v>
      </c>
      <c r="M30" s="292">
        <f t="shared" si="0"/>
        <v>22885262</v>
      </c>
    </row>
    <row r="31" spans="1:13" ht="23.25" customHeight="1" x14ac:dyDescent="0.25">
      <c r="A31" s="823"/>
      <c r="B31" s="818" t="s">
        <v>29</v>
      </c>
      <c r="C31" s="819"/>
      <c r="D31" s="492">
        <f>+D16+D19+D22+D25+D28</f>
        <v>0</v>
      </c>
      <c r="E31" s="492">
        <f t="shared" ref="E31:L31" si="12">+E16+E19+E22+E25+E28</f>
        <v>0</v>
      </c>
      <c r="F31" s="492">
        <f t="shared" si="12"/>
        <v>0</v>
      </c>
      <c r="G31" s="492">
        <f t="shared" si="12"/>
        <v>0</v>
      </c>
      <c r="H31" s="492">
        <f t="shared" si="12"/>
        <v>0</v>
      </c>
      <c r="I31" s="492">
        <f t="shared" si="12"/>
        <v>0</v>
      </c>
      <c r="J31" s="492">
        <f t="shared" si="12"/>
        <v>340528</v>
      </c>
      <c r="K31" s="492">
        <f t="shared" si="12"/>
        <v>3148267</v>
      </c>
      <c r="L31" s="492">
        <f t="shared" si="12"/>
        <v>0</v>
      </c>
      <c r="M31" s="292">
        <f t="shared" si="0"/>
        <v>3488795</v>
      </c>
    </row>
    <row r="32" spans="1:13" ht="59.25" customHeight="1" x14ac:dyDescent="0.3">
      <c r="A32" s="546" t="s">
        <v>37</v>
      </c>
      <c r="B32" s="821" t="s">
        <v>31</v>
      </c>
      <c r="C32" s="826"/>
      <c r="D32" s="283">
        <f t="shared" ref="D32:L32" si="13">+D11-D29</f>
        <v>34588794</v>
      </c>
      <c r="E32" s="283">
        <f t="shared" si="13"/>
        <v>19044359</v>
      </c>
      <c r="F32" s="283">
        <f t="shared" si="13"/>
        <v>63201781</v>
      </c>
      <c r="G32" s="283">
        <f t="shared" si="13"/>
        <v>5540351</v>
      </c>
      <c r="H32" s="283">
        <f t="shared" si="13"/>
        <v>11118964</v>
      </c>
      <c r="I32" s="283">
        <f t="shared" si="13"/>
        <v>5378111</v>
      </c>
      <c r="J32" s="283">
        <f>+J11-J29</f>
        <v>6237769</v>
      </c>
      <c r="K32" s="283">
        <f t="shared" si="13"/>
        <v>11154291</v>
      </c>
      <c r="L32" s="289">
        <f t="shared" si="13"/>
        <v>3068287</v>
      </c>
      <c r="M32" s="291">
        <f t="shared" si="0"/>
        <v>159332707</v>
      </c>
    </row>
    <row r="33" spans="1:13" s="85" customFormat="1" ht="47.45" customHeight="1" x14ac:dyDescent="0.3">
      <c r="A33" s="547" t="s">
        <v>47</v>
      </c>
      <c r="B33" s="827" t="s">
        <v>573</v>
      </c>
      <c r="C33" s="828"/>
      <c r="D33" s="543"/>
      <c r="E33" s="284"/>
      <c r="F33" s="284"/>
      <c r="G33" s="284"/>
      <c r="H33" s="284"/>
      <c r="I33" s="284"/>
      <c r="J33" s="284"/>
      <c r="K33" s="284"/>
      <c r="L33" s="290"/>
      <c r="M33" s="293"/>
    </row>
    <row r="34" spans="1:13" ht="23.25" customHeight="1" x14ac:dyDescent="0.3">
      <c r="A34" s="548" t="s">
        <v>49</v>
      </c>
      <c r="B34" s="824" t="s">
        <v>36</v>
      </c>
      <c r="C34" s="825"/>
      <c r="D34" s="285">
        <f>+D32-D33</f>
        <v>34588794</v>
      </c>
      <c r="E34" s="285">
        <f t="shared" ref="E34:L34" si="14">+E32-E33</f>
        <v>19044359</v>
      </c>
      <c r="F34" s="285">
        <f t="shared" si="14"/>
        <v>63201781</v>
      </c>
      <c r="G34" s="285">
        <f t="shared" si="14"/>
        <v>5540351</v>
      </c>
      <c r="H34" s="285">
        <f t="shared" si="14"/>
        <v>11118964</v>
      </c>
      <c r="I34" s="285">
        <f t="shared" si="14"/>
        <v>5378111</v>
      </c>
      <c r="J34" s="285">
        <f t="shared" si="14"/>
        <v>6237769</v>
      </c>
      <c r="K34" s="285">
        <f t="shared" si="14"/>
        <v>11154291</v>
      </c>
      <c r="L34" s="285">
        <f t="shared" si="14"/>
        <v>3068287</v>
      </c>
      <c r="M34" s="294">
        <f t="shared" si="0"/>
        <v>159332707</v>
      </c>
    </row>
    <row r="35" spans="1:13" ht="23.25" x14ac:dyDescent="0.35">
      <c r="A35" s="173" t="s">
        <v>732</v>
      </c>
    </row>
  </sheetData>
  <mergeCells count="40">
    <mergeCell ref="B7:C7"/>
    <mergeCell ref="B8:C8"/>
    <mergeCell ref="B9:C9"/>
    <mergeCell ref="B10:C10"/>
    <mergeCell ref="B11:C11"/>
    <mergeCell ref="B6:C6"/>
    <mergeCell ref="A1:M1"/>
    <mergeCell ref="A3:A4"/>
    <mergeCell ref="B3:C4"/>
    <mergeCell ref="M3:M4"/>
    <mergeCell ref="B5:C5"/>
    <mergeCell ref="B34:C34"/>
    <mergeCell ref="B32:C32"/>
    <mergeCell ref="B33:C33"/>
    <mergeCell ref="B12:C12"/>
    <mergeCell ref="B13:C13"/>
    <mergeCell ref="B29:C29"/>
    <mergeCell ref="B14:C14"/>
    <mergeCell ref="B15:C15"/>
    <mergeCell ref="B19:C19"/>
    <mergeCell ref="B20:C20"/>
    <mergeCell ref="B26:C26"/>
    <mergeCell ref="B21:C21"/>
    <mergeCell ref="B22:C22"/>
    <mergeCell ref="B23:C23"/>
    <mergeCell ref="B24:C24"/>
    <mergeCell ref="B25:C25"/>
    <mergeCell ref="A21:A22"/>
    <mergeCell ref="A24:A25"/>
    <mergeCell ref="A27:A28"/>
    <mergeCell ref="A30:A31"/>
    <mergeCell ref="B30:C30"/>
    <mergeCell ref="B31:C31"/>
    <mergeCell ref="B27:C27"/>
    <mergeCell ref="B28:C28"/>
    <mergeCell ref="B16:C16"/>
    <mergeCell ref="B17:C17"/>
    <mergeCell ref="B18:C18"/>
    <mergeCell ref="A15:A16"/>
    <mergeCell ref="A18:A19"/>
  </mergeCells>
  <printOptions horizontalCentered="1" verticalCentered="1"/>
  <pageMargins left="0.31496062992125984" right="0.23622047244094491" top="0.59055118110236227" bottom="0.74803149606299213" header="0.31496062992125984" footer="0.31496062992125984"/>
  <pageSetup paperSize="9" scale="39" orientation="landscape" r:id="rId1"/>
  <headerFooter>
    <oddHeader>&amp;CDunaharaszti Város Önkormányzat 
2021. évi zárszámadás&amp;R&amp;A</oddHeader>
    <oddFooter xml:space="preserve">&amp;C&amp;P/&amp;N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K19"/>
  <sheetViews>
    <sheetView view="pageBreakPreview" zoomScaleNormal="100" zoomScaleSheetLayoutView="100" workbookViewId="0">
      <selection activeCell="J7" sqref="J7"/>
    </sheetView>
  </sheetViews>
  <sheetFormatPr defaultRowHeight="15" x14ac:dyDescent="0.25"/>
  <cols>
    <col min="1" max="1" width="2.5703125" bestFit="1" customWidth="1"/>
    <col min="2" max="2" width="54" bestFit="1" customWidth="1"/>
    <col min="3" max="3" width="22.140625" customWidth="1"/>
    <col min="4" max="4" width="22.140625" style="447" customWidth="1"/>
    <col min="5" max="9" width="21.85546875" customWidth="1"/>
    <col min="10" max="10" width="18.28515625" customWidth="1"/>
    <col min="11" max="11" width="14.5703125" bestFit="1" customWidth="1"/>
  </cols>
  <sheetData>
    <row r="1" spans="1:10" ht="18.75" x14ac:dyDescent="0.3">
      <c r="A1" s="1045" t="s">
        <v>715</v>
      </c>
      <c r="B1" s="1045"/>
      <c r="C1" s="1045"/>
      <c r="D1" s="1045"/>
      <c r="E1" s="1045"/>
      <c r="F1" s="1045"/>
      <c r="G1" s="1045"/>
      <c r="H1" s="1045"/>
      <c r="I1" s="1045"/>
      <c r="J1" s="1045"/>
    </row>
    <row r="2" spans="1:10" x14ac:dyDescent="0.25">
      <c r="A2" s="1046" t="s">
        <v>716</v>
      </c>
      <c r="B2" s="1046"/>
      <c r="C2" s="1046"/>
      <c r="D2" s="1046"/>
      <c r="E2" s="1046"/>
      <c r="F2" s="1046"/>
      <c r="G2" s="1046"/>
      <c r="H2" s="1046"/>
      <c r="I2" s="1046"/>
      <c r="J2" s="1046"/>
    </row>
    <row r="3" spans="1:10" ht="15.75" x14ac:dyDescent="0.25">
      <c r="A3" s="264"/>
      <c r="B3" s="264"/>
      <c r="C3" s="458"/>
      <c r="D3" s="458"/>
      <c r="E3" s="458"/>
      <c r="F3" s="458"/>
      <c r="G3" s="458"/>
      <c r="H3" s="458"/>
      <c r="I3" s="458"/>
      <c r="J3" s="458"/>
    </row>
    <row r="4" spans="1:10" ht="16.5" thickBot="1" x14ac:dyDescent="0.3">
      <c r="B4" s="263"/>
      <c r="C4" s="458"/>
      <c r="D4" s="458"/>
      <c r="E4" s="56"/>
      <c r="F4" s="56"/>
      <c r="G4" s="56"/>
      <c r="H4" s="56"/>
      <c r="I4" s="56"/>
      <c r="J4" s="56"/>
    </row>
    <row r="5" spans="1:10" ht="30" x14ac:dyDescent="0.25">
      <c r="A5" s="1048" t="s">
        <v>690</v>
      </c>
      <c r="B5" s="1049"/>
      <c r="C5" s="1081" t="s">
        <v>642</v>
      </c>
      <c r="D5" s="1082"/>
      <c r="E5" s="1081" t="s">
        <v>760</v>
      </c>
      <c r="F5" s="1082"/>
      <c r="G5" s="439" t="s">
        <v>755</v>
      </c>
      <c r="H5" s="439" t="s">
        <v>876</v>
      </c>
      <c r="I5" s="439" t="s">
        <v>1141</v>
      </c>
      <c r="J5" s="452" t="s">
        <v>1144</v>
      </c>
    </row>
    <row r="6" spans="1:10" ht="15.75" thickBot="1" x14ac:dyDescent="0.3">
      <c r="A6" s="1062" t="s">
        <v>790</v>
      </c>
      <c r="B6" s="1053"/>
      <c r="C6" s="748">
        <v>93094080</v>
      </c>
      <c r="D6" s="748">
        <v>91947816</v>
      </c>
      <c r="E6" s="1063">
        <v>0</v>
      </c>
      <c r="F6" s="1065"/>
      <c r="G6" s="715">
        <v>91911355</v>
      </c>
      <c r="H6" s="715"/>
      <c r="I6" s="715"/>
      <c r="J6" s="455">
        <f>+D6-E6-G6</f>
        <v>36461</v>
      </c>
    </row>
    <row r="7" spans="1:10" ht="45" x14ac:dyDescent="0.25">
      <c r="A7" s="1041" t="s">
        <v>647</v>
      </c>
      <c r="B7" s="1042"/>
      <c r="C7" s="1073" t="s">
        <v>648</v>
      </c>
      <c r="D7" s="1074"/>
      <c r="E7" s="439" t="s">
        <v>650</v>
      </c>
      <c r="F7" s="439" t="s">
        <v>1145</v>
      </c>
      <c r="G7" s="439" t="s">
        <v>756</v>
      </c>
      <c r="H7" s="439" t="s">
        <v>875</v>
      </c>
      <c r="I7" s="439" t="s">
        <v>1140</v>
      </c>
      <c r="J7" s="452" t="s">
        <v>1146</v>
      </c>
    </row>
    <row r="8" spans="1:10" ht="30" x14ac:dyDescent="0.25">
      <c r="A8" s="733" t="s">
        <v>3</v>
      </c>
      <c r="B8" s="726" t="s">
        <v>717</v>
      </c>
      <c r="C8" s="727">
        <v>143538928</v>
      </c>
      <c r="D8" s="1075">
        <v>147974050</v>
      </c>
      <c r="E8" s="729">
        <v>0</v>
      </c>
      <c r="F8" s="729">
        <v>0</v>
      </c>
      <c r="G8" s="1078">
        <v>147974049</v>
      </c>
      <c r="H8" s="1078">
        <v>0</v>
      </c>
      <c r="I8" s="1078">
        <v>0</v>
      </c>
      <c r="J8" s="1067">
        <f>+D8-G8</f>
        <v>1</v>
      </c>
    </row>
    <row r="9" spans="1:10" ht="30" x14ac:dyDescent="0.25">
      <c r="A9" s="733" t="s">
        <v>4</v>
      </c>
      <c r="B9" s="726" t="s">
        <v>718</v>
      </c>
      <c r="C9" s="727">
        <v>3240176</v>
      </c>
      <c r="D9" s="1076"/>
      <c r="E9" s="729">
        <v>0</v>
      </c>
      <c r="F9" s="729">
        <v>0</v>
      </c>
      <c r="G9" s="1079"/>
      <c r="H9" s="1079"/>
      <c r="I9" s="1079"/>
      <c r="J9" s="1068"/>
    </row>
    <row r="10" spans="1:10" ht="30" x14ac:dyDescent="0.25">
      <c r="A10" s="733" t="s">
        <v>5</v>
      </c>
      <c r="B10" s="726" t="s">
        <v>719</v>
      </c>
      <c r="C10" s="727">
        <v>812800</v>
      </c>
      <c r="D10" s="1076"/>
      <c r="E10" s="729">
        <v>0</v>
      </c>
      <c r="F10" s="729">
        <v>0</v>
      </c>
      <c r="G10" s="1079"/>
      <c r="H10" s="1079"/>
      <c r="I10" s="1079"/>
      <c r="J10" s="1068"/>
    </row>
    <row r="11" spans="1:10" ht="16.5" customHeight="1" x14ac:dyDescent="0.25">
      <c r="A11" s="733" t="s">
        <v>6</v>
      </c>
      <c r="B11" s="726" t="s">
        <v>720</v>
      </c>
      <c r="C11" s="727">
        <v>228600</v>
      </c>
      <c r="D11" s="1077"/>
      <c r="E11" s="729">
        <v>0</v>
      </c>
      <c r="F11" s="729">
        <v>0</v>
      </c>
      <c r="G11" s="1080"/>
      <c r="H11" s="1080"/>
      <c r="I11" s="1080"/>
      <c r="J11" s="1071"/>
    </row>
    <row r="12" spans="1:10" ht="60" x14ac:dyDescent="0.25">
      <c r="A12" s="733" t="s">
        <v>7</v>
      </c>
      <c r="B12" s="726" t="s">
        <v>721</v>
      </c>
      <c r="C12" s="727">
        <v>3029114</v>
      </c>
      <c r="D12" s="749">
        <v>1752129</v>
      </c>
      <c r="E12" s="729">
        <v>0</v>
      </c>
      <c r="F12" s="729">
        <v>635000</v>
      </c>
      <c r="G12" s="729">
        <v>1117129</v>
      </c>
      <c r="H12" s="729">
        <v>0</v>
      </c>
      <c r="I12" s="729">
        <v>0</v>
      </c>
      <c r="J12" s="446">
        <f>+D12-F12-G12</f>
        <v>0</v>
      </c>
    </row>
    <row r="13" spans="1:10" ht="30" x14ac:dyDescent="0.25">
      <c r="A13" s="733" t="s">
        <v>8</v>
      </c>
      <c r="B13" s="726" t="s">
        <v>713</v>
      </c>
      <c r="C13" s="727">
        <v>1562100</v>
      </c>
      <c r="D13" s="728">
        <v>762000</v>
      </c>
      <c r="E13" s="729">
        <v>762000</v>
      </c>
      <c r="F13" s="729">
        <v>762000</v>
      </c>
      <c r="G13" s="729">
        <v>0</v>
      </c>
      <c r="H13" s="729">
        <v>0</v>
      </c>
      <c r="I13" s="729">
        <v>0</v>
      </c>
      <c r="J13" s="446">
        <f>+D13-F13-G13</f>
        <v>0</v>
      </c>
    </row>
    <row r="14" spans="1:10" x14ac:dyDescent="0.25">
      <c r="A14" s="733" t="s">
        <v>9</v>
      </c>
      <c r="B14" s="732" t="s">
        <v>698</v>
      </c>
      <c r="C14" s="727">
        <v>1562100</v>
      </c>
      <c r="D14" s="728">
        <v>1551559</v>
      </c>
      <c r="E14" s="729">
        <v>0</v>
      </c>
      <c r="F14" s="729">
        <v>0</v>
      </c>
      <c r="G14" s="729">
        <f>1551559+10541</f>
        <v>1562100</v>
      </c>
      <c r="H14" s="729">
        <v>0</v>
      </c>
      <c r="I14" s="729">
        <v>0</v>
      </c>
      <c r="J14" s="446">
        <f t="shared" ref="J14:J16" si="0">+D14-F14-G14</f>
        <v>-10541</v>
      </c>
    </row>
    <row r="15" spans="1:10" x14ac:dyDescent="0.25">
      <c r="A15" s="733" t="s">
        <v>23</v>
      </c>
      <c r="B15" s="732" t="s">
        <v>699</v>
      </c>
      <c r="C15" s="727">
        <v>2720262</v>
      </c>
      <c r="D15" s="728">
        <v>2720262</v>
      </c>
      <c r="E15" s="729">
        <v>0</v>
      </c>
      <c r="F15" s="729">
        <v>0</v>
      </c>
      <c r="G15" s="729">
        <f>2287857+360337</f>
        <v>2648194</v>
      </c>
      <c r="H15" s="729">
        <v>0</v>
      </c>
      <c r="I15" s="729">
        <v>0</v>
      </c>
      <c r="J15" s="446">
        <f t="shared" si="0"/>
        <v>72068</v>
      </c>
    </row>
    <row r="16" spans="1:10" ht="45.75" thickBot="1" x14ac:dyDescent="0.3">
      <c r="A16" s="733" t="s">
        <v>25</v>
      </c>
      <c r="B16" s="726" t="s">
        <v>722</v>
      </c>
      <c r="C16" s="727">
        <v>400000</v>
      </c>
      <c r="D16" s="728">
        <v>400000</v>
      </c>
      <c r="E16" s="729">
        <v>0</v>
      </c>
      <c r="F16" s="729">
        <v>0</v>
      </c>
      <c r="G16" s="729">
        <v>400000</v>
      </c>
      <c r="H16" s="729">
        <v>0</v>
      </c>
      <c r="I16" s="729">
        <v>0</v>
      </c>
      <c r="J16" s="446">
        <f t="shared" si="0"/>
        <v>0</v>
      </c>
    </row>
    <row r="17" spans="1:11" ht="15.75" thickBot="1" x14ac:dyDescent="0.3">
      <c r="A17" s="1060" t="s">
        <v>770</v>
      </c>
      <c r="B17" s="1061"/>
      <c r="C17" s="456">
        <f t="shared" ref="C17:J17" si="1">SUM(C8:C16)</f>
        <v>157094080</v>
      </c>
      <c r="D17" s="456">
        <f t="shared" si="1"/>
        <v>155160000</v>
      </c>
      <c r="E17" s="457">
        <f t="shared" si="1"/>
        <v>762000</v>
      </c>
      <c r="F17" s="457">
        <f t="shared" si="1"/>
        <v>1397000</v>
      </c>
      <c r="G17" s="457">
        <f t="shared" si="1"/>
        <v>153701472</v>
      </c>
      <c r="H17" s="457">
        <f t="shared" ref="H17:I17" si="2">SUM(H8:H16)</f>
        <v>0</v>
      </c>
      <c r="I17" s="457">
        <f t="shared" si="2"/>
        <v>0</v>
      </c>
      <c r="J17" s="459">
        <f t="shared" si="1"/>
        <v>61528</v>
      </c>
      <c r="K17" s="276"/>
    </row>
    <row r="18" spans="1:11" x14ac:dyDescent="0.25">
      <c r="C18" s="56"/>
      <c r="D18" s="56"/>
      <c r="E18" s="56"/>
      <c r="F18" s="56"/>
      <c r="G18" s="750"/>
      <c r="H18" s="56"/>
      <c r="I18" s="56"/>
      <c r="J18" s="56"/>
    </row>
    <row r="19" spans="1:11" ht="22.15" customHeight="1" x14ac:dyDescent="0.25">
      <c r="A19" s="1072" t="s">
        <v>1147</v>
      </c>
      <c r="B19" s="1072"/>
      <c r="C19" s="1072"/>
      <c r="D19" s="1072"/>
      <c r="E19" s="1072"/>
      <c r="F19" s="1072"/>
      <c r="G19" s="1072"/>
      <c r="H19" s="1072"/>
      <c r="I19" s="1072"/>
      <c r="J19" s="1072"/>
    </row>
  </sheetData>
  <mergeCells count="16">
    <mergeCell ref="A6:B6"/>
    <mergeCell ref="E6:F6"/>
    <mergeCell ref="A1:J1"/>
    <mergeCell ref="A2:J2"/>
    <mergeCell ref="A5:B5"/>
    <mergeCell ref="C5:D5"/>
    <mergeCell ref="E5:F5"/>
    <mergeCell ref="J8:J11"/>
    <mergeCell ref="A17:B17"/>
    <mergeCell ref="A19:J19"/>
    <mergeCell ref="A7:B7"/>
    <mergeCell ref="C7:D7"/>
    <mergeCell ref="D8:D11"/>
    <mergeCell ref="G8:G11"/>
    <mergeCell ref="H8:H11"/>
    <mergeCell ref="I8:I11"/>
  </mergeCells>
  <printOptions horizontalCentered="1"/>
  <pageMargins left="0.70866141732283472" right="0.70866141732283472" top="1.1417322834645669" bottom="0.74803149606299213" header="0.31496062992125984" footer="0.31496062992125984"/>
  <pageSetup paperSize="9" scale="57" orientation="landscape" r:id="rId1"/>
  <headerFooter>
    <oddHeader>&amp;CDunaharaszti Város Önkormányzata
2021. évi zárszámadás&amp;R&amp;A</oddHeader>
    <oddFooter>&amp;C&amp;P/&amp;N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O25"/>
  <sheetViews>
    <sheetView view="pageBreakPreview" zoomScaleNormal="100" zoomScaleSheetLayoutView="100" workbookViewId="0">
      <selection activeCell="J17" sqref="A17:XFD18"/>
    </sheetView>
  </sheetViews>
  <sheetFormatPr defaultRowHeight="15" x14ac:dyDescent="0.25"/>
  <cols>
    <col min="1" max="1" width="6.7109375" customWidth="1"/>
    <col min="2" max="2" width="42.85546875" customWidth="1"/>
    <col min="3" max="3" width="14.5703125" bestFit="1" customWidth="1"/>
    <col min="4" max="4" width="17.140625" customWidth="1"/>
    <col min="5" max="5" width="20.28515625" customWidth="1"/>
    <col min="6" max="8" width="20.140625" customWidth="1"/>
    <col min="9" max="9" width="17.140625" customWidth="1"/>
    <col min="10" max="10" width="13.7109375" customWidth="1"/>
    <col min="11" max="11" width="12.85546875" customWidth="1"/>
    <col min="15" max="15" width="9.5703125" bestFit="1" customWidth="1"/>
  </cols>
  <sheetData>
    <row r="1" spans="1:15" ht="18.75" x14ac:dyDescent="0.3">
      <c r="A1" s="1045" t="s">
        <v>771</v>
      </c>
      <c r="B1" s="1045"/>
      <c r="C1" s="1045"/>
      <c r="D1" s="1045"/>
      <c r="E1" s="1045"/>
      <c r="F1" s="1045"/>
      <c r="G1" s="1045"/>
      <c r="H1" s="1045"/>
      <c r="I1" s="1045"/>
    </row>
    <row r="2" spans="1:15" ht="15" customHeight="1" x14ac:dyDescent="0.25">
      <c r="A2" s="1046" t="s">
        <v>772</v>
      </c>
      <c r="B2" s="1046"/>
      <c r="C2" s="1046"/>
      <c r="D2" s="1046"/>
      <c r="E2" s="1046"/>
      <c r="F2" s="1046"/>
      <c r="G2" s="1046"/>
      <c r="H2" s="1046"/>
      <c r="I2" s="1046"/>
    </row>
    <row r="4" spans="1:15" ht="16.5" thickBot="1" x14ac:dyDescent="0.3">
      <c r="B4" s="263"/>
      <c r="C4" s="264"/>
      <c r="D4" s="264"/>
    </row>
    <row r="5" spans="1:15" ht="60" x14ac:dyDescent="0.25">
      <c r="A5" s="1048" t="s">
        <v>690</v>
      </c>
      <c r="B5" s="1049"/>
      <c r="C5" s="713" t="s">
        <v>642</v>
      </c>
      <c r="D5" s="265" t="s">
        <v>773</v>
      </c>
      <c r="E5" s="265" t="s">
        <v>760</v>
      </c>
      <c r="F5" s="265" t="s">
        <v>774</v>
      </c>
      <c r="G5" s="265" t="s">
        <v>874</v>
      </c>
      <c r="H5" s="265" t="s">
        <v>1148</v>
      </c>
      <c r="I5" s="452" t="s">
        <v>1144</v>
      </c>
    </row>
    <row r="6" spans="1:15" ht="37.5" customHeight="1" thickBot="1" x14ac:dyDescent="0.3">
      <c r="A6" s="1062" t="s">
        <v>775</v>
      </c>
      <c r="B6" s="1053"/>
      <c r="C6" s="267">
        <v>192217756</v>
      </c>
      <c r="D6" s="714"/>
      <c r="E6" s="714"/>
      <c r="F6" s="714">
        <v>100767561</v>
      </c>
      <c r="G6" s="714">
        <v>91450195</v>
      </c>
      <c r="H6" s="714"/>
      <c r="I6" s="268" t="s">
        <v>78</v>
      </c>
    </row>
    <row r="7" spans="1:15" ht="45" x14ac:dyDescent="0.25">
      <c r="A7" s="1041" t="s">
        <v>647</v>
      </c>
      <c r="B7" s="1042"/>
      <c r="C7" s="265" t="s">
        <v>648</v>
      </c>
      <c r="D7" s="265" t="s">
        <v>649</v>
      </c>
      <c r="E7" s="265" t="s">
        <v>650</v>
      </c>
      <c r="F7" s="265" t="s">
        <v>756</v>
      </c>
      <c r="G7" s="265" t="s">
        <v>875</v>
      </c>
      <c r="H7" s="265" t="s">
        <v>1140</v>
      </c>
      <c r="I7" s="452" t="s">
        <v>1146</v>
      </c>
    </row>
    <row r="8" spans="1:15" x14ac:dyDescent="0.25">
      <c r="A8" s="733" t="s">
        <v>3</v>
      </c>
      <c r="B8" s="726" t="s">
        <v>776</v>
      </c>
      <c r="C8" s="742">
        <v>97295894</v>
      </c>
      <c r="D8" s="751" t="s">
        <v>78</v>
      </c>
      <c r="E8" s="751" t="s">
        <v>78</v>
      </c>
      <c r="F8" s="752">
        <v>46215549</v>
      </c>
      <c r="G8" s="729">
        <v>51080345</v>
      </c>
      <c r="H8" s="719" t="s">
        <v>78</v>
      </c>
      <c r="I8" s="1087">
        <v>287632</v>
      </c>
    </row>
    <row r="9" spans="1:15" ht="30" x14ac:dyDescent="0.25">
      <c r="A9" s="733" t="s">
        <v>4</v>
      </c>
      <c r="B9" s="726" t="s">
        <v>777</v>
      </c>
      <c r="C9" s="742">
        <v>91841599</v>
      </c>
      <c r="D9" s="751" t="s">
        <v>78</v>
      </c>
      <c r="E9" s="751" t="s">
        <v>78</v>
      </c>
      <c r="F9" s="752">
        <v>43624759</v>
      </c>
      <c r="G9" s="729">
        <v>48216840</v>
      </c>
      <c r="H9" s="719" t="s">
        <v>78</v>
      </c>
      <c r="I9" s="1088"/>
    </row>
    <row r="10" spans="1:15" ht="30" x14ac:dyDescent="0.25">
      <c r="A10" s="733" t="s">
        <v>5</v>
      </c>
      <c r="B10" s="730" t="s">
        <v>778</v>
      </c>
      <c r="C10" s="742">
        <v>8216900</v>
      </c>
      <c r="D10" s="751">
        <v>596900</v>
      </c>
      <c r="E10" s="751" t="s">
        <v>78</v>
      </c>
      <c r="F10" s="752">
        <v>7302500</v>
      </c>
      <c r="G10" s="729">
        <v>317500</v>
      </c>
      <c r="H10" s="719" t="s">
        <v>78</v>
      </c>
      <c r="I10" s="1088"/>
    </row>
    <row r="11" spans="1:15" x14ac:dyDescent="0.25">
      <c r="A11" s="733" t="s">
        <v>6</v>
      </c>
      <c r="B11" s="726" t="s">
        <v>779</v>
      </c>
      <c r="C11" s="742">
        <v>762000</v>
      </c>
      <c r="D11" s="751" t="s">
        <v>78</v>
      </c>
      <c r="E11" s="751" t="s">
        <v>78</v>
      </c>
      <c r="F11" s="752">
        <v>762000</v>
      </c>
      <c r="G11" s="729" t="s">
        <v>78</v>
      </c>
      <c r="H11" s="719" t="s">
        <v>78</v>
      </c>
      <c r="I11" s="1088"/>
    </row>
    <row r="12" spans="1:15" ht="30" x14ac:dyDescent="0.25">
      <c r="A12" s="733" t="s">
        <v>7</v>
      </c>
      <c r="B12" s="726" t="s">
        <v>780</v>
      </c>
      <c r="C12" s="742">
        <v>3073400</v>
      </c>
      <c r="D12" s="753" t="s">
        <v>78</v>
      </c>
      <c r="E12" s="753" t="s">
        <v>78</v>
      </c>
      <c r="F12" s="744">
        <v>1170440</v>
      </c>
      <c r="G12" s="754">
        <v>1615328</v>
      </c>
      <c r="H12" s="755" t="s">
        <v>78</v>
      </c>
      <c r="I12" s="1088"/>
      <c r="J12" s="1083" t="s">
        <v>879</v>
      </c>
      <c r="K12" s="1084"/>
    </row>
    <row r="13" spans="1:15" ht="30" x14ac:dyDescent="0.25">
      <c r="A13" s="733" t="s">
        <v>8</v>
      </c>
      <c r="B13" s="726" t="s">
        <v>781</v>
      </c>
      <c r="C13" s="742">
        <v>292100</v>
      </c>
      <c r="D13" s="753" t="s">
        <v>78</v>
      </c>
      <c r="E13" s="753" t="s">
        <v>78</v>
      </c>
      <c r="F13" s="744">
        <v>170180</v>
      </c>
      <c r="G13" s="754">
        <v>121920</v>
      </c>
      <c r="H13" s="755" t="s">
        <v>78</v>
      </c>
      <c r="I13" s="1088"/>
      <c r="J13" s="1083"/>
      <c r="K13" s="1084"/>
    </row>
    <row r="14" spans="1:15" ht="15.75" thickBot="1" x14ac:dyDescent="0.3">
      <c r="A14" s="733" t="s">
        <v>9</v>
      </c>
      <c r="B14" s="732" t="s">
        <v>782</v>
      </c>
      <c r="C14" s="742">
        <v>4102100</v>
      </c>
      <c r="D14" s="756" t="s">
        <v>78</v>
      </c>
      <c r="E14" s="756" t="s">
        <v>78</v>
      </c>
      <c r="F14" s="745">
        <v>1800000</v>
      </c>
      <c r="G14" s="755">
        <v>2302100</v>
      </c>
      <c r="H14" s="755" t="s">
        <v>78</v>
      </c>
      <c r="I14" s="1089"/>
    </row>
    <row r="15" spans="1:15" ht="15.75" thickBot="1" x14ac:dyDescent="0.3">
      <c r="A15" s="1060" t="s">
        <v>770</v>
      </c>
      <c r="B15" s="1061"/>
      <c r="C15" s="281">
        <f t="shared" ref="C15:H15" si="0">SUM(C8:C14)</f>
        <v>205583993</v>
      </c>
      <c r="D15" s="281">
        <f t="shared" si="0"/>
        <v>596900</v>
      </c>
      <c r="E15" s="281">
        <f t="shared" si="0"/>
        <v>0</v>
      </c>
      <c r="F15" s="281">
        <f t="shared" si="0"/>
        <v>101045428</v>
      </c>
      <c r="G15" s="281">
        <f t="shared" si="0"/>
        <v>103654033</v>
      </c>
      <c r="H15" s="757">
        <f t="shared" si="0"/>
        <v>0</v>
      </c>
      <c r="I15" s="302">
        <f>SUM(I8:I14)</f>
        <v>287632</v>
      </c>
    </row>
    <row r="16" spans="1:15" ht="15.75" thickBot="1" x14ac:dyDescent="0.3">
      <c r="I16" s="277"/>
      <c r="O16" s="277"/>
    </row>
    <row r="17" spans="1:9" s="809" customFormat="1" ht="15" customHeight="1" x14ac:dyDescent="0.25">
      <c r="A17" s="1085" t="s">
        <v>1198</v>
      </c>
      <c r="B17" s="1085"/>
      <c r="C17" s="1085"/>
      <c r="D17" s="1085"/>
      <c r="E17" s="1085"/>
      <c r="F17" s="1085"/>
      <c r="G17" s="1085"/>
      <c r="H17" s="1085"/>
      <c r="I17" s="1085"/>
    </row>
    <row r="18" spans="1:9" s="809" customFormat="1" x14ac:dyDescent="0.25">
      <c r="A18" s="1086"/>
      <c r="B18" s="1086"/>
      <c r="C18" s="1086"/>
      <c r="D18" s="1086"/>
      <c r="E18" s="1086"/>
      <c r="F18" s="1086"/>
      <c r="G18" s="1086"/>
      <c r="H18" s="1086"/>
      <c r="I18" s="1086"/>
    </row>
    <row r="23" spans="1:9" x14ac:dyDescent="0.25">
      <c r="G23" s="276"/>
      <c r="H23" s="276"/>
    </row>
    <row r="25" spans="1:9" x14ac:dyDescent="0.25">
      <c r="G25" s="276"/>
      <c r="H25" s="276"/>
    </row>
  </sheetData>
  <mergeCells count="9">
    <mergeCell ref="J12:K13"/>
    <mergeCell ref="A15:B15"/>
    <mergeCell ref="A17:I18"/>
    <mergeCell ref="A1:I1"/>
    <mergeCell ref="A2:I2"/>
    <mergeCell ref="A5:B5"/>
    <mergeCell ref="A6:B6"/>
    <mergeCell ref="A7:B7"/>
    <mergeCell ref="I8:I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&amp;CDunaharaszti Város Önkormányzata 
2021. évi zárszámadás&amp;R&amp;A</oddHeader>
    <oddFooter>&amp;C&amp;P/&amp;N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G16"/>
  <sheetViews>
    <sheetView view="pageBreakPreview" zoomScale="110" zoomScaleNormal="100" zoomScaleSheetLayoutView="110" workbookViewId="0">
      <selection activeCell="C18" sqref="C18"/>
    </sheetView>
  </sheetViews>
  <sheetFormatPr defaultRowHeight="15" x14ac:dyDescent="0.25"/>
  <cols>
    <col min="1" max="1" width="3.28515625" customWidth="1"/>
    <col min="2" max="2" width="30.7109375" customWidth="1"/>
    <col min="3" max="4" width="20.5703125" customWidth="1"/>
    <col min="5" max="6" width="25" customWidth="1"/>
    <col min="7" max="7" width="21.28515625" customWidth="1"/>
  </cols>
  <sheetData>
    <row r="1" spans="1:7" ht="18.75" x14ac:dyDescent="0.3">
      <c r="A1" s="1045" t="s">
        <v>880</v>
      </c>
      <c r="B1" s="1045"/>
      <c r="C1" s="1045"/>
      <c r="D1" s="1045"/>
      <c r="E1" s="1045"/>
      <c r="F1" s="1045"/>
      <c r="G1" s="1045"/>
    </row>
    <row r="2" spans="1:7" x14ac:dyDescent="0.25">
      <c r="A2" s="1046" t="s">
        <v>881</v>
      </c>
      <c r="B2" s="1046"/>
      <c r="C2" s="1046"/>
      <c r="D2" s="1046"/>
      <c r="E2" s="1046"/>
      <c r="F2" s="1046"/>
      <c r="G2" s="1046"/>
    </row>
    <row r="4" spans="1:7" ht="16.5" thickBot="1" x14ac:dyDescent="0.3">
      <c r="B4" s="263"/>
      <c r="C4" s="264"/>
      <c r="D4" s="264"/>
    </row>
    <row r="5" spans="1:7" ht="45" x14ac:dyDescent="0.25">
      <c r="A5" s="1048" t="s">
        <v>690</v>
      </c>
      <c r="B5" s="1049"/>
      <c r="C5" s="265" t="s">
        <v>642</v>
      </c>
      <c r="D5" s="265" t="s">
        <v>774</v>
      </c>
      <c r="E5" s="265" t="s">
        <v>874</v>
      </c>
      <c r="F5" s="265" t="s">
        <v>1148</v>
      </c>
      <c r="G5" s="266" t="s">
        <v>645</v>
      </c>
    </row>
    <row r="6" spans="1:7" ht="15.75" thickBot="1" x14ac:dyDescent="0.3">
      <c r="A6" s="1062" t="s">
        <v>882</v>
      </c>
      <c r="B6" s="1053"/>
      <c r="C6" s="267">
        <v>480000000</v>
      </c>
      <c r="D6" s="714"/>
      <c r="E6" s="714">
        <v>480000000</v>
      </c>
      <c r="F6" s="714"/>
      <c r="G6" s="268" t="s">
        <v>78</v>
      </c>
    </row>
    <row r="7" spans="1:7" ht="45" x14ac:dyDescent="0.25">
      <c r="A7" s="1041" t="s">
        <v>647</v>
      </c>
      <c r="B7" s="1042"/>
      <c r="C7" s="269" t="s">
        <v>648</v>
      </c>
      <c r="D7" s="265" t="s">
        <v>756</v>
      </c>
      <c r="E7" s="265" t="s">
        <v>875</v>
      </c>
      <c r="F7" s="265" t="s">
        <v>1140</v>
      </c>
      <c r="G7" s="266" t="s">
        <v>645</v>
      </c>
    </row>
    <row r="8" spans="1:7" x14ac:dyDescent="0.25">
      <c r="A8" s="733" t="s">
        <v>3</v>
      </c>
      <c r="B8" s="726" t="s">
        <v>883</v>
      </c>
      <c r="C8" s="758">
        <v>574999330</v>
      </c>
      <c r="D8" s="759"/>
      <c r="E8" s="729" t="s">
        <v>78</v>
      </c>
      <c r="F8" s="729" t="s">
        <v>78</v>
      </c>
      <c r="G8" s="446">
        <f t="shared" ref="G8:G13" si="0">C8-(SUM(E8:E8))</f>
        <v>574999330</v>
      </c>
    </row>
    <row r="9" spans="1:7" ht="30" x14ac:dyDescent="0.25">
      <c r="A9" s="733" t="s">
        <v>4</v>
      </c>
      <c r="B9" s="726" t="s">
        <v>884</v>
      </c>
      <c r="C9" s="758">
        <v>30200000</v>
      </c>
      <c r="D9" s="759">
        <v>7429500</v>
      </c>
      <c r="E9" s="729">
        <f>2400000</f>
        <v>2400000</v>
      </c>
      <c r="F9" s="729">
        <v>20167300</v>
      </c>
      <c r="G9" s="446">
        <f>C9-(SUM(D9:F9))</f>
        <v>203200</v>
      </c>
    </row>
    <row r="10" spans="1:7" ht="30" x14ac:dyDescent="0.25">
      <c r="A10" s="733" t="s">
        <v>5</v>
      </c>
      <c r="B10" s="730" t="s">
        <v>885</v>
      </c>
      <c r="C10" s="758">
        <v>5842000</v>
      </c>
      <c r="D10" s="759"/>
      <c r="E10" s="729" t="s">
        <v>78</v>
      </c>
      <c r="F10" s="729" t="s">
        <v>78</v>
      </c>
      <c r="G10" s="446">
        <f t="shared" si="0"/>
        <v>5842000</v>
      </c>
    </row>
    <row r="11" spans="1:7" ht="30" x14ac:dyDescent="0.25">
      <c r="A11" s="733" t="s">
        <v>6</v>
      </c>
      <c r="B11" s="726" t="s">
        <v>886</v>
      </c>
      <c r="C11" s="758">
        <v>5842000</v>
      </c>
      <c r="D11" s="759"/>
      <c r="E11" s="729" t="s">
        <v>78</v>
      </c>
      <c r="F11" s="729" t="s">
        <v>78</v>
      </c>
      <c r="G11" s="446">
        <f t="shared" si="0"/>
        <v>5842000</v>
      </c>
    </row>
    <row r="12" spans="1:7" x14ac:dyDescent="0.25">
      <c r="A12" s="733" t="s">
        <v>7</v>
      </c>
      <c r="B12" s="726" t="s">
        <v>887</v>
      </c>
      <c r="C12" s="758">
        <v>10200528</v>
      </c>
      <c r="D12" s="759"/>
      <c r="E12" s="729" t="s">
        <v>78</v>
      </c>
      <c r="F12" s="729" t="s">
        <v>78</v>
      </c>
      <c r="G12" s="446">
        <f t="shared" si="0"/>
        <v>10200528</v>
      </c>
    </row>
    <row r="13" spans="1:7" ht="30.75" thickBot="1" x14ac:dyDescent="0.3">
      <c r="A13" s="733" t="s">
        <v>8</v>
      </c>
      <c r="B13" s="726" t="s">
        <v>888</v>
      </c>
      <c r="C13" s="758">
        <v>399923</v>
      </c>
      <c r="D13" s="759"/>
      <c r="E13" s="729" t="s">
        <v>78</v>
      </c>
      <c r="F13" s="729" t="s">
        <v>78</v>
      </c>
      <c r="G13" s="446">
        <f t="shared" si="0"/>
        <v>399923</v>
      </c>
    </row>
    <row r="14" spans="1:7" ht="15.75" thickBot="1" x14ac:dyDescent="0.3">
      <c r="A14" s="1060" t="s">
        <v>770</v>
      </c>
      <c r="B14" s="1061"/>
      <c r="C14" s="281">
        <f>SUM(C8:C13)</f>
        <v>627483781</v>
      </c>
      <c r="D14" s="281">
        <f>SUM(D8:D13)</f>
        <v>7429500</v>
      </c>
      <c r="E14" s="460">
        <f>SUM(E8:E13)</f>
        <v>2400000</v>
      </c>
      <c r="F14" s="460">
        <f>SUM(F8:F13)</f>
        <v>20167300</v>
      </c>
      <c r="G14" s="461">
        <f>SUM(G8:G13)</f>
        <v>597486981</v>
      </c>
    </row>
    <row r="16" spans="1:7" ht="33.75" customHeight="1" x14ac:dyDescent="0.25">
      <c r="A16" s="1072" t="s">
        <v>1149</v>
      </c>
      <c r="B16" s="1072"/>
      <c r="C16" s="1072"/>
      <c r="D16" s="1072"/>
      <c r="E16" s="1072"/>
      <c r="F16" s="1072"/>
      <c r="G16" s="1072"/>
    </row>
  </sheetData>
  <mergeCells count="7">
    <mergeCell ref="A16:G16"/>
    <mergeCell ref="A1:G1"/>
    <mergeCell ref="A2:G2"/>
    <mergeCell ref="A5:B5"/>
    <mergeCell ref="A6:B6"/>
    <mergeCell ref="A7:B7"/>
    <mergeCell ref="A14:B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Header>&amp;CDunaharaszti Város Önkormányzata
2021. évi zárszámadás&amp;R&amp;A</oddHeader>
    <oddFooter>&amp;C&amp;P/&amp;N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F10"/>
  <sheetViews>
    <sheetView view="pageBreakPreview" zoomScaleNormal="100" zoomScaleSheetLayoutView="100" workbookViewId="0">
      <selection activeCell="F25" sqref="F25"/>
    </sheetView>
  </sheetViews>
  <sheetFormatPr defaultRowHeight="15" x14ac:dyDescent="0.25"/>
  <cols>
    <col min="1" max="1" width="4.85546875" customWidth="1"/>
    <col min="2" max="2" width="30.5703125" bestFit="1" customWidth="1"/>
    <col min="3" max="3" width="14.42578125" bestFit="1" customWidth="1"/>
    <col min="4" max="5" width="15.7109375" customWidth="1"/>
    <col min="6" max="6" width="15.28515625" customWidth="1"/>
  </cols>
  <sheetData>
    <row r="1" spans="1:6" ht="18.75" x14ac:dyDescent="0.3">
      <c r="B1" s="1045" t="s">
        <v>889</v>
      </c>
      <c r="C1" s="1045"/>
      <c r="D1" s="1045"/>
      <c r="E1" s="1045"/>
      <c r="F1" s="1045"/>
    </row>
    <row r="2" spans="1:6" x14ac:dyDescent="0.25">
      <c r="B2" s="1046" t="s">
        <v>890</v>
      </c>
      <c r="C2" s="1046"/>
      <c r="D2" s="1046"/>
      <c r="E2" s="1046"/>
      <c r="F2" s="1046"/>
    </row>
    <row r="3" spans="1:6" ht="15.75" x14ac:dyDescent="0.25">
      <c r="B3" s="1047" t="s">
        <v>891</v>
      </c>
      <c r="C3" s="1047"/>
      <c r="D3" s="1047"/>
      <c r="E3" s="1047"/>
      <c r="F3" s="1047"/>
    </row>
    <row r="5" spans="1:6" ht="15.75" x14ac:dyDescent="0.25">
      <c r="B5" s="263"/>
      <c r="C5" s="264"/>
    </row>
    <row r="6" spans="1:6" ht="72" customHeight="1" x14ac:dyDescent="0.25">
      <c r="A6" s="1091" t="s">
        <v>641</v>
      </c>
      <c r="B6" s="1091"/>
      <c r="C6" s="760" t="s">
        <v>642</v>
      </c>
      <c r="D6" s="760" t="s">
        <v>876</v>
      </c>
      <c r="E6" s="760" t="s">
        <v>1141</v>
      </c>
      <c r="F6" s="760" t="s">
        <v>892</v>
      </c>
    </row>
    <row r="7" spans="1:6" x14ac:dyDescent="0.25">
      <c r="A7" s="1092" t="s">
        <v>646</v>
      </c>
      <c r="B7" s="1092"/>
      <c r="C7" s="755">
        <v>5000000</v>
      </c>
      <c r="D7" s="755">
        <v>5000000</v>
      </c>
      <c r="E7" s="755"/>
      <c r="F7" s="755">
        <v>0</v>
      </c>
    </row>
    <row r="8" spans="1:6" ht="51.75" customHeight="1" x14ac:dyDescent="0.25">
      <c r="A8" s="1091" t="s">
        <v>352</v>
      </c>
      <c r="B8" s="1091"/>
      <c r="C8" s="760" t="s">
        <v>648</v>
      </c>
      <c r="D8" s="760" t="s">
        <v>875</v>
      </c>
      <c r="E8" s="760" t="s">
        <v>1140</v>
      </c>
      <c r="F8" s="760" t="s">
        <v>892</v>
      </c>
    </row>
    <row r="9" spans="1:6" ht="18" customHeight="1" x14ac:dyDescent="0.25">
      <c r="A9" s="1090" t="s">
        <v>893</v>
      </c>
      <c r="B9" s="1090"/>
      <c r="C9" s="755">
        <f>3636360+1363640</f>
        <v>5000000</v>
      </c>
      <c r="D9" s="761"/>
      <c r="E9" s="761">
        <v>5000000</v>
      </c>
      <c r="F9" s="755"/>
    </row>
    <row r="10" spans="1:6" ht="27.75" customHeight="1" x14ac:dyDescent="0.25">
      <c r="A10" s="1091" t="s">
        <v>770</v>
      </c>
      <c r="B10" s="1091"/>
      <c r="C10" s="762">
        <f>SUM(C9:C9)</f>
        <v>5000000</v>
      </c>
      <c r="D10" s="762">
        <f>SUM(D9:D9)</f>
        <v>0</v>
      </c>
      <c r="E10" s="762">
        <f>SUM(E9:E9)</f>
        <v>5000000</v>
      </c>
      <c r="F10" s="762">
        <f>SUM(F9:F9)</f>
        <v>0</v>
      </c>
    </row>
  </sheetData>
  <mergeCells count="8">
    <mergeCell ref="A9:B9"/>
    <mergeCell ref="A10:B10"/>
    <mergeCell ref="B1:F1"/>
    <mergeCell ref="B2:F2"/>
    <mergeCell ref="B3:F3"/>
    <mergeCell ref="A6:B6"/>
    <mergeCell ref="A7:B7"/>
    <mergeCell ref="A8:B8"/>
  </mergeCells>
  <printOptions horizontalCentered="1" verticalCentered="1"/>
  <pageMargins left="0.70866141732283472" right="0.70866141732283472" top="1.1417322834645669" bottom="0.74803149606299213" header="0.31496062992125984" footer="0.31496062992125984"/>
  <pageSetup paperSize="9" scale="90" orientation="landscape" r:id="rId1"/>
  <headerFooter>
    <oddHeader>&amp;CDunaharaszti Város Önkormányzata
2021. évi zárszámadás&amp;R&amp;A</oddHeader>
    <oddFooter>&amp;C&amp;P/&amp;N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E10"/>
  <sheetViews>
    <sheetView view="pageBreakPreview" zoomScale="60" zoomScaleNormal="100" workbookViewId="0">
      <selection activeCell="D18" sqref="D18"/>
    </sheetView>
  </sheetViews>
  <sheetFormatPr defaultRowHeight="15" x14ac:dyDescent="0.25"/>
  <cols>
    <col min="1" max="1" width="4.85546875" customWidth="1"/>
    <col min="2" max="2" width="30.5703125" bestFit="1" customWidth="1"/>
    <col min="3" max="3" width="15.5703125" customWidth="1"/>
    <col min="4" max="4" width="15.7109375" customWidth="1"/>
    <col min="5" max="5" width="15.28515625" customWidth="1"/>
  </cols>
  <sheetData>
    <row r="1" spans="1:5" ht="63.75" customHeight="1" x14ac:dyDescent="0.3">
      <c r="B1" s="1093" t="s">
        <v>1150</v>
      </c>
      <c r="C1" s="1045"/>
      <c r="D1" s="1045"/>
      <c r="E1" s="1045"/>
    </row>
    <row r="2" spans="1:5" x14ac:dyDescent="0.25">
      <c r="B2" s="1046" t="s">
        <v>1151</v>
      </c>
      <c r="C2" s="1046"/>
      <c r="D2" s="1046"/>
      <c r="E2" s="1046"/>
    </row>
    <row r="3" spans="1:5" ht="15.75" x14ac:dyDescent="0.25">
      <c r="B3" s="1047" t="s">
        <v>1152</v>
      </c>
      <c r="C3" s="1047"/>
      <c r="D3" s="1047"/>
      <c r="E3" s="1047"/>
    </row>
    <row r="5" spans="1:5" ht="15.75" x14ac:dyDescent="0.25">
      <c r="B5" s="263"/>
      <c r="C5" s="264"/>
    </row>
    <row r="6" spans="1:5" ht="72" customHeight="1" x14ac:dyDescent="0.25">
      <c r="A6" s="1091" t="s">
        <v>641</v>
      </c>
      <c r="B6" s="1091"/>
      <c r="C6" s="760" t="s">
        <v>1153</v>
      </c>
      <c r="D6" s="760" t="s">
        <v>1141</v>
      </c>
      <c r="E6" s="760" t="s">
        <v>892</v>
      </c>
    </row>
    <row r="7" spans="1:5" x14ac:dyDescent="0.25">
      <c r="A7" s="1092" t="s">
        <v>646</v>
      </c>
      <c r="B7" s="1092"/>
      <c r="C7" s="755">
        <v>15000000</v>
      </c>
      <c r="D7" s="755">
        <v>15000000</v>
      </c>
      <c r="E7" s="755">
        <v>0</v>
      </c>
    </row>
    <row r="8" spans="1:5" ht="51.75" customHeight="1" x14ac:dyDescent="0.25">
      <c r="A8" s="1091" t="s">
        <v>352</v>
      </c>
      <c r="B8" s="1091"/>
      <c r="C8" s="760" t="s">
        <v>648</v>
      </c>
      <c r="D8" s="760" t="s">
        <v>1140</v>
      </c>
      <c r="E8" s="760" t="s">
        <v>892</v>
      </c>
    </row>
    <row r="9" spans="1:5" ht="18" customHeight="1" x14ac:dyDescent="0.25">
      <c r="A9" s="1090" t="s">
        <v>1154</v>
      </c>
      <c r="B9" s="1090"/>
      <c r="C9" s="755">
        <v>15000000</v>
      </c>
      <c r="D9" s="761">
        <v>15000000</v>
      </c>
      <c r="E9" s="755"/>
    </row>
    <row r="10" spans="1:5" ht="27.75" customHeight="1" x14ac:dyDescent="0.25">
      <c r="A10" s="1091" t="s">
        <v>770</v>
      </c>
      <c r="B10" s="1091"/>
      <c r="C10" s="762">
        <f>SUM(C9:C9)</f>
        <v>15000000</v>
      </c>
      <c r="D10" s="762">
        <f>SUM(D9:D9)</f>
        <v>15000000</v>
      </c>
      <c r="E10" s="762">
        <f>SUM(E9:E9)</f>
        <v>0</v>
      </c>
    </row>
  </sheetData>
  <mergeCells count="8">
    <mergeCell ref="A9:B9"/>
    <mergeCell ref="A10:B10"/>
    <mergeCell ref="B1:E1"/>
    <mergeCell ref="B2:E2"/>
    <mergeCell ref="B3:E3"/>
    <mergeCell ref="A6:B6"/>
    <mergeCell ref="A7:B7"/>
    <mergeCell ref="A8:B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&amp;CDunaharaszti Város Önkormányzata
2021. évi zárszámadás&amp;R&amp;A</oddHeader>
    <oddFooter>&amp;C&amp;P/&amp;N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E11"/>
  <sheetViews>
    <sheetView view="pageBreakPreview" zoomScale="90" zoomScaleNormal="100" zoomScaleSheetLayoutView="90" workbookViewId="0">
      <selection activeCell="L33" sqref="L33"/>
    </sheetView>
  </sheetViews>
  <sheetFormatPr defaultRowHeight="15" x14ac:dyDescent="0.25"/>
  <cols>
    <col min="1" max="1" width="3.85546875" style="717" customWidth="1"/>
    <col min="2" max="2" width="26.85546875" style="717" customWidth="1"/>
    <col min="3" max="3" width="17.85546875" style="717" customWidth="1"/>
    <col min="4" max="4" width="21.5703125" style="717" customWidth="1"/>
    <col min="5" max="5" width="27.5703125" style="717" customWidth="1"/>
    <col min="6" max="16384" width="9.140625" style="717"/>
  </cols>
  <sheetData>
    <row r="1" spans="1:5" ht="18.75" x14ac:dyDescent="0.3">
      <c r="A1" s="1093" t="s">
        <v>1155</v>
      </c>
      <c r="B1" s="1093"/>
      <c r="C1" s="1093"/>
      <c r="D1" s="1093"/>
      <c r="E1" s="1093"/>
    </row>
    <row r="2" spans="1:5" x14ac:dyDescent="0.25">
      <c r="A2" s="1095" t="s">
        <v>1156</v>
      </c>
      <c r="B2" s="1095"/>
      <c r="C2" s="1095"/>
      <c r="D2" s="1095"/>
      <c r="E2" s="1095"/>
    </row>
    <row r="4" spans="1:5" ht="16.5" thickBot="1" x14ac:dyDescent="0.3">
      <c r="B4" s="763"/>
      <c r="C4" s="764"/>
      <c r="D4" s="764"/>
    </row>
    <row r="5" spans="1:5" ht="30" x14ac:dyDescent="0.25">
      <c r="A5" s="1096" t="s">
        <v>690</v>
      </c>
      <c r="B5" s="1051"/>
      <c r="C5" s="713" t="s">
        <v>642</v>
      </c>
      <c r="D5" s="265" t="s">
        <v>1141</v>
      </c>
      <c r="E5" s="266" t="s">
        <v>645</v>
      </c>
    </row>
    <row r="6" spans="1:5" ht="15.75" thickBot="1" x14ac:dyDescent="0.3">
      <c r="A6" s="1062" t="s">
        <v>646</v>
      </c>
      <c r="B6" s="1097"/>
      <c r="C6" s="765">
        <v>373990120</v>
      </c>
      <c r="D6" s="766">
        <v>373990120</v>
      </c>
      <c r="E6" s="767">
        <f>C6-D6</f>
        <v>0</v>
      </c>
    </row>
    <row r="7" spans="1:5" ht="45" x14ac:dyDescent="0.25">
      <c r="A7" s="1098" t="s">
        <v>647</v>
      </c>
      <c r="B7" s="1099"/>
      <c r="C7" s="269" t="s">
        <v>765</v>
      </c>
      <c r="D7" s="265" t="s">
        <v>1140</v>
      </c>
      <c r="E7" s="266" t="s">
        <v>768</v>
      </c>
    </row>
    <row r="8" spans="1:5" x14ac:dyDescent="0.25">
      <c r="A8" s="768" t="s">
        <v>3</v>
      </c>
      <c r="B8" s="734" t="s">
        <v>1157</v>
      </c>
      <c r="C8" s="769">
        <v>329992608</v>
      </c>
      <c r="D8" s="770">
        <v>0</v>
      </c>
      <c r="E8" s="771">
        <f>C8-D8</f>
        <v>329992608</v>
      </c>
    </row>
    <row r="9" spans="1:5" ht="15.75" thickBot="1" x14ac:dyDescent="0.3">
      <c r="A9" s="768" t="s">
        <v>4</v>
      </c>
      <c r="B9" s="738" t="s">
        <v>1158</v>
      </c>
      <c r="C9" s="772">
        <v>43997512</v>
      </c>
      <c r="D9" s="773">
        <v>0</v>
      </c>
      <c r="E9" s="771">
        <f>C9-D9</f>
        <v>43997512</v>
      </c>
    </row>
    <row r="10" spans="1:5" ht="15.75" thickBot="1" x14ac:dyDescent="0.3">
      <c r="A10" s="1100" t="s">
        <v>770</v>
      </c>
      <c r="B10" s="1101"/>
      <c r="C10" s="774">
        <f>SUM(C8:C9)</f>
        <v>373990120</v>
      </c>
      <c r="D10" s="775">
        <f>SUM(D8:D9)</f>
        <v>0</v>
      </c>
      <c r="E10" s="776">
        <f>SUM(E8:E9)</f>
        <v>373990120</v>
      </c>
    </row>
    <row r="11" spans="1:5" x14ac:dyDescent="0.25">
      <c r="A11" s="1094"/>
      <c r="B11" s="1094"/>
      <c r="C11" s="1094"/>
      <c r="D11" s="1094"/>
      <c r="E11" s="1094"/>
    </row>
  </sheetData>
  <mergeCells count="7">
    <mergeCell ref="A11:E11"/>
    <mergeCell ref="A1:E1"/>
    <mergeCell ref="A2:E2"/>
    <mergeCell ref="A5:B5"/>
    <mergeCell ref="A6:B6"/>
    <mergeCell ref="A7:B7"/>
    <mergeCell ref="A10:B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Header>&amp;CDunaharaszti Város Önkormányzata
2021. évi zárszámadás&amp;R&amp;A</oddHeader>
    <oddFooter>&amp;C&amp;P/&amp;N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</sheetPr>
  <dimension ref="A1:E10"/>
  <sheetViews>
    <sheetView view="pageBreakPreview" zoomScale="90" zoomScaleNormal="100" zoomScaleSheetLayoutView="90" workbookViewId="0">
      <selection activeCell="F31" sqref="F31"/>
    </sheetView>
  </sheetViews>
  <sheetFormatPr defaultRowHeight="15" x14ac:dyDescent="0.25"/>
  <cols>
    <col min="1" max="1" width="9.140625" style="717"/>
    <col min="2" max="2" width="17" style="717" customWidth="1"/>
    <col min="3" max="3" width="19" style="717" customWidth="1"/>
    <col min="4" max="4" width="16.42578125" style="717" customWidth="1"/>
    <col min="5" max="5" width="20" style="717" customWidth="1"/>
    <col min="6" max="16384" width="9.140625" style="717"/>
  </cols>
  <sheetData>
    <row r="1" spans="1:5" ht="18.75" x14ac:dyDescent="0.3">
      <c r="A1" s="1093" t="s">
        <v>1159</v>
      </c>
      <c r="B1" s="1093"/>
      <c r="C1" s="1093"/>
      <c r="D1" s="1093"/>
      <c r="E1" s="1093"/>
    </row>
    <row r="2" spans="1:5" x14ac:dyDescent="0.25">
      <c r="A2" s="1095" t="s">
        <v>1156</v>
      </c>
      <c r="B2" s="1095"/>
      <c r="C2" s="1095"/>
      <c r="D2" s="1095"/>
      <c r="E2" s="1095"/>
    </row>
    <row r="4" spans="1:5" ht="16.5" thickBot="1" x14ac:dyDescent="0.3">
      <c r="B4" s="763"/>
      <c r="C4" s="764"/>
      <c r="D4" s="764"/>
    </row>
    <row r="5" spans="1:5" ht="60" x14ac:dyDescent="0.25">
      <c r="A5" s="1096" t="s">
        <v>690</v>
      </c>
      <c r="B5" s="1051"/>
      <c r="C5" s="713" t="s">
        <v>642</v>
      </c>
      <c r="D5" s="265" t="s">
        <v>1141</v>
      </c>
      <c r="E5" s="266" t="s">
        <v>645</v>
      </c>
    </row>
    <row r="6" spans="1:5" ht="15.75" thickBot="1" x14ac:dyDescent="0.3">
      <c r="A6" s="1062" t="s">
        <v>1160</v>
      </c>
      <c r="B6" s="1097"/>
      <c r="C6" s="765">
        <v>6936946</v>
      </c>
      <c r="D6" s="766">
        <f>+C6</f>
        <v>6936946</v>
      </c>
      <c r="E6" s="767">
        <f>C6-D6</f>
        <v>0</v>
      </c>
    </row>
    <row r="7" spans="1:5" ht="45" x14ac:dyDescent="0.25">
      <c r="A7" s="1098" t="s">
        <v>647</v>
      </c>
      <c r="B7" s="1099"/>
      <c r="C7" s="269" t="s">
        <v>765</v>
      </c>
      <c r="D7" s="265" t="s">
        <v>1140</v>
      </c>
      <c r="E7" s="266" t="s">
        <v>768</v>
      </c>
    </row>
    <row r="8" spans="1:5" ht="45" x14ac:dyDescent="0.25">
      <c r="A8" s="768" t="s">
        <v>3</v>
      </c>
      <c r="B8" s="734" t="s">
        <v>1161</v>
      </c>
      <c r="C8" s="769">
        <v>13213230</v>
      </c>
      <c r="D8" s="770">
        <v>13213230</v>
      </c>
      <c r="E8" s="771">
        <f>C8-D8</f>
        <v>0</v>
      </c>
    </row>
    <row r="9" spans="1:5" ht="30.75" thickBot="1" x14ac:dyDescent="0.3">
      <c r="A9" s="768" t="s">
        <v>4</v>
      </c>
      <c r="B9" s="738" t="s">
        <v>1162</v>
      </c>
      <c r="C9" s="772">
        <v>660662</v>
      </c>
      <c r="D9" s="773">
        <v>330331</v>
      </c>
      <c r="E9" s="771">
        <f>C9-D9</f>
        <v>330331</v>
      </c>
    </row>
    <row r="10" spans="1:5" ht="15.75" thickBot="1" x14ac:dyDescent="0.3">
      <c r="A10" s="1100" t="s">
        <v>770</v>
      </c>
      <c r="B10" s="1101"/>
      <c r="C10" s="774">
        <f>SUM(C8:C9)</f>
        <v>13873892</v>
      </c>
      <c r="D10" s="775">
        <f>SUM(D8:D9)</f>
        <v>13543561</v>
      </c>
      <c r="E10" s="776">
        <f>SUM(E8:E9)</f>
        <v>330331</v>
      </c>
    </row>
  </sheetData>
  <mergeCells count="6">
    <mergeCell ref="A10:B10"/>
    <mergeCell ref="A1:E1"/>
    <mergeCell ref="A2:E2"/>
    <mergeCell ref="A5:B5"/>
    <mergeCell ref="A6:B6"/>
    <mergeCell ref="A7:B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&amp;CDunaharaszti Város Önkormányzata
2021. évi zárszámadás&amp;R&amp;A</oddHeader>
    <oddFooter>&amp;C&amp;P/&amp;N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0"/>
  </sheetPr>
  <dimension ref="A1:H14"/>
  <sheetViews>
    <sheetView view="pageBreakPreview" zoomScaleNormal="100" zoomScaleSheetLayoutView="100" workbookViewId="0">
      <selection activeCell="D21" sqref="D21"/>
    </sheetView>
  </sheetViews>
  <sheetFormatPr defaultRowHeight="15" x14ac:dyDescent="0.25"/>
  <cols>
    <col min="1" max="1" width="49.140625" customWidth="1"/>
    <col min="2" max="2" width="12.7109375" customWidth="1"/>
    <col min="3" max="3" width="10.140625" customWidth="1"/>
    <col min="5" max="5" width="11.140625" customWidth="1"/>
  </cols>
  <sheetData>
    <row r="1" spans="1:8" ht="37.5" customHeight="1" x14ac:dyDescent="0.3">
      <c r="A1" s="1102" t="s">
        <v>677</v>
      </c>
      <c r="B1" s="1102"/>
      <c r="C1" s="1102"/>
      <c r="D1" s="1102"/>
      <c r="E1" s="1102"/>
      <c r="F1" s="1102"/>
      <c r="G1" s="1102"/>
      <c r="H1" s="1102"/>
    </row>
    <row r="2" spans="1:8" x14ac:dyDescent="0.25">
      <c r="A2" s="57"/>
      <c r="B2" s="57"/>
      <c r="C2" s="57"/>
      <c r="D2" s="59"/>
      <c r="E2" s="59"/>
      <c r="F2" s="59"/>
    </row>
    <row r="3" spans="1:8" ht="18.75" x14ac:dyDescent="0.25">
      <c r="A3" s="1103"/>
      <c r="B3" s="1103"/>
      <c r="C3" s="1103"/>
      <c r="D3" s="1103"/>
      <c r="E3" s="59"/>
      <c r="F3" s="59"/>
    </row>
    <row r="4" spans="1:8" x14ac:dyDescent="0.25">
      <c r="A4" s="59"/>
      <c r="B4" s="59"/>
      <c r="C4" s="59"/>
      <c r="D4" s="59"/>
      <c r="E4" s="59"/>
      <c r="F4" s="59"/>
    </row>
    <row r="5" spans="1:8" ht="15.75" x14ac:dyDescent="0.25">
      <c r="A5" s="1104" t="s">
        <v>678</v>
      </c>
      <c r="B5" s="1104"/>
      <c r="C5" s="1104"/>
      <c r="D5" s="1104"/>
      <c r="E5" s="1104"/>
      <c r="F5" s="1104"/>
    </row>
    <row r="6" spans="1:8" ht="15.75" x14ac:dyDescent="0.25">
      <c r="A6" s="278" t="s">
        <v>679</v>
      </c>
      <c r="B6" s="278"/>
      <c r="C6" s="278"/>
      <c r="D6" s="59"/>
      <c r="E6" s="59"/>
      <c r="F6" s="59"/>
    </row>
    <row r="7" spans="1:8" ht="15.75" x14ac:dyDescent="0.25">
      <c r="A7" s="278"/>
      <c r="B7" s="278"/>
      <c r="C7" s="278"/>
      <c r="D7" s="59"/>
      <c r="E7" s="59"/>
      <c r="F7" s="59"/>
    </row>
    <row r="8" spans="1:8" ht="15.75" x14ac:dyDescent="0.25">
      <c r="A8" s="279" t="s">
        <v>672</v>
      </c>
      <c r="B8" s="279"/>
      <c r="C8" s="279"/>
      <c r="D8" s="59"/>
      <c r="E8" s="59"/>
      <c r="F8" s="59"/>
    </row>
    <row r="9" spans="1:8" ht="16.5" x14ac:dyDescent="0.25">
      <c r="A9" s="1105"/>
      <c r="B9" s="1105"/>
      <c r="C9" s="1105"/>
      <c r="D9" s="1105"/>
      <c r="E9" s="1105"/>
      <c r="F9" s="1105"/>
    </row>
    <row r="10" spans="1:8" s="83" customFormat="1" ht="17.25" customHeight="1" x14ac:dyDescent="0.25">
      <c r="A10" s="1106" t="s">
        <v>574</v>
      </c>
      <c r="B10" s="1107" t="s">
        <v>495</v>
      </c>
      <c r="C10" s="1106" t="s">
        <v>287</v>
      </c>
      <c r="D10" s="1110" t="s">
        <v>577</v>
      </c>
      <c r="E10" s="1111"/>
      <c r="F10" s="1111"/>
      <c r="G10" s="1111"/>
      <c r="H10" s="1112"/>
    </row>
    <row r="11" spans="1:8" s="83" customFormat="1" ht="15.75" x14ac:dyDescent="0.25">
      <c r="A11" s="1106"/>
      <c r="B11" s="1108"/>
      <c r="C11" s="1106"/>
      <c r="D11" s="1113"/>
      <c r="E11" s="1114"/>
      <c r="F11" s="1114"/>
      <c r="G11" s="1114"/>
      <c r="H11" s="1115"/>
    </row>
    <row r="12" spans="1:8" s="83" customFormat="1" ht="15.75" x14ac:dyDescent="0.25">
      <c r="A12" s="1106"/>
      <c r="B12" s="1109"/>
      <c r="C12" s="777">
        <v>2018</v>
      </c>
      <c r="D12" s="777">
        <v>2019</v>
      </c>
      <c r="E12" s="777">
        <v>2020</v>
      </c>
      <c r="F12" s="777">
        <v>2021</v>
      </c>
      <c r="G12" s="777">
        <v>2022</v>
      </c>
      <c r="H12" s="777">
        <v>2023</v>
      </c>
    </row>
    <row r="13" spans="1:8" s="83" customFormat="1" ht="21" customHeight="1" x14ac:dyDescent="0.25">
      <c r="A13" s="778" t="s">
        <v>680</v>
      </c>
      <c r="B13" s="779" t="s">
        <v>681</v>
      </c>
      <c r="C13" s="780">
        <v>2</v>
      </c>
      <c r="D13" s="780">
        <v>2</v>
      </c>
      <c r="E13" s="780">
        <v>2</v>
      </c>
      <c r="F13" s="780">
        <v>2</v>
      </c>
      <c r="G13" s="780">
        <v>2</v>
      </c>
      <c r="H13" s="780">
        <v>2</v>
      </c>
    </row>
    <row r="14" spans="1:8" s="84" customFormat="1" x14ac:dyDescent="0.25"/>
  </sheetData>
  <mergeCells count="8">
    <mergeCell ref="A1:H1"/>
    <mergeCell ref="A3:D3"/>
    <mergeCell ref="A5:F5"/>
    <mergeCell ref="A9:F9"/>
    <mergeCell ref="A10:A12"/>
    <mergeCell ref="B10:B12"/>
    <mergeCell ref="C10:C11"/>
    <mergeCell ref="D10:H11"/>
  </mergeCells>
  <printOptions horizontalCentered="1"/>
  <pageMargins left="0.70866141732283472" right="0.70866141732283472" top="1.1417322834645669" bottom="0.74803149606299213" header="0.31496062992125984" footer="0.31496062992125984"/>
  <pageSetup paperSize="9" scale="72" orientation="portrait" r:id="rId1"/>
  <headerFooter>
    <oddHeader>&amp;CDunaharaszti Város Önkormányzata
2021. évi zárszámadás&amp;R&amp;A</oddHeader>
    <oddFooter>&amp;C&amp;P/&amp;N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0"/>
  </sheetPr>
  <dimension ref="A1:R16"/>
  <sheetViews>
    <sheetView view="pageBreakPreview" zoomScaleNormal="100" zoomScaleSheetLayoutView="100" workbookViewId="0">
      <selection activeCell="B28" sqref="B28"/>
    </sheetView>
  </sheetViews>
  <sheetFormatPr defaultRowHeight="15" x14ac:dyDescent="0.25"/>
  <cols>
    <col min="1" max="1" width="49.140625" customWidth="1"/>
    <col min="2" max="2" width="12.7109375" customWidth="1"/>
    <col min="3" max="3" width="13.28515625" customWidth="1"/>
    <col min="4" max="16" width="11.85546875" bestFit="1" customWidth="1"/>
    <col min="17" max="17" width="13.140625" bestFit="1" customWidth="1"/>
    <col min="18" max="18" width="11.85546875" bestFit="1" customWidth="1"/>
  </cols>
  <sheetData>
    <row r="1" spans="1:18" ht="37.5" customHeight="1" x14ac:dyDescent="0.3">
      <c r="A1" s="1102" t="s">
        <v>682</v>
      </c>
      <c r="B1" s="1102"/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  <c r="O1" s="1102"/>
      <c r="P1" s="1102"/>
      <c r="Q1" s="1102"/>
      <c r="R1" s="1102"/>
    </row>
    <row r="2" spans="1:18" x14ac:dyDescent="0.25">
      <c r="A2" s="57"/>
      <c r="B2" s="57"/>
      <c r="C2" s="57"/>
      <c r="D2" s="59"/>
      <c r="E2" s="59"/>
      <c r="F2" s="59"/>
    </row>
    <row r="3" spans="1:18" ht="18.75" x14ac:dyDescent="0.25">
      <c r="A3" s="1103"/>
      <c r="B3" s="1103"/>
      <c r="C3" s="1103"/>
      <c r="D3" s="1103"/>
      <c r="E3" s="59"/>
      <c r="F3" s="59"/>
    </row>
    <row r="4" spans="1:18" x14ac:dyDescent="0.25">
      <c r="A4" s="59"/>
      <c r="B4" s="59"/>
      <c r="C4" s="59"/>
      <c r="D4" s="59"/>
      <c r="E4" s="59"/>
      <c r="F4" s="59"/>
    </row>
    <row r="5" spans="1:18" ht="15.75" x14ac:dyDescent="0.25">
      <c r="A5" s="1104" t="s">
        <v>683</v>
      </c>
      <c r="B5" s="1104"/>
      <c r="C5" s="1104"/>
      <c r="D5" s="1104"/>
      <c r="E5" s="1104"/>
      <c r="F5" s="1104"/>
    </row>
    <row r="6" spans="1:18" ht="15.75" x14ac:dyDescent="0.25">
      <c r="A6" s="278" t="s">
        <v>684</v>
      </c>
      <c r="B6" s="278"/>
      <c r="C6" s="278"/>
      <c r="D6" s="59"/>
      <c r="E6" s="59"/>
      <c r="F6" s="59"/>
    </row>
    <row r="7" spans="1:18" ht="15.75" x14ac:dyDescent="0.25">
      <c r="A7" s="278"/>
      <c r="B7" s="278"/>
      <c r="C7" s="278"/>
      <c r="D7" s="59"/>
      <c r="E7" s="59"/>
      <c r="F7" s="59"/>
    </row>
    <row r="8" spans="1:18" ht="15.75" x14ac:dyDescent="0.25">
      <c r="A8" s="279" t="s">
        <v>672</v>
      </c>
      <c r="B8" s="279"/>
      <c r="C8" s="279"/>
      <c r="D8" s="59"/>
      <c r="E8" s="59"/>
      <c r="F8" s="59"/>
    </row>
    <row r="9" spans="1:18" ht="16.5" x14ac:dyDescent="0.25">
      <c r="A9" s="1105"/>
      <c r="B9" s="1105"/>
      <c r="C9" s="1105"/>
      <c r="D9" s="1105"/>
      <c r="E9" s="1105"/>
      <c r="F9" s="1105"/>
    </row>
    <row r="10" spans="1:18" s="83" customFormat="1" ht="31.5" customHeight="1" x14ac:dyDescent="0.25">
      <c r="A10" s="1106" t="s">
        <v>574</v>
      </c>
      <c r="B10" s="1107" t="s">
        <v>495</v>
      </c>
      <c r="C10" s="1106" t="s">
        <v>287</v>
      </c>
      <c r="D10" s="1110" t="s">
        <v>577</v>
      </c>
      <c r="E10" s="1111"/>
      <c r="F10" s="1111"/>
      <c r="G10" s="1111"/>
      <c r="H10" s="1111"/>
      <c r="I10" s="1111"/>
      <c r="J10" s="1111"/>
      <c r="K10" s="1111"/>
      <c r="L10" s="1111"/>
      <c r="M10" s="1111"/>
      <c r="N10" s="1111"/>
      <c r="O10" s="1111"/>
      <c r="P10" s="1111"/>
      <c r="Q10" s="1111"/>
      <c r="R10" s="1112"/>
    </row>
    <row r="11" spans="1:18" s="83" customFormat="1" ht="15.75" x14ac:dyDescent="0.25">
      <c r="A11" s="1106"/>
      <c r="B11" s="1108"/>
      <c r="C11" s="1106"/>
      <c r="D11" s="1113"/>
      <c r="E11" s="1114"/>
      <c r="F11" s="1114"/>
      <c r="G11" s="1114"/>
      <c r="H11" s="1114"/>
      <c r="I11" s="1114"/>
      <c r="J11" s="1114"/>
      <c r="K11" s="1114"/>
      <c r="L11" s="1114"/>
      <c r="M11" s="1114"/>
      <c r="N11" s="1114"/>
      <c r="O11" s="1114"/>
      <c r="P11" s="1114"/>
      <c r="Q11" s="1114"/>
      <c r="R11" s="1115"/>
    </row>
    <row r="12" spans="1:18" s="83" customFormat="1" ht="15.75" x14ac:dyDescent="0.25">
      <c r="A12" s="1106"/>
      <c r="B12" s="1109"/>
      <c r="C12" s="777">
        <v>2018</v>
      </c>
      <c r="D12" s="777">
        <v>2019</v>
      </c>
      <c r="E12" s="777">
        <v>2020</v>
      </c>
      <c r="F12" s="777">
        <v>2021</v>
      </c>
      <c r="G12" s="777">
        <v>2022</v>
      </c>
      <c r="H12" s="777">
        <v>2023</v>
      </c>
      <c r="I12" s="777">
        <v>2024</v>
      </c>
      <c r="J12" s="777">
        <v>2025</v>
      </c>
      <c r="K12" s="777">
        <v>2026</v>
      </c>
      <c r="L12" s="777">
        <v>2027</v>
      </c>
      <c r="M12" s="777">
        <v>2028</v>
      </c>
      <c r="N12" s="777">
        <v>2029</v>
      </c>
      <c r="O12" s="777">
        <v>2030</v>
      </c>
      <c r="P12" s="777">
        <v>2031</v>
      </c>
      <c r="Q12" s="777">
        <v>2032</v>
      </c>
      <c r="R12" s="777">
        <v>2033</v>
      </c>
    </row>
    <row r="13" spans="1:18" s="83" customFormat="1" ht="20.25" customHeight="1" x14ac:dyDescent="0.25">
      <c r="A13" s="778" t="s">
        <v>685</v>
      </c>
      <c r="B13" s="779" t="s">
        <v>498</v>
      </c>
      <c r="C13" s="780">
        <v>1190</v>
      </c>
      <c r="D13" s="780">
        <v>1190</v>
      </c>
      <c r="E13" s="780">
        <v>1190</v>
      </c>
      <c r="F13" s="780">
        <v>1190</v>
      </c>
      <c r="G13" s="780">
        <v>1190</v>
      </c>
      <c r="H13" s="780">
        <v>1190</v>
      </c>
      <c r="I13" s="780">
        <v>1190</v>
      </c>
      <c r="J13" s="780">
        <v>1190</v>
      </c>
      <c r="K13" s="780">
        <v>1190</v>
      </c>
      <c r="L13" s="780">
        <v>1190</v>
      </c>
      <c r="M13" s="780">
        <v>1190</v>
      </c>
      <c r="N13" s="780">
        <v>1190</v>
      </c>
      <c r="O13" s="780">
        <v>1190</v>
      </c>
      <c r="P13" s="780">
        <v>1190</v>
      </c>
      <c r="Q13" s="780">
        <v>1190</v>
      </c>
      <c r="R13" s="780">
        <v>1190</v>
      </c>
    </row>
    <row r="14" spans="1:18" s="83" customFormat="1" ht="20.25" customHeight="1" x14ac:dyDescent="0.25">
      <c r="A14" s="778" t="s">
        <v>686</v>
      </c>
      <c r="B14" s="779" t="s">
        <v>499</v>
      </c>
      <c r="C14" s="781">
        <v>4499000</v>
      </c>
      <c r="D14" s="781">
        <v>4543990</v>
      </c>
      <c r="E14" s="781">
        <v>4566710</v>
      </c>
      <c r="F14" s="781">
        <v>4589543</v>
      </c>
      <c r="G14" s="781">
        <v>4612491</v>
      </c>
      <c r="H14" s="781">
        <v>4635553</v>
      </c>
      <c r="I14" s="781">
        <v>4658731</v>
      </c>
      <c r="J14" s="781">
        <v>4682025</v>
      </c>
      <c r="K14" s="781">
        <v>4705435</v>
      </c>
      <c r="L14" s="781">
        <v>4728962</v>
      </c>
      <c r="M14" s="781">
        <v>4752607</v>
      </c>
      <c r="N14" s="781">
        <v>4776370</v>
      </c>
      <c r="O14" s="781">
        <v>4800252</v>
      </c>
      <c r="P14" s="781">
        <v>4824253</v>
      </c>
      <c r="Q14" s="781">
        <v>4484374</v>
      </c>
      <c r="R14" s="781">
        <v>4872616</v>
      </c>
    </row>
    <row r="15" spans="1:18" s="83" customFormat="1" ht="20.25" customHeight="1" x14ac:dyDescent="0.25">
      <c r="A15" s="778" t="s">
        <v>687</v>
      </c>
      <c r="B15" s="779" t="s">
        <v>673</v>
      </c>
      <c r="C15" s="780">
        <v>50</v>
      </c>
      <c r="D15" s="780">
        <v>50</v>
      </c>
      <c r="E15" s="780">
        <v>50</v>
      </c>
      <c r="F15" s="780">
        <v>50</v>
      </c>
      <c r="G15" s="780">
        <v>50</v>
      </c>
      <c r="H15" s="780">
        <v>50</v>
      </c>
      <c r="I15" s="780">
        <v>50</v>
      </c>
      <c r="J15" s="780">
        <v>50</v>
      </c>
      <c r="K15" s="780">
        <v>50</v>
      </c>
      <c r="L15" s="780">
        <v>50</v>
      </c>
      <c r="M15" s="780">
        <v>50</v>
      </c>
      <c r="N15" s="780">
        <v>50</v>
      </c>
      <c r="O15" s="780">
        <v>50</v>
      </c>
      <c r="P15" s="780">
        <v>50</v>
      </c>
      <c r="Q15" s="780">
        <v>50</v>
      </c>
      <c r="R15" s="780">
        <v>50</v>
      </c>
    </row>
    <row r="16" spans="1:18" s="84" customFormat="1" x14ac:dyDescent="0.25"/>
  </sheetData>
  <mergeCells count="8">
    <mergeCell ref="A1:R1"/>
    <mergeCell ref="A3:D3"/>
    <mergeCell ref="A5:F5"/>
    <mergeCell ref="A9:F9"/>
    <mergeCell ref="A10:A12"/>
    <mergeCell ref="B10:B12"/>
    <mergeCell ref="C10:C11"/>
    <mergeCell ref="D10:R1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1" orientation="landscape" r:id="rId1"/>
  <headerFooter>
    <oddHeader>&amp;CDunaharaszti Város Önkormányzata
2021. évi zárszámadás&amp;R&amp;A</oddHeader>
    <oddFooter>&amp;C&amp;P/&amp;N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4:I16"/>
  <sheetViews>
    <sheetView view="pageBreakPreview" zoomScale="90" zoomScaleNormal="100" zoomScaleSheetLayoutView="90" workbookViewId="0">
      <selection activeCell="G15" sqref="G15"/>
    </sheetView>
  </sheetViews>
  <sheetFormatPr defaultRowHeight="15" x14ac:dyDescent="0.25"/>
  <cols>
    <col min="1" max="1" width="72.28515625" bestFit="1" customWidth="1"/>
    <col min="4" max="9" width="12" bestFit="1" customWidth="1"/>
  </cols>
  <sheetData>
    <row r="4" spans="1:9" ht="17.25" x14ac:dyDescent="0.3">
      <c r="A4" s="1116" t="s">
        <v>260</v>
      </c>
      <c r="B4" s="1116"/>
      <c r="C4" s="1116"/>
      <c r="D4" s="1116"/>
      <c r="E4" s="1116"/>
      <c r="F4" s="1116"/>
      <c r="G4" s="1116"/>
      <c r="H4" s="1116"/>
      <c r="I4" s="1116"/>
    </row>
    <row r="5" spans="1:9" x14ac:dyDescent="0.25">
      <c r="A5" s="57"/>
      <c r="B5" s="57"/>
      <c r="C5" s="57"/>
      <c r="D5" s="59"/>
      <c r="E5" s="59"/>
      <c r="F5" s="59"/>
      <c r="G5" s="59"/>
      <c r="H5" s="59"/>
    </row>
    <row r="6" spans="1:9" ht="18.75" x14ac:dyDescent="0.25">
      <c r="A6" s="1103"/>
      <c r="B6" s="1103"/>
      <c r="C6" s="1103"/>
      <c r="D6" s="1103"/>
      <c r="E6" s="1103"/>
      <c r="F6" s="59"/>
      <c r="G6" s="59"/>
      <c r="H6" s="59"/>
    </row>
    <row r="7" spans="1:9" x14ac:dyDescent="0.25">
      <c r="A7" s="59"/>
      <c r="B7" s="59"/>
      <c r="C7" s="59"/>
      <c r="D7" s="59"/>
      <c r="E7" s="59"/>
      <c r="F7" s="59"/>
      <c r="G7" s="59"/>
      <c r="H7" s="59"/>
    </row>
    <row r="8" spans="1:9" ht="15.75" x14ac:dyDescent="0.25">
      <c r="A8" s="1104" t="s">
        <v>783</v>
      </c>
      <c r="B8" s="1104"/>
      <c r="C8" s="1104"/>
      <c r="D8" s="1104"/>
      <c r="E8" s="1104"/>
      <c r="F8" s="1104"/>
      <c r="G8" s="1104"/>
      <c r="H8" s="1104"/>
      <c r="I8" s="1104"/>
    </row>
    <row r="9" spans="1:9" ht="15.75" x14ac:dyDescent="0.25">
      <c r="A9" s="278" t="s">
        <v>784</v>
      </c>
      <c r="B9" s="278"/>
      <c r="C9" s="278"/>
      <c r="D9" s="59"/>
      <c r="E9" s="59"/>
      <c r="F9" s="59"/>
      <c r="G9" s="59"/>
      <c r="H9" s="59"/>
    </row>
    <row r="10" spans="1:9" ht="15.75" x14ac:dyDescent="0.25">
      <c r="A10" s="278" t="s">
        <v>785</v>
      </c>
      <c r="B10" s="278"/>
      <c r="C10" s="278"/>
      <c r="D10" s="59"/>
      <c r="E10" s="59"/>
      <c r="F10" s="59"/>
      <c r="G10" s="59"/>
      <c r="H10" s="59"/>
    </row>
    <row r="11" spans="1:9" ht="15.75" x14ac:dyDescent="0.25">
      <c r="A11" s="279" t="s">
        <v>262</v>
      </c>
      <c r="B11" s="279"/>
      <c r="C11" s="279"/>
      <c r="D11" s="59"/>
      <c r="E11" s="59"/>
      <c r="F11" s="59"/>
      <c r="G11" s="59"/>
      <c r="H11" s="59"/>
    </row>
    <row r="12" spans="1:9" ht="16.5" x14ac:dyDescent="0.25">
      <c r="A12" s="1105" t="s">
        <v>286</v>
      </c>
      <c r="B12" s="1105"/>
      <c r="C12" s="1105"/>
      <c r="D12" s="1105"/>
      <c r="E12" s="1105"/>
      <c r="F12" s="1105"/>
      <c r="G12" s="1105"/>
      <c r="H12" s="1105"/>
      <c r="I12" s="1105"/>
    </row>
    <row r="13" spans="1:9" ht="15.75" x14ac:dyDescent="0.25">
      <c r="A13" s="1106" t="s">
        <v>574</v>
      </c>
      <c r="B13" s="782" t="s">
        <v>575</v>
      </c>
      <c r="C13" s="1117" t="s">
        <v>576</v>
      </c>
      <c r="D13" s="1118"/>
      <c r="E13" s="1106" t="s">
        <v>577</v>
      </c>
      <c r="F13" s="1106"/>
      <c r="G13" s="1106"/>
      <c r="H13" s="1106"/>
      <c r="I13" s="1106"/>
    </row>
    <row r="14" spans="1:9" ht="15.75" x14ac:dyDescent="0.25">
      <c r="A14" s="1106"/>
      <c r="B14" s="782" t="s">
        <v>578</v>
      </c>
      <c r="C14" s="1117" t="s">
        <v>579</v>
      </c>
      <c r="D14" s="1118"/>
      <c r="E14" s="1106"/>
      <c r="F14" s="1106"/>
      <c r="G14" s="1106"/>
      <c r="H14" s="1106"/>
      <c r="I14" s="1106"/>
    </row>
    <row r="15" spans="1:9" ht="31.5" x14ac:dyDescent="0.25">
      <c r="A15" s="1106"/>
      <c r="B15" s="782" t="s">
        <v>580</v>
      </c>
      <c r="C15" s="777">
        <v>2017</v>
      </c>
      <c r="D15" s="783">
        <v>43404</v>
      </c>
      <c r="E15" s="783">
        <v>43769</v>
      </c>
      <c r="F15" s="783">
        <v>44135</v>
      </c>
      <c r="G15" s="783">
        <v>44500</v>
      </c>
      <c r="H15" s="783">
        <v>44865</v>
      </c>
      <c r="I15" s="783">
        <v>45230</v>
      </c>
    </row>
    <row r="16" spans="1:9" ht="31.5" x14ac:dyDescent="0.25">
      <c r="A16" s="778" t="s">
        <v>786</v>
      </c>
      <c r="B16" s="779" t="s">
        <v>496</v>
      </c>
      <c r="C16" s="780">
        <v>0</v>
      </c>
      <c r="D16" s="780">
        <v>70</v>
      </c>
      <c r="E16" s="780">
        <v>70</v>
      </c>
      <c r="F16" s="780">
        <v>70</v>
      </c>
      <c r="G16" s="780">
        <v>70</v>
      </c>
      <c r="H16" s="780">
        <v>70</v>
      </c>
      <c r="I16" s="780">
        <v>70</v>
      </c>
    </row>
  </sheetData>
  <mergeCells count="8">
    <mergeCell ref="A4:I4"/>
    <mergeCell ref="A6:E6"/>
    <mergeCell ref="A8:I8"/>
    <mergeCell ref="A12:I12"/>
    <mergeCell ref="A13:A15"/>
    <mergeCell ref="C13:D13"/>
    <mergeCell ref="E13:I14"/>
    <mergeCell ref="C14:D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&amp;CDunaharaszti Város Önkormányzata
2021. évi zárszámadás&amp;R&amp;A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K52"/>
  <sheetViews>
    <sheetView view="pageBreakPreview" topLeftCell="A25" zoomScale="60" zoomScaleNormal="100" zoomScalePageLayoutView="69" workbookViewId="0">
      <selection activeCell="E41" sqref="E41"/>
    </sheetView>
  </sheetViews>
  <sheetFormatPr defaultColWidth="9.140625" defaultRowHeight="15" x14ac:dyDescent="0.25"/>
  <cols>
    <col min="1" max="2" width="9.140625" style="1"/>
    <col min="3" max="3" width="78.42578125" style="1" customWidth="1"/>
    <col min="4" max="4" width="31.7109375" style="1" customWidth="1"/>
    <col min="5" max="5" width="33.5703125" style="1" customWidth="1"/>
    <col min="6" max="6" width="36" style="1" customWidth="1"/>
    <col min="7" max="11" width="31.7109375" style="1" customWidth="1"/>
    <col min="12" max="16384" width="9.140625" style="1"/>
  </cols>
  <sheetData>
    <row r="1" spans="1:11" ht="36" customHeight="1" x14ac:dyDescent="0.35">
      <c r="A1" s="854" t="s">
        <v>39</v>
      </c>
      <c r="B1" s="854"/>
      <c r="C1" s="854"/>
      <c r="D1" s="854"/>
      <c r="E1" s="854"/>
      <c r="F1" s="854"/>
    </row>
    <row r="4" spans="1:11" ht="40.5" customHeight="1" x14ac:dyDescent="0.35">
      <c r="A4" s="855" t="s">
        <v>1</v>
      </c>
      <c r="B4" s="837" t="s">
        <v>2</v>
      </c>
      <c r="C4" s="837"/>
      <c r="D4" s="837" t="s">
        <v>40</v>
      </c>
      <c r="E4" s="857" t="s">
        <v>41</v>
      </c>
      <c r="F4" s="859" t="s">
        <v>42</v>
      </c>
      <c r="G4" s="3"/>
      <c r="H4" s="3"/>
      <c r="I4" s="3"/>
      <c r="J4" s="3"/>
      <c r="K4" s="3"/>
    </row>
    <row r="5" spans="1:11" ht="66.75" customHeight="1" x14ac:dyDescent="0.35">
      <c r="A5" s="856"/>
      <c r="B5" s="850"/>
      <c r="C5" s="850"/>
      <c r="D5" s="850"/>
      <c r="E5" s="858"/>
      <c r="F5" s="860"/>
      <c r="G5" s="3"/>
      <c r="H5" s="3"/>
      <c r="I5" s="3"/>
      <c r="J5" s="3"/>
      <c r="K5" s="3"/>
    </row>
    <row r="6" spans="1:11" ht="42" customHeight="1" x14ac:dyDescent="0.35">
      <c r="A6" s="4" t="s">
        <v>3</v>
      </c>
      <c r="B6" s="861" t="s">
        <v>16</v>
      </c>
      <c r="C6" s="861"/>
      <c r="D6" s="5">
        <f>+'13.a.sz.m.Maradvány - int'!M5</f>
        <v>310522398</v>
      </c>
      <c r="E6" s="5">
        <v>10215823109</v>
      </c>
      <c r="F6" s="6">
        <f>+D6+E6</f>
        <v>10526345507</v>
      </c>
      <c r="G6" s="3"/>
      <c r="H6" s="3"/>
      <c r="I6" s="3"/>
      <c r="J6" s="3"/>
      <c r="K6" s="3"/>
    </row>
    <row r="7" spans="1:11" ht="42" customHeight="1" x14ac:dyDescent="0.35">
      <c r="A7" s="4" t="s">
        <v>4</v>
      </c>
      <c r="B7" s="861" t="s">
        <v>17</v>
      </c>
      <c r="C7" s="861"/>
      <c r="D7" s="5">
        <f>+'13.a.sz.m.Maradvány - int'!M6</f>
        <v>2979922316</v>
      </c>
      <c r="E7" s="5">
        <v>6115762889</v>
      </c>
      <c r="F7" s="6">
        <f t="shared" ref="F7:F41" si="0">+D7+E7</f>
        <v>9095685205</v>
      </c>
      <c r="G7" s="3"/>
      <c r="H7" s="3"/>
      <c r="I7" s="3"/>
      <c r="J7" s="3"/>
      <c r="K7" s="3"/>
    </row>
    <row r="8" spans="1:11" ht="81.75" customHeight="1" x14ac:dyDescent="0.35">
      <c r="A8" s="7" t="s">
        <v>5</v>
      </c>
      <c r="B8" s="862" t="s">
        <v>18</v>
      </c>
      <c r="C8" s="862"/>
      <c r="D8" s="5">
        <f>+'13.a.sz.m.Maradvány - int'!M7</f>
        <v>-2669399918</v>
      </c>
      <c r="E8" s="5">
        <f>+E6-E7</f>
        <v>4100060220</v>
      </c>
      <c r="F8" s="6">
        <f t="shared" si="0"/>
        <v>1430660302</v>
      </c>
      <c r="G8" s="8"/>
      <c r="H8" s="8"/>
      <c r="I8" s="8"/>
      <c r="J8" s="8"/>
      <c r="K8" s="8"/>
    </row>
    <row r="9" spans="1:11" ht="41.25" customHeight="1" x14ac:dyDescent="0.35">
      <c r="A9" s="4" t="s">
        <v>6</v>
      </c>
      <c r="B9" s="861" t="s">
        <v>19</v>
      </c>
      <c r="C9" s="861"/>
      <c r="D9" s="5">
        <f>+'13.a.sz.m.Maradvány - int'!M8</f>
        <v>2855106682</v>
      </c>
      <c r="E9" s="5">
        <v>2508147511</v>
      </c>
      <c r="F9" s="6">
        <f t="shared" si="0"/>
        <v>5363254193</v>
      </c>
      <c r="G9" s="3"/>
      <c r="H9" s="3"/>
      <c r="I9" s="3"/>
      <c r="J9" s="3"/>
      <c r="K9" s="3"/>
    </row>
    <row r="10" spans="1:11" ht="41.25" customHeight="1" x14ac:dyDescent="0.35">
      <c r="A10" s="4" t="s">
        <v>7</v>
      </c>
      <c r="B10" s="861" t="s">
        <v>20</v>
      </c>
      <c r="C10" s="861"/>
      <c r="D10" s="5">
        <f>+'13.a.sz.m.Maradvány - int'!M9</f>
        <v>0</v>
      </c>
      <c r="E10" s="5">
        <v>3003990464</v>
      </c>
      <c r="F10" s="6">
        <f t="shared" si="0"/>
        <v>3003990464</v>
      </c>
      <c r="G10" s="3"/>
      <c r="H10" s="3"/>
      <c r="I10" s="3"/>
      <c r="J10" s="3"/>
      <c r="K10" s="3"/>
    </row>
    <row r="11" spans="1:11" ht="81" customHeight="1" x14ac:dyDescent="0.35">
      <c r="A11" s="9" t="s">
        <v>8</v>
      </c>
      <c r="B11" s="850" t="s">
        <v>21</v>
      </c>
      <c r="C11" s="850"/>
      <c r="D11" s="5">
        <f>+'13.a.sz.m.Maradvány - int'!M10</f>
        <v>2855106682</v>
      </c>
      <c r="E11" s="5">
        <f>+E9-E10</f>
        <v>-495842953</v>
      </c>
      <c r="F11" s="6">
        <f t="shared" si="0"/>
        <v>2359263729</v>
      </c>
      <c r="G11" s="10"/>
      <c r="H11" s="10"/>
      <c r="I11" s="10"/>
      <c r="J11" s="10"/>
      <c r="K11" s="10"/>
    </row>
    <row r="12" spans="1:11" ht="81" customHeight="1" x14ac:dyDescent="0.35">
      <c r="A12" s="9" t="s">
        <v>9</v>
      </c>
      <c r="B12" s="850" t="s">
        <v>22</v>
      </c>
      <c r="C12" s="850"/>
      <c r="D12" s="5">
        <f>+'13.a.sz.m.Maradvány - int'!M11</f>
        <v>185706764</v>
      </c>
      <c r="E12" s="5">
        <f>+E8+E11</f>
        <v>3604217267</v>
      </c>
      <c r="F12" s="258">
        <f t="shared" si="0"/>
        <v>3789924031</v>
      </c>
      <c r="G12" s="10"/>
      <c r="H12" s="10"/>
      <c r="I12" s="10"/>
      <c r="J12" s="10"/>
      <c r="K12" s="10"/>
    </row>
    <row r="13" spans="1:11" ht="40.5" customHeight="1" x14ac:dyDescent="0.35">
      <c r="A13" s="9" t="s">
        <v>23</v>
      </c>
      <c r="B13" s="850" t="s">
        <v>24</v>
      </c>
      <c r="C13" s="850"/>
      <c r="D13" s="5">
        <f>+'13.a.sz.m.Maradvány - int'!M12</f>
        <v>0</v>
      </c>
      <c r="E13" s="5">
        <v>0</v>
      </c>
      <c r="F13" s="6">
        <f t="shared" si="0"/>
        <v>0</v>
      </c>
      <c r="G13" s="10"/>
      <c r="H13" s="10"/>
      <c r="I13" s="10"/>
      <c r="J13" s="10"/>
      <c r="K13" s="10"/>
    </row>
    <row r="14" spans="1:11" ht="81.75" customHeight="1" x14ac:dyDescent="0.35">
      <c r="A14" s="9" t="s">
        <v>27</v>
      </c>
      <c r="B14" s="850" t="s">
        <v>43</v>
      </c>
      <c r="C14" s="850"/>
      <c r="D14" s="5">
        <f>+'13.a.sz.m.Maradvány - int'!M13</f>
        <v>185706764</v>
      </c>
      <c r="E14" s="5">
        <f>SUM(E12:E13)</f>
        <v>3604217267</v>
      </c>
      <c r="F14" s="6">
        <f t="shared" si="0"/>
        <v>3789924031</v>
      </c>
      <c r="G14" s="10"/>
      <c r="H14" s="10"/>
      <c r="I14" s="10"/>
      <c r="J14" s="10"/>
      <c r="K14" s="10"/>
    </row>
    <row r="15" spans="1:11" ht="46.5" customHeight="1" x14ac:dyDescent="0.35">
      <c r="A15" s="498" t="s">
        <v>30</v>
      </c>
      <c r="B15" s="851" t="s">
        <v>838</v>
      </c>
      <c r="C15" s="821"/>
      <c r="D15" s="499">
        <f>+'13.a.sz.m.Maradvány - int'!M14</f>
        <v>15731877</v>
      </c>
      <c r="E15" s="499">
        <f>SUM(E16:E17)</f>
        <v>1525176</v>
      </c>
      <c r="F15" s="6">
        <f t="shared" si="0"/>
        <v>17257053</v>
      </c>
      <c r="G15" s="10"/>
      <c r="H15" s="10"/>
      <c r="I15" s="10"/>
      <c r="J15" s="10"/>
      <c r="K15" s="10"/>
    </row>
    <row r="16" spans="1:11" s="500" customFormat="1" ht="46.5" customHeight="1" x14ac:dyDescent="0.35">
      <c r="A16" s="501"/>
      <c r="B16" s="852" t="s">
        <v>28</v>
      </c>
      <c r="C16" s="819"/>
      <c r="D16" s="502">
        <f>+'13.a.sz.m.Maradvány - int'!M15</f>
        <v>15731877</v>
      </c>
      <c r="E16" s="502">
        <f>+'13.c.sz.m.Kötött maradvány'!E17</f>
        <v>1150445</v>
      </c>
      <c r="F16" s="6">
        <f t="shared" si="0"/>
        <v>16882322</v>
      </c>
      <c r="G16" s="503"/>
      <c r="H16" s="503"/>
      <c r="I16" s="503"/>
      <c r="J16" s="503"/>
      <c r="K16" s="503"/>
    </row>
    <row r="17" spans="1:11" s="500" customFormat="1" ht="46.5" customHeight="1" x14ac:dyDescent="0.35">
      <c r="A17" s="501"/>
      <c r="B17" s="852" t="s">
        <v>29</v>
      </c>
      <c r="C17" s="819"/>
      <c r="D17" s="502">
        <f>+'13.a.sz.m.Maradvány - int'!M16</f>
        <v>0</v>
      </c>
      <c r="E17" s="502">
        <f>+'13.c.sz.m.Kötött maradvány'!E18</f>
        <v>374731</v>
      </c>
      <c r="F17" s="6">
        <f t="shared" si="0"/>
        <v>374731</v>
      </c>
      <c r="G17" s="503"/>
      <c r="H17" s="503"/>
      <c r="I17" s="503"/>
      <c r="J17" s="503"/>
      <c r="K17" s="503"/>
    </row>
    <row r="18" spans="1:11" ht="46.5" customHeight="1" x14ac:dyDescent="0.35">
      <c r="A18" s="498" t="s">
        <v>32</v>
      </c>
      <c r="B18" s="851" t="s">
        <v>729</v>
      </c>
      <c r="C18" s="821"/>
      <c r="D18" s="499">
        <f>+'13.a.sz.m.Maradvány - int'!M17</f>
        <v>0</v>
      </c>
      <c r="E18" s="499">
        <f>SUM(E19:E20)</f>
        <v>63513436</v>
      </c>
      <c r="F18" s="6">
        <f t="shared" si="0"/>
        <v>63513436</v>
      </c>
      <c r="G18" s="10"/>
      <c r="H18" s="10"/>
      <c r="I18" s="10"/>
      <c r="J18" s="10"/>
      <c r="K18" s="10"/>
    </row>
    <row r="19" spans="1:11" s="500" customFormat="1" ht="46.5" customHeight="1" x14ac:dyDescent="0.35">
      <c r="A19" s="501"/>
      <c r="B19" s="852" t="s">
        <v>28</v>
      </c>
      <c r="C19" s="819"/>
      <c r="D19" s="502">
        <f>+'13.a.sz.m.Maradvány - int'!M18</f>
        <v>0</v>
      </c>
      <c r="E19" s="502">
        <f>+'13.c.sz.m.Kötött maradvány'!E21</f>
        <v>63513436</v>
      </c>
      <c r="F19" s="6">
        <f t="shared" si="0"/>
        <v>63513436</v>
      </c>
      <c r="G19" s="503"/>
      <c r="H19" s="503"/>
      <c r="I19" s="503"/>
      <c r="J19" s="503"/>
      <c r="K19" s="503"/>
    </row>
    <row r="20" spans="1:11" s="500" customFormat="1" ht="35.25" customHeight="1" x14ac:dyDescent="0.35">
      <c r="A20" s="501"/>
      <c r="B20" s="852" t="s">
        <v>29</v>
      </c>
      <c r="C20" s="819"/>
      <c r="D20" s="502">
        <f>+'13.a.sz.m.Maradvány - int'!M19</f>
        <v>0</v>
      </c>
      <c r="E20" s="502"/>
      <c r="F20" s="6">
        <f t="shared" si="0"/>
        <v>0</v>
      </c>
      <c r="G20" s="503"/>
      <c r="H20" s="503"/>
      <c r="I20" s="503"/>
      <c r="J20" s="503"/>
      <c r="K20" s="503"/>
    </row>
    <row r="21" spans="1:11" ht="35.25" customHeight="1" x14ac:dyDescent="0.35">
      <c r="A21" s="498" t="s">
        <v>33</v>
      </c>
      <c r="B21" s="851" t="s">
        <v>839</v>
      </c>
      <c r="C21" s="821"/>
      <c r="D21" s="499">
        <f>+'13.a.sz.m.Maradvány - int'!M20</f>
        <v>340528</v>
      </c>
      <c r="E21" s="499">
        <f>SUM(E22:E23)</f>
        <v>28348488</v>
      </c>
      <c r="F21" s="6">
        <f t="shared" si="0"/>
        <v>28689016</v>
      </c>
      <c r="G21" s="10"/>
      <c r="H21" s="10"/>
      <c r="I21" s="10"/>
      <c r="J21" s="10"/>
      <c r="K21" s="10"/>
    </row>
    <row r="22" spans="1:11" s="500" customFormat="1" ht="35.25" customHeight="1" x14ac:dyDescent="0.35">
      <c r="A22" s="501"/>
      <c r="B22" s="852" t="s">
        <v>28</v>
      </c>
      <c r="C22" s="819"/>
      <c r="D22" s="502">
        <f>+'13.a.sz.m.Maradvány - int'!M21</f>
        <v>0</v>
      </c>
      <c r="E22" s="502"/>
      <c r="F22" s="6">
        <f t="shared" si="0"/>
        <v>0</v>
      </c>
      <c r="G22" s="503"/>
      <c r="H22" s="503"/>
      <c r="I22" s="503"/>
      <c r="J22" s="503"/>
      <c r="K22" s="503"/>
    </row>
    <row r="23" spans="1:11" s="500" customFormat="1" ht="35.25" customHeight="1" x14ac:dyDescent="0.35">
      <c r="A23" s="501"/>
      <c r="B23" s="852" t="s">
        <v>29</v>
      </c>
      <c r="C23" s="819"/>
      <c r="D23" s="502">
        <f>+'13.a.sz.m.Maradvány - int'!M22</f>
        <v>340528</v>
      </c>
      <c r="E23" s="502">
        <f>+'13.c.sz.m.Kötött maradvány'!E30</f>
        <v>28348488</v>
      </c>
      <c r="F23" s="6">
        <f t="shared" si="0"/>
        <v>28689016</v>
      </c>
      <c r="G23" s="503"/>
      <c r="H23" s="503"/>
      <c r="I23" s="503"/>
      <c r="J23" s="503"/>
      <c r="K23" s="503"/>
    </row>
    <row r="24" spans="1:11" ht="35.25" customHeight="1" x14ac:dyDescent="0.35">
      <c r="A24" s="498" t="s">
        <v>34</v>
      </c>
      <c r="B24" s="851" t="s">
        <v>806</v>
      </c>
      <c r="C24" s="821"/>
      <c r="D24" s="499">
        <f>+'13.a.sz.m.Maradvány - int'!M23</f>
        <v>10301652</v>
      </c>
      <c r="E24" s="499">
        <f>SUM(E25:E26)</f>
        <v>153635607</v>
      </c>
      <c r="F24" s="6">
        <f t="shared" si="0"/>
        <v>163937259</v>
      </c>
      <c r="G24" s="10"/>
      <c r="H24" s="851"/>
      <c r="I24" s="821"/>
      <c r="J24" s="10"/>
      <c r="K24" s="10"/>
    </row>
    <row r="25" spans="1:11" s="500" customFormat="1" ht="35.25" customHeight="1" x14ac:dyDescent="0.35">
      <c r="A25" s="501"/>
      <c r="B25" s="852" t="s">
        <v>28</v>
      </c>
      <c r="C25" s="819"/>
      <c r="D25" s="502">
        <f>+'13.a.sz.m.Maradvány - int'!M24</f>
        <v>7153385</v>
      </c>
      <c r="E25" s="502">
        <f>+'13.c.sz.m.Kötött maradvány'!E62</f>
        <v>87312915</v>
      </c>
      <c r="F25" s="6">
        <f t="shared" si="0"/>
        <v>94466300</v>
      </c>
      <c r="G25" s="503"/>
      <c r="H25" s="852"/>
      <c r="I25" s="819"/>
      <c r="J25" s="503"/>
      <c r="K25" s="503"/>
    </row>
    <row r="26" spans="1:11" s="500" customFormat="1" ht="35.25" customHeight="1" x14ac:dyDescent="0.35">
      <c r="A26" s="501"/>
      <c r="B26" s="852" t="s">
        <v>29</v>
      </c>
      <c r="C26" s="819"/>
      <c r="D26" s="502">
        <f>+'13.a.sz.m.Maradvány - int'!M25</f>
        <v>3148267</v>
      </c>
      <c r="E26" s="502">
        <f>+'13.c.sz.m.Kötött maradvány'!E83</f>
        <v>66322692</v>
      </c>
      <c r="F26" s="6">
        <f t="shared" si="0"/>
        <v>69470959</v>
      </c>
      <c r="G26" s="503"/>
      <c r="H26" s="852"/>
      <c r="I26" s="819"/>
      <c r="J26" s="503"/>
      <c r="K26" s="503"/>
    </row>
    <row r="27" spans="1:11" ht="42" customHeight="1" x14ac:dyDescent="0.35">
      <c r="A27" s="498" t="s">
        <v>35</v>
      </c>
      <c r="B27" s="851" t="s">
        <v>837</v>
      </c>
      <c r="C27" s="821"/>
      <c r="D27" s="499">
        <f>+'13.a.sz.m.Maradvány - int'!M26</f>
        <v>0</v>
      </c>
      <c r="E27" s="499">
        <f>SUM(E28:E29)</f>
        <v>853990120</v>
      </c>
      <c r="F27" s="6">
        <f t="shared" si="0"/>
        <v>853990120</v>
      </c>
      <c r="G27" s="10"/>
      <c r="H27" s="851"/>
      <c r="I27" s="821"/>
      <c r="J27" s="10"/>
      <c r="K27" s="10"/>
    </row>
    <row r="28" spans="1:11" s="500" customFormat="1" ht="42" customHeight="1" x14ac:dyDescent="0.35">
      <c r="A28" s="501"/>
      <c r="B28" s="852" t="s">
        <v>28</v>
      </c>
      <c r="C28" s="819"/>
      <c r="D28" s="502">
        <f>+'13.a.sz.m.Maradvány - int'!M27</f>
        <v>0</v>
      </c>
      <c r="E28" s="502">
        <f>+'13.c.sz.m.Kötött maradvány'!E87</f>
        <v>0</v>
      </c>
      <c r="F28" s="6">
        <f t="shared" si="0"/>
        <v>0</v>
      </c>
      <c r="G28" s="503"/>
      <c r="H28" s="852"/>
      <c r="I28" s="819"/>
      <c r="J28" s="503"/>
      <c r="K28" s="503"/>
    </row>
    <row r="29" spans="1:11" s="500" customFormat="1" ht="42" customHeight="1" x14ac:dyDescent="0.35">
      <c r="A29" s="501"/>
      <c r="B29" s="852" t="s">
        <v>29</v>
      </c>
      <c r="C29" s="819"/>
      <c r="D29" s="502">
        <f>+'13.a.sz.m.Maradvány - int'!M28</f>
        <v>0</v>
      </c>
      <c r="E29" s="502">
        <f>+'13.c.sz.m.Kötött maradvány'!E90</f>
        <v>853990120</v>
      </c>
      <c r="F29" s="6">
        <f t="shared" si="0"/>
        <v>853990120</v>
      </c>
      <c r="G29" s="503"/>
      <c r="H29" s="852"/>
      <c r="I29" s="819"/>
      <c r="J29" s="503"/>
      <c r="K29" s="503"/>
    </row>
    <row r="30" spans="1:11" s="500" customFormat="1" ht="42" customHeight="1" x14ac:dyDescent="0.35">
      <c r="A30" s="498" t="s">
        <v>37</v>
      </c>
      <c r="B30" s="851" t="s">
        <v>1029</v>
      </c>
      <c r="C30" s="821"/>
      <c r="D30" s="502">
        <f>SUM(D31:D32)</f>
        <v>0</v>
      </c>
      <c r="E30" s="502">
        <f>SUM(E31:E32)</f>
        <v>642944250</v>
      </c>
      <c r="F30" s="6">
        <f t="shared" si="0"/>
        <v>642944250</v>
      </c>
      <c r="G30" s="503"/>
      <c r="H30" s="628"/>
      <c r="I30" s="607"/>
      <c r="J30" s="503"/>
      <c r="K30" s="503"/>
    </row>
    <row r="31" spans="1:11" s="500" customFormat="1" ht="42" customHeight="1" x14ac:dyDescent="0.35">
      <c r="A31" s="501"/>
      <c r="B31" s="852" t="s">
        <v>28</v>
      </c>
      <c r="C31" s="819"/>
      <c r="E31" s="502">
        <f>+'13.c.sz.m.Kötött maradvány'!E94</f>
        <v>642944250</v>
      </c>
      <c r="F31" s="627">
        <f>SUM(D31:E31)</f>
        <v>642944250</v>
      </c>
      <c r="G31" s="503"/>
      <c r="H31" s="628"/>
      <c r="I31" s="607"/>
      <c r="J31" s="503"/>
      <c r="K31" s="503"/>
    </row>
    <row r="32" spans="1:11" s="500" customFormat="1" ht="42" customHeight="1" x14ac:dyDescent="0.35">
      <c r="A32" s="501"/>
      <c r="B32" s="852" t="s">
        <v>29</v>
      </c>
      <c r="C32" s="819"/>
      <c r="D32" s="502"/>
      <c r="E32" s="502"/>
      <c r="F32" s="627">
        <f>SUM(D32:E32)</f>
        <v>0</v>
      </c>
      <c r="G32" s="503"/>
      <c r="H32" s="628"/>
      <c r="I32" s="607"/>
      <c r="J32" s="503"/>
      <c r="K32" s="503"/>
    </row>
    <row r="33" spans="1:11" ht="51.75" customHeight="1" x14ac:dyDescent="0.35">
      <c r="A33" s="9" t="s">
        <v>37</v>
      </c>
      <c r="B33" s="853" t="s">
        <v>852</v>
      </c>
      <c r="C33" s="829"/>
      <c r="D33" s="5">
        <f>+'13.a.sz.m.Maradvány - int'!M29</f>
        <v>26374057</v>
      </c>
      <c r="E33" s="5">
        <f>SUM(E34:E35)</f>
        <v>1743957077</v>
      </c>
      <c r="F33" s="6">
        <f t="shared" si="0"/>
        <v>1770331134</v>
      </c>
      <c r="G33" s="33"/>
      <c r="H33" s="852"/>
      <c r="I33" s="819"/>
      <c r="J33" s="11"/>
      <c r="K33" s="11"/>
    </row>
    <row r="34" spans="1:11" s="87" customFormat="1" ht="32.25" customHeight="1" x14ac:dyDescent="0.35">
      <c r="A34" s="504"/>
      <c r="B34" s="849" t="s">
        <v>28</v>
      </c>
      <c r="C34" s="849"/>
      <c r="D34" s="505">
        <f>+'13.a.sz.m.Maradvány - int'!M30</f>
        <v>22885262</v>
      </c>
      <c r="E34" s="506">
        <f>+E16+E19+E22+E25+E28+E31</f>
        <v>794921046</v>
      </c>
      <c r="F34" s="507">
        <f t="shared" si="0"/>
        <v>817806308</v>
      </c>
      <c r="G34" s="13"/>
      <c r="H34" s="14">
        <f>+D15+D18+D21+D24+D27</f>
        <v>26374057</v>
      </c>
      <c r="I34" s="13"/>
      <c r="J34" s="13"/>
      <c r="K34" s="13"/>
    </row>
    <row r="35" spans="1:11" s="87" customFormat="1" ht="32.25" customHeight="1" x14ac:dyDescent="0.35">
      <c r="A35" s="504"/>
      <c r="B35" s="849" t="s">
        <v>29</v>
      </c>
      <c r="C35" s="849"/>
      <c r="D35" s="505">
        <f>+'13.a.sz.m.Maradvány - int'!M31</f>
        <v>3488795</v>
      </c>
      <c r="E35" s="506">
        <f>+E17+E20+E23+E26+E29+E32</f>
        <v>949036031</v>
      </c>
      <c r="F35" s="507">
        <f t="shared" si="0"/>
        <v>952524826</v>
      </c>
      <c r="G35" s="13"/>
      <c r="H35" s="14"/>
      <c r="I35" s="13"/>
      <c r="J35" s="13"/>
      <c r="K35" s="13"/>
    </row>
    <row r="36" spans="1:11" ht="84" customHeight="1" x14ac:dyDescent="0.35">
      <c r="A36" s="9" t="s">
        <v>47</v>
      </c>
      <c r="B36" s="850" t="s">
        <v>44</v>
      </c>
      <c r="C36" s="850"/>
      <c r="D36" s="5">
        <f>+'13.a.sz.m.Maradvány - int'!M32</f>
        <v>159332707</v>
      </c>
      <c r="E36" s="5">
        <f>+E12-E33</f>
        <v>1860260190</v>
      </c>
      <c r="F36" s="391">
        <f t="shared" si="0"/>
        <v>2019592897</v>
      </c>
      <c r="G36" s="15" t="s">
        <v>45</v>
      </c>
      <c r="H36" s="15"/>
      <c r="I36" s="11" t="s">
        <v>46</v>
      </c>
      <c r="J36" s="16">
        <v>725133</v>
      </c>
      <c r="K36" s="15"/>
    </row>
    <row r="37" spans="1:11" s="87" customFormat="1" ht="32.25" customHeight="1" x14ac:dyDescent="0.35">
      <c r="A37" s="86" t="s">
        <v>49</v>
      </c>
      <c r="B37" s="847" t="s">
        <v>36</v>
      </c>
      <c r="C37" s="847"/>
      <c r="D37" s="5">
        <f>-'13.a.sz.m.Maradvány - int'!M34</f>
        <v>-159332707</v>
      </c>
      <c r="E37" s="392">
        <v>0</v>
      </c>
      <c r="F37" s="393">
        <f t="shared" si="0"/>
        <v>-159332707</v>
      </c>
      <c r="G37" s="11"/>
      <c r="H37" s="11"/>
      <c r="I37" s="11"/>
      <c r="J37" s="11"/>
      <c r="K37" s="11"/>
    </row>
    <row r="38" spans="1:11" s="87" customFormat="1" ht="32.25" customHeight="1" x14ac:dyDescent="0.35">
      <c r="A38" s="86" t="s">
        <v>66</v>
      </c>
      <c r="B38" s="847" t="s">
        <v>48</v>
      </c>
      <c r="C38" s="847"/>
      <c r="D38" s="5">
        <f>+'13.a.sz.m.Maradvány - int'!M36</f>
        <v>0</v>
      </c>
      <c r="E38" s="392">
        <f>-D37</f>
        <v>159332707</v>
      </c>
      <c r="F38" s="393">
        <f t="shared" si="0"/>
        <v>159332707</v>
      </c>
      <c r="G38" s="11"/>
      <c r="H38" s="11"/>
      <c r="I38" s="11"/>
      <c r="J38" s="11"/>
      <c r="K38" s="11"/>
    </row>
    <row r="39" spans="1:11" ht="63" customHeight="1" x14ac:dyDescent="0.35">
      <c r="A39" s="9" t="s">
        <v>67</v>
      </c>
      <c r="B39" s="848" t="s">
        <v>65</v>
      </c>
      <c r="C39" s="848"/>
      <c r="D39" s="5">
        <f>+D36+D37+D38</f>
        <v>0</v>
      </c>
      <c r="E39" s="5">
        <f>+E36+E37+E38</f>
        <v>2019592897</v>
      </c>
      <c r="F39" s="6">
        <f>+D39+E39</f>
        <v>2019592897</v>
      </c>
      <c r="G39" s="11"/>
      <c r="H39" s="11"/>
      <c r="I39" s="11"/>
      <c r="J39" s="11"/>
      <c r="K39" s="11"/>
    </row>
    <row r="40" spans="1:11" ht="34.5" customHeight="1" x14ac:dyDescent="0.35">
      <c r="A40" s="7"/>
      <c r="B40" s="849" t="s">
        <v>28</v>
      </c>
      <c r="C40" s="849"/>
      <c r="D40" s="5">
        <f>+'13.a.sz.m.Maradvány - int'!M38</f>
        <v>0</v>
      </c>
      <c r="E40" s="12">
        <f>+'13.d.sz.m.Szabad maradvány'!D74</f>
        <v>451562897</v>
      </c>
      <c r="F40" s="6">
        <f t="shared" si="0"/>
        <v>451562897</v>
      </c>
      <c r="G40" s="17"/>
      <c r="H40" s="17"/>
      <c r="I40" s="17"/>
      <c r="J40" s="17"/>
      <c r="K40" s="17"/>
    </row>
    <row r="41" spans="1:11" ht="34.5" customHeight="1" x14ac:dyDescent="0.35">
      <c r="A41" s="18"/>
      <c r="B41" s="846" t="s">
        <v>29</v>
      </c>
      <c r="C41" s="846"/>
      <c r="D41" s="176">
        <f>+'13.a.sz.m.Maradvány - int'!M39</f>
        <v>0</v>
      </c>
      <c r="E41" s="66">
        <f>+'13.d.sz.m.Szabad maradvány'!D75</f>
        <v>1568030000</v>
      </c>
      <c r="F41" s="178">
        <f t="shared" si="0"/>
        <v>1568030000</v>
      </c>
      <c r="G41" s="17"/>
      <c r="H41" s="17"/>
      <c r="I41" s="17"/>
      <c r="J41" s="17"/>
      <c r="K41" s="17"/>
    </row>
    <row r="42" spans="1:11" ht="34.5" customHeight="1" x14ac:dyDescent="0.35">
      <c r="A42" s="394"/>
      <c r="B42" s="395"/>
      <c r="C42" s="395"/>
      <c r="D42" s="21"/>
      <c r="E42" s="396"/>
      <c r="F42" s="21"/>
      <c r="G42" s="17"/>
      <c r="H42" s="17"/>
      <c r="I42" s="17"/>
      <c r="J42" s="17"/>
      <c r="K42" s="17"/>
    </row>
    <row r="43" spans="1:11" ht="23.25" x14ac:dyDescent="0.35">
      <c r="A43" s="19"/>
      <c r="B43" s="20"/>
      <c r="C43" s="20"/>
      <c r="D43" s="21"/>
      <c r="E43" s="11" t="s">
        <v>413</v>
      </c>
      <c r="F43" s="33">
        <f>+F34+F40</f>
        <v>1269369205</v>
      </c>
      <c r="I43" s="33"/>
      <c r="J43" s="11"/>
      <c r="K43" s="11"/>
    </row>
    <row r="44" spans="1:11" ht="23.25" x14ac:dyDescent="0.35">
      <c r="A44" s="19"/>
      <c r="B44" s="20"/>
      <c r="C44" s="20"/>
      <c r="D44" s="21"/>
      <c r="E44" s="11" t="s">
        <v>414</v>
      </c>
      <c r="F44" s="33">
        <f>+F35+F41</f>
        <v>2520554826</v>
      </c>
      <c r="I44" s="11"/>
      <c r="J44" s="11"/>
      <c r="K44" s="11"/>
    </row>
    <row r="45" spans="1:11" ht="23.25" x14ac:dyDescent="0.35">
      <c r="A45" s="19"/>
      <c r="B45" s="20"/>
      <c r="C45" s="20"/>
      <c r="D45" s="21"/>
      <c r="E45" s="11" t="s">
        <v>415</v>
      </c>
      <c r="F45" s="33">
        <f>SUM(F43:F44)</f>
        <v>3789924031</v>
      </c>
      <c r="G45" s="11"/>
      <c r="H45" s="33"/>
      <c r="I45" s="11"/>
      <c r="J45" s="11"/>
      <c r="K45" s="11"/>
    </row>
    <row r="46" spans="1:11" ht="23.25" x14ac:dyDescent="0.35">
      <c r="A46" s="19"/>
      <c r="B46" s="20"/>
      <c r="C46" s="20"/>
      <c r="D46" s="21"/>
      <c r="E46" s="67"/>
      <c r="F46" s="22"/>
      <c r="G46" s="11"/>
      <c r="H46" s="33"/>
      <c r="I46" s="11"/>
      <c r="J46" s="11"/>
      <c r="K46" s="11"/>
    </row>
    <row r="47" spans="1:11" ht="23.25" x14ac:dyDescent="0.35">
      <c r="A47" s="19"/>
      <c r="B47" s="20"/>
      <c r="C47" s="20"/>
      <c r="D47" s="21"/>
      <c r="E47" s="67"/>
      <c r="F47" s="22"/>
      <c r="G47" s="11"/>
      <c r="H47" s="33"/>
      <c r="I47" s="11"/>
      <c r="J47" s="11"/>
      <c r="K47" s="11"/>
    </row>
    <row r="48" spans="1:11" ht="23.25" x14ac:dyDescent="0.35">
      <c r="A48" s="11"/>
      <c r="B48" s="11"/>
      <c r="C48" s="11"/>
    </row>
    <row r="49" spans="1:3" ht="23.25" x14ac:dyDescent="0.35">
      <c r="A49" s="11"/>
      <c r="B49" s="11"/>
      <c r="C49" s="11"/>
    </row>
    <row r="50" spans="1:3" ht="23.25" x14ac:dyDescent="0.35">
      <c r="A50" s="11"/>
      <c r="B50" s="11"/>
      <c r="C50" s="11"/>
    </row>
    <row r="51" spans="1:3" ht="23.25" x14ac:dyDescent="0.35">
      <c r="A51" s="11"/>
      <c r="B51" s="11"/>
      <c r="C51" s="11"/>
    </row>
    <row r="52" spans="1:3" ht="23.25" x14ac:dyDescent="0.35">
      <c r="A52" s="11"/>
      <c r="B52" s="11"/>
      <c r="C52" s="11"/>
    </row>
  </sheetData>
  <mergeCells count="49">
    <mergeCell ref="H29:I29"/>
    <mergeCell ref="H33:I33"/>
    <mergeCell ref="B21:C21"/>
    <mergeCell ref="B22:C22"/>
    <mergeCell ref="B23:C23"/>
    <mergeCell ref="B27:C27"/>
    <mergeCell ref="B28:C28"/>
    <mergeCell ref="B29:C29"/>
    <mergeCell ref="H24:I24"/>
    <mergeCell ref="H25:I25"/>
    <mergeCell ref="H26:I26"/>
    <mergeCell ref="H27:I27"/>
    <mergeCell ref="H28:I28"/>
    <mergeCell ref="B30:C30"/>
    <mergeCell ref="B31:C31"/>
    <mergeCell ref="B32:C32"/>
    <mergeCell ref="B11:C11"/>
    <mergeCell ref="A1:F1"/>
    <mergeCell ref="A4:A5"/>
    <mergeCell ref="B4:C5"/>
    <mergeCell ref="D4:D5"/>
    <mergeCell ref="E4:E5"/>
    <mergeCell ref="F4:F5"/>
    <mergeCell ref="B6:C6"/>
    <mergeCell ref="B7:C7"/>
    <mergeCell ref="B8:C8"/>
    <mergeCell ref="B9:C9"/>
    <mergeCell ref="B10:C10"/>
    <mergeCell ref="B12:C12"/>
    <mergeCell ref="B13:C13"/>
    <mergeCell ref="B14:C14"/>
    <mergeCell ref="B33:C33"/>
    <mergeCell ref="B34:C34"/>
    <mergeCell ref="B19:C19"/>
    <mergeCell ref="B20:C20"/>
    <mergeCell ref="B24:C24"/>
    <mergeCell ref="B25:C25"/>
    <mergeCell ref="B26:C26"/>
    <mergeCell ref="B35:C35"/>
    <mergeCell ref="B36:C36"/>
    <mergeCell ref="B15:C15"/>
    <mergeCell ref="B16:C16"/>
    <mergeCell ref="B17:C17"/>
    <mergeCell ref="B18:C18"/>
    <mergeCell ref="B41:C41"/>
    <mergeCell ref="B37:C37"/>
    <mergeCell ref="B38:C38"/>
    <mergeCell ref="B39:C39"/>
    <mergeCell ref="B40:C40"/>
  </mergeCells>
  <printOptions horizontalCentered="1" verticalCentered="1"/>
  <pageMargins left="0.27559055118110237" right="0.27559055118110237" top="0.74803149606299213" bottom="0.62992125984251968" header="0.31496062992125984" footer="0.31496062992125984"/>
  <pageSetup paperSize="9" scale="39" orientation="portrait" r:id="rId1"/>
  <headerFooter>
    <oddHeader>&amp;CDunaharaszti Város Önkormányzat 
2021. évi zárszámadás&amp;R&amp;A</oddHeader>
    <oddFooter xml:space="preserve">&amp;C&amp;P/&amp;N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H14"/>
  <sheetViews>
    <sheetView view="pageBreakPreview" zoomScaleNormal="100" zoomScaleSheetLayoutView="100" workbookViewId="0">
      <selection activeCell="C10" sqref="C10:C11"/>
    </sheetView>
  </sheetViews>
  <sheetFormatPr defaultRowHeight="15" x14ac:dyDescent="0.25"/>
  <cols>
    <col min="1" max="1" width="26" customWidth="1"/>
  </cols>
  <sheetData>
    <row r="1" spans="1:8" ht="17.25" customHeight="1" x14ac:dyDescent="0.3">
      <c r="A1" s="1102" t="s">
        <v>671</v>
      </c>
      <c r="B1" s="1102"/>
      <c r="C1" s="1102"/>
      <c r="D1" s="1102"/>
      <c r="E1" s="1102"/>
      <c r="F1" s="1102"/>
      <c r="G1" s="1102"/>
      <c r="H1" s="1102"/>
    </row>
    <row r="2" spans="1:8" x14ac:dyDescent="0.25">
      <c r="A2" s="57"/>
      <c r="B2" s="57"/>
      <c r="C2" s="57"/>
      <c r="D2" s="59"/>
      <c r="E2" s="59"/>
      <c r="F2" s="59"/>
    </row>
    <row r="3" spans="1:8" ht="18.75" x14ac:dyDescent="0.25">
      <c r="A3" s="1103"/>
      <c r="B3" s="1103"/>
      <c r="C3" s="1103"/>
      <c r="D3" s="1103"/>
      <c r="E3" s="59"/>
      <c r="F3" s="59"/>
    </row>
    <row r="4" spans="1:8" x14ac:dyDescent="0.25">
      <c r="A4" s="59"/>
      <c r="B4" s="59"/>
      <c r="C4" s="59"/>
      <c r="D4" s="59"/>
      <c r="E4" s="59"/>
      <c r="F4" s="59"/>
    </row>
    <row r="5" spans="1:8" ht="30" customHeight="1" x14ac:dyDescent="0.25">
      <c r="A5" s="1119" t="s">
        <v>907</v>
      </c>
      <c r="B5" s="1119"/>
      <c r="C5" s="1119"/>
      <c r="D5" s="1119"/>
      <c r="E5" s="1119"/>
      <c r="F5" s="1119"/>
      <c r="G5" s="1119"/>
      <c r="H5" s="1119"/>
    </row>
    <row r="6" spans="1:8" ht="15.75" x14ac:dyDescent="0.25">
      <c r="A6" s="278" t="s">
        <v>908</v>
      </c>
      <c r="B6" s="278"/>
      <c r="C6" s="278"/>
      <c r="D6" s="59"/>
      <c r="E6" s="59"/>
      <c r="F6" s="59"/>
    </row>
    <row r="7" spans="1:8" ht="15.75" x14ac:dyDescent="0.25">
      <c r="A7" s="278"/>
      <c r="B7" s="278"/>
      <c r="C7" s="278"/>
      <c r="D7" s="59"/>
      <c r="E7" s="59"/>
      <c r="F7" s="59"/>
    </row>
    <row r="8" spans="1:8" ht="15.75" x14ac:dyDescent="0.25">
      <c r="A8" s="279" t="s">
        <v>672</v>
      </c>
      <c r="B8" s="279"/>
      <c r="C8" s="279"/>
      <c r="D8" s="59"/>
      <c r="E8" s="59"/>
      <c r="F8" s="59"/>
    </row>
    <row r="9" spans="1:8" ht="16.5" x14ac:dyDescent="0.25">
      <c r="A9" s="1105"/>
      <c r="B9" s="1105"/>
      <c r="C9" s="1105"/>
      <c r="D9" s="1105"/>
      <c r="E9" s="1105"/>
      <c r="F9" s="1105"/>
    </row>
    <row r="10" spans="1:8" ht="15" customHeight="1" x14ac:dyDescent="0.25">
      <c r="A10" s="1106" t="s">
        <v>574</v>
      </c>
      <c r="B10" s="1107" t="s">
        <v>495</v>
      </c>
      <c r="C10" s="1106" t="s">
        <v>287</v>
      </c>
      <c r="D10" s="1120" t="s">
        <v>577</v>
      </c>
      <c r="E10" s="1121"/>
      <c r="F10" s="1121"/>
      <c r="G10" s="1121"/>
      <c r="H10" s="1121"/>
    </row>
    <row r="11" spans="1:8" ht="15" customHeight="1" x14ac:dyDescent="0.25">
      <c r="A11" s="1106"/>
      <c r="B11" s="1108"/>
      <c r="C11" s="1106"/>
      <c r="D11" s="1113"/>
      <c r="E11" s="1114"/>
      <c r="F11" s="1114"/>
      <c r="G11" s="1114"/>
      <c r="H11" s="1114"/>
    </row>
    <row r="12" spans="1:8" ht="15.75" x14ac:dyDescent="0.25">
      <c r="A12" s="1106"/>
      <c r="B12" s="1109"/>
      <c r="C12" s="777">
        <v>2018</v>
      </c>
      <c r="D12" s="777">
        <v>2019</v>
      </c>
      <c r="E12" s="777">
        <v>2020</v>
      </c>
      <c r="F12" s="777">
        <v>2021</v>
      </c>
      <c r="G12" s="777">
        <v>2022</v>
      </c>
      <c r="H12" s="777">
        <v>2023</v>
      </c>
    </row>
    <row r="13" spans="1:8" ht="47.25" x14ac:dyDescent="0.25">
      <c r="A13" s="778" t="s">
        <v>909</v>
      </c>
      <c r="B13" s="779" t="s">
        <v>673</v>
      </c>
      <c r="C13" s="780">
        <v>265</v>
      </c>
      <c r="D13" s="780">
        <v>265</v>
      </c>
      <c r="E13" s="780">
        <v>265</v>
      </c>
      <c r="F13" s="780">
        <v>265</v>
      </c>
      <c r="G13" s="780">
        <v>265</v>
      </c>
      <c r="H13" s="780">
        <v>265</v>
      </c>
    </row>
    <row r="14" spans="1:8" ht="63" x14ac:dyDescent="0.25">
      <c r="A14" s="778" t="s">
        <v>910</v>
      </c>
      <c r="B14" s="779" t="s">
        <v>673</v>
      </c>
      <c r="C14" s="780">
        <v>1711</v>
      </c>
      <c r="D14" s="780">
        <v>1711</v>
      </c>
      <c r="E14" s="780">
        <v>1711</v>
      </c>
      <c r="F14" s="780">
        <v>1711</v>
      </c>
      <c r="G14" s="780">
        <v>1711</v>
      </c>
      <c r="H14" s="780">
        <v>1711</v>
      </c>
    </row>
  </sheetData>
  <mergeCells count="8">
    <mergeCell ref="A1:H1"/>
    <mergeCell ref="A3:D3"/>
    <mergeCell ref="A5:H5"/>
    <mergeCell ref="A9:F9"/>
    <mergeCell ref="A10:A12"/>
    <mergeCell ref="B10:B12"/>
    <mergeCell ref="C10:C11"/>
    <mergeCell ref="D10:H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&amp;CDunaharaszti Város Önkormányzata
2021. évi zárszámadás&amp;R&amp;A</oddHeader>
    <oddFooter>&amp;C&amp;P/&amp;N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17"/>
  <sheetViews>
    <sheetView view="pageBreakPreview" zoomScaleNormal="100" zoomScaleSheetLayoutView="100" workbookViewId="0">
      <selection activeCell="H27" sqref="H27"/>
    </sheetView>
  </sheetViews>
  <sheetFormatPr defaultRowHeight="15" x14ac:dyDescent="0.25"/>
  <cols>
    <col min="1" max="1" width="36.42578125" customWidth="1"/>
    <col min="5" max="6" width="6.28515625" bestFit="1" customWidth="1"/>
  </cols>
  <sheetData>
    <row r="1" spans="1:8" ht="17.25" x14ac:dyDescent="0.3">
      <c r="A1" s="1102" t="s">
        <v>671</v>
      </c>
      <c r="B1" s="1116"/>
      <c r="C1" s="1116"/>
      <c r="D1" s="1116"/>
      <c r="E1" s="1116"/>
      <c r="F1" s="1116"/>
    </row>
    <row r="2" spans="1:8" x14ac:dyDescent="0.25">
      <c r="A2" s="57"/>
      <c r="B2" s="57"/>
      <c r="C2" s="57"/>
      <c r="D2" s="59"/>
      <c r="E2" s="59"/>
      <c r="F2" s="59"/>
    </row>
    <row r="3" spans="1:8" ht="18.75" x14ac:dyDescent="0.25">
      <c r="A3" s="1103"/>
      <c r="B3" s="1103"/>
      <c r="C3" s="1103"/>
      <c r="D3" s="1103"/>
      <c r="E3" s="59"/>
      <c r="F3" s="59"/>
    </row>
    <row r="4" spans="1:8" x14ac:dyDescent="0.25">
      <c r="A4" s="59"/>
      <c r="B4" s="59"/>
      <c r="C4" s="59"/>
      <c r="D4" s="59"/>
      <c r="E4" s="59"/>
      <c r="F4" s="59"/>
    </row>
    <row r="5" spans="1:8" ht="28.5" customHeight="1" x14ac:dyDescent="0.25">
      <c r="A5" s="1104" t="s">
        <v>920</v>
      </c>
      <c r="B5" s="1104"/>
      <c r="C5" s="1104"/>
      <c r="D5" s="1104"/>
      <c r="E5" s="1104"/>
      <c r="F5" s="1104"/>
    </row>
    <row r="6" spans="1:8" ht="15.75" x14ac:dyDescent="0.25">
      <c r="A6" s="278" t="s">
        <v>921</v>
      </c>
      <c r="B6" s="278"/>
      <c r="C6" s="278"/>
      <c r="D6" s="59"/>
      <c r="E6" s="59"/>
      <c r="F6" s="59"/>
    </row>
    <row r="7" spans="1:8" ht="15.75" x14ac:dyDescent="0.25">
      <c r="A7" s="278"/>
      <c r="B7" s="278"/>
      <c r="C7" s="278"/>
      <c r="D7" s="59"/>
      <c r="E7" s="59"/>
      <c r="F7" s="59"/>
    </row>
    <row r="8" spans="1:8" ht="15.75" x14ac:dyDescent="0.25">
      <c r="A8" s="279" t="s">
        <v>672</v>
      </c>
      <c r="B8" s="279"/>
      <c r="C8" s="279"/>
      <c r="D8" s="59"/>
      <c r="E8" s="59"/>
      <c r="F8" s="59"/>
    </row>
    <row r="9" spans="1:8" ht="16.5" x14ac:dyDescent="0.25">
      <c r="A9" s="1105"/>
      <c r="B9" s="1105"/>
      <c r="C9" s="1105"/>
      <c r="D9" s="1105"/>
      <c r="E9" s="1105"/>
      <c r="F9" s="1105"/>
    </row>
    <row r="10" spans="1:8" ht="15" customHeight="1" x14ac:dyDescent="0.25">
      <c r="A10" s="1106" t="s">
        <v>574</v>
      </c>
      <c r="B10" s="1107" t="s">
        <v>495</v>
      </c>
      <c r="C10" s="1106" t="s">
        <v>287</v>
      </c>
      <c r="D10" s="1120" t="s">
        <v>577</v>
      </c>
      <c r="E10" s="1121"/>
      <c r="F10" s="1121"/>
      <c r="G10" s="1121"/>
      <c r="H10" s="1121"/>
    </row>
    <row r="11" spans="1:8" ht="15" customHeight="1" x14ac:dyDescent="0.25">
      <c r="A11" s="1106"/>
      <c r="B11" s="1108"/>
      <c r="C11" s="1106"/>
      <c r="D11" s="1113"/>
      <c r="E11" s="1114"/>
      <c r="F11" s="1114"/>
      <c r="G11" s="1114"/>
      <c r="H11" s="1114"/>
    </row>
    <row r="12" spans="1:8" ht="15.75" x14ac:dyDescent="0.25">
      <c r="A12" s="1106"/>
      <c r="B12" s="1109"/>
      <c r="C12" s="777">
        <v>2019</v>
      </c>
      <c r="D12" s="777">
        <v>2020</v>
      </c>
      <c r="E12" s="777">
        <v>2021</v>
      </c>
      <c r="F12" s="777">
        <v>2022</v>
      </c>
      <c r="G12" s="777">
        <v>2023</v>
      </c>
      <c r="H12" s="777">
        <v>2024</v>
      </c>
    </row>
    <row r="13" spans="1:8" ht="31.5" x14ac:dyDescent="0.25">
      <c r="A13" s="778" t="s">
        <v>922</v>
      </c>
      <c r="B13" s="779" t="s">
        <v>675</v>
      </c>
      <c r="C13" s="780">
        <v>822</v>
      </c>
      <c r="D13" s="780">
        <v>822</v>
      </c>
      <c r="E13" s="780">
        <v>822</v>
      </c>
      <c r="F13" s="780">
        <v>822</v>
      </c>
      <c r="G13" s="780">
        <v>822</v>
      </c>
      <c r="H13" s="780">
        <v>822</v>
      </c>
    </row>
    <row r="14" spans="1:8" ht="31.5" x14ac:dyDescent="0.25">
      <c r="A14" s="778" t="s">
        <v>923</v>
      </c>
      <c r="B14" s="779" t="s">
        <v>497</v>
      </c>
      <c r="C14" s="780">
        <v>3</v>
      </c>
      <c r="D14" s="780">
        <v>3</v>
      </c>
      <c r="E14" s="780">
        <v>3</v>
      </c>
      <c r="F14" s="780">
        <v>3</v>
      </c>
      <c r="G14" s="780">
        <v>3</v>
      </c>
      <c r="H14" s="780">
        <v>3</v>
      </c>
    </row>
    <row r="15" spans="1:8" ht="15.75" x14ac:dyDescent="0.25">
      <c r="A15" s="778" t="s">
        <v>674</v>
      </c>
      <c r="B15" s="779" t="s">
        <v>497</v>
      </c>
      <c r="C15" s="780">
        <v>5</v>
      </c>
      <c r="D15" s="780">
        <v>5</v>
      </c>
      <c r="E15" s="780">
        <v>5</v>
      </c>
      <c r="F15" s="780">
        <v>5</v>
      </c>
      <c r="G15" s="780">
        <v>5</v>
      </c>
      <c r="H15" s="780">
        <v>5</v>
      </c>
    </row>
    <row r="16" spans="1:8" ht="31.5" x14ac:dyDescent="0.25">
      <c r="A16" s="778" t="s">
        <v>676</v>
      </c>
      <c r="B16" s="779" t="s">
        <v>673</v>
      </c>
      <c r="C16" s="780">
        <v>1644</v>
      </c>
      <c r="D16" s="780">
        <v>1644</v>
      </c>
      <c r="E16" s="780">
        <v>1644</v>
      </c>
      <c r="F16" s="780">
        <v>1644</v>
      </c>
      <c r="G16" s="780">
        <v>1644</v>
      </c>
      <c r="H16" s="780">
        <v>1644</v>
      </c>
    </row>
    <row r="17" spans="1:8" ht="15.75" x14ac:dyDescent="0.25">
      <c r="A17" s="778" t="s">
        <v>924</v>
      </c>
      <c r="B17" s="779" t="s">
        <v>497</v>
      </c>
      <c r="C17" s="780">
        <v>10</v>
      </c>
      <c r="D17" s="780">
        <v>10</v>
      </c>
      <c r="E17" s="780">
        <v>10</v>
      </c>
      <c r="F17" s="780">
        <v>10</v>
      </c>
      <c r="G17" s="780">
        <v>10</v>
      </c>
      <c r="H17" s="780">
        <v>10</v>
      </c>
    </row>
  </sheetData>
  <mergeCells count="8">
    <mergeCell ref="A1:F1"/>
    <mergeCell ref="A3:D3"/>
    <mergeCell ref="A5:F5"/>
    <mergeCell ref="A9:F9"/>
    <mergeCell ref="A10:A12"/>
    <mergeCell ref="B10:B12"/>
    <mergeCell ref="C10:C11"/>
    <mergeCell ref="D10:H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&amp;CDunaharaszti Város Önkormányzata
2021. évi zárszámadás&amp;R&amp;A</oddHeader>
    <oddFooter>&amp;C&amp;P/&amp;N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16"/>
  <sheetViews>
    <sheetView view="pageBreakPreview" zoomScale="91" zoomScaleNormal="100" zoomScaleSheetLayoutView="91" workbookViewId="0">
      <selection activeCell="L13" sqref="L13"/>
    </sheetView>
  </sheetViews>
  <sheetFormatPr defaultRowHeight="15" x14ac:dyDescent="0.25"/>
  <cols>
    <col min="1" max="1" width="24.42578125" customWidth="1"/>
    <col min="2" max="2" width="15.42578125" bestFit="1" customWidth="1"/>
    <col min="3" max="3" width="14.85546875" customWidth="1"/>
    <col min="4" max="7" width="11.28515625" bestFit="1" customWidth="1"/>
    <col min="8" max="8" width="11.42578125" customWidth="1"/>
  </cols>
  <sheetData>
    <row r="1" spans="1:8" ht="17.25" customHeight="1" x14ac:dyDescent="0.3">
      <c r="A1" s="1102" t="s">
        <v>671</v>
      </c>
      <c r="B1" s="1102"/>
      <c r="C1" s="1102"/>
      <c r="D1" s="1102"/>
      <c r="E1" s="1102"/>
      <c r="F1" s="1102"/>
      <c r="G1" s="1102"/>
    </row>
    <row r="2" spans="1:8" x14ac:dyDescent="0.25">
      <c r="A2" s="57"/>
      <c r="B2" s="57"/>
      <c r="C2" s="59"/>
      <c r="D2" s="59"/>
      <c r="E2" s="59"/>
      <c r="F2" s="59"/>
      <c r="G2" s="59"/>
    </row>
    <row r="3" spans="1:8" ht="18.75" x14ac:dyDescent="0.25">
      <c r="A3" s="1103"/>
      <c r="B3" s="1103"/>
      <c r="C3" s="1103"/>
      <c r="D3" s="1103"/>
      <c r="E3" s="59"/>
      <c r="F3" s="59"/>
      <c r="G3" s="59"/>
    </row>
    <row r="4" spans="1:8" x14ac:dyDescent="0.25">
      <c r="A4" s="59"/>
      <c r="B4" s="59"/>
      <c r="C4" s="59"/>
      <c r="D4" s="59"/>
      <c r="E4" s="59"/>
      <c r="F4" s="59"/>
      <c r="G4" s="59"/>
    </row>
    <row r="5" spans="1:8" ht="31.5" customHeight="1" x14ac:dyDescent="0.25">
      <c r="A5" s="1104" t="s">
        <v>911</v>
      </c>
      <c r="B5" s="1104"/>
      <c r="C5" s="1104"/>
      <c r="D5" s="1104"/>
      <c r="E5" s="1104"/>
      <c r="F5" s="1104"/>
      <c r="G5" s="1104"/>
      <c r="H5" s="1104"/>
    </row>
    <row r="6" spans="1:8" ht="15.75" x14ac:dyDescent="0.25">
      <c r="A6" s="278" t="s">
        <v>912</v>
      </c>
      <c r="B6" s="278"/>
      <c r="C6" s="59"/>
      <c r="D6" s="59"/>
      <c r="E6" s="59"/>
      <c r="F6" s="59"/>
      <c r="G6" s="59"/>
    </row>
    <row r="7" spans="1:8" ht="15.75" x14ac:dyDescent="0.25">
      <c r="A7" s="278"/>
      <c r="B7" s="278"/>
      <c r="C7" s="59"/>
      <c r="D7" s="59"/>
      <c r="E7" s="59"/>
      <c r="F7" s="59"/>
      <c r="G7" s="59"/>
    </row>
    <row r="8" spans="1:8" ht="15.75" x14ac:dyDescent="0.25">
      <c r="A8" s="279" t="s">
        <v>262</v>
      </c>
      <c r="B8" s="279"/>
      <c r="C8" s="59"/>
      <c r="D8" s="59"/>
      <c r="E8" s="59"/>
      <c r="F8" s="59"/>
      <c r="G8" s="59"/>
    </row>
    <row r="9" spans="1:8" ht="16.5" x14ac:dyDescent="0.25">
      <c r="A9" s="1105" t="s">
        <v>286</v>
      </c>
      <c r="B9" s="1105"/>
      <c r="C9" s="1105"/>
      <c r="D9" s="1105"/>
      <c r="E9" s="1105"/>
      <c r="F9" s="1105"/>
      <c r="G9" s="1105"/>
      <c r="H9" s="1105"/>
    </row>
    <row r="10" spans="1:8" ht="15.75" customHeight="1" x14ac:dyDescent="0.25">
      <c r="A10" s="1106" t="s">
        <v>574</v>
      </c>
      <c r="B10" s="1107" t="s">
        <v>913</v>
      </c>
      <c r="C10" s="1106" t="s">
        <v>287</v>
      </c>
      <c r="D10" s="1106" t="s">
        <v>577</v>
      </c>
      <c r="E10" s="1106"/>
      <c r="F10" s="1106"/>
      <c r="G10" s="1106"/>
      <c r="H10" s="1106"/>
    </row>
    <row r="11" spans="1:8" ht="15.75" customHeight="1" x14ac:dyDescent="0.25">
      <c r="A11" s="1106"/>
      <c r="B11" s="1108"/>
      <c r="C11" s="1106"/>
      <c r="D11" s="1106"/>
      <c r="E11" s="1106"/>
      <c r="F11" s="1106"/>
      <c r="G11" s="1106"/>
      <c r="H11" s="1106"/>
    </row>
    <row r="12" spans="1:8" ht="15.75" x14ac:dyDescent="0.25">
      <c r="A12" s="1106"/>
      <c r="B12" s="1109"/>
      <c r="C12" s="784" t="s">
        <v>872</v>
      </c>
      <c r="D12" s="784">
        <v>2020</v>
      </c>
      <c r="E12" s="784">
        <v>2021</v>
      </c>
      <c r="F12" s="784">
        <v>2022</v>
      </c>
      <c r="G12" s="784" t="s">
        <v>914</v>
      </c>
      <c r="H12" s="784" t="s">
        <v>915</v>
      </c>
    </row>
    <row r="13" spans="1:8" ht="78.75" x14ac:dyDescent="0.25">
      <c r="A13" s="778" t="s">
        <v>916</v>
      </c>
      <c r="B13" s="779" t="s">
        <v>497</v>
      </c>
      <c r="C13" s="780">
        <v>104</v>
      </c>
      <c r="D13" s="780">
        <v>104</v>
      </c>
      <c r="E13" s="780">
        <v>104</v>
      </c>
      <c r="F13" s="780">
        <v>104</v>
      </c>
      <c r="G13" s="780">
        <v>104</v>
      </c>
      <c r="H13" s="780">
        <v>104</v>
      </c>
    </row>
    <row r="14" spans="1:8" ht="78.75" x14ac:dyDescent="0.25">
      <c r="A14" s="778" t="s">
        <v>917</v>
      </c>
      <c r="B14" s="779" t="s">
        <v>498</v>
      </c>
      <c r="C14" s="780">
        <v>141.77000000000001</v>
      </c>
      <c r="D14" s="780">
        <v>141.77000000000001</v>
      </c>
      <c r="E14" s="780">
        <v>141.77000000000001</v>
      </c>
      <c r="F14" s="780">
        <v>141.77000000000001</v>
      </c>
      <c r="G14" s="780">
        <v>141.77000000000001</v>
      </c>
      <c r="H14" s="780">
        <v>141.77000000000001</v>
      </c>
    </row>
    <row r="15" spans="1:8" ht="47.25" x14ac:dyDescent="0.25">
      <c r="A15" s="778" t="s">
        <v>918</v>
      </c>
      <c r="B15" s="779" t="s">
        <v>497</v>
      </c>
      <c r="C15" s="780">
        <v>104</v>
      </c>
      <c r="D15" s="780">
        <v>104</v>
      </c>
      <c r="E15" s="780">
        <v>104</v>
      </c>
      <c r="F15" s="780">
        <v>104</v>
      </c>
      <c r="G15" s="780">
        <v>104</v>
      </c>
      <c r="H15" s="780">
        <v>104</v>
      </c>
    </row>
    <row r="16" spans="1:8" ht="47.25" x14ac:dyDescent="0.25">
      <c r="A16" s="778" t="s">
        <v>919</v>
      </c>
      <c r="B16" s="779" t="s">
        <v>498</v>
      </c>
      <c r="C16" s="780">
        <v>141.77000000000001</v>
      </c>
      <c r="D16" s="780">
        <v>141.77000000000001</v>
      </c>
      <c r="E16" s="780">
        <v>141.77000000000001</v>
      </c>
      <c r="F16" s="780">
        <v>141.77000000000001</v>
      </c>
      <c r="G16" s="780">
        <v>141.77000000000001</v>
      </c>
      <c r="H16" s="780">
        <v>141.77000000000001</v>
      </c>
    </row>
  </sheetData>
  <mergeCells count="8">
    <mergeCell ref="A1:G1"/>
    <mergeCell ref="A3:D3"/>
    <mergeCell ref="A5:H5"/>
    <mergeCell ref="A9:H9"/>
    <mergeCell ref="A10:A12"/>
    <mergeCell ref="B10:B12"/>
    <mergeCell ref="C10:C11"/>
    <mergeCell ref="D10:H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&amp;CDunaharaszti Város Önkormányzata
2021. évi zárszámadás&amp;R&amp;A</oddHeader>
    <oddFooter>&amp;C&amp;P/&amp;N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I17"/>
  <sheetViews>
    <sheetView tabSelected="1" view="pageBreakPreview" zoomScale="60" zoomScaleNormal="100" workbookViewId="0">
      <selection activeCell="P19" sqref="P19"/>
    </sheetView>
  </sheetViews>
  <sheetFormatPr defaultRowHeight="15" x14ac:dyDescent="0.25"/>
  <cols>
    <col min="1" max="1" width="16.28515625" customWidth="1"/>
    <col min="3" max="4" width="12.28515625" bestFit="1" customWidth="1"/>
    <col min="5" max="5" width="11.85546875" customWidth="1"/>
    <col min="6" max="6" width="12.42578125" customWidth="1"/>
    <col min="7" max="7" width="12.28515625" bestFit="1" customWidth="1"/>
    <col min="8" max="8" width="18.28515625" customWidth="1"/>
  </cols>
  <sheetData>
    <row r="1" spans="1:9" ht="17.25" customHeight="1" x14ac:dyDescent="0.3">
      <c r="A1" s="1116" t="s">
        <v>260</v>
      </c>
      <c r="B1" s="1116"/>
      <c r="C1" s="1116"/>
      <c r="D1" s="1116"/>
      <c r="E1" s="1116"/>
      <c r="F1" s="1116"/>
      <c r="G1" s="1116"/>
      <c r="H1" s="1116"/>
      <c r="I1" s="1116"/>
    </row>
    <row r="2" spans="1:9" x14ac:dyDescent="0.25">
      <c r="A2" s="57"/>
      <c r="B2" s="57"/>
      <c r="C2" s="59"/>
      <c r="D2" s="59"/>
      <c r="E2" s="59"/>
      <c r="F2" s="59"/>
      <c r="G2" s="59"/>
    </row>
    <row r="3" spans="1:9" ht="18.75" x14ac:dyDescent="0.25">
      <c r="A3" s="1103"/>
      <c r="B3" s="1103"/>
      <c r="C3" s="1103"/>
      <c r="D3" s="1103"/>
      <c r="E3" s="59"/>
      <c r="F3" s="59"/>
      <c r="G3" s="59"/>
    </row>
    <row r="4" spans="1:9" x14ac:dyDescent="0.25">
      <c r="A4" s="59"/>
      <c r="B4" s="59"/>
      <c r="C4" s="59"/>
      <c r="D4" s="59"/>
      <c r="E4" s="59"/>
      <c r="F4" s="59"/>
      <c r="G4" s="59"/>
    </row>
    <row r="5" spans="1:9" ht="15.75" x14ac:dyDescent="0.25">
      <c r="A5" s="1104" t="s">
        <v>1163</v>
      </c>
      <c r="B5" s="1104"/>
      <c r="C5" s="1104"/>
      <c r="D5" s="1104"/>
      <c r="E5" s="1104"/>
      <c r="F5" s="1104"/>
      <c r="G5" s="1104"/>
      <c r="H5" s="1104"/>
    </row>
    <row r="6" spans="1:9" ht="15.75" x14ac:dyDescent="0.25">
      <c r="A6" s="278" t="s">
        <v>1164</v>
      </c>
      <c r="B6" s="278"/>
      <c r="C6" s="59"/>
      <c r="D6" s="59"/>
      <c r="E6" s="59"/>
      <c r="F6" s="59"/>
      <c r="G6" s="59"/>
    </row>
    <row r="7" spans="1:9" ht="15.75" x14ac:dyDescent="0.25">
      <c r="A7" s="278"/>
      <c r="B7" s="278"/>
      <c r="C7" s="59"/>
      <c r="D7" s="59"/>
      <c r="E7" s="59"/>
      <c r="F7" s="59"/>
      <c r="G7" s="59"/>
    </row>
    <row r="8" spans="1:9" ht="15.75" x14ac:dyDescent="0.25">
      <c r="A8" s="279" t="s">
        <v>262</v>
      </c>
      <c r="B8" s="279"/>
      <c r="C8" s="59"/>
      <c r="D8" s="59"/>
      <c r="E8" s="59"/>
      <c r="F8" s="59"/>
      <c r="G8" s="59"/>
    </row>
    <row r="9" spans="1:9" ht="16.5" x14ac:dyDescent="0.25">
      <c r="A9" s="1105" t="s">
        <v>286</v>
      </c>
      <c r="B9" s="1105"/>
      <c r="C9" s="1105"/>
      <c r="D9" s="1105"/>
      <c r="E9" s="1105"/>
      <c r="F9" s="1105"/>
      <c r="G9" s="1105"/>
      <c r="H9" s="1105"/>
    </row>
    <row r="10" spans="1:9" x14ac:dyDescent="0.25">
      <c r="A10" s="1106" t="s">
        <v>574</v>
      </c>
      <c r="B10" s="1107" t="s">
        <v>913</v>
      </c>
      <c r="C10" s="1106" t="s">
        <v>287</v>
      </c>
      <c r="D10" s="1106" t="s">
        <v>577</v>
      </c>
      <c r="E10" s="1106"/>
      <c r="F10" s="1106"/>
      <c r="G10" s="1106"/>
      <c r="H10" s="1106"/>
    </row>
    <row r="11" spans="1:9" x14ac:dyDescent="0.25">
      <c r="A11" s="1106"/>
      <c r="B11" s="1108"/>
      <c r="C11" s="1106"/>
      <c r="D11" s="1106"/>
      <c r="E11" s="1106"/>
      <c r="F11" s="1106"/>
      <c r="G11" s="1106"/>
      <c r="H11" s="1106"/>
    </row>
    <row r="12" spans="1:9" ht="15.75" x14ac:dyDescent="0.25">
      <c r="A12" s="1106"/>
      <c r="B12" s="1109"/>
      <c r="C12" s="784" t="s">
        <v>1165</v>
      </c>
      <c r="D12" s="784" t="s">
        <v>1137</v>
      </c>
      <c r="E12" s="784" t="s">
        <v>1166</v>
      </c>
      <c r="F12" s="784" t="s">
        <v>914</v>
      </c>
      <c r="G12" s="784" t="s">
        <v>915</v>
      </c>
      <c r="H12" s="784" t="s">
        <v>1167</v>
      </c>
    </row>
    <row r="13" spans="1:9" ht="94.5" x14ac:dyDescent="0.25">
      <c r="A13" s="778" t="s">
        <v>1168</v>
      </c>
      <c r="B13" s="779" t="s">
        <v>1169</v>
      </c>
      <c r="C13" s="785">
        <v>540331</v>
      </c>
      <c r="D13" s="785">
        <v>540331</v>
      </c>
      <c r="E13" s="785">
        <v>540331</v>
      </c>
      <c r="F13" s="785">
        <v>540331</v>
      </c>
      <c r="G13" s="785">
        <v>540331</v>
      </c>
      <c r="H13" s="785">
        <v>540331</v>
      </c>
    </row>
    <row r="14" spans="1:9" ht="78.75" x14ac:dyDescent="0.25">
      <c r="A14" s="778" t="s">
        <v>1170</v>
      </c>
      <c r="B14" s="779" t="s">
        <v>1171</v>
      </c>
      <c r="C14" s="780">
        <v>208.44</v>
      </c>
      <c r="D14" s="780">
        <v>208.44</v>
      </c>
      <c r="E14" s="780">
        <v>208.44</v>
      </c>
      <c r="F14" s="780">
        <v>208.44</v>
      </c>
      <c r="G14" s="780">
        <v>208.44</v>
      </c>
      <c r="H14" s="780">
        <v>208.44</v>
      </c>
    </row>
    <row r="15" spans="1:9" ht="94.5" x14ac:dyDescent="0.25">
      <c r="A15" s="778" t="s">
        <v>1172</v>
      </c>
      <c r="B15" s="779" t="s">
        <v>1173</v>
      </c>
      <c r="C15" s="780">
        <v>101.44</v>
      </c>
      <c r="D15" s="780">
        <v>101.44</v>
      </c>
      <c r="E15" s="780">
        <v>101.44</v>
      </c>
      <c r="F15" s="780">
        <v>101.44</v>
      </c>
      <c r="G15" s="780">
        <v>101.44</v>
      </c>
      <c r="H15" s="780">
        <v>101.44</v>
      </c>
    </row>
    <row r="16" spans="1:9" ht="126" x14ac:dyDescent="0.25">
      <c r="A16" s="778" t="s">
        <v>1174</v>
      </c>
      <c r="B16" s="779" t="s">
        <v>1171</v>
      </c>
      <c r="C16" s="785">
        <v>1424.12</v>
      </c>
      <c r="D16" s="785">
        <v>1424.12</v>
      </c>
      <c r="E16" s="785">
        <v>1424.12</v>
      </c>
      <c r="F16" s="785">
        <v>1424.12</v>
      </c>
      <c r="G16" s="785">
        <v>1424.12</v>
      </c>
      <c r="H16" s="785">
        <v>1424.12</v>
      </c>
    </row>
    <row r="17" spans="1:8" ht="141.75" x14ac:dyDescent="0.25">
      <c r="A17" s="778" t="s">
        <v>1175</v>
      </c>
      <c r="B17" s="779" t="s">
        <v>1171</v>
      </c>
      <c r="C17" s="780">
        <v>5.3900000000000003E-2</v>
      </c>
      <c r="D17" s="780">
        <v>5.3900000000000003E-2</v>
      </c>
      <c r="E17" s="780">
        <v>5.3900000000000003E-2</v>
      </c>
      <c r="F17" s="780">
        <v>5.3900000000000003E-2</v>
      </c>
      <c r="G17" s="780">
        <v>5.3900000000000003E-2</v>
      </c>
      <c r="H17" s="780">
        <v>5.3900000000000003E-2</v>
      </c>
    </row>
  </sheetData>
  <mergeCells count="8">
    <mergeCell ref="A1:I1"/>
    <mergeCell ref="A3:D3"/>
    <mergeCell ref="A5:H5"/>
    <mergeCell ref="A9:H9"/>
    <mergeCell ref="A10:A12"/>
    <mergeCell ref="B10:B12"/>
    <mergeCell ref="C10:C11"/>
    <mergeCell ref="D10:H1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&amp;CDunaharaszti Város Önkormányzata
2021. évi zárszámadás&amp;R&amp;A</oddHeader>
    <oddFooter>&amp;C&amp;P/&amp;N</oddFooter>
  </headerFooter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N278"/>
  <sheetViews>
    <sheetView view="pageBreakPreview" topLeftCell="A112" zoomScale="50" zoomScaleNormal="50" zoomScaleSheetLayoutView="50" zoomScalePageLayoutView="78" workbookViewId="0">
      <selection activeCell="C137" sqref="C137"/>
    </sheetView>
  </sheetViews>
  <sheetFormatPr defaultColWidth="9.140625" defaultRowHeight="15" x14ac:dyDescent="0.25"/>
  <cols>
    <col min="1" max="1" width="9.140625" style="1"/>
    <col min="2" max="2" width="136.42578125" style="1" customWidth="1"/>
    <col min="3" max="3" width="33" style="62" customWidth="1"/>
    <col min="4" max="4" width="40.140625" style="1" customWidth="1"/>
    <col min="5" max="5" width="26.140625" style="1" bestFit="1" customWidth="1"/>
    <col min="6" max="6" width="37.140625" style="1" customWidth="1"/>
    <col min="7" max="7" width="28.42578125" style="1" customWidth="1"/>
    <col min="8" max="8" width="41.5703125" style="1" bestFit="1" customWidth="1"/>
    <col min="9" max="258" width="9.140625" style="1"/>
    <col min="259" max="259" width="96.28515625" style="1" customWidth="1"/>
    <col min="260" max="260" width="33" style="1" customWidth="1"/>
    <col min="261" max="261" width="22.5703125" style="1" customWidth="1"/>
    <col min="262" max="262" width="13.42578125" style="1" bestFit="1" customWidth="1"/>
    <col min="263" max="514" width="9.140625" style="1"/>
    <col min="515" max="515" width="96.28515625" style="1" customWidth="1"/>
    <col min="516" max="516" width="33" style="1" customWidth="1"/>
    <col min="517" max="517" width="22.5703125" style="1" customWidth="1"/>
    <col min="518" max="518" width="13.42578125" style="1" bestFit="1" customWidth="1"/>
    <col min="519" max="770" width="9.140625" style="1"/>
    <col min="771" max="771" width="96.28515625" style="1" customWidth="1"/>
    <col min="772" max="772" width="33" style="1" customWidth="1"/>
    <col min="773" max="773" width="22.5703125" style="1" customWidth="1"/>
    <col min="774" max="774" width="13.42578125" style="1" bestFit="1" customWidth="1"/>
    <col min="775" max="1026" width="9.140625" style="1"/>
    <col min="1027" max="1027" width="96.28515625" style="1" customWidth="1"/>
    <col min="1028" max="1028" width="33" style="1" customWidth="1"/>
    <col min="1029" max="1029" width="22.5703125" style="1" customWidth="1"/>
    <col min="1030" max="1030" width="13.42578125" style="1" bestFit="1" customWidth="1"/>
    <col min="1031" max="1282" width="9.140625" style="1"/>
    <col min="1283" max="1283" width="96.28515625" style="1" customWidth="1"/>
    <col min="1284" max="1284" width="33" style="1" customWidth="1"/>
    <col min="1285" max="1285" width="22.5703125" style="1" customWidth="1"/>
    <col min="1286" max="1286" width="13.42578125" style="1" bestFit="1" customWidth="1"/>
    <col min="1287" max="1538" width="9.140625" style="1"/>
    <col min="1539" max="1539" width="96.28515625" style="1" customWidth="1"/>
    <col min="1540" max="1540" width="33" style="1" customWidth="1"/>
    <col min="1541" max="1541" width="22.5703125" style="1" customWidth="1"/>
    <col min="1542" max="1542" width="13.42578125" style="1" bestFit="1" customWidth="1"/>
    <col min="1543" max="1794" width="9.140625" style="1"/>
    <col min="1795" max="1795" width="96.28515625" style="1" customWidth="1"/>
    <col min="1796" max="1796" width="33" style="1" customWidth="1"/>
    <col min="1797" max="1797" width="22.5703125" style="1" customWidth="1"/>
    <col min="1798" max="1798" width="13.42578125" style="1" bestFit="1" customWidth="1"/>
    <col min="1799" max="2050" width="9.140625" style="1"/>
    <col min="2051" max="2051" width="96.28515625" style="1" customWidth="1"/>
    <col min="2052" max="2052" width="33" style="1" customWidth="1"/>
    <col min="2053" max="2053" width="22.5703125" style="1" customWidth="1"/>
    <col min="2054" max="2054" width="13.42578125" style="1" bestFit="1" customWidth="1"/>
    <col min="2055" max="2306" width="9.140625" style="1"/>
    <col min="2307" max="2307" width="96.28515625" style="1" customWidth="1"/>
    <col min="2308" max="2308" width="33" style="1" customWidth="1"/>
    <col min="2309" max="2309" width="22.5703125" style="1" customWidth="1"/>
    <col min="2310" max="2310" width="13.42578125" style="1" bestFit="1" customWidth="1"/>
    <col min="2311" max="2562" width="9.140625" style="1"/>
    <col min="2563" max="2563" width="96.28515625" style="1" customWidth="1"/>
    <col min="2564" max="2564" width="33" style="1" customWidth="1"/>
    <col min="2565" max="2565" width="22.5703125" style="1" customWidth="1"/>
    <col min="2566" max="2566" width="13.42578125" style="1" bestFit="1" customWidth="1"/>
    <col min="2567" max="2818" width="9.140625" style="1"/>
    <col min="2819" max="2819" width="96.28515625" style="1" customWidth="1"/>
    <col min="2820" max="2820" width="33" style="1" customWidth="1"/>
    <col min="2821" max="2821" width="22.5703125" style="1" customWidth="1"/>
    <col min="2822" max="2822" width="13.42578125" style="1" bestFit="1" customWidth="1"/>
    <col min="2823" max="3074" width="9.140625" style="1"/>
    <col min="3075" max="3075" width="96.28515625" style="1" customWidth="1"/>
    <col min="3076" max="3076" width="33" style="1" customWidth="1"/>
    <col min="3077" max="3077" width="22.5703125" style="1" customWidth="1"/>
    <col min="3078" max="3078" width="13.42578125" style="1" bestFit="1" customWidth="1"/>
    <col min="3079" max="3330" width="9.140625" style="1"/>
    <col min="3331" max="3331" width="96.28515625" style="1" customWidth="1"/>
    <col min="3332" max="3332" width="33" style="1" customWidth="1"/>
    <col min="3333" max="3333" width="22.5703125" style="1" customWidth="1"/>
    <col min="3334" max="3334" width="13.42578125" style="1" bestFit="1" customWidth="1"/>
    <col min="3335" max="3586" width="9.140625" style="1"/>
    <col min="3587" max="3587" width="96.28515625" style="1" customWidth="1"/>
    <col min="3588" max="3588" width="33" style="1" customWidth="1"/>
    <col min="3589" max="3589" width="22.5703125" style="1" customWidth="1"/>
    <col min="3590" max="3590" width="13.42578125" style="1" bestFit="1" customWidth="1"/>
    <col min="3591" max="3842" width="9.140625" style="1"/>
    <col min="3843" max="3843" width="96.28515625" style="1" customWidth="1"/>
    <col min="3844" max="3844" width="33" style="1" customWidth="1"/>
    <col min="3845" max="3845" width="22.5703125" style="1" customWidth="1"/>
    <col min="3846" max="3846" width="13.42578125" style="1" bestFit="1" customWidth="1"/>
    <col min="3847" max="4098" width="9.140625" style="1"/>
    <col min="4099" max="4099" width="96.28515625" style="1" customWidth="1"/>
    <col min="4100" max="4100" width="33" style="1" customWidth="1"/>
    <col min="4101" max="4101" width="22.5703125" style="1" customWidth="1"/>
    <col min="4102" max="4102" width="13.42578125" style="1" bestFit="1" customWidth="1"/>
    <col min="4103" max="4354" width="9.140625" style="1"/>
    <col min="4355" max="4355" width="96.28515625" style="1" customWidth="1"/>
    <col min="4356" max="4356" width="33" style="1" customWidth="1"/>
    <col min="4357" max="4357" width="22.5703125" style="1" customWidth="1"/>
    <col min="4358" max="4358" width="13.42578125" style="1" bestFit="1" customWidth="1"/>
    <col min="4359" max="4610" width="9.140625" style="1"/>
    <col min="4611" max="4611" width="96.28515625" style="1" customWidth="1"/>
    <col min="4612" max="4612" width="33" style="1" customWidth="1"/>
    <col min="4613" max="4613" width="22.5703125" style="1" customWidth="1"/>
    <col min="4614" max="4614" width="13.42578125" style="1" bestFit="1" customWidth="1"/>
    <col min="4615" max="4866" width="9.140625" style="1"/>
    <col min="4867" max="4867" width="96.28515625" style="1" customWidth="1"/>
    <col min="4868" max="4868" width="33" style="1" customWidth="1"/>
    <col min="4869" max="4869" width="22.5703125" style="1" customWidth="1"/>
    <col min="4870" max="4870" width="13.42578125" style="1" bestFit="1" customWidth="1"/>
    <col min="4871" max="5122" width="9.140625" style="1"/>
    <col min="5123" max="5123" width="96.28515625" style="1" customWidth="1"/>
    <col min="5124" max="5124" width="33" style="1" customWidth="1"/>
    <col min="5125" max="5125" width="22.5703125" style="1" customWidth="1"/>
    <col min="5126" max="5126" width="13.42578125" style="1" bestFit="1" customWidth="1"/>
    <col min="5127" max="5378" width="9.140625" style="1"/>
    <col min="5379" max="5379" width="96.28515625" style="1" customWidth="1"/>
    <col min="5380" max="5380" width="33" style="1" customWidth="1"/>
    <col min="5381" max="5381" width="22.5703125" style="1" customWidth="1"/>
    <col min="5382" max="5382" width="13.42578125" style="1" bestFit="1" customWidth="1"/>
    <col min="5383" max="5634" width="9.140625" style="1"/>
    <col min="5635" max="5635" width="96.28515625" style="1" customWidth="1"/>
    <col min="5636" max="5636" width="33" style="1" customWidth="1"/>
    <col min="5637" max="5637" width="22.5703125" style="1" customWidth="1"/>
    <col min="5638" max="5638" width="13.42578125" style="1" bestFit="1" customWidth="1"/>
    <col min="5639" max="5890" width="9.140625" style="1"/>
    <col min="5891" max="5891" width="96.28515625" style="1" customWidth="1"/>
    <col min="5892" max="5892" width="33" style="1" customWidth="1"/>
    <col min="5893" max="5893" width="22.5703125" style="1" customWidth="1"/>
    <col min="5894" max="5894" width="13.42578125" style="1" bestFit="1" customWidth="1"/>
    <col min="5895" max="6146" width="9.140625" style="1"/>
    <col min="6147" max="6147" width="96.28515625" style="1" customWidth="1"/>
    <col min="6148" max="6148" width="33" style="1" customWidth="1"/>
    <col min="6149" max="6149" width="22.5703125" style="1" customWidth="1"/>
    <col min="6150" max="6150" width="13.42578125" style="1" bestFit="1" customWidth="1"/>
    <col min="6151" max="6402" width="9.140625" style="1"/>
    <col min="6403" max="6403" width="96.28515625" style="1" customWidth="1"/>
    <col min="6404" max="6404" width="33" style="1" customWidth="1"/>
    <col min="6405" max="6405" width="22.5703125" style="1" customWidth="1"/>
    <col min="6406" max="6406" width="13.42578125" style="1" bestFit="1" customWidth="1"/>
    <col min="6407" max="6658" width="9.140625" style="1"/>
    <col min="6659" max="6659" width="96.28515625" style="1" customWidth="1"/>
    <col min="6660" max="6660" width="33" style="1" customWidth="1"/>
    <col min="6661" max="6661" width="22.5703125" style="1" customWidth="1"/>
    <col min="6662" max="6662" width="13.42578125" style="1" bestFit="1" customWidth="1"/>
    <col min="6663" max="6914" width="9.140625" style="1"/>
    <col min="6915" max="6915" width="96.28515625" style="1" customWidth="1"/>
    <col min="6916" max="6916" width="33" style="1" customWidth="1"/>
    <col min="6917" max="6917" width="22.5703125" style="1" customWidth="1"/>
    <col min="6918" max="6918" width="13.42578125" style="1" bestFit="1" customWidth="1"/>
    <col min="6919" max="7170" width="9.140625" style="1"/>
    <col min="7171" max="7171" width="96.28515625" style="1" customWidth="1"/>
    <col min="7172" max="7172" width="33" style="1" customWidth="1"/>
    <col min="7173" max="7173" width="22.5703125" style="1" customWidth="1"/>
    <col min="7174" max="7174" width="13.42578125" style="1" bestFit="1" customWidth="1"/>
    <col min="7175" max="7426" width="9.140625" style="1"/>
    <col min="7427" max="7427" width="96.28515625" style="1" customWidth="1"/>
    <col min="7428" max="7428" width="33" style="1" customWidth="1"/>
    <col min="7429" max="7429" width="22.5703125" style="1" customWidth="1"/>
    <col min="7430" max="7430" width="13.42578125" style="1" bestFit="1" customWidth="1"/>
    <col min="7431" max="7682" width="9.140625" style="1"/>
    <col min="7683" max="7683" width="96.28515625" style="1" customWidth="1"/>
    <col min="7684" max="7684" width="33" style="1" customWidth="1"/>
    <col min="7685" max="7685" width="22.5703125" style="1" customWidth="1"/>
    <col min="7686" max="7686" width="13.42578125" style="1" bestFit="1" customWidth="1"/>
    <col min="7687" max="7938" width="9.140625" style="1"/>
    <col min="7939" max="7939" width="96.28515625" style="1" customWidth="1"/>
    <col min="7940" max="7940" width="33" style="1" customWidth="1"/>
    <col min="7941" max="7941" width="22.5703125" style="1" customWidth="1"/>
    <col min="7942" max="7942" width="13.42578125" style="1" bestFit="1" customWidth="1"/>
    <col min="7943" max="8194" width="9.140625" style="1"/>
    <col min="8195" max="8195" width="96.28515625" style="1" customWidth="1"/>
    <col min="8196" max="8196" width="33" style="1" customWidth="1"/>
    <col min="8197" max="8197" width="22.5703125" style="1" customWidth="1"/>
    <col min="8198" max="8198" width="13.42578125" style="1" bestFit="1" customWidth="1"/>
    <col min="8199" max="8450" width="9.140625" style="1"/>
    <col min="8451" max="8451" width="96.28515625" style="1" customWidth="1"/>
    <col min="8452" max="8452" width="33" style="1" customWidth="1"/>
    <col min="8453" max="8453" width="22.5703125" style="1" customWidth="1"/>
    <col min="8454" max="8454" width="13.42578125" style="1" bestFit="1" customWidth="1"/>
    <col min="8455" max="8706" width="9.140625" style="1"/>
    <col min="8707" max="8707" width="96.28515625" style="1" customWidth="1"/>
    <col min="8708" max="8708" width="33" style="1" customWidth="1"/>
    <col min="8709" max="8709" width="22.5703125" style="1" customWidth="1"/>
    <col min="8710" max="8710" width="13.42578125" style="1" bestFit="1" customWidth="1"/>
    <col min="8711" max="8962" width="9.140625" style="1"/>
    <col min="8963" max="8963" width="96.28515625" style="1" customWidth="1"/>
    <col min="8964" max="8964" width="33" style="1" customWidth="1"/>
    <col min="8965" max="8965" width="22.5703125" style="1" customWidth="1"/>
    <col min="8966" max="8966" width="13.42578125" style="1" bestFit="1" customWidth="1"/>
    <col min="8967" max="9218" width="9.140625" style="1"/>
    <col min="9219" max="9219" width="96.28515625" style="1" customWidth="1"/>
    <col min="9220" max="9220" width="33" style="1" customWidth="1"/>
    <col min="9221" max="9221" width="22.5703125" style="1" customWidth="1"/>
    <col min="9222" max="9222" width="13.42578125" style="1" bestFit="1" customWidth="1"/>
    <col min="9223" max="9474" width="9.140625" style="1"/>
    <col min="9475" max="9475" width="96.28515625" style="1" customWidth="1"/>
    <col min="9476" max="9476" width="33" style="1" customWidth="1"/>
    <col min="9477" max="9477" width="22.5703125" style="1" customWidth="1"/>
    <col min="9478" max="9478" width="13.42578125" style="1" bestFit="1" customWidth="1"/>
    <col min="9479" max="9730" width="9.140625" style="1"/>
    <col min="9731" max="9731" width="96.28515625" style="1" customWidth="1"/>
    <col min="9732" max="9732" width="33" style="1" customWidth="1"/>
    <col min="9733" max="9733" width="22.5703125" style="1" customWidth="1"/>
    <col min="9734" max="9734" width="13.42578125" style="1" bestFit="1" customWidth="1"/>
    <col min="9735" max="9986" width="9.140625" style="1"/>
    <col min="9987" max="9987" width="96.28515625" style="1" customWidth="1"/>
    <col min="9988" max="9988" width="33" style="1" customWidth="1"/>
    <col min="9989" max="9989" width="22.5703125" style="1" customWidth="1"/>
    <col min="9990" max="9990" width="13.42578125" style="1" bestFit="1" customWidth="1"/>
    <col min="9991" max="10242" width="9.140625" style="1"/>
    <col min="10243" max="10243" width="96.28515625" style="1" customWidth="1"/>
    <col min="10244" max="10244" width="33" style="1" customWidth="1"/>
    <col min="10245" max="10245" width="22.5703125" style="1" customWidth="1"/>
    <col min="10246" max="10246" width="13.42578125" style="1" bestFit="1" customWidth="1"/>
    <col min="10247" max="10498" width="9.140625" style="1"/>
    <col min="10499" max="10499" width="96.28515625" style="1" customWidth="1"/>
    <col min="10500" max="10500" width="33" style="1" customWidth="1"/>
    <col min="10501" max="10501" width="22.5703125" style="1" customWidth="1"/>
    <col min="10502" max="10502" width="13.42578125" style="1" bestFit="1" customWidth="1"/>
    <col min="10503" max="10754" width="9.140625" style="1"/>
    <col min="10755" max="10755" width="96.28515625" style="1" customWidth="1"/>
    <col min="10756" max="10756" width="33" style="1" customWidth="1"/>
    <col min="10757" max="10757" width="22.5703125" style="1" customWidth="1"/>
    <col min="10758" max="10758" width="13.42578125" style="1" bestFit="1" customWidth="1"/>
    <col min="10759" max="11010" width="9.140625" style="1"/>
    <col min="11011" max="11011" width="96.28515625" style="1" customWidth="1"/>
    <col min="11012" max="11012" width="33" style="1" customWidth="1"/>
    <col min="11013" max="11013" width="22.5703125" style="1" customWidth="1"/>
    <col min="11014" max="11014" width="13.42578125" style="1" bestFit="1" customWidth="1"/>
    <col min="11015" max="11266" width="9.140625" style="1"/>
    <col min="11267" max="11267" width="96.28515625" style="1" customWidth="1"/>
    <col min="11268" max="11268" width="33" style="1" customWidth="1"/>
    <col min="11269" max="11269" width="22.5703125" style="1" customWidth="1"/>
    <col min="11270" max="11270" width="13.42578125" style="1" bestFit="1" customWidth="1"/>
    <col min="11271" max="11522" width="9.140625" style="1"/>
    <col min="11523" max="11523" width="96.28515625" style="1" customWidth="1"/>
    <col min="11524" max="11524" width="33" style="1" customWidth="1"/>
    <col min="11525" max="11525" width="22.5703125" style="1" customWidth="1"/>
    <col min="11526" max="11526" width="13.42578125" style="1" bestFit="1" customWidth="1"/>
    <col min="11527" max="11778" width="9.140625" style="1"/>
    <col min="11779" max="11779" width="96.28515625" style="1" customWidth="1"/>
    <col min="11780" max="11780" width="33" style="1" customWidth="1"/>
    <col min="11781" max="11781" width="22.5703125" style="1" customWidth="1"/>
    <col min="11782" max="11782" width="13.42578125" style="1" bestFit="1" customWidth="1"/>
    <col min="11783" max="12034" width="9.140625" style="1"/>
    <col min="12035" max="12035" width="96.28515625" style="1" customWidth="1"/>
    <col min="12036" max="12036" width="33" style="1" customWidth="1"/>
    <col min="12037" max="12037" width="22.5703125" style="1" customWidth="1"/>
    <col min="12038" max="12038" width="13.42578125" style="1" bestFit="1" customWidth="1"/>
    <col min="12039" max="12290" width="9.140625" style="1"/>
    <col min="12291" max="12291" width="96.28515625" style="1" customWidth="1"/>
    <col min="12292" max="12292" width="33" style="1" customWidth="1"/>
    <col min="12293" max="12293" width="22.5703125" style="1" customWidth="1"/>
    <col min="12294" max="12294" width="13.42578125" style="1" bestFit="1" customWidth="1"/>
    <col min="12295" max="12546" width="9.140625" style="1"/>
    <col min="12547" max="12547" width="96.28515625" style="1" customWidth="1"/>
    <col min="12548" max="12548" width="33" style="1" customWidth="1"/>
    <col min="12549" max="12549" width="22.5703125" style="1" customWidth="1"/>
    <col min="12550" max="12550" width="13.42578125" style="1" bestFit="1" customWidth="1"/>
    <col min="12551" max="12802" width="9.140625" style="1"/>
    <col min="12803" max="12803" width="96.28515625" style="1" customWidth="1"/>
    <col min="12804" max="12804" width="33" style="1" customWidth="1"/>
    <col min="12805" max="12805" width="22.5703125" style="1" customWidth="1"/>
    <col min="12806" max="12806" width="13.42578125" style="1" bestFit="1" customWidth="1"/>
    <col min="12807" max="13058" width="9.140625" style="1"/>
    <col min="13059" max="13059" width="96.28515625" style="1" customWidth="1"/>
    <col min="13060" max="13060" width="33" style="1" customWidth="1"/>
    <col min="13061" max="13061" width="22.5703125" style="1" customWidth="1"/>
    <col min="13062" max="13062" width="13.42578125" style="1" bestFit="1" customWidth="1"/>
    <col min="13063" max="13314" width="9.140625" style="1"/>
    <col min="13315" max="13315" width="96.28515625" style="1" customWidth="1"/>
    <col min="13316" max="13316" width="33" style="1" customWidth="1"/>
    <col min="13317" max="13317" width="22.5703125" style="1" customWidth="1"/>
    <col min="13318" max="13318" width="13.42578125" style="1" bestFit="1" customWidth="1"/>
    <col min="13319" max="13570" width="9.140625" style="1"/>
    <col min="13571" max="13571" width="96.28515625" style="1" customWidth="1"/>
    <col min="13572" max="13572" width="33" style="1" customWidth="1"/>
    <col min="13573" max="13573" width="22.5703125" style="1" customWidth="1"/>
    <col min="13574" max="13574" width="13.42578125" style="1" bestFit="1" customWidth="1"/>
    <col min="13575" max="13826" width="9.140625" style="1"/>
    <col min="13827" max="13827" width="96.28515625" style="1" customWidth="1"/>
    <col min="13828" max="13828" width="33" style="1" customWidth="1"/>
    <col min="13829" max="13829" width="22.5703125" style="1" customWidth="1"/>
    <col min="13830" max="13830" width="13.42578125" style="1" bestFit="1" customWidth="1"/>
    <col min="13831" max="14082" width="9.140625" style="1"/>
    <col min="14083" max="14083" width="96.28515625" style="1" customWidth="1"/>
    <col min="14084" max="14084" width="33" style="1" customWidth="1"/>
    <col min="14085" max="14085" width="22.5703125" style="1" customWidth="1"/>
    <col min="14086" max="14086" width="13.42578125" style="1" bestFit="1" customWidth="1"/>
    <col min="14087" max="14338" width="9.140625" style="1"/>
    <col min="14339" max="14339" width="96.28515625" style="1" customWidth="1"/>
    <col min="14340" max="14340" width="33" style="1" customWidth="1"/>
    <col min="14341" max="14341" width="22.5703125" style="1" customWidth="1"/>
    <col min="14342" max="14342" width="13.42578125" style="1" bestFit="1" customWidth="1"/>
    <col min="14343" max="14594" width="9.140625" style="1"/>
    <col min="14595" max="14595" width="96.28515625" style="1" customWidth="1"/>
    <col min="14596" max="14596" width="33" style="1" customWidth="1"/>
    <col min="14597" max="14597" width="22.5703125" style="1" customWidth="1"/>
    <col min="14598" max="14598" width="13.42578125" style="1" bestFit="1" customWidth="1"/>
    <col min="14599" max="14850" width="9.140625" style="1"/>
    <col min="14851" max="14851" width="96.28515625" style="1" customWidth="1"/>
    <col min="14852" max="14852" width="33" style="1" customWidth="1"/>
    <col min="14853" max="14853" width="22.5703125" style="1" customWidth="1"/>
    <col min="14854" max="14854" width="13.42578125" style="1" bestFit="1" customWidth="1"/>
    <col min="14855" max="15106" width="9.140625" style="1"/>
    <col min="15107" max="15107" width="96.28515625" style="1" customWidth="1"/>
    <col min="15108" max="15108" width="33" style="1" customWidth="1"/>
    <col min="15109" max="15109" width="22.5703125" style="1" customWidth="1"/>
    <col min="15110" max="15110" width="13.42578125" style="1" bestFit="1" customWidth="1"/>
    <col min="15111" max="15362" width="9.140625" style="1"/>
    <col min="15363" max="15363" width="96.28515625" style="1" customWidth="1"/>
    <col min="15364" max="15364" width="33" style="1" customWidth="1"/>
    <col min="15365" max="15365" width="22.5703125" style="1" customWidth="1"/>
    <col min="15366" max="15366" width="13.42578125" style="1" bestFit="1" customWidth="1"/>
    <col min="15367" max="15618" width="9.140625" style="1"/>
    <col min="15619" max="15619" width="96.28515625" style="1" customWidth="1"/>
    <col min="15620" max="15620" width="33" style="1" customWidth="1"/>
    <col min="15621" max="15621" width="22.5703125" style="1" customWidth="1"/>
    <col min="15622" max="15622" width="13.42578125" style="1" bestFit="1" customWidth="1"/>
    <col min="15623" max="15874" width="9.140625" style="1"/>
    <col min="15875" max="15875" width="96.28515625" style="1" customWidth="1"/>
    <col min="15876" max="15876" width="33" style="1" customWidth="1"/>
    <col min="15877" max="15877" width="22.5703125" style="1" customWidth="1"/>
    <col min="15878" max="15878" width="13.42578125" style="1" bestFit="1" customWidth="1"/>
    <col min="15879" max="16130" width="9.140625" style="1"/>
    <col min="16131" max="16131" width="96.28515625" style="1" customWidth="1"/>
    <col min="16132" max="16132" width="33" style="1" customWidth="1"/>
    <col min="16133" max="16133" width="22.5703125" style="1" customWidth="1"/>
    <col min="16134" max="16134" width="13.42578125" style="1" bestFit="1" customWidth="1"/>
    <col min="16135" max="16384" width="9.140625" style="1"/>
  </cols>
  <sheetData>
    <row r="1" spans="1:14" s="24" customFormat="1" ht="26.25" x14ac:dyDescent="0.25">
      <c r="A1" s="900" t="s">
        <v>50</v>
      </c>
      <c r="B1" s="900"/>
      <c r="C1" s="900"/>
      <c r="D1" s="900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71" customFormat="1" ht="23.25" x14ac:dyDescent="0.35">
      <c r="A2" s="68"/>
      <c r="B2" s="69" t="s">
        <v>51</v>
      </c>
      <c r="C2" s="70"/>
      <c r="D2" s="147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23.25" x14ac:dyDescent="0.35">
      <c r="A3" s="135"/>
      <c r="B3" s="162" t="s">
        <v>52</v>
      </c>
      <c r="C3" s="163"/>
      <c r="D3" s="13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23.25" x14ac:dyDescent="0.35">
      <c r="A4" s="135"/>
      <c r="B4" s="63" t="s">
        <v>53</v>
      </c>
      <c r="C4" s="127" t="s">
        <v>54</v>
      </c>
      <c r="D4" s="132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23.25" x14ac:dyDescent="0.35">
      <c r="A5" s="888" t="s">
        <v>55</v>
      </c>
      <c r="B5" s="304" t="s">
        <v>960</v>
      </c>
      <c r="C5" s="128">
        <f>10800+2916</f>
        <v>13716</v>
      </c>
      <c r="D5" s="901" t="s">
        <v>970</v>
      </c>
      <c r="E5" s="25"/>
      <c r="F5" s="27"/>
      <c r="G5" s="25"/>
      <c r="H5" s="25"/>
      <c r="I5" s="25"/>
      <c r="J5" s="25"/>
      <c r="K5" s="25"/>
      <c r="L5" s="25"/>
      <c r="M5" s="25"/>
      <c r="N5" s="25"/>
    </row>
    <row r="6" spans="1:14" ht="23.25" x14ac:dyDescent="0.35">
      <c r="A6" s="889"/>
      <c r="B6" s="304" t="s">
        <v>728</v>
      </c>
      <c r="C6" s="128">
        <v>54337</v>
      </c>
      <c r="D6" s="901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23.25" x14ac:dyDescent="0.35">
      <c r="A7" s="889"/>
      <c r="B7" s="304" t="s">
        <v>961</v>
      </c>
      <c r="C7" s="128">
        <v>98350</v>
      </c>
      <c r="D7" s="901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23.25" x14ac:dyDescent="0.35">
      <c r="A8" s="889"/>
      <c r="B8" s="304" t="s">
        <v>817</v>
      </c>
      <c r="C8" s="128">
        <v>29531</v>
      </c>
      <c r="D8" s="901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23.25" x14ac:dyDescent="0.35">
      <c r="A9" s="889"/>
      <c r="B9" s="304" t="s">
        <v>962</v>
      </c>
      <c r="C9" s="128">
        <v>212217</v>
      </c>
      <c r="D9" s="901"/>
      <c r="E9" s="25"/>
      <c r="F9" s="27"/>
      <c r="G9" s="25"/>
      <c r="H9" s="25"/>
      <c r="I9" s="25"/>
      <c r="J9" s="25"/>
      <c r="K9" s="25"/>
      <c r="L9" s="25"/>
      <c r="M9" s="25"/>
      <c r="N9" s="25"/>
    </row>
    <row r="10" spans="1:14" ht="23.25" x14ac:dyDescent="0.35">
      <c r="A10" s="889"/>
      <c r="B10" s="304" t="s">
        <v>963</v>
      </c>
      <c r="C10" s="128">
        <v>100000</v>
      </c>
      <c r="D10" s="901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23.25" x14ac:dyDescent="0.35">
      <c r="A11" s="889"/>
      <c r="B11" s="304" t="s">
        <v>964</v>
      </c>
      <c r="C11" s="128">
        <v>8077</v>
      </c>
      <c r="D11" s="901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23.25" x14ac:dyDescent="0.35">
      <c r="A12" s="889"/>
      <c r="B12" s="304" t="s">
        <v>819</v>
      </c>
      <c r="C12" s="128">
        <v>105029</v>
      </c>
      <c r="D12" s="901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23.25" x14ac:dyDescent="0.35">
      <c r="A13" s="889"/>
      <c r="B13" s="304" t="s">
        <v>965</v>
      </c>
      <c r="C13" s="128">
        <v>14</v>
      </c>
      <c r="D13" s="901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23.25" x14ac:dyDescent="0.35">
      <c r="A14" s="889"/>
      <c r="B14" s="304" t="s">
        <v>966</v>
      </c>
      <c r="C14" s="128">
        <v>42000</v>
      </c>
      <c r="D14" s="901"/>
      <c r="E14" s="27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23.25" x14ac:dyDescent="0.35">
      <c r="A15" s="889"/>
      <c r="B15" s="304" t="s">
        <v>952</v>
      </c>
      <c r="C15" s="128">
        <v>249750</v>
      </c>
      <c r="D15" s="901"/>
      <c r="E15" s="27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23.25" x14ac:dyDescent="0.35">
      <c r="A16" s="889"/>
      <c r="B16" s="304" t="s">
        <v>967</v>
      </c>
      <c r="C16" s="128">
        <v>10668</v>
      </c>
      <c r="D16" s="901"/>
      <c r="E16" s="27" t="s">
        <v>840</v>
      </c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23.25" x14ac:dyDescent="0.35">
      <c r="A17" s="889"/>
      <c r="B17" s="304" t="s">
        <v>968</v>
      </c>
      <c r="C17" s="128">
        <v>226756</v>
      </c>
      <c r="D17" s="901"/>
      <c r="E17" s="27">
        <f>SUM(C5:C17)</f>
        <v>1150445</v>
      </c>
      <c r="F17" s="25" t="s">
        <v>831</v>
      </c>
      <c r="G17" s="25"/>
      <c r="H17" s="25"/>
      <c r="I17" s="25"/>
      <c r="J17" s="25"/>
      <c r="K17" s="25"/>
      <c r="L17" s="25"/>
      <c r="M17" s="25"/>
      <c r="N17" s="25"/>
    </row>
    <row r="18" spans="1:14" ht="96.75" x14ac:dyDescent="0.35">
      <c r="A18" s="600" t="s">
        <v>56</v>
      </c>
      <c r="B18" s="304" t="s">
        <v>969</v>
      </c>
      <c r="C18" s="128">
        <v>374731</v>
      </c>
      <c r="D18" s="474" t="s">
        <v>970</v>
      </c>
      <c r="E18" s="27">
        <f>+C18</f>
        <v>374731</v>
      </c>
      <c r="F18" s="27" t="s">
        <v>832</v>
      </c>
      <c r="G18" s="25"/>
      <c r="H18" s="25"/>
      <c r="I18" s="25"/>
      <c r="J18" s="25"/>
      <c r="K18" s="25"/>
      <c r="L18" s="25"/>
      <c r="M18" s="25"/>
      <c r="N18" s="25"/>
    </row>
    <row r="19" spans="1:14" ht="23.25" x14ac:dyDescent="0.35">
      <c r="A19" s="906" t="s">
        <v>57</v>
      </c>
      <c r="B19" s="885"/>
      <c r="C19" s="127">
        <f>SUM(C5:C18)</f>
        <v>1525176</v>
      </c>
      <c r="D19" s="132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23.25" x14ac:dyDescent="0.35">
      <c r="A20" s="145"/>
      <c r="B20" s="143" t="s">
        <v>411</v>
      </c>
      <c r="C20" s="132"/>
      <c r="D20" s="146"/>
      <c r="E20" s="27" t="s">
        <v>841</v>
      </c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93" x14ac:dyDescent="0.35">
      <c r="A21" s="478" t="s">
        <v>64</v>
      </c>
      <c r="B21" s="304" t="s">
        <v>1014</v>
      </c>
      <c r="C21" s="474">
        <v>63513436</v>
      </c>
      <c r="D21" s="477" t="s">
        <v>970</v>
      </c>
      <c r="E21" s="488">
        <f>+C21</f>
        <v>63513436</v>
      </c>
      <c r="F21" s="489" t="s">
        <v>831</v>
      </c>
      <c r="G21" s="25"/>
      <c r="H21" s="25"/>
      <c r="I21" s="25"/>
      <c r="J21" s="25"/>
      <c r="K21" s="25"/>
      <c r="L21" s="25"/>
      <c r="M21" s="25"/>
      <c r="N21" s="25"/>
    </row>
    <row r="22" spans="1:14" ht="23.25" x14ac:dyDescent="0.35">
      <c r="A22" s="906" t="s">
        <v>827</v>
      </c>
      <c r="B22" s="885"/>
      <c r="C22" s="475">
        <f>SUM(C21)</f>
        <v>63513436</v>
      </c>
      <c r="D22" s="476"/>
      <c r="E22" s="27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23.25" x14ac:dyDescent="0.35">
      <c r="A23" s="135"/>
      <c r="B23" s="143" t="s">
        <v>58</v>
      </c>
      <c r="C23" s="134"/>
      <c r="D23" s="133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23.25" x14ac:dyDescent="0.35">
      <c r="A24" s="875" t="s">
        <v>56</v>
      </c>
      <c r="B24" s="304" t="s">
        <v>820</v>
      </c>
      <c r="C24" s="128">
        <v>659324</v>
      </c>
      <c r="D24" s="902" t="s">
        <v>929</v>
      </c>
      <c r="E24" s="25"/>
      <c r="F24"/>
      <c r="G24" s="170"/>
      <c r="H24" s="25"/>
      <c r="I24" s="25"/>
      <c r="J24" s="25"/>
      <c r="K24" s="25"/>
      <c r="L24" s="25"/>
      <c r="M24" s="25"/>
      <c r="N24" s="25"/>
    </row>
    <row r="25" spans="1:14" ht="23.25" x14ac:dyDescent="0.35">
      <c r="A25" s="875"/>
      <c r="B25" s="304" t="s">
        <v>821</v>
      </c>
      <c r="C25" s="128">
        <v>4074055</v>
      </c>
      <c r="D25" s="903"/>
      <c r="E25" s="25"/>
      <c r="F25"/>
      <c r="G25" s="167"/>
      <c r="H25" s="25"/>
      <c r="I25" s="25"/>
      <c r="J25" s="25"/>
      <c r="K25" s="25"/>
      <c r="L25" s="25"/>
      <c r="M25" s="25"/>
      <c r="N25" s="25"/>
    </row>
    <row r="26" spans="1:14" ht="23.25" x14ac:dyDescent="0.35">
      <c r="A26" s="875"/>
      <c r="B26" s="304" t="s">
        <v>822</v>
      </c>
      <c r="C26" s="128">
        <v>1521732</v>
      </c>
      <c r="D26" s="903"/>
      <c r="E26" s="25"/>
      <c r="F26"/>
      <c r="G26" s="167"/>
      <c r="H26" s="25"/>
      <c r="I26" s="25"/>
      <c r="J26" s="25"/>
      <c r="K26" s="25"/>
      <c r="L26" s="25"/>
      <c r="M26" s="25"/>
      <c r="N26" s="25"/>
    </row>
    <row r="27" spans="1:14" ht="23.25" x14ac:dyDescent="0.35">
      <c r="A27" s="907"/>
      <c r="B27" s="304" t="s">
        <v>823</v>
      </c>
      <c r="C27" s="128">
        <v>9494228</v>
      </c>
      <c r="D27" s="903"/>
      <c r="E27" s="25"/>
      <c r="F27"/>
      <c r="G27" s="167"/>
      <c r="H27" s="25"/>
      <c r="I27" s="25"/>
      <c r="J27" s="25"/>
      <c r="K27" s="25"/>
      <c r="L27" s="25"/>
      <c r="M27" s="25"/>
      <c r="N27" s="25"/>
    </row>
    <row r="28" spans="1:14" ht="23.25" x14ac:dyDescent="0.35">
      <c r="A28" s="907"/>
      <c r="B28" s="304" t="s">
        <v>824</v>
      </c>
      <c r="C28" s="128">
        <v>10245932</v>
      </c>
      <c r="D28" s="903"/>
      <c r="E28" s="25"/>
      <c r="F28"/>
      <c r="G28" s="167"/>
      <c r="H28" s="25"/>
      <c r="I28" s="25"/>
      <c r="J28" s="25"/>
      <c r="K28" s="25"/>
      <c r="L28" s="25"/>
      <c r="M28" s="25"/>
      <c r="N28" s="25"/>
    </row>
    <row r="29" spans="1:14" ht="23.25" x14ac:dyDescent="0.35">
      <c r="A29" s="907"/>
      <c r="B29" s="304" t="s">
        <v>825</v>
      </c>
      <c r="C29" s="128">
        <v>2044893</v>
      </c>
      <c r="D29" s="903"/>
      <c r="E29" s="25" t="s">
        <v>842</v>
      </c>
      <c r="F29"/>
      <c r="G29" s="167"/>
      <c r="H29" s="25"/>
      <c r="I29" s="25"/>
      <c r="J29" s="25"/>
      <c r="K29" s="25"/>
      <c r="L29" s="25"/>
      <c r="M29" s="25"/>
      <c r="N29" s="25"/>
    </row>
    <row r="30" spans="1:14" ht="23.25" x14ac:dyDescent="0.35">
      <c r="A30" s="907"/>
      <c r="B30" s="304" t="s">
        <v>826</v>
      </c>
      <c r="C30" s="128">
        <v>308324</v>
      </c>
      <c r="D30" s="903"/>
      <c r="E30" s="488">
        <f>SUM(C24:C30)</f>
        <v>28348488</v>
      </c>
      <c r="F30" s="27" t="s">
        <v>832</v>
      </c>
      <c r="G30" s="167"/>
      <c r="H30" s="25"/>
      <c r="I30" s="25"/>
      <c r="J30" s="25"/>
      <c r="K30" s="25"/>
      <c r="L30" s="25"/>
      <c r="M30" s="25"/>
      <c r="N30" s="25"/>
    </row>
    <row r="31" spans="1:14" ht="23.25" x14ac:dyDescent="0.35">
      <c r="A31" s="876" t="s">
        <v>64</v>
      </c>
      <c r="B31" s="304"/>
      <c r="C31" s="320"/>
      <c r="D31" s="903"/>
      <c r="E31" s="25"/>
      <c r="F31"/>
      <c r="G31" s="168"/>
      <c r="H31" s="25"/>
      <c r="I31" s="25"/>
      <c r="J31" s="25"/>
      <c r="K31" s="25"/>
      <c r="L31" s="25"/>
      <c r="M31" s="25"/>
      <c r="N31" s="25"/>
    </row>
    <row r="32" spans="1:14" ht="23.25" x14ac:dyDescent="0.35">
      <c r="A32" s="876"/>
      <c r="B32" s="28"/>
      <c r="C32" s="320"/>
      <c r="D32" s="903"/>
      <c r="E32" s="25"/>
      <c r="F32"/>
      <c r="G32" s="168"/>
      <c r="H32" s="25"/>
      <c r="I32" s="25"/>
      <c r="J32" s="25"/>
      <c r="K32" s="25"/>
      <c r="L32" s="25"/>
      <c r="M32" s="25"/>
      <c r="N32" s="25"/>
    </row>
    <row r="33" spans="1:14" ht="23.25" x14ac:dyDescent="0.35">
      <c r="A33" s="876"/>
      <c r="B33" s="28"/>
      <c r="C33" s="320"/>
      <c r="D33" s="903"/>
      <c r="E33" s="25"/>
      <c r="F33"/>
      <c r="G33" s="168"/>
      <c r="H33" s="25"/>
      <c r="I33" s="25"/>
      <c r="J33" s="25"/>
      <c r="K33" s="25"/>
      <c r="L33" s="25"/>
      <c r="M33" s="25"/>
      <c r="N33" s="25"/>
    </row>
    <row r="34" spans="1:14" ht="23.25" x14ac:dyDescent="0.35">
      <c r="A34" s="876"/>
      <c r="B34" s="28"/>
      <c r="C34" s="134"/>
      <c r="D34" s="904"/>
      <c r="E34" s="25"/>
      <c r="F34" s="169"/>
      <c r="G34" s="168"/>
      <c r="H34" s="25"/>
      <c r="I34" s="25"/>
      <c r="J34" s="25"/>
      <c r="K34" s="25"/>
      <c r="L34" s="25"/>
      <c r="M34" s="25"/>
      <c r="N34" s="25"/>
    </row>
    <row r="35" spans="1:14" ht="23.25" x14ac:dyDescent="0.35">
      <c r="A35" s="886" t="s">
        <v>59</v>
      </c>
      <c r="B35" s="887"/>
      <c r="C35" s="132">
        <f>SUM(C24:C34)</f>
        <v>28348488</v>
      </c>
      <c r="D35" s="133"/>
      <c r="E35" s="27"/>
      <c r="F35" s="169"/>
      <c r="G35" s="168"/>
      <c r="H35" s="25"/>
      <c r="I35" s="25"/>
      <c r="J35" s="25"/>
      <c r="K35" s="25"/>
      <c r="L35" s="25"/>
      <c r="M35" s="25"/>
      <c r="N35" s="25"/>
    </row>
    <row r="36" spans="1:14" ht="23.25" x14ac:dyDescent="0.35">
      <c r="A36" s="463"/>
      <c r="B36" s="143" t="s">
        <v>805</v>
      </c>
      <c r="C36" s="157"/>
      <c r="D36" s="136"/>
      <c r="E36" s="27"/>
      <c r="F36" s="169"/>
      <c r="G36" s="168"/>
      <c r="H36" s="25"/>
      <c r="I36" s="25"/>
      <c r="J36" s="25"/>
      <c r="K36" s="25"/>
      <c r="L36" s="25"/>
      <c r="M36" s="25"/>
      <c r="N36" s="25"/>
    </row>
    <row r="37" spans="1:14" ht="23.25" customHeight="1" x14ac:dyDescent="0.35">
      <c r="A37" s="895" t="s">
        <v>55</v>
      </c>
      <c r="B37" s="304" t="s">
        <v>971</v>
      </c>
      <c r="C37" s="469">
        <f>95113+25681</f>
        <v>120794</v>
      </c>
      <c r="D37" s="908" t="s">
        <v>929</v>
      </c>
      <c r="E37" s="27"/>
      <c r="F37" s="169"/>
      <c r="G37" s="168"/>
      <c r="H37" s="25"/>
      <c r="I37" s="25"/>
      <c r="J37" s="25"/>
      <c r="K37" s="25"/>
      <c r="L37" s="25"/>
      <c r="M37" s="25"/>
      <c r="N37" s="25"/>
    </row>
    <row r="38" spans="1:14" ht="23.25" x14ac:dyDescent="0.35">
      <c r="A38" s="892"/>
      <c r="B38" s="472" t="s">
        <v>818</v>
      </c>
      <c r="C38" s="473">
        <f>12550350+3388593</f>
        <v>15938943</v>
      </c>
      <c r="D38" s="871"/>
      <c r="E38" s="27"/>
      <c r="F38" s="169"/>
      <c r="G38" s="168"/>
      <c r="H38" s="25"/>
      <c r="I38" s="25"/>
      <c r="J38" s="25"/>
      <c r="K38" s="25"/>
      <c r="L38" s="25"/>
      <c r="M38" s="25"/>
      <c r="N38" s="25"/>
    </row>
    <row r="39" spans="1:14" ht="23.25" x14ac:dyDescent="0.35">
      <c r="A39" s="892"/>
      <c r="B39" s="72" t="s">
        <v>972</v>
      </c>
      <c r="C39" s="473">
        <v>855800</v>
      </c>
      <c r="D39" s="871"/>
      <c r="E39" s="27"/>
      <c r="F39" s="169"/>
      <c r="G39" s="168"/>
      <c r="H39" s="25"/>
      <c r="I39" s="25"/>
      <c r="J39" s="25"/>
      <c r="K39" s="25"/>
      <c r="L39" s="25"/>
      <c r="M39" s="25"/>
      <c r="N39" s="25"/>
    </row>
    <row r="40" spans="1:14" ht="23.25" x14ac:dyDescent="0.35">
      <c r="A40" s="892"/>
      <c r="B40" s="480" t="s">
        <v>973</v>
      </c>
      <c r="C40" s="473">
        <f>110000+29700</f>
        <v>139700</v>
      </c>
      <c r="D40" s="871"/>
      <c r="E40" s="27"/>
      <c r="F40" s="169"/>
      <c r="G40" s="168"/>
      <c r="H40" s="25"/>
      <c r="I40" s="25"/>
      <c r="J40" s="25"/>
      <c r="K40" s="25"/>
      <c r="L40" s="25"/>
      <c r="M40" s="25"/>
      <c r="N40" s="25"/>
    </row>
    <row r="41" spans="1:14" ht="23.25" x14ac:dyDescent="0.35">
      <c r="A41" s="892"/>
      <c r="B41" s="480" t="s">
        <v>974</v>
      </c>
      <c r="C41" s="473">
        <v>200000</v>
      </c>
      <c r="D41" s="871"/>
      <c r="E41" s="27"/>
      <c r="F41" s="169"/>
      <c r="G41" s="168"/>
      <c r="H41" s="25"/>
      <c r="I41" s="25"/>
      <c r="J41" s="25"/>
      <c r="K41" s="25"/>
      <c r="L41" s="25"/>
      <c r="M41" s="25"/>
      <c r="N41" s="25"/>
    </row>
    <row r="42" spans="1:14" ht="23.25" x14ac:dyDescent="0.35">
      <c r="A42" s="892"/>
      <c r="B42" s="480" t="s">
        <v>975</v>
      </c>
      <c r="C42" s="473">
        <f>638415+172372</f>
        <v>810787</v>
      </c>
      <c r="D42" s="871"/>
      <c r="E42" s="27"/>
      <c r="F42" s="169"/>
      <c r="G42" s="168"/>
      <c r="H42" s="25"/>
      <c r="I42" s="25"/>
      <c r="J42" s="25"/>
      <c r="K42" s="25"/>
      <c r="L42" s="25"/>
      <c r="M42" s="25"/>
      <c r="N42" s="25"/>
    </row>
    <row r="43" spans="1:14" ht="23.25" x14ac:dyDescent="0.35">
      <c r="A43" s="892"/>
      <c r="B43" s="480" t="s">
        <v>976</v>
      </c>
      <c r="C43" s="473">
        <f>60000+16200</f>
        <v>76200</v>
      </c>
      <c r="D43" s="871"/>
      <c r="E43" s="27"/>
      <c r="F43" s="169"/>
      <c r="G43" s="168"/>
      <c r="H43" s="25"/>
      <c r="I43" s="25"/>
      <c r="J43" s="25"/>
      <c r="K43" s="25"/>
      <c r="L43" s="25"/>
      <c r="M43" s="25"/>
      <c r="N43" s="25"/>
    </row>
    <row r="44" spans="1:14" ht="23.25" x14ac:dyDescent="0.35">
      <c r="A44" s="892"/>
      <c r="B44" s="480" t="s">
        <v>977</v>
      </c>
      <c r="C44" s="473">
        <v>300000</v>
      </c>
      <c r="D44" s="871"/>
      <c r="E44" s="27"/>
      <c r="F44" s="169"/>
      <c r="G44" s="168"/>
      <c r="H44" s="25"/>
      <c r="I44" s="25"/>
      <c r="J44" s="25"/>
      <c r="K44" s="25"/>
      <c r="L44" s="25"/>
      <c r="M44" s="25"/>
      <c r="N44" s="25"/>
    </row>
    <row r="45" spans="1:14" ht="23.25" x14ac:dyDescent="0.35">
      <c r="A45" s="892"/>
      <c r="B45" s="480" t="s">
        <v>978</v>
      </c>
      <c r="C45" s="473">
        <f>480000+129600</f>
        <v>609600</v>
      </c>
      <c r="D45" s="871"/>
      <c r="E45" s="27"/>
      <c r="F45" s="169"/>
      <c r="G45" s="168"/>
      <c r="H45" s="25"/>
      <c r="I45" s="25"/>
      <c r="J45" s="25"/>
      <c r="K45" s="25"/>
      <c r="L45" s="25"/>
      <c r="M45" s="25"/>
      <c r="N45" s="25"/>
    </row>
    <row r="46" spans="1:14" ht="23.25" x14ac:dyDescent="0.35">
      <c r="A46" s="892"/>
      <c r="B46" s="480" t="s">
        <v>979</v>
      </c>
      <c r="C46" s="473">
        <f>758597+204821</f>
        <v>963418</v>
      </c>
      <c r="D46" s="871"/>
      <c r="E46" s="27"/>
      <c r="F46" s="169"/>
      <c r="G46" s="168"/>
      <c r="H46" s="25"/>
      <c r="I46" s="25"/>
      <c r="J46" s="25"/>
      <c r="K46" s="25"/>
      <c r="L46" s="25"/>
      <c r="M46" s="25"/>
      <c r="N46" s="25"/>
    </row>
    <row r="47" spans="1:14" ht="23.25" x14ac:dyDescent="0.35">
      <c r="A47" s="892"/>
      <c r="B47" s="480" t="s">
        <v>980</v>
      </c>
      <c r="C47" s="473">
        <v>250000</v>
      </c>
      <c r="D47" s="871"/>
      <c r="E47" s="27"/>
      <c r="F47" s="169"/>
      <c r="G47" s="168"/>
      <c r="H47" s="25"/>
      <c r="I47" s="25"/>
      <c r="J47" s="25"/>
      <c r="K47" s="25"/>
      <c r="L47" s="25"/>
      <c r="M47" s="25"/>
      <c r="N47" s="25"/>
    </row>
    <row r="48" spans="1:14" ht="23.25" x14ac:dyDescent="0.35">
      <c r="A48" s="892"/>
      <c r="B48" s="480" t="s">
        <v>981</v>
      </c>
      <c r="C48" s="473">
        <v>1000000</v>
      </c>
      <c r="D48" s="871"/>
      <c r="E48" s="27"/>
      <c r="F48" s="169"/>
      <c r="G48" s="168"/>
      <c r="H48" s="25"/>
      <c r="I48" s="25"/>
      <c r="J48" s="25"/>
      <c r="K48" s="25"/>
      <c r="L48" s="25"/>
      <c r="M48" s="25"/>
      <c r="N48" s="25"/>
    </row>
    <row r="49" spans="1:14" ht="23.25" x14ac:dyDescent="0.35">
      <c r="A49" s="892"/>
      <c r="B49" s="480" t="s">
        <v>828</v>
      </c>
      <c r="C49" s="473">
        <f>5119199+18959994</f>
        <v>24079193</v>
      </c>
      <c r="D49" s="871"/>
      <c r="E49" s="27"/>
      <c r="F49" s="169"/>
      <c r="G49" s="168"/>
      <c r="H49" s="25"/>
      <c r="I49" s="25"/>
      <c r="J49" s="25"/>
      <c r="K49" s="25"/>
      <c r="L49" s="25"/>
      <c r="M49" s="25"/>
      <c r="N49" s="25"/>
    </row>
    <row r="50" spans="1:14" ht="46.5" x14ac:dyDescent="0.35">
      <c r="A50" s="892"/>
      <c r="B50" s="481" t="s">
        <v>982</v>
      </c>
      <c r="C50" s="473">
        <f>2554203+689635</f>
        <v>3243838</v>
      </c>
      <c r="D50" s="871"/>
      <c r="E50" s="27"/>
      <c r="F50" s="169"/>
      <c r="G50" s="168"/>
      <c r="H50" s="25"/>
      <c r="I50" s="25"/>
      <c r="J50" s="25"/>
      <c r="K50" s="25"/>
      <c r="L50" s="25"/>
      <c r="M50" s="25"/>
      <c r="N50" s="25"/>
    </row>
    <row r="51" spans="1:14" ht="23.25" x14ac:dyDescent="0.35">
      <c r="A51" s="892"/>
      <c r="B51" s="480" t="s">
        <v>983</v>
      </c>
      <c r="C51" s="473">
        <f>175000+47250</f>
        <v>222250</v>
      </c>
      <c r="D51" s="871"/>
      <c r="E51" s="27"/>
      <c r="F51" s="169"/>
      <c r="G51" s="168"/>
      <c r="H51" s="25"/>
      <c r="I51" s="25"/>
      <c r="J51" s="25"/>
      <c r="K51" s="25"/>
      <c r="L51" s="25"/>
      <c r="M51" s="25"/>
      <c r="N51" s="25"/>
    </row>
    <row r="52" spans="1:14" ht="23.25" x14ac:dyDescent="0.35">
      <c r="A52" s="892"/>
      <c r="B52" s="480" t="s">
        <v>984</v>
      </c>
      <c r="C52" s="473">
        <v>330331</v>
      </c>
      <c r="D52" s="871"/>
      <c r="E52" s="27"/>
      <c r="F52" s="169"/>
      <c r="G52" s="168"/>
      <c r="H52" s="25"/>
      <c r="I52" s="25"/>
      <c r="J52" s="25"/>
      <c r="K52" s="25"/>
      <c r="L52" s="25"/>
      <c r="M52" s="25"/>
      <c r="N52" s="25"/>
    </row>
    <row r="53" spans="1:14" ht="46.5" x14ac:dyDescent="0.35">
      <c r="A53" s="892"/>
      <c r="B53" s="480" t="s">
        <v>985</v>
      </c>
      <c r="C53" s="473">
        <f>2030000+548100</f>
        <v>2578100</v>
      </c>
      <c r="D53" s="871"/>
      <c r="E53" s="27"/>
      <c r="F53" s="169"/>
      <c r="G53" s="168"/>
      <c r="H53" s="25"/>
      <c r="I53" s="25"/>
      <c r="J53" s="25"/>
      <c r="K53" s="25"/>
      <c r="L53" s="25"/>
      <c r="M53" s="25"/>
      <c r="N53" s="25"/>
    </row>
    <row r="54" spans="1:14" ht="23.25" x14ac:dyDescent="0.35">
      <c r="A54" s="892"/>
      <c r="B54" s="481" t="s">
        <v>986</v>
      </c>
      <c r="C54" s="473">
        <v>160000</v>
      </c>
      <c r="D54" s="871"/>
      <c r="E54" s="27"/>
      <c r="F54" s="169"/>
      <c r="G54" s="168"/>
      <c r="H54" s="25"/>
      <c r="I54" s="25"/>
      <c r="J54" s="25"/>
      <c r="K54" s="25"/>
      <c r="L54" s="25"/>
      <c r="M54" s="25"/>
      <c r="N54" s="25"/>
    </row>
    <row r="55" spans="1:14" ht="23.25" x14ac:dyDescent="0.35">
      <c r="A55" s="892"/>
      <c r="B55" s="480" t="s">
        <v>987</v>
      </c>
      <c r="C55" s="473">
        <v>254000</v>
      </c>
      <c r="D55" s="871"/>
      <c r="E55" s="27"/>
      <c r="F55" s="169"/>
      <c r="G55" s="168"/>
      <c r="H55" s="25"/>
      <c r="I55" s="25"/>
      <c r="J55" s="25"/>
      <c r="K55" s="25"/>
      <c r="L55" s="25"/>
      <c r="M55" s="25"/>
      <c r="N55" s="25"/>
    </row>
    <row r="56" spans="1:14" ht="23.25" x14ac:dyDescent="0.35">
      <c r="A56" s="892"/>
      <c r="B56" s="480" t="s">
        <v>988</v>
      </c>
      <c r="C56" s="473">
        <v>625000</v>
      </c>
      <c r="D56" s="871"/>
      <c r="E56" s="27"/>
      <c r="F56" s="169"/>
      <c r="G56" s="168"/>
      <c r="H56" s="25"/>
      <c r="I56" s="25"/>
      <c r="J56" s="25"/>
      <c r="K56" s="25"/>
      <c r="L56" s="25"/>
      <c r="M56" s="25"/>
      <c r="N56" s="25"/>
    </row>
    <row r="57" spans="1:14" ht="46.5" x14ac:dyDescent="0.35">
      <c r="A57" s="892"/>
      <c r="B57" s="480" t="s">
        <v>829</v>
      </c>
      <c r="C57" s="473">
        <f>480000+129600</f>
        <v>609600</v>
      </c>
      <c r="D57" s="871"/>
      <c r="E57" s="27"/>
      <c r="F57" s="169"/>
      <c r="G57" s="168"/>
      <c r="H57" s="25"/>
      <c r="I57" s="25"/>
      <c r="J57" s="25"/>
      <c r="K57" s="25"/>
      <c r="L57" s="25"/>
      <c r="M57" s="25"/>
      <c r="N57" s="25"/>
    </row>
    <row r="58" spans="1:14" ht="23.25" x14ac:dyDescent="0.35">
      <c r="A58" s="892"/>
      <c r="B58" s="480" t="s">
        <v>989</v>
      </c>
      <c r="C58" s="473">
        <v>2540000</v>
      </c>
      <c r="D58" s="871"/>
      <c r="G58" s="168"/>
      <c r="H58" s="25"/>
      <c r="I58" s="25"/>
      <c r="J58" s="25"/>
      <c r="K58" s="25"/>
      <c r="L58" s="25"/>
      <c r="M58" s="25"/>
      <c r="N58" s="25"/>
    </row>
    <row r="59" spans="1:14" ht="23.25" x14ac:dyDescent="0.35">
      <c r="A59" s="892"/>
      <c r="B59" s="480" t="s">
        <v>990</v>
      </c>
      <c r="C59" s="473">
        <v>2540000</v>
      </c>
      <c r="D59" s="871"/>
      <c r="G59" s="168"/>
      <c r="H59" s="25"/>
      <c r="I59" s="25"/>
      <c r="J59" s="25"/>
      <c r="K59" s="25"/>
      <c r="L59" s="25"/>
      <c r="M59" s="25"/>
      <c r="N59" s="25"/>
    </row>
    <row r="60" spans="1:14" ht="23.25" customHeight="1" x14ac:dyDescent="0.35">
      <c r="A60" s="892"/>
      <c r="B60" s="481" t="s">
        <v>991</v>
      </c>
      <c r="C60" s="473">
        <f>38095+1905</f>
        <v>40000</v>
      </c>
      <c r="D60" s="871"/>
      <c r="E60" s="27"/>
      <c r="F60" s="169"/>
      <c r="G60" s="168"/>
      <c r="H60" s="25"/>
      <c r="I60" s="25"/>
      <c r="J60" s="25"/>
      <c r="K60" s="25"/>
      <c r="L60" s="25"/>
      <c r="M60" s="25"/>
      <c r="N60" s="25"/>
    </row>
    <row r="61" spans="1:14" ht="23.25" x14ac:dyDescent="0.35">
      <c r="A61" s="892"/>
      <c r="B61" s="481" t="s">
        <v>992</v>
      </c>
      <c r="C61" s="473">
        <f>247905+4653492</f>
        <v>4901397</v>
      </c>
      <c r="D61" s="871"/>
      <c r="E61" s="27" t="s">
        <v>843</v>
      </c>
      <c r="F61" s="169"/>
      <c r="G61" s="168"/>
      <c r="H61" s="25"/>
      <c r="I61" s="25"/>
      <c r="J61" s="25"/>
      <c r="K61" s="25"/>
      <c r="L61" s="25"/>
      <c r="M61" s="25"/>
      <c r="N61" s="25"/>
    </row>
    <row r="62" spans="1:14" ht="23.25" x14ac:dyDescent="0.35">
      <c r="A62" s="896"/>
      <c r="B62" s="481" t="s">
        <v>993</v>
      </c>
      <c r="C62" s="473">
        <f>10587767+2858697+8250000+2227500</f>
        <v>23923964</v>
      </c>
      <c r="D62" s="909"/>
      <c r="E62" s="27">
        <f>SUM(C37:C62)</f>
        <v>87312915</v>
      </c>
      <c r="F62" s="483" t="s">
        <v>831</v>
      </c>
      <c r="G62" s="168"/>
      <c r="H62" s="25"/>
      <c r="I62" s="25"/>
      <c r="J62" s="25"/>
      <c r="K62" s="25"/>
      <c r="L62" s="25"/>
      <c r="M62" s="25"/>
      <c r="N62" s="25"/>
    </row>
    <row r="63" spans="1:14" ht="23.25" x14ac:dyDescent="0.35">
      <c r="A63" s="895" t="s">
        <v>56</v>
      </c>
      <c r="B63" s="482" t="s">
        <v>830</v>
      </c>
      <c r="C63" s="469">
        <f>1110000+299700</f>
        <v>1409700</v>
      </c>
      <c r="D63" s="908" t="s">
        <v>929</v>
      </c>
      <c r="E63" s="27"/>
      <c r="F63" s="169"/>
      <c r="G63" s="168"/>
      <c r="H63" s="25"/>
      <c r="I63" s="25"/>
      <c r="J63" s="25"/>
      <c r="K63" s="25"/>
      <c r="L63" s="25"/>
      <c r="M63" s="25"/>
      <c r="N63" s="25"/>
    </row>
    <row r="64" spans="1:14" ht="23.25" x14ac:dyDescent="0.35">
      <c r="A64" s="892"/>
      <c r="B64" s="481" t="s">
        <v>994</v>
      </c>
      <c r="C64" s="473">
        <v>508000</v>
      </c>
      <c r="D64" s="871"/>
      <c r="E64" s="27"/>
      <c r="F64" s="169"/>
      <c r="G64" s="168"/>
      <c r="H64" s="25"/>
      <c r="I64" s="25"/>
      <c r="J64" s="25"/>
      <c r="K64" s="25"/>
      <c r="L64" s="25"/>
      <c r="M64" s="25"/>
      <c r="N64" s="25"/>
    </row>
    <row r="65" spans="1:14" ht="23.25" x14ac:dyDescent="0.35">
      <c r="A65" s="892"/>
      <c r="B65" s="481" t="s">
        <v>995</v>
      </c>
      <c r="C65" s="473">
        <f>320000+86400</f>
        <v>406400</v>
      </c>
      <c r="D65" s="871"/>
      <c r="E65" s="27"/>
      <c r="F65" s="169"/>
      <c r="G65" s="168"/>
      <c r="H65" s="25"/>
      <c r="I65" s="25"/>
      <c r="J65" s="25"/>
      <c r="K65" s="25"/>
      <c r="L65" s="25"/>
      <c r="M65" s="25"/>
      <c r="N65" s="25"/>
    </row>
    <row r="66" spans="1:14" ht="69.75" x14ac:dyDescent="0.35">
      <c r="A66" s="892"/>
      <c r="B66" s="481" t="s">
        <v>996</v>
      </c>
      <c r="C66" s="473">
        <f>14950000+4036500</f>
        <v>18986500</v>
      </c>
      <c r="D66" s="871"/>
      <c r="E66" s="27"/>
      <c r="F66" s="169"/>
      <c r="G66" s="168"/>
      <c r="H66" s="25"/>
      <c r="I66" s="25"/>
      <c r="J66" s="25"/>
      <c r="K66" s="25"/>
      <c r="L66" s="25"/>
      <c r="M66" s="25"/>
      <c r="N66" s="25"/>
    </row>
    <row r="67" spans="1:14" ht="46.5" x14ac:dyDescent="0.35">
      <c r="A67" s="892"/>
      <c r="B67" s="481" t="s">
        <v>997</v>
      </c>
      <c r="C67" s="473">
        <f>1500000+405000</f>
        <v>1905000</v>
      </c>
      <c r="D67" s="871"/>
      <c r="E67" s="27"/>
      <c r="F67" s="169"/>
      <c r="G67" s="168"/>
      <c r="H67" s="25"/>
      <c r="I67" s="25"/>
      <c r="J67" s="25"/>
      <c r="K67" s="25"/>
      <c r="L67" s="25"/>
      <c r="M67" s="25"/>
      <c r="N67" s="25"/>
    </row>
    <row r="68" spans="1:14" ht="23.25" x14ac:dyDescent="0.35">
      <c r="A68" s="892"/>
      <c r="B68" s="481" t="s">
        <v>998</v>
      </c>
      <c r="C68" s="473">
        <f>380000+102600</f>
        <v>482600</v>
      </c>
      <c r="D68" s="871"/>
      <c r="E68" s="27"/>
      <c r="F68" s="169"/>
      <c r="G68" s="168"/>
      <c r="H68" s="25"/>
      <c r="I68" s="25"/>
      <c r="J68" s="25"/>
      <c r="K68" s="25"/>
      <c r="L68" s="25"/>
      <c r="M68" s="25"/>
      <c r="N68" s="25"/>
    </row>
    <row r="69" spans="1:14" ht="23.25" x14ac:dyDescent="0.35">
      <c r="A69" s="892"/>
      <c r="B69" s="481" t="s">
        <v>999</v>
      </c>
      <c r="C69" s="473">
        <f>845000+228150</f>
        <v>1073150</v>
      </c>
      <c r="D69" s="871"/>
      <c r="E69" s="27"/>
      <c r="F69" s="169"/>
      <c r="G69" s="168"/>
      <c r="H69" s="25"/>
      <c r="I69" s="25"/>
      <c r="J69" s="25"/>
      <c r="K69" s="25"/>
      <c r="L69" s="25"/>
      <c r="M69" s="25"/>
      <c r="N69" s="25"/>
    </row>
    <row r="70" spans="1:14" ht="23.25" x14ac:dyDescent="0.35">
      <c r="A70" s="892"/>
      <c r="B70" s="481" t="s">
        <v>1000</v>
      </c>
      <c r="C70" s="473">
        <f>254000+254000</f>
        <v>508000</v>
      </c>
      <c r="D70" s="871"/>
      <c r="E70" s="27"/>
      <c r="F70" s="169"/>
      <c r="G70" s="168"/>
      <c r="H70" s="25"/>
      <c r="I70" s="25"/>
      <c r="J70" s="25"/>
      <c r="K70" s="25"/>
      <c r="L70" s="25"/>
      <c r="M70" s="25"/>
      <c r="N70" s="25"/>
    </row>
    <row r="71" spans="1:14" ht="23.25" x14ac:dyDescent="0.35">
      <c r="A71" s="892"/>
      <c r="B71" s="481" t="s">
        <v>1001</v>
      </c>
      <c r="C71" s="473">
        <f>120000+32400</f>
        <v>152400</v>
      </c>
      <c r="D71" s="871"/>
      <c r="E71" s="27"/>
      <c r="F71" s="169"/>
      <c r="G71" s="168"/>
      <c r="H71" s="25"/>
      <c r="I71" s="25"/>
      <c r="J71" s="25"/>
      <c r="K71" s="25"/>
      <c r="L71" s="25"/>
      <c r="M71" s="25"/>
      <c r="N71" s="25"/>
    </row>
    <row r="72" spans="1:14" ht="23.25" x14ac:dyDescent="0.35">
      <c r="A72" s="892"/>
      <c r="B72" s="481" t="s">
        <v>1002</v>
      </c>
      <c r="C72" s="473">
        <v>2336777</v>
      </c>
      <c r="D72" s="871"/>
      <c r="E72" s="27"/>
      <c r="F72" s="169"/>
      <c r="G72" s="168"/>
      <c r="H72" s="25"/>
      <c r="I72" s="25"/>
      <c r="J72" s="25"/>
      <c r="K72" s="25"/>
      <c r="L72" s="25"/>
      <c r="M72" s="25"/>
      <c r="N72" s="25"/>
    </row>
    <row r="73" spans="1:14" ht="23.25" x14ac:dyDescent="0.35">
      <c r="A73" s="892"/>
      <c r="B73" s="481" t="s">
        <v>1003</v>
      </c>
      <c r="C73" s="473">
        <f>2362205+637795</f>
        <v>3000000</v>
      </c>
      <c r="D73" s="871"/>
      <c r="E73" s="27"/>
      <c r="F73" s="169"/>
      <c r="G73" s="168"/>
      <c r="H73" s="25"/>
      <c r="I73" s="25"/>
      <c r="J73" s="25"/>
      <c r="K73" s="25"/>
      <c r="L73" s="25"/>
      <c r="M73" s="25"/>
      <c r="N73" s="25"/>
    </row>
    <row r="74" spans="1:14" ht="23.25" x14ac:dyDescent="0.35">
      <c r="A74" s="892"/>
      <c r="B74" s="481" t="s">
        <v>1004</v>
      </c>
      <c r="C74" s="473">
        <f>6003000+1620810</f>
        <v>7623810</v>
      </c>
      <c r="D74" s="871"/>
      <c r="E74" s="27"/>
      <c r="F74" s="169"/>
      <c r="G74" s="168"/>
      <c r="H74" s="25"/>
      <c r="I74" s="25"/>
      <c r="J74" s="25"/>
      <c r="K74" s="25"/>
      <c r="L74" s="25"/>
      <c r="M74" s="25"/>
      <c r="N74" s="25"/>
    </row>
    <row r="75" spans="1:14" ht="23.25" x14ac:dyDescent="0.35">
      <c r="A75" s="892"/>
      <c r="B75" s="481" t="s">
        <v>1005</v>
      </c>
      <c r="C75" s="473">
        <f>1976000+533520</f>
        <v>2509520</v>
      </c>
      <c r="D75" s="871"/>
      <c r="E75" s="27"/>
      <c r="F75" s="169"/>
      <c r="G75" s="168"/>
      <c r="H75" s="25"/>
      <c r="I75" s="25"/>
      <c r="J75" s="25"/>
      <c r="K75" s="25"/>
      <c r="L75" s="25"/>
      <c r="M75" s="25"/>
      <c r="N75" s="25"/>
    </row>
    <row r="76" spans="1:14" ht="23.25" x14ac:dyDescent="0.35">
      <c r="A76" s="892"/>
      <c r="B76" s="481" t="s">
        <v>1006</v>
      </c>
      <c r="C76" s="473">
        <f>1132900+305883</f>
        <v>1438783</v>
      </c>
      <c r="D76" s="871"/>
      <c r="E76" s="27"/>
      <c r="F76" s="169"/>
      <c r="G76" s="168"/>
      <c r="H76" s="25"/>
      <c r="I76" s="25"/>
      <c r="J76" s="25"/>
      <c r="K76" s="25"/>
      <c r="L76" s="25"/>
      <c r="M76" s="25"/>
      <c r="N76" s="25"/>
    </row>
    <row r="77" spans="1:14" ht="23.25" x14ac:dyDescent="0.35">
      <c r="A77" s="892"/>
      <c r="B77" s="481" t="s">
        <v>1007</v>
      </c>
      <c r="C77" s="473">
        <f>2150000+580500</f>
        <v>2730500</v>
      </c>
      <c r="D77" s="871"/>
      <c r="E77" s="27"/>
      <c r="F77" s="169"/>
      <c r="G77" s="168"/>
      <c r="H77" s="25"/>
      <c r="I77" s="25"/>
      <c r="J77" s="25"/>
      <c r="K77" s="25"/>
      <c r="L77" s="25"/>
      <c r="M77" s="25"/>
      <c r="N77" s="25"/>
    </row>
    <row r="78" spans="1:14" ht="23.25" x14ac:dyDescent="0.35">
      <c r="A78" s="892"/>
      <c r="B78" s="481" t="s">
        <v>1008</v>
      </c>
      <c r="C78" s="473">
        <f>597680+161374</f>
        <v>759054</v>
      </c>
      <c r="D78" s="871"/>
      <c r="E78" s="27"/>
      <c r="F78" s="169"/>
      <c r="G78" s="168"/>
      <c r="H78" s="25"/>
      <c r="I78" s="25"/>
      <c r="J78" s="25"/>
      <c r="K78" s="25"/>
      <c r="L78" s="25"/>
      <c r="M78" s="25"/>
      <c r="N78" s="25"/>
    </row>
    <row r="79" spans="1:14" ht="46.5" x14ac:dyDescent="0.35">
      <c r="A79" s="892"/>
      <c r="B79" s="481" t="s">
        <v>1009</v>
      </c>
      <c r="C79" s="473">
        <f>615000+166050</f>
        <v>781050</v>
      </c>
      <c r="D79" s="871"/>
      <c r="E79" s="27"/>
      <c r="F79" s="169"/>
      <c r="G79" s="168"/>
      <c r="H79" s="25"/>
      <c r="I79" s="25"/>
      <c r="J79" s="25"/>
      <c r="K79" s="25"/>
      <c r="L79" s="25"/>
      <c r="M79" s="25"/>
      <c r="N79" s="25"/>
    </row>
    <row r="80" spans="1:14" ht="46.5" x14ac:dyDescent="0.35">
      <c r="A80" s="892"/>
      <c r="B80" s="481" t="s">
        <v>1010</v>
      </c>
      <c r="C80" s="473">
        <f>255000+68850</f>
        <v>323850</v>
      </c>
      <c r="D80" s="871"/>
      <c r="E80" s="27"/>
      <c r="F80" s="169"/>
      <c r="G80" s="168"/>
      <c r="H80" s="25"/>
      <c r="I80" s="25"/>
      <c r="J80" s="25"/>
      <c r="K80" s="25"/>
      <c r="L80" s="25"/>
      <c r="M80" s="25"/>
      <c r="N80" s="25"/>
    </row>
    <row r="81" spans="1:14" ht="46.5" x14ac:dyDescent="0.35">
      <c r="A81" s="892"/>
      <c r="B81" s="481" t="s">
        <v>1011</v>
      </c>
      <c r="C81" s="473">
        <f>14758345+3984753</f>
        <v>18743098</v>
      </c>
      <c r="D81" s="871"/>
      <c r="E81" s="27"/>
      <c r="F81" s="169"/>
      <c r="G81" s="168"/>
      <c r="H81" s="25"/>
      <c r="I81" s="25"/>
      <c r="J81" s="25"/>
      <c r="K81" s="25"/>
      <c r="L81" s="25"/>
      <c r="M81" s="25"/>
      <c r="N81" s="25"/>
    </row>
    <row r="82" spans="1:14" ht="23.25" x14ac:dyDescent="0.35">
      <c r="A82" s="892"/>
      <c r="B82" s="481" t="s">
        <v>1012</v>
      </c>
      <c r="C82" s="473">
        <f>350000+94500</f>
        <v>444500</v>
      </c>
      <c r="D82" s="871"/>
      <c r="E82" s="27" t="s">
        <v>843</v>
      </c>
      <c r="F82" s="169"/>
      <c r="G82" s="168"/>
      <c r="H82" s="25"/>
      <c r="I82" s="25"/>
      <c r="J82" s="25"/>
      <c r="K82" s="25"/>
      <c r="L82" s="25"/>
      <c r="M82" s="25"/>
      <c r="N82" s="25"/>
    </row>
    <row r="83" spans="1:14" ht="23.25" x14ac:dyDescent="0.35">
      <c r="A83" s="892"/>
      <c r="B83" s="481" t="s">
        <v>1013</v>
      </c>
      <c r="C83" s="473">
        <v>200000</v>
      </c>
      <c r="D83" s="871"/>
      <c r="E83" s="27">
        <f>SUM(C63:C83)</f>
        <v>66322692</v>
      </c>
      <c r="F83" s="27" t="s">
        <v>832</v>
      </c>
      <c r="G83" s="27">
        <f>+E62+E83</f>
        <v>153635607</v>
      </c>
      <c r="H83" s="25"/>
      <c r="I83" s="25"/>
      <c r="J83" s="25"/>
      <c r="K83" s="25"/>
      <c r="L83" s="25"/>
      <c r="M83" s="25"/>
      <c r="N83" s="25"/>
    </row>
    <row r="84" spans="1:14" ht="23.25" x14ac:dyDescent="0.35">
      <c r="A84" s="885" t="s">
        <v>807</v>
      </c>
      <c r="B84" s="885"/>
      <c r="C84" s="471">
        <f>SUM(C37:C83)</f>
        <v>153635607</v>
      </c>
      <c r="D84" s="470"/>
      <c r="E84" s="27"/>
      <c r="F84" s="169"/>
      <c r="G84" s="168"/>
      <c r="H84" s="25"/>
      <c r="I84" s="25"/>
      <c r="J84" s="25"/>
      <c r="K84" s="25"/>
      <c r="L84" s="25"/>
      <c r="M84" s="25"/>
      <c r="N84" s="25"/>
    </row>
    <row r="85" spans="1:14" ht="23.25" x14ac:dyDescent="0.35">
      <c r="A85" s="897" t="s">
        <v>833</v>
      </c>
      <c r="B85" s="898"/>
      <c r="C85" s="899"/>
      <c r="D85" s="479"/>
      <c r="E85" s="27"/>
      <c r="F85" s="169"/>
      <c r="G85" s="168"/>
      <c r="H85" s="25"/>
      <c r="I85" s="25"/>
      <c r="J85" s="25"/>
      <c r="K85" s="25"/>
      <c r="L85" s="25"/>
      <c r="M85" s="25"/>
      <c r="N85" s="25"/>
    </row>
    <row r="86" spans="1:14" ht="50.25" customHeight="1" x14ac:dyDescent="0.35">
      <c r="A86" s="921" t="s">
        <v>55</v>
      </c>
      <c r="B86" s="481"/>
      <c r="C86" s="473"/>
      <c r="D86" s="922" t="s">
        <v>929</v>
      </c>
      <c r="E86" s="27" t="s">
        <v>844</v>
      </c>
      <c r="F86" s="169"/>
      <c r="G86" s="168"/>
      <c r="H86" s="25"/>
      <c r="I86" s="25"/>
      <c r="J86" s="25"/>
      <c r="K86" s="25"/>
      <c r="L86" s="25"/>
      <c r="M86" s="25"/>
      <c r="N86" s="25"/>
    </row>
    <row r="87" spans="1:14" ht="50.25" customHeight="1" x14ac:dyDescent="0.35">
      <c r="A87" s="921"/>
      <c r="B87" s="481"/>
      <c r="C87" s="473"/>
      <c r="D87" s="922"/>
      <c r="E87" s="488">
        <f>SUM(C86:C87)</f>
        <v>0</v>
      </c>
      <c r="F87" s="490" t="s">
        <v>831</v>
      </c>
      <c r="G87" s="168"/>
      <c r="H87" s="25"/>
      <c r="I87" s="25"/>
      <c r="J87" s="25"/>
      <c r="K87" s="25"/>
      <c r="L87" s="25"/>
      <c r="M87" s="25"/>
      <c r="N87" s="25"/>
    </row>
    <row r="88" spans="1:14" ht="29.25" customHeight="1" x14ac:dyDescent="0.35">
      <c r="A88" s="910" t="s">
        <v>834</v>
      </c>
      <c r="B88" s="481" t="s">
        <v>1015</v>
      </c>
      <c r="C88" s="473">
        <v>329992608</v>
      </c>
      <c r="D88" s="922"/>
      <c r="E88" s="488"/>
      <c r="F88" s="490"/>
      <c r="G88" s="168"/>
      <c r="H88" s="25"/>
      <c r="I88" s="25"/>
      <c r="J88" s="25"/>
      <c r="K88" s="25"/>
      <c r="L88" s="25"/>
      <c r="M88" s="25"/>
      <c r="N88" s="25"/>
    </row>
    <row r="89" spans="1:14" ht="29.25" customHeight="1" x14ac:dyDescent="0.35">
      <c r="A89" s="911"/>
      <c r="B89" s="481" t="s">
        <v>1016</v>
      </c>
      <c r="C89" s="473">
        <v>43997512</v>
      </c>
      <c r="D89" s="922"/>
      <c r="E89" s="488"/>
      <c r="F89" s="490"/>
      <c r="G89" s="168"/>
      <c r="H89" s="25"/>
      <c r="I89" s="25"/>
      <c r="J89" s="25"/>
      <c r="K89" s="25"/>
      <c r="L89" s="25"/>
      <c r="M89" s="25"/>
      <c r="N89" s="25"/>
    </row>
    <row r="90" spans="1:14" ht="46.5" x14ac:dyDescent="0.35">
      <c r="A90" s="912"/>
      <c r="B90" s="481" t="s">
        <v>835</v>
      </c>
      <c r="C90" s="473">
        <v>480000000</v>
      </c>
      <c r="D90" s="922"/>
      <c r="E90" s="27">
        <f>+C91</f>
        <v>853990120</v>
      </c>
      <c r="F90" s="483" t="s">
        <v>832</v>
      </c>
      <c r="G90" s="168"/>
      <c r="H90" s="25"/>
      <c r="I90" s="25"/>
      <c r="J90" s="25"/>
      <c r="K90" s="25"/>
      <c r="L90" s="25"/>
      <c r="M90" s="25"/>
      <c r="N90" s="25"/>
    </row>
    <row r="91" spans="1:14" ht="23.25" x14ac:dyDescent="0.35">
      <c r="A91" s="905" t="s">
        <v>836</v>
      </c>
      <c r="B91" s="905"/>
      <c r="C91" s="549">
        <f>SUM(C86:C90)</f>
        <v>853990120</v>
      </c>
      <c r="D91" s="550"/>
      <c r="E91" s="27" t="s">
        <v>844</v>
      </c>
      <c r="F91" s="169"/>
      <c r="G91" s="168"/>
      <c r="H91" s="25"/>
      <c r="I91" s="25"/>
      <c r="J91" s="25"/>
      <c r="K91" s="25"/>
      <c r="L91" s="25"/>
      <c r="M91" s="25"/>
      <c r="N91" s="25"/>
    </row>
    <row r="92" spans="1:14" ht="23.25" customHeight="1" x14ac:dyDescent="0.35">
      <c r="A92" s="897" t="s">
        <v>1017</v>
      </c>
      <c r="B92" s="898"/>
      <c r="C92" s="899"/>
      <c r="D92" s="604"/>
      <c r="E92" s="27"/>
      <c r="F92" s="169"/>
      <c r="G92" s="168"/>
      <c r="H92" s="25"/>
      <c r="I92" s="25"/>
      <c r="J92" s="25"/>
      <c r="K92" s="25"/>
      <c r="L92" s="25"/>
      <c r="M92" s="25"/>
      <c r="N92" s="25"/>
    </row>
    <row r="93" spans="1:14" ht="99.75" customHeight="1" x14ac:dyDescent="0.35">
      <c r="A93" s="609" t="s">
        <v>55</v>
      </c>
      <c r="B93" s="619" t="s">
        <v>1020</v>
      </c>
      <c r="C93" s="608">
        <v>642944250</v>
      </c>
      <c r="D93" s="610" t="s">
        <v>929</v>
      </c>
      <c r="E93" s="27" t="s">
        <v>1019</v>
      </c>
      <c r="F93" s="169"/>
      <c r="G93" s="168"/>
      <c r="H93" s="25"/>
      <c r="I93" s="25"/>
      <c r="J93" s="25"/>
      <c r="K93" s="25"/>
      <c r="L93" s="25"/>
      <c r="M93" s="25"/>
      <c r="N93" s="25"/>
    </row>
    <row r="94" spans="1:14" ht="23.25" x14ac:dyDescent="0.35">
      <c r="A94" s="923" t="s">
        <v>1018</v>
      </c>
      <c r="B94" s="924"/>
      <c r="C94" s="617">
        <f>+C93</f>
        <v>642944250</v>
      </c>
      <c r="D94" s="618"/>
      <c r="E94" s="27">
        <f>+C93</f>
        <v>642944250</v>
      </c>
      <c r="F94" s="490" t="s">
        <v>831</v>
      </c>
      <c r="G94" s="168"/>
      <c r="H94" s="25"/>
      <c r="I94" s="25"/>
      <c r="J94" s="25"/>
      <c r="K94" s="25"/>
      <c r="L94" s="25"/>
      <c r="M94" s="25"/>
      <c r="N94" s="25"/>
    </row>
    <row r="95" spans="1:14" ht="23.25" x14ac:dyDescent="0.35">
      <c r="A95" s="868" t="s">
        <v>894</v>
      </c>
      <c r="B95" s="868"/>
      <c r="C95" s="551">
        <f>+C91+C84+C35+C22+C19+C94</f>
        <v>1743957077</v>
      </c>
      <c r="D95" s="552"/>
      <c r="E95" s="27"/>
      <c r="F95" s="169"/>
      <c r="G95" s="25" t="s">
        <v>1021</v>
      </c>
      <c r="H95" s="25" t="s">
        <v>1022</v>
      </c>
      <c r="I95" s="25"/>
      <c r="J95" s="25"/>
      <c r="K95" s="25"/>
      <c r="L95" s="25"/>
      <c r="M95" s="25"/>
      <c r="N95" s="25"/>
    </row>
    <row r="96" spans="1:14" ht="23.25" x14ac:dyDescent="0.35">
      <c r="A96" s="556"/>
      <c r="B96" s="556"/>
      <c r="C96" s="557"/>
      <c r="D96" s="558"/>
      <c r="E96" s="27"/>
      <c r="F96" s="169"/>
      <c r="G96" s="27">
        <f>+E17+E21+E62+E87+E94</f>
        <v>794921046</v>
      </c>
      <c r="H96" s="27">
        <f>+E18+E30+E83+E90</f>
        <v>949036031</v>
      </c>
      <c r="I96" s="25"/>
      <c r="J96" s="25"/>
      <c r="K96" s="25"/>
      <c r="L96" s="25"/>
      <c r="M96" s="25"/>
      <c r="N96" s="25"/>
    </row>
    <row r="97" spans="1:14" s="71" customFormat="1" ht="23.25" x14ac:dyDescent="0.35">
      <c r="A97" s="553"/>
      <c r="B97" s="554" t="s">
        <v>12</v>
      </c>
      <c r="C97" s="555"/>
      <c r="D97" s="553"/>
      <c r="E97" s="68"/>
      <c r="F97" s="25"/>
      <c r="G97" s="25"/>
      <c r="H97" s="620">
        <f>+G96+H96</f>
        <v>1743957077</v>
      </c>
      <c r="I97" s="68"/>
      <c r="J97" s="68"/>
      <c r="K97" s="68"/>
      <c r="L97" s="68"/>
      <c r="M97" s="68"/>
      <c r="N97" s="68"/>
    </row>
    <row r="98" spans="1:14" ht="23.25" customHeight="1" x14ac:dyDescent="0.35">
      <c r="A98" s="880" t="s">
        <v>930</v>
      </c>
      <c r="B98" s="881"/>
      <c r="C98" s="882"/>
      <c r="D98" s="135"/>
      <c r="E98" s="25"/>
      <c r="F98" s="25"/>
      <c r="G98" s="25"/>
      <c r="H98" s="25"/>
      <c r="I98" s="25"/>
      <c r="J98" s="25"/>
      <c r="K98" s="25"/>
      <c r="L98" s="25"/>
      <c r="M98" s="25"/>
      <c r="N98" s="25"/>
    </row>
    <row r="99" spans="1:14" ht="23.25" x14ac:dyDescent="0.35">
      <c r="A99" s="892" t="s">
        <v>55</v>
      </c>
      <c r="B99" s="592" t="s">
        <v>928</v>
      </c>
      <c r="C99" s="129">
        <f>106+29</f>
        <v>135</v>
      </c>
      <c r="D99" s="872" t="s">
        <v>929</v>
      </c>
      <c r="E99" s="25"/>
      <c r="F99" s="25"/>
      <c r="G99" s="25"/>
      <c r="H99" s="25"/>
      <c r="I99" s="25"/>
      <c r="J99" s="25"/>
      <c r="K99" s="25"/>
      <c r="L99" s="25"/>
      <c r="M99" s="25"/>
      <c r="N99" s="25"/>
    </row>
    <row r="100" spans="1:14" ht="23.25" x14ac:dyDescent="0.35">
      <c r="A100" s="892"/>
      <c r="B100" s="28" t="s">
        <v>797</v>
      </c>
      <c r="C100" s="306">
        <v>73707</v>
      </c>
      <c r="D100" s="866"/>
      <c r="E100" s="25"/>
      <c r="F100" s="25"/>
      <c r="G100" s="25"/>
      <c r="H100" s="25"/>
      <c r="I100" s="25"/>
      <c r="J100" s="25"/>
      <c r="K100" s="25"/>
      <c r="L100" s="25"/>
      <c r="M100" s="25"/>
      <c r="N100" s="25"/>
    </row>
    <row r="101" spans="1:14" ht="23.25" x14ac:dyDescent="0.35">
      <c r="A101" s="892"/>
      <c r="B101" s="304" t="s">
        <v>724</v>
      </c>
      <c r="C101" s="464">
        <f>208076+8585</f>
        <v>216661</v>
      </c>
      <c r="D101" s="873"/>
      <c r="E101" s="25"/>
      <c r="F101" s="25"/>
      <c r="G101" s="25"/>
      <c r="H101" s="25"/>
      <c r="I101" s="25"/>
      <c r="J101" s="25"/>
      <c r="K101" s="25"/>
      <c r="L101" s="25"/>
      <c r="M101" s="25"/>
      <c r="N101" s="25"/>
    </row>
    <row r="102" spans="1:14" ht="23.25" x14ac:dyDescent="0.35">
      <c r="A102" s="892"/>
      <c r="B102" s="304" t="s">
        <v>793</v>
      </c>
      <c r="C102" s="464"/>
      <c r="D102" s="873"/>
      <c r="E102" s="25"/>
      <c r="F102" s="25"/>
      <c r="G102" s="25"/>
      <c r="H102" s="25"/>
      <c r="I102" s="25"/>
      <c r="J102" s="25"/>
      <c r="K102" s="25"/>
      <c r="L102" s="25"/>
      <c r="M102" s="25"/>
      <c r="N102" s="25"/>
    </row>
    <row r="103" spans="1:14" ht="23.25" x14ac:dyDescent="0.35">
      <c r="A103" s="892"/>
      <c r="B103" s="304" t="s">
        <v>794</v>
      </c>
      <c r="C103" s="464"/>
      <c r="D103" s="873"/>
      <c r="E103" s="25"/>
      <c r="F103" s="25"/>
      <c r="G103" s="25"/>
      <c r="H103" s="25"/>
      <c r="I103" s="25"/>
      <c r="J103" s="25"/>
      <c r="K103" s="25"/>
      <c r="L103" s="25"/>
      <c r="M103" s="25"/>
      <c r="N103" s="25"/>
    </row>
    <row r="104" spans="1:14" ht="23.25" x14ac:dyDescent="0.35">
      <c r="A104" s="892"/>
      <c r="B104" s="304" t="s">
        <v>795</v>
      </c>
      <c r="C104" s="464"/>
      <c r="D104" s="873"/>
      <c r="E104" s="25"/>
      <c r="F104" s="25"/>
      <c r="G104" s="25"/>
      <c r="H104" s="25"/>
      <c r="I104" s="25"/>
      <c r="J104" s="25"/>
      <c r="K104" s="25"/>
      <c r="L104" s="25"/>
      <c r="M104" s="25"/>
      <c r="N104" s="25"/>
    </row>
    <row r="105" spans="1:14" ht="23.25" x14ac:dyDescent="0.35">
      <c r="A105" s="892"/>
      <c r="B105" s="304" t="s">
        <v>796</v>
      </c>
      <c r="C105" s="464"/>
      <c r="D105" s="873"/>
      <c r="E105" s="25"/>
      <c r="F105" s="25"/>
      <c r="G105" s="25"/>
      <c r="H105" s="25"/>
      <c r="I105" s="25"/>
      <c r="J105" s="25"/>
      <c r="K105" s="25"/>
      <c r="L105" s="25"/>
      <c r="M105" s="25"/>
      <c r="N105" s="25"/>
    </row>
    <row r="106" spans="1:14" ht="23.25" x14ac:dyDescent="0.35">
      <c r="A106" s="896"/>
      <c r="B106" s="304" t="s">
        <v>726</v>
      </c>
      <c r="C106" s="464">
        <v>36133</v>
      </c>
      <c r="D106" s="873"/>
      <c r="E106" s="27" t="s">
        <v>845</v>
      </c>
      <c r="F106" s="25"/>
      <c r="G106" s="25"/>
      <c r="H106" s="25"/>
      <c r="I106" s="25"/>
      <c r="J106" s="25"/>
      <c r="K106" s="25"/>
      <c r="L106" s="25"/>
      <c r="M106" s="25"/>
      <c r="N106" s="25"/>
    </row>
    <row r="107" spans="1:14" ht="23.25" x14ac:dyDescent="0.35">
      <c r="A107" s="885" t="s">
        <v>57</v>
      </c>
      <c r="B107" s="885"/>
      <c r="C107" s="127">
        <f>SUM(C99:C106)</f>
        <v>326636</v>
      </c>
      <c r="D107" s="134"/>
      <c r="E107" s="27">
        <f>+C107</f>
        <v>326636</v>
      </c>
      <c r="F107" s="25" t="s">
        <v>730</v>
      </c>
      <c r="G107" s="25"/>
      <c r="H107" s="25"/>
      <c r="I107" s="25"/>
      <c r="J107" s="25"/>
      <c r="K107" s="25"/>
      <c r="L107" s="25"/>
      <c r="M107" s="25"/>
      <c r="N107" s="25"/>
    </row>
    <row r="108" spans="1:14" ht="23.25" x14ac:dyDescent="0.35">
      <c r="A108" s="594"/>
      <c r="B108" s="143" t="s">
        <v>411</v>
      </c>
      <c r="C108" s="557"/>
      <c r="D108" s="474"/>
      <c r="E108" s="27"/>
      <c r="F108" s="25"/>
      <c r="G108" s="25"/>
      <c r="H108" s="25"/>
      <c r="I108" s="25"/>
      <c r="J108" s="25"/>
      <c r="K108" s="25"/>
      <c r="L108" s="25"/>
      <c r="M108" s="25"/>
      <c r="N108" s="25"/>
    </row>
    <row r="109" spans="1:14" ht="23.25" x14ac:dyDescent="0.35">
      <c r="A109" s="144"/>
      <c r="B109" s="143" t="s">
        <v>58</v>
      </c>
      <c r="C109" s="156">
        <v>0</v>
      </c>
      <c r="D109" s="134"/>
      <c r="E109" s="25"/>
      <c r="F109" s="25"/>
      <c r="G109" s="25"/>
      <c r="H109" s="25"/>
      <c r="I109" s="25"/>
      <c r="J109" s="25"/>
      <c r="K109" s="25"/>
      <c r="L109" s="25"/>
      <c r="M109" s="25"/>
      <c r="N109" s="25"/>
    </row>
    <row r="110" spans="1:14" ht="23.25" x14ac:dyDescent="0.35">
      <c r="A110" s="897" t="s">
        <v>805</v>
      </c>
      <c r="B110" s="898"/>
      <c r="C110" s="899"/>
      <c r="D110" s="134"/>
      <c r="E110" s="25"/>
      <c r="F110" s="25"/>
      <c r="G110" s="25"/>
      <c r="H110" s="25"/>
      <c r="I110" s="25"/>
      <c r="J110" s="25"/>
      <c r="K110" s="25"/>
      <c r="L110" s="25"/>
      <c r="M110" s="25"/>
      <c r="N110" s="25"/>
    </row>
    <row r="111" spans="1:14" ht="47.25" customHeight="1" x14ac:dyDescent="0.35">
      <c r="A111" s="892" t="s">
        <v>55</v>
      </c>
      <c r="B111" s="592" t="s">
        <v>724</v>
      </c>
      <c r="C111" s="589">
        <f>241805+64232</f>
        <v>306037</v>
      </c>
      <c r="D111" s="920" t="s">
        <v>929</v>
      </c>
      <c r="E111" s="25"/>
      <c r="F111" s="25"/>
      <c r="G111" s="25"/>
      <c r="H111" s="25"/>
      <c r="I111" s="25"/>
      <c r="J111" s="25"/>
      <c r="K111" s="25"/>
      <c r="L111" s="25"/>
      <c r="M111" s="25"/>
      <c r="N111" s="25"/>
    </row>
    <row r="112" spans="1:14" ht="47.25" customHeight="1" x14ac:dyDescent="0.35">
      <c r="A112" s="892"/>
      <c r="B112" s="304" t="s">
        <v>796</v>
      </c>
      <c r="C112" s="589">
        <f>1800+486+7200+1944+9000+2430</f>
        <v>22860</v>
      </c>
      <c r="D112" s="864"/>
      <c r="E112" s="25" t="s">
        <v>932</v>
      </c>
      <c r="F112" s="25"/>
      <c r="G112" s="25"/>
      <c r="H112" s="25"/>
      <c r="I112" s="25"/>
      <c r="J112" s="25"/>
      <c r="K112" s="25"/>
      <c r="L112" s="25"/>
      <c r="M112" s="25"/>
      <c r="N112" s="25"/>
    </row>
    <row r="113" spans="1:14" ht="23.25" x14ac:dyDescent="0.35">
      <c r="A113" s="885" t="s">
        <v>807</v>
      </c>
      <c r="B113" s="885"/>
      <c r="C113" s="557">
        <f>SUM(C111:C112)</f>
        <v>328897</v>
      </c>
      <c r="D113" s="474"/>
      <c r="E113" s="27">
        <f>+C113</f>
        <v>328897</v>
      </c>
      <c r="F113" s="25" t="s">
        <v>730</v>
      </c>
      <c r="G113" s="25"/>
      <c r="H113" s="25"/>
      <c r="I113" s="25"/>
      <c r="J113" s="25"/>
      <c r="K113" s="25"/>
      <c r="L113" s="25"/>
      <c r="M113" s="25"/>
      <c r="N113" s="25"/>
    </row>
    <row r="114" spans="1:14" ht="23.25" x14ac:dyDescent="0.35">
      <c r="A114" s="868" t="s">
        <v>895</v>
      </c>
      <c r="B114" s="868"/>
      <c r="C114" s="551">
        <f>+C107+C113+C109</f>
        <v>655533</v>
      </c>
      <c r="D114" s="531"/>
      <c r="E114" s="25"/>
      <c r="F114" s="25"/>
      <c r="G114" s="25"/>
      <c r="H114" s="25"/>
      <c r="I114" s="25"/>
      <c r="J114" s="25"/>
      <c r="K114" s="25"/>
      <c r="L114" s="25"/>
      <c r="M114" s="25"/>
      <c r="N114" s="25"/>
    </row>
    <row r="115" spans="1:14" ht="23.25" x14ac:dyDescent="0.35">
      <c r="A115" s="559"/>
      <c r="B115" s="558"/>
      <c r="C115" s="558"/>
      <c r="D115" s="558"/>
      <c r="E115" s="25"/>
      <c r="F115" s="25"/>
      <c r="G115" s="25"/>
      <c r="H115" s="25"/>
      <c r="I115" s="25"/>
      <c r="J115" s="25"/>
      <c r="K115" s="25"/>
      <c r="L115" s="25"/>
      <c r="M115" s="25"/>
      <c r="N115" s="25"/>
    </row>
    <row r="116" spans="1:14" s="71" customFormat="1" ht="23.25" x14ac:dyDescent="0.35">
      <c r="A116" s="68"/>
      <c r="B116" s="69" t="s">
        <v>13</v>
      </c>
      <c r="C116" s="70"/>
      <c r="D116" s="147"/>
      <c r="E116" s="68"/>
      <c r="F116" s="25"/>
      <c r="G116" s="25"/>
      <c r="H116" s="68"/>
      <c r="I116" s="68"/>
      <c r="J116" s="68"/>
      <c r="K116" s="68"/>
      <c r="L116" s="68"/>
      <c r="M116" s="68"/>
      <c r="N116" s="68"/>
    </row>
    <row r="117" spans="1:14" ht="23.25" x14ac:dyDescent="0.35">
      <c r="A117" s="135"/>
      <c r="B117" s="162" t="s">
        <v>52</v>
      </c>
      <c r="C117" s="163"/>
      <c r="D117" s="135"/>
      <c r="E117" s="25"/>
      <c r="F117" s="25"/>
      <c r="G117" s="25"/>
      <c r="H117" s="25"/>
      <c r="I117" s="25"/>
      <c r="J117" s="25"/>
      <c r="K117" s="25"/>
      <c r="L117" s="25"/>
      <c r="M117" s="25"/>
      <c r="N117" s="25"/>
    </row>
    <row r="118" spans="1:14" ht="23.25" x14ac:dyDescent="0.35">
      <c r="A118" s="925" t="s">
        <v>55</v>
      </c>
      <c r="B118" s="72" t="s">
        <v>952</v>
      </c>
      <c r="C118" s="129">
        <f>28189+7611</f>
        <v>35800</v>
      </c>
      <c r="D118" s="872" t="s">
        <v>929</v>
      </c>
      <c r="E118" s="25"/>
      <c r="F118" s="25"/>
      <c r="G118" s="25"/>
      <c r="H118" s="25"/>
      <c r="I118" s="25"/>
      <c r="J118" s="25"/>
      <c r="K118" s="25"/>
      <c r="L118" s="25"/>
      <c r="M118" s="25"/>
      <c r="N118" s="25"/>
    </row>
    <row r="119" spans="1:14" ht="23.25" x14ac:dyDescent="0.35">
      <c r="A119" s="925"/>
      <c r="B119" s="31" t="s">
        <v>726</v>
      </c>
      <c r="C119" s="129">
        <v>126542</v>
      </c>
      <c r="D119" s="866"/>
      <c r="E119" s="25"/>
      <c r="F119" s="25"/>
      <c r="G119" s="25"/>
      <c r="H119" s="25"/>
      <c r="I119" s="25"/>
      <c r="J119" s="25"/>
      <c r="K119" s="25"/>
      <c r="L119" s="25"/>
      <c r="M119" s="25"/>
      <c r="N119" s="25"/>
    </row>
    <row r="120" spans="1:14" ht="23.25" x14ac:dyDescent="0.35">
      <c r="A120" s="925"/>
      <c r="B120" s="31" t="s">
        <v>812</v>
      </c>
      <c r="C120" s="129">
        <v>518632</v>
      </c>
      <c r="D120" s="866"/>
      <c r="E120" s="25"/>
      <c r="F120" s="25"/>
      <c r="G120" s="25"/>
      <c r="H120" s="25"/>
      <c r="I120" s="25"/>
      <c r="J120" s="25"/>
      <c r="K120" s="25"/>
      <c r="L120" s="25"/>
      <c r="M120" s="25"/>
      <c r="N120" s="25"/>
    </row>
    <row r="121" spans="1:14" ht="23.25" x14ac:dyDescent="0.35">
      <c r="A121" s="925"/>
      <c r="B121" s="31" t="s">
        <v>808</v>
      </c>
      <c r="C121" s="129">
        <f>47346+7758+47845</f>
        <v>102949</v>
      </c>
      <c r="D121" s="866"/>
      <c r="E121" s="25"/>
      <c r="F121" s="25"/>
      <c r="G121" s="25"/>
      <c r="H121" s="25"/>
      <c r="I121" s="25"/>
      <c r="J121" s="25"/>
      <c r="K121" s="25"/>
      <c r="L121" s="25"/>
      <c r="M121" s="25"/>
      <c r="N121" s="25"/>
    </row>
    <row r="122" spans="1:14" ht="23.25" x14ac:dyDescent="0.35">
      <c r="A122" s="925"/>
      <c r="B122" s="31" t="s">
        <v>728</v>
      </c>
      <c r="C122" s="129">
        <f>113652+112784</f>
        <v>226436</v>
      </c>
      <c r="D122" s="866"/>
      <c r="E122" s="25"/>
      <c r="F122" s="25"/>
      <c r="G122" s="25"/>
      <c r="H122" s="25"/>
      <c r="I122" s="25"/>
      <c r="J122" s="25"/>
      <c r="K122" s="25"/>
      <c r="L122" s="25"/>
      <c r="M122" s="25"/>
      <c r="N122" s="25"/>
    </row>
    <row r="123" spans="1:14" ht="23.25" x14ac:dyDescent="0.35">
      <c r="A123" s="925"/>
      <c r="B123" s="31" t="s">
        <v>953</v>
      </c>
      <c r="C123" s="129">
        <v>236982</v>
      </c>
      <c r="D123" s="866"/>
      <c r="E123" s="29"/>
      <c r="F123" s="25"/>
      <c r="G123" s="25"/>
      <c r="H123" s="25"/>
      <c r="I123" s="25"/>
      <c r="J123" s="25"/>
      <c r="K123" s="25"/>
      <c r="L123" s="25"/>
      <c r="M123" s="25"/>
      <c r="N123" s="25"/>
    </row>
    <row r="124" spans="1:14" ht="23.25" x14ac:dyDescent="0.35">
      <c r="A124" s="925"/>
      <c r="B124" s="31" t="s">
        <v>813</v>
      </c>
      <c r="C124" s="129">
        <v>54229</v>
      </c>
      <c r="D124" s="866"/>
      <c r="E124" s="29"/>
      <c r="F124" s="25"/>
      <c r="G124" s="25"/>
      <c r="H124" s="25"/>
      <c r="I124" s="25"/>
      <c r="J124" s="25"/>
      <c r="K124" s="25"/>
      <c r="L124" s="25"/>
      <c r="M124" s="25"/>
      <c r="N124" s="25"/>
    </row>
    <row r="125" spans="1:14" ht="23.25" x14ac:dyDescent="0.35">
      <c r="A125" s="925"/>
      <c r="B125" s="314" t="s">
        <v>724</v>
      </c>
      <c r="C125" s="129">
        <f>26953+52085</f>
        <v>79038</v>
      </c>
      <c r="D125" s="866"/>
      <c r="E125" s="29"/>
      <c r="F125" s="25"/>
      <c r="G125" s="25"/>
      <c r="H125" s="25"/>
      <c r="I125" s="25"/>
      <c r="J125" s="25"/>
      <c r="K125" s="25"/>
      <c r="L125" s="25"/>
      <c r="M125" s="25"/>
      <c r="N125" s="25"/>
    </row>
    <row r="126" spans="1:14" ht="23.25" x14ac:dyDescent="0.35">
      <c r="A126" s="925"/>
      <c r="B126" s="31" t="s">
        <v>803</v>
      </c>
      <c r="C126" s="129">
        <v>3924</v>
      </c>
      <c r="D126" s="866"/>
      <c r="E126" s="29"/>
      <c r="F126" s="25"/>
      <c r="G126" s="25"/>
      <c r="H126" s="25"/>
      <c r="I126" s="25"/>
      <c r="J126" s="25"/>
      <c r="K126" s="25"/>
      <c r="L126" s="25"/>
      <c r="M126" s="25"/>
      <c r="N126" s="25"/>
    </row>
    <row r="127" spans="1:14" ht="23.25" x14ac:dyDescent="0.35">
      <c r="A127" s="925"/>
      <c r="B127" s="31" t="s">
        <v>954</v>
      </c>
      <c r="C127" s="129">
        <v>120650</v>
      </c>
      <c r="D127" s="866"/>
      <c r="E127" s="29"/>
      <c r="F127" s="25"/>
      <c r="G127" s="25"/>
      <c r="H127" s="25"/>
      <c r="I127" s="25"/>
      <c r="J127" s="25"/>
      <c r="K127" s="25"/>
      <c r="L127" s="25"/>
      <c r="M127" s="25"/>
      <c r="N127" s="25"/>
    </row>
    <row r="128" spans="1:14" ht="23.25" x14ac:dyDescent="0.35">
      <c r="A128" s="926"/>
      <c r="B128" s="463" t="s">
        <v>725</v>
      </c>
      <c r="C128" s="464">
        <v>4515</v>
      </c>
      <c r="D128" s="866"/>
      <c r="E128" s="29"/>
      <c r="F128" s="25"/>
      <c r="G128" s="25"/>
      <c r="H128" s="25"/>
      <c r="I128" s="25"/>
      <c r="J128" s="25"/>
      <c r="K128" s="25"/>
      <c r="L128" s="25"/>
      <c r="M128" s="25"/>
      <c r="N128" s="25"/>
    </row>
    <row r="129" spans="1:14" ht="23.25" x14ac:dyDescent="0.35">
      <c r="A129" s="926"/>
      <c r="B129" s="463" t="s">
        <v>955</v>
      </c>
      <c r="C129" s="464">
        <v>19050</v>
      </c>
      <c r="D129" s="866"/>
      <c r="E129" s="29"/>
      <c r="F129" s="25"/>
      <c r="G129" s="25"/>
      <c r="H129" s="25"/>
      <c r="I129" s="25"/>
      <c r="J129" s="25"/>
      <c r="K129" s="25"/>
      <c r="L129" s="25"/>
      <c r="M129" s="25"/>
      <c r="N129" s="25"/>
    </row>
    <row r="130" spans="1:14" ht="23.25" x14ac:dyDescent="0.35">
      <c r="A130" s="926"/>
      <c r="B130" s="463" t="s">
        <v>798</v>
      </c>
      <c r="C130" s="464">
        <v>69160</v>
      </c>
      <c r="D130" s="866"/>
      <c r="E130" s="29"/>
      <c r="F130" s="25"/>
      <c r="G130" s="25"/>
      <c r="H130" s="25"/>
      <c r="I130" s="25"/>
      <c r="J130" s="25"/>
      <c r="K130" s="25"/>
      <c r="L130" s="25"/>
      <c r="M130" s="25"/>
      <c r="N130" s="25"/>
    </row>
    <row r="131" spans="1:14" ht="23.25" x14ac:dyDescent="0.35">
      <c r="A131" s="926"/>
      <c r="B131" s="463" t="s">
        <v>814</v>
      </c>
      <c r="C131" s="464">
        <v>10926910</v>
      </c>
      <c r="D131" s="866"/>
      <c r="E131" s="29"/>
      <c r="F131" s="25"/>
      <c r="G131" s="25"/>
      <c r="H131" s="25"/>
      <c r="I131" s="25"/>
      <c r="J131" s="25"/>
      <c r="K131" s="25"/>
      <c r="L131" s="25"/>
      <c r="M131" s="25"/>
      <c r="N131" s="25"/>
    </row>
    <row r="132" spans="1:14" ht="23.25" x14ac:dyDescent="0.35">
      <c r="A132" s="926"/>
      <c r="B132" s="463" t="s">
        <v>815</v>
      </c>
      <c r="C132" s="464">
        <v>120000</v>
      </c>
      <c r="D132" s="866"/>
      <c r="E132" s="29" t="s">
        <v>956</v>
      </c>
      <c r="F132" s="25"/>
      <c r="G132" s="25"/>
      <c r="H132" s="25"/>
      <c r="I132" s="25"/>
      <c r="J132" s="25"/>
      <c r="K132" s="25"/>
      <c r="L132" s="25"/>
      <c r="M132" s="25"/>
      <c r="N132" s="25"/>
    </row>
    <row r="133" spans="1:14" ht="23.25" x14ac:dyDescent="0.35">
      <c r="A133" s="885" t="s">
        <v>57</v>
      </c>
      <c r="B133" s="885"/>
      <c r="C133" s="127">
        <f>SUM(C118:C132)</f>
        <v>12644817</v>
      </c>
      <c r="D133" s="134"/>
      <c r="E133" s="27">
        <f>+C133</f>
        <v>12644817</v>
      </c>
      <c r="F133" s="25" t="s">
        <v>831</v>
      </c>
      <c r="G133" s="25"/>
      <c r="H133" s="25"/>
      <c r="I133" s="25"/>
      <c r="J133" s="25"/>
      <c r="K133" s="25"/>
      <c r="L133" s="25"/>
      <c r="M133" s="25"/>
      <c r="N133" s="25"/>
    </row>
    <row r="134" spans="1:14" ht="23.25" x14ac:dyDescent="0.35">
      <c r="A134" s="141"/>
      <c r="B134" s="143" t="s">
        <v>411</v>
      </c>
      <c r="C134" s="157">
        <v>0</v>
      </c>
      <c r="D134" s="136"/>
      <c r="E134" s="25"/>
      <c r="F134" s="25"/>
      <c r="G134" s="25"/>
      <c r="H134" s="25"/>
      <c r="I134" s="25"/>
      <c r="J134" s="25"/>
      <c r="K134" s="25"/>
      <c r="L134" s="25"/>
      <c r="M134" s="25"/>
      <c r="N134" s="25"/>
    </row>
    <row r="135" spans="1:14" ht="23.25" x14ac:dyDescent="0.35">
      <c r="A135" s="144"/>
      <c r="B135" s="143" t="s">
        <v>58</v>
      </c>
      <c r="C135" s="157">
        <v>0</v>
      </c>
      <c r="D135" s="133"/>
      <c r="E135" s="25"/>
      <c r="F135" s="25"/>
      <c r="G135" s="25"/>
      <c r="H135" s="25"/>
      <c r="I135" s="25"/>
      <c r="J135" s="25"/>
      <c r="K135" s="25"/>
      <c r="L135" s="25"/>
      <c r="M135" s="25"/>
      <c r="N135" s="25"/>
    </row>
    <row r="136" spans="1:14" ht="23.25" x14ac:dyDescent="0.35">
      <c r="A136" s="897" t="s">
        <v>805</v>
      </c>
      <c r="B136" s="898"/>
      <c r="C136" s="899"/>
      <c r="D136" s="136"/>
      <c r="E136" s="25"/>
      <c r="F136" s="25"/>
      <c r="G136" s="25"/>
      <c r="H136" s="25"/>
      <c r="I136" s="25"/>
      <c r="J136" s="25"/>
      <c r="K136" s="25"/>
      <c r="L136" s="25"/>
      <c r="M136" s="25"/>
      <c r="N136" s="25"/>
    </row>
    <row r="137" spans="1:14" ht="23.25" x14ac:dyDescent="0.35">
      <c r="A137" s="917" t="s">
        <v>55</v>
      </c>
      <c r="B137" s="463" t="s">
        <v>791</v>
      </c>
      <c r="C137" s="469">
        <f>32716+8839+2044+551+4090+1106+4088+1103+18398+4965+6134+1657+6678+1798+926+251+926+250</f>
        <v>96520</v>
      </c>
      <c r="D137" s="869" t="s">
        <v>929</v>
      </c>
      <c r="E137" s="25"/>
      <c r="F137" s="25"/>
      <c r="G137" s="25"/>
      <c r="H137" s="25"/>
      <c r="I137" s="25"/>
      <c r="J137" s="25"/>
      <c r="K137" s="25"/>
      <c r="L137" s="25"/>
      <c r="M137" s="25"/>
      <c r="N137" s="25"/>
    </row>
    <row r="138" spans="1:14" ht="23.25" x14ac:dyDescent="0.35">
      <c r="A138" s="918"/>
      <c r="B138" s="31" t="s">
        <v>812</v>
      </c>
      <c r="C138" s="473">
        <f>442331+119429+970577+262056</f>
        <v>1794393</v>
      </c>
      <c r="D138" s="870"/>
      <c r="E138" s="25"/>
      <c r="F138" s="25"/>
      <c r="G138" s="25"/>
      <c r="H138" s="25"/>
      <c r="I138" s="25"/>
      <c r="J138" s="25"/>
      <c r="K138" s="25"/>
      <c r="L138" s="25"/>
      <c r="M138" s="25"/>
      <c r="N138" s="25"/>
    </row>
    <row r="139" spans="1:14" ht="23.25" x14ac:dyDescent="0.35">
      <c r="A139" s="918"/>
      <c r="B139" s="72" t="s">
        <v>957</v>
      </c>
      <c r="C139" s="473">
        <f>96000+25920</f>
        <v>121920</v>
      </c>
      <c r="D139" s="870"/>
      <c r="E139" s="25"/>
      <c r="F139" s="25"/>
      <c r="G139" s="25"/>
      <c r="H139" s="25"/>
      <c r="I139" s="25"/>
      <c r="J139" s="25"/>
      <c r="K139" s="25"/>
      <c r="L139" s="25"/>
      <c r="M139" s="25"/>
      <c r="N139" s="25"/>
    </row>
    <row r="140" spans="1:14" ht="23.25" x14ac:dyDescent="0.35">
      <c r="A140" s="918"/>
      <c r="B140" s="472" t="s">
        <v>816</v>
      </c>
      <c r="C140" s="473">
        <f>33535+9058+31357+8467</f>
        <v>82417</v>
      </c>
      <c r="D140" s="870"/>
      <c r="E140" s="25"/>
      <c r="F140" s="25"/>
      <c r="G140" s="25"/>
      <c r="H140" s="25"/>
      <c r="I140" s="25"/>
      <c r="J140" s="25"/>
      <c r="K140" s="25"/>
      <c r="L140" s="25"/>
      <c r="M140" s="25"/>
      <c r="N140" s="25"/>
    </row>
    <row r="141" spans="1:14" ht="23.25" x14ac:dyDescent="0.35">
      <c r="A141" s="918"/>
      <c r="B141" s="472" t="s">
        <v>958</v>
      </c>
      <c r="C141" s="473">
        <f>507636+180000+169212</f>
        <v>856848</v>
      </c>
      <c r="D141" s="870"/>
      <c r="E141" s="25" t="s">
        <v>959</v>
      </c>
      <c r="F141" s="25"/>
      <c r="G141" s="25"/>
      <c r="H141" s="25"/>
      <c r="I141" s="25"/>
      <c r="J141" s="25"/>
      <c r="K141" s="25"/>
      <c r="L141" s="25"/>
      <c r="M141" s="25"/>
      <c r="N141" s="25"/>
    </row>
    <row r="142" spans="1:14" ht="23.25" x14ac:dyDescent="0.35">
      <c r="A142" s="885" t="s">
        <v>807</v>
      </c>
      <c r="B142" s="885"/>
      <c r="C142" s="471">
        <f>SUM(C137:C141)</f>
        <v>2952098</v>
      </c>
      <c r="D142" s="470"/>
      <c r="E142" s="27">
        <f>+C142</f>
        <v>2952098</v>
      </c>
      <c r="F142" s="25" t="s">
        <v>831</v>
      </c>
      <c r="G142" s="25"/>
      <c r="H142" s="25"/>
      <c r="I142" s="25"/>
      <c r="J142" s="25"/>
      <c r="K142" s="25"/>
      <c r="L142" s="25"/>
      <c r="M142" s="25"/>
      <c r="N142" s="25"/>
    </row>
    <row r="143" spans="1:14" ht="23.25" x14ac:dyDescent="0.35">
      <c r="A143" s="868" t="s">
        <v>896</v>
      </c>
      <c r="B143" s="868"/>
      <c r="C143" s="560">
        <f>+C133+C134+C135+C142</f>
        <v>15596915</v>
      </c>
      <c r="D143" s="561"/>
      <c r="E143" s="25"/>
      <c r="F143" s="25"/>
      <c r="G143" s="25"/>
      <c r="H143" s="25"/>
      <c r="I143" s="25"/>
      <c r="J143" s="25"/>
      <c r="K143" s="25"/>
      <c r="L143" s="25"/>
      <c r="M143" s="25"/>
      <c r="N143" s="25"/>
    </row>
    <row r="144" spans="1:14" ht="23.25" x14ac:dyDescent="0.35">
      <c r="A144" s="556"/>
      <c r="B144" s="556"/>
      <c r="C144" s="562"/>
      <c r="D144" s="559"/>
      <c r="E144" s="25"/>
      <c r="F144" s="25"/>
      <c r="G144" s="25"/>
      <c r="H144" s="25"/>
      <c r="I144" s="25"/>
      <c r="J144" s="25"/>
      <c r="K144" s="25"/>
      <c r="L144" s="25"/>
      <c r="M144" s="25"/>
      <c r="N144" s="25"/>
    </row>
    <row r="145" spans="1:14" s="76" customFormat="1" ht="23.25" x14ac:dyDescent="0.35">
      <c r="A145" s="73"/>
      <c r="B145" s="74" t="s">
        <v>14</v>
      </c>
      <c r="C145" s="75"/>
      <c r="D145" s="148"/>
      <c r="E145" s="73"/>
      <c r="F145" s="25"/>
      <c r="G145" s="25"/>
      <c r="H145" s="73"/>
      <c r="I145" s="73"/>
      <c r="J145" s="73"/>
      <c r="K145" s="73"/>
      <c r="L145" s="73"/>
      <c r="M145" s="73"/>
      <c r="N145" s="73"/>
    </row>
    <row r="146" spans="1:14" ht="23.25" x14ac:dyDescent="0.35">
      <c r="A146" s="135"/>
      <c r="B146" s="162" t="s">
        <v>52</v>
      </c>
      <c r="C146" s="164"/>
      <c r="D146" s="164"/>
      <c r="E146" s="25"/>
      <c r="F146" s="25"/>
      <c r="G146" s="25"/>
      <c r="H146" s="25"/>
      <c r="I146" s="25"/>
      <c r="J146" s="25"/>
      <c r="K146" s="25"/>
      <c r="L146" s="25"/>
      <c r="M146" s="25"/>
      <c r="N146" s="25"/>
    </row>
    <row r="147" spans="1:14" ht="23.25" x14ac:dyDescent="0.35">
      <c r="A147" s="917" t="s">
        <v>55</v>
      </c>
      <c r="B147" s="31" t="s">
        <v>939</v>
      </c>
      <c r="C147" s="129">
        <f>6371+1143+376</f>
        <v>7890</v>
      </c>
      <c r="D147" s="869" t="s">
        <v>929</v>
      </c>
      <c r="E147" s="25"/>
      <c r="F147" s="68"/>
      <c r="G147" s="68"/>
      <c r="H147" s="25"/>
      <c r="I147" s="25"/>
      <c r="J147" s="25"/>
      <c r="K147" s="25"/>
      <c r="L147" s="25"/>
      <c r="M147" s="25"/>
      <c r="N147" s="25"/>
    </row>
    <row r="148" spans="1:14" ht="23.25" x14ac:dyDescent="0.35">
      <c r="A148" s="918"/>
      <c r="B148" s="31" t="s">
        <v>940</v>
      </c>
      <c r="C148" s="129">
        <v>30000</v>
      </c>
      <c r="D148" s="870"/>
      <c r="E148" s="27"/>
      <c r="F148" s="25"/>
      <c r="G148" s="25"/>
      <c r="H148" s="25"/>
      <c r="I148" s="25"/>
      <c r="J148" s="25"/>
      <c r="K148" s="25"/>
      <c r="L148" s="25"/>
      <c r="M148" s="25"/>
      <c r="N148" s="25"/>
    </row>
    <row r="149" spans="1:14" ht="23.25" x14ac:dyDescent="0.35">
      <c r="A149" s="918"/>
      <c r="B149" s="31" t="s">
        <v>934</v>
      </c>
      <c r="C149" s="129">
        <f>109173+29477</f>
        <v>138650</v>
      </c>
      <c r="D149" s="870"/>
      <c r="E149" s="25"/>
      <c r="F149" s="25"/>
      <c r="G149" s="25"/>
      <c r="H149" s="25"/>
      <c r="I149" s="25"/>
      <c r="J149" s="25"/>
      <c r="K149" s="25"/>
      <c r="L149" s="25"/>
      <c r="M149" s="25"/>
      <c r="N149" s="25"/>
    </row>
    <row r="150" spans="1:14" ht="23.25" x14ac:dyDescent="0.35">
      <c r="A150" s="919"/>
      <c r="B150" s="463" t="s">
        <v>804</v>
      </c>
      <c r="C150" s="464">
        <f>130330+35189+60074+16220</f>
        <v>241813</v>
      </c>
      <c r="D150" s="871"/>
      <c r="E150" s="25"/>
      <c r="F150" s="25"/>
      <c r="G150" s="25"/>
      <c r="H150" s="25"/>
      <c r="I150" s="25"/>
      <c r="J150" s="25"/>
      <c r="K150" s="25"/>
      <c r="L150" s="25"/>
      <c r="M150" s="25"/>
      <c r="N150" s="25"/>
    </row>
    <row r="151" spans="1:14" ht="23.25" x14ac:dyDescent="0.35">
      <c r="A151" s="919"/>
      <c r="B151" s="463" t="s">
        <v>728</v>
      </c>
      <c r="C151" s="464">
        <f>79591+78836+78102+21490+21286+21088</f>
        <v>300393</v>
      </c>
      <c r="D151" s="871"/>
      <c r="E151" s="25"/>
      <c r="F151" s="25"/>
      <c r="G151" s="25"/>
      <c r="H151" s="25"/>
      <c r="I151" s="25"/>
      <c r="J151" s="25"/>
      <c r="K151" s="25"/>
      <c r="L151" s="25"/>
      <c r="M151" s="25"/>
      <c r="N151" s="25"/>
    </row>
    <row r="152" spans="1:14" ht="23.25" x14ac:dyDescent="0.35">
      <c r="A152" s="918"/>
      <c r="B152" s="31" t="s">
        <v>798</v>
      </c>
      <c r="C152" s="129">
        <f>6099+1587</f>
        <v>7686</v>
      </c>
      <c r="D152" s="870"/>
      <c r="E152" s="27" t="s">
        <v>846</v>
      </c>
      <c r="F152" s="25"/>
      <c r="G152" s="25"/>
      <c r="H152" s="25"/>
      <c r="I152" s="25"/>
      <c r="J152" s="25"/>
      <c r="K152" s="25"/>
      <c r="L152" s="25"/>
      <c r="M152" s="25"/>
      <c r="N152" s="25"/>
    </row>
    <row r="153" spans="1:14" ht="23.25" x14ac:dyDescent="0.35">
      <c r="A153" s="885" t="s">
        <v>57</v>
      </c>
      <c r="B153" s="885"/>
      <c r="C153" s="127">
        <f>SUM(C147:C152)</f>
        <v>726432</v>
      </c>
      <c r="D153" s="134"/>
      <c r="E153" s="27">
        <f>+C153</f>
        <v>726432</v>
      </c>
      <c r="F153" s="25" t="s">
        <v>831</v>
      </c>
      <c r="G153" s="25"/>
      <c r="H153" s="25"/>
      <c r="I153" s="25"/>
      <c r="J153" s="25"/>
      <c r="K153" s="25"/>
      <c r="L153" s="25"/>
      <c r="M153" s="25"/>
      <c r="N153" s="25"/>
    </row>
    <row r="154" spans="1:14" ht="23.25" x14ac:dyDescent="0.35">
      <c r="A154" s="463"/>
      <c r="B154" s="143" t="s">
        <v>411</v>
      </c>
      <c r="C154" s="158">
        <v>0</v>
      </c>
      <c r="D154" s="137"/>
      <c r="E154" s="25"/>
      <c r="F154" s="68"/>
      <c r="G154" s="68"/>
      <c r="H154" s="25"/>
      <c r="I154" s="25"/>
      <c r="J154" s="25"/>
      <c r="K154" s="25"/>
      <c r="L154" s="25"/>
      <c r="M154" s="25"/>
      <c r="N154" s="25"/>
    </row>
    <row r="155" spans="1:14" ht="23.25" x14ac:dyDescent="0.35">
      <c r="A155" s="463"/>
      <c r="B155" s="143" t="s">
        <v>58</v>
      </c>
      <c r="C155" s="467"/>
      <c r="D155" s="468"/>
      <c r="E155" s="25"/>
      <c r="F155" s="68"/>
      <c r="G155" s="68"/>
      <c r="H155" s="25"/>
      <c r="I155" s="25"/>
      <c r="J155" s="25"/>
      <c r="K155" s="25"/>
      <c r="L155" s="25"/>
      <c r="M155" s="25"/>
      <c r="N155" s="25"/>
    </row>
    <row r="156" spans="1:14" ht="23.25" x14ac:dyDescent="0.35">
      <c r="A156" s="897" t="s">
        <v>805</v>
      </c>
      <c r="B156" s="898"/>
      <c r="C156" s="899"/>
      <c r="D156" s="136"/>
      <c r="E156" s="25"/>
      <c r="F156" s="25"/>
      <c r="G156" s="25"/>
      <c r="H156" s="25"/>
      <c r="I156" s="25"/>
      <c r="J156" s="25"/>
      <c r="K156" s="25"/>
      <c r="L156" s="25"/>
      <c r="M156" s="25"/>
      <c r="N156" s="25"/>
    </row>
    <row r="157" spans="1:14" ht="93" x14ac:dyDescent="0.35">
      <c r="A157" s="591" t="s">
        <v>55</v>
      </c>
      <c r="B157" s="463" t="s">
        <v>791</v>
      </c>
      <c r="C157" s="469">
        <v>22860</v>
      </c>
      <c r="D157" s="590" t="s">
        <v>929</v>
      </c>
      <c r="E157" s="25" t="s">
        <v>941</v>
      </c>
      <c r="F157" s="25"/>
      <c r="G157" s="25"/>
      <c r="H157" s="25"/>
      <c r="I157" s="25"/>
      <c r="J157" s="25"/>
      <c r="K157" s="25"/>
      <c r="L157" s="25"/>
      <c r="M157" s="25"/>
      <c r="N157" s="25"/>
    </row>
    <row r="158" spans="1:14" ht="23.25" x14ac:dyDescent="0.35">
      <c r="A158" s="885" t="s">
        <v>807</v>
      </c>
      <c r="B158" s="885"/>
      <c r="C158" s="471">
        <f>SUM(C157:C157)</f>
        <v>22860</v>
      </c>
      <c r="D158" s="470"/>
      <c r="E158" s="27">
        <f>+C158</f>
        <v>22860</v>
      </c>
      <c r="F158" s="25" t="s">
        <v>831</v>
      </c>
      <c r="G158" s="25"/>
      <c r="H158" s="25"/>
      <c r="I158" s="25"/>
      <c r="J158" s="25"/>
      <c r="K158" s="25"/>
      <c r="L158" s="25"/>
      <c r="M158" s="25"/>
      <c r="N158" s="25"/>
    </row>
    <row r="159" spans="1:14" ht="23.25" x14ac:dyDescent="0.35">
      <c r="A159" s="868" t="s">
        <v>897</v>
      </c>
      <c r="B159" s="868"/>
      <c r="C159" s="563">
        <f>+C153+C154+C155+C158</f>
        <v>749292</v>
      </c>
      <c r="D159" s="564"/>
      <c r="E159" s="27"/>
      <c r="F159" s="25"/>
      <c r="G159" s="25"/>
      <c r="H159" s="25"/>
      <c r="I159" s="25"/>
      <c r="J159" s="25"/>
      <c r="K159" s="25"/>
      <c r="L159" s="25"/>
      <c r="M159" s="25"/>
      <c r="N159" s="25"/>
    </row>
    <row r="160" spans="1:14" ht="23.25" x14ac:dyDescent="0.35">
      <c r="A160" s="559"/>
      <c r="B160" s="559"/>
      <c r="C160" s="562"/>
      <c r="D160" s="559"/>
      <c r="E160" s="25"/>
      <c r="F160" s="25"/>
      <c r="G160" s="25"/>
      <c r="H160" s="25"/>
      <c r="I160" s="25"/>
      <c r="J160" s="25"/>
      <c r="K160" s="25"/>
      <c r="L160" s="25"/>
      <c r="M160" s="25"/>
      <c r="N160" s="25"/>
    </row>
    <row r="161" spans="1:14" s="71" customFormat="1" ht="23.25" x14ac:dyDescent="0.35">
      <c r="A161" s="68"/>
      <c r="B161" s="69" t="s">
        <v>11</v>
      </c>
      <c r="C161" s="70"/>
      <c r="D161" s="148"/>
      <c r="E161" s="68"/>
      <c r="F161" s="25"/>
      <c r="G161" s="25"/>
      <c r="H161" s="68"/>
      <c r="I161" s="68"/>
      <c r="J161" s="68"/>
      <c r="K161" s="68"/>
      <c r="L161" s="68"/>
      <c r="M161" s="68"/>
      <c r="N161" s="68"/>
    </row>
    <row r="162" spans="1:14" ht="23.25" x14ac:dyDescent="0.35">
      <c r="A162" s="135"/>
      <c r="B162" s="162" t="s">
        <v>52</v>
      </c>
      <c r="C162" s="163"/>
      <c r="D162" s="135"/>
      <c r="E162" s="25"/>
      <c r="F162" s="25"/>
      <c r="G162" s="25"/>
      <c r="H162" s="25"/>
      <c r="I162" s="25"/>
      <c r="J162" s="25"/>
      <c r="K162" s="25"/>
      <c r="L162" s="25"/>
      <c r="M162" s="25"/>
      <c r="N162" s="25"/>
    </row>
    <row r="163" spans="1:14" ht="23.25" x14ac:dyDescent="0.35">
      <c r="A163" s="874" t="s">
        <v>55</v>
      </c>
      <c r="B163" s="31" t="s">
        <v>947</v>
      </c>
      <c r="C163" s="129">
        <f>12874+141660+3476</f>
        <v>158010</v>
      </c>
      <c r="D163" s="872" t="s">
        <v>929</v>
      </c>
      <c r="E163" s="29"/>
      <c r="F163" s="25"/>
      <c r="G163" s="25"/>
      <c r="H163" s="25"/>
      <c r="I163" s="25"/>
      <c r="J163" s="25"/>
      <c r="K163" s="25"/>
      <c r="L163" s="25"/>
      <c r="M163" s="25"/>
      <c r="N163" s="25"/>
    </row>
    <row r="164" spans="1:14" ht="23.25" x14ac:dyDescent="0.35">
      <c r="A164" s="876"/>
      <c r="B164" s="463" t="s">
        <v>725</v>
      </c>
      <c r="C164" s="464">
        <v>258840</v>
      </c>
      <c r="D164" s="873"/>
      <c r="E164" s="25"/>
      <c r="F164" s="25"/>
      <c r="G164" s="25"/>
      <c r="H164" s="25"/>
      <c r="I164" s="25"/>
      <c r="J164" s="25"/>
      <c r="K164" s="25"/>
      <c r="L164" s="25"/>
      <c r="M164" s="25"/>
      <c r="N164" s="25"/>
    </row>
    <row r="165" spans="1:14" ht="23.25" x14ac:dyDescent="0.35">
      <c r="A165" s="876"/>
      <c r="B165" s="463" t="s">
        <v>802</v>
      </c>
      <c r="C165" s="464">
        <v>5427</v>
      </c>
      <c r="D165" s="873"/>
      <c r="E165" s="25"/>
      <c r="F165" s="25"/>
      <c r="G165" s="25"/>
      <c r="H165" s="25"/>
      <c r="I165" s="25"/>
      <c r="J165" s="25"/>
      <c r="K165" s="25"/>
      <c r="L165" s="25"/>
      <c r="M165" s="25"/>
      <c r="N165" s="25"/>
    </row>
    <row r="166" spans="1:14" ht="23.25" x14ac:dyDescent="0.35">
      <c r="A166" s="876"/>
      <c r="B166" s="463" t="s">
        <v>944</v>
      </c>
      <c r="C166" s="464">
        <v>11660</v>
      </c>
      <c r="D166" s="873"/>
      <c r="E166" s="25"/>
      <c r="F166" s="25"/>
      <c r="G166" s="25"/>
      <c r="H166" s="25"/>
      <c r="I166" s="25"/>
      <c r="J166" s="25"/>
      <c r="K166" s="25"/>
      <c r="L166" s="25"/>
      <c r="M166" s="25"/>
      <c r="N166" s="25"/>
    </row>
    <row r="167" spans="1:14" ht="23.25" x14ac:dyDescent="0.35">
      <c r="A167" s="876"/>
      <c r="B167" s="463" t="s">
        <v>934</v>
      </c>
      <c r="C167" s="464">
        <v>126406</v>
      </c>
      <c r="D167" s="873"/>
      <c r="E167" s="25"/>
      <c r="F167" s="25"/>
      <c r="G167" s="25"/>
      <c r="H167" s="25"/>
      <c r="I167" s="25"/>
      <c r="J167" s="25"/>
      <c r="K167" s="25"/>
      <c r="L167" s="25"/>
      <c r="M167" s="25"/>
      <c r="N167" s="25"/>
    </row>
    <row r="168" spans="1:14" ht="23.25" x14ac:dyDescent="0.35">
      <c r="A168" s="874"/>
      <c r="B168" s="31" t="s">
        <v>808</v>
      </c>
      <c r="C168" s="129">
        <v>41379</v>
      </c>
      <c r="D168" s="866"/>
      <c r="E168" s="25"/>
      <c r="F168" s="25"/>
      <c r="G168" s="25"/>
      <c r="H168" s="25"/>
      <c r="I168" s="25"/>
      <c r="J168" s="25"/>
      <c r="K168" s="25"/>
      <c r="L168" s="25"/>
      <c r="M168" s="25"/>
      <c r="N168" s="25"/>
    </row>
    <row r="169" spans="1:14" ht="23.25" x14ac:dyDescent="0.35">
      <c r="A169" s="876"/>
      <c r="B169" s="463" t="s">
        <v>726</v>
      </c>
      <c r="C169" s="464">
        <v>91606</v>
      </c>
      <c r="D169" s="873"/>
      <c r="E169" s="25" t="s">
        <v>847</v>
      </c>
      <c r="F169" s="25"/>
      <c r="G169" s="25"/>
      <c r="H169" s="25"/>
      <c r="I169" s="25"/>
      <c r="J169" s="25"/>
      <c r="K169" s="25"/>
      <c r="L169" s="25"/>
      <c r="M169" s="25"/>
      <c r="N169" s="25"/>
    </row>
    <row r="170" spans="1:14" ht="23.25" x14ac:dyDescent="0.35">
      <c r="A170" s="874"/>
      <c r="B170" s="31" t="s">
        <v>728</v>
      </c>
      <c r="C170" s="306">
        <v>191617</v>
      </c>
      <c r="D170" s="866"/>
      <c r="E170" s="27">
        <f>+C171</f>
        <v>884945</v>
      </c>
      <c r="F170" s="25" t="s">
        <v>831</v>
      </c>
      <c r="G170" s="25"/>
      <c r="H170" s="25"/>
      <c r="I170" s="25"/>
      <c r="J170" s="25"/>
      <c r="K170" s="25"/>
      <c r="L170" s="25"/>
      <c r="M170" s="25"/>
      <c r="N170" s="25"/>
    </row>
    <row r="171" spans="1:14" ht="23.25" x14ac:dyDescent="0.35">
      <c r="A171" s="885" t="s">
        <v>57</v>
      </c>
      <c r="B171" s="885"/>
      <c r="C171" s="127">
        <f>SUM(C163:C170)</f>
        <v>884945</v>
      </c>
      <c r="D171" s="134"/>
      <c r="E171" s="25"/>
      <c r="F171" s="25"/>
      <c r="G171" s="25"/>
      <c r="H171" s="25"/>
      <c r="I171" s="25"/>
      <c r="J171" s="25"/>
      <c r="K171" s="25"/>
      <c r="L171" s="25"/>
      <c r="M171" s="25"/>
      <c r="N171" s="25"/>
    </row>
    <row r="172" spans="1:14" ht="23.25" x14ac:dyDescent="0.35">
      <c r="A172" s="141"/>
      <c r="B172" s="30" t="s">
        <v>411</v>
      </c>
      <c r="C172" s="159">
        <v>0</v>
      </c>
      <c r="D172" s="136"/>
      <c r="E172" s="25"/>
      <c r="F172" s="25"/>
      <c r="G172" s="25"/>
      <c r="H172" s="25"/>
      <c r="I172" s="25"/>
      <c r="J172" s="25"/>
      <c r="K172" s="25"/>
      <c r="L172" s="25"/>
      <c r="M172" s="25"/>
      <c r="N172" s="25"/>
    </row>
    <row r="173" spans="1:14" ht="23.25" x14ac:dyDescent="0.35">
      <c r="A173" s="144"/>
      <c r="B173" s="30" t="s">
        <v>58</v>
      </c>
      <c r="C173" s="159">
        <v>0</v>
      </c>
      <c r="D173" s="133"/>
      <c r="E173" s="25"/>
      <c r="F173" s="25"/>
      <c r="G173" s="25"/>
      <c r="H173" s="25"/>
      <c r="I173" s="25"/>
      <c r="J173" s="25"/>
      <c r="K173" s="25"/>
      <c r="L173" s="25"/>
      <c r="M173" s="25"/>
      <c r="N173" s="25"/>
    </row>
    <row r="174" spans="1:14" ht="23.25" x14ac:dyDescent="0.35">
      <c r="A174" s="897" t="s">
        <v>805</v>
      </c>
      <c r="B174" s="898"/>
      <c r="C174" s="899"/>
      <c r="D174" s="604"/>
      <c r="E174" s="25"/>
      <c r="F174" s="25"/>
      <c r="G174" s="25"/>
      <c r="H174" s="25"/>
      <c r="I174" s="25"/>
      <c r="J174" s="25"/>
      <c r="K174" s="25"/>
      <c r="L174" s="25"/>
      <c r="M174" s="25"/>
      <c r="N174" s="25"/>
    </row>
    <row r="175" spans="1:14" ht="23.25" customHeight="1" x14ac:dyDescent="0.35">
      <c r="A175" s="602"/>
      <c r="B175" s="463" t="s">
        <v>727</v>
      </c>
      <c r="C175" s="603">
        <f>577805+156009+92114+24871+33496+9044+133986+36174</f>
        <v>1063499</v>
      </c>
      <c r="D175" s="872" t="s">
        <v>929</v>
      </c>
      <c r="E175" s="25"/>
      <c r="F175" s="25"/>
      <c r="G175" s="25"/>
      <c r="H175" s="25"/>
      <c r="I175" s="25"/>
      <c r="J175" s="25"/>
      <c r="K175" s="25"/>
      <c r="L175" s="25"/>
      <c r="M175" s="25"/>
      <c r="N175" s="25"/>
    </row>
    <row r="176" spans="1:14" ht="23.25" x14ac:dyDescent="0.35">
      <c r="A176" s="602"/>
      <c r="B176" s="463" t="s">
        <v>792</v>
      </c>
      <c r="C176" s="603">
        <v>130000</v>
      </c>
      <c r="D176" s="873"/>
      <c r="E176" s="25"/>
      <c r="F176" s="25"/>
      <c r="G176" s="25"/>
      <c r="H176" s="25"/>
      <c r="I176" s="25"/>
      <c r="J176" s="25"/>
      <c r="K176" s="25"/>
      <c r="L176" s="25"/>
      <c r="M176" s="25"/>
      <c r="N176" s="25"/>
    </row>
    <row r="177" spans="1:14" ht="23.25" x14ac:dyDescent="0.35">
      <c r="A177" s="602"/>
      <c r="B177" s="463" t="s">
        <v>791</v>
      </c>
      <c r="C177" s="603">
        <f>26220+7079+4180+1129+1520+410+6080+1642</f>
        <v>48260</v>
      </c>
      <c r="D177" s="873"/>
      <c r="E177" s="25"/>
      <c r="F177" s="25"/>
      <c r="G177" s="25"/>
      <c r="H177" s="25"/>
      <c r="I177" s="25"/>
      <c r="J177" s="25"/>
      <c r="K177" s="25"/>
      <c r="L177" s="25"/>
      <c r="M177" s="25"/>
      <c r="N177" s="25"/>
    </row>
    <row r="178" spans="1:14" ht="23.25" x14ac:dyDescent="0.35">
      <c r="A178" s="602"/>
      <c r="B178" s="463" t="s">
        <v>945</v>
      </c>
      <c r="C178" s="603">
        <f>285200+1159280+392262+8341</f>
        <v>1845083</v>
      </c>
      <c r="D178" s="873"/>
      <c r="E178" s="25"/>
      <c r="F178" s="25"/>
      <c r="G178" s="25"/>
      <c r="H178" s="25"/>
      <c r="I178" s="25"/>
      <c r="J178" s="25"/>
      <c r="K178" s="25"/>
      <c r="L178" s="25"/>
      <c r="M178" s="25"/>
      <c r="N178" s="25"/>
    </row>
    <row r="179" spans="1:14" ht="23.25" x14ac:dyDescent="0.35">
      <c r="A179" s="602"/>
      <c r="B179" s="463" t="s">
        <v>946</v>
      </c>
      <c r="C179" s="603">
        <f>90000+24300</f>
        <v>114300</v>
      </c>
      <c r="D179" s="873"/>
      <c r="E179" s="25" t="s">
        <v>948</v>
      </c>
      <c r="F179" s="25"/>
      <c r="G179" s="25"/>
      <c r="H179" s="25"/>
      <c r="I179" s="25"/>
      <c r="J179" s="25"/>
      <c r="K179" s="25"/>
      <c r="L179" s="25"/>
      <c r="M179" s="25"/>
      <c r="N179" s="25"/>
    </row>
    <row r="180" spans="1:14" ht="23.25" x14ac:dyDescent="0.35">
      <c r="A180" s="885" t="s">
        <v>807</v>
      </c>
      <c r="B180" s="885"/>
      <c r="C180" s="605">
        <f>SUM(C175:C179)</f>
        <v>3201142</v>
      </c>
      <c r="D180" s="604"/>
      <c r="E180" s="27">
        <f>+C180</f>
        <v>3201142</v>
      </c>
      <c r="F180" s="25" t="s">
        <v>831</v>
      </c>
      <c r="G180" s="25"/>
      <c r="H180" s="25"/>
      <c r="I180" s="25"/>
      <c r="J180" s="25"/>
      <c r="K180" s="25"/>
      <c r="L180" s="25"/>
      <c r="M180" s="25"/>
      <c r="N180" s="25"/>
    </row>
    <row r="181" spans="1:14" ht="23.25" x14ac:dyDescent="0.35">
      <c r="A181" s="868" t="s">
        <v>898</v>
      </c>
      <c r="B181" s="868"/>
      <c r="C181" s="563">
        <f>+C171+C180</f>
        <v>4086087</v>
      </c>
      <c r="D181" s="552"/>
      <c r="E181" s="25"/>
      <c r="F181" s="25"/>
      <c r="G181" s="25"/>
      <c r="H181" s="25"/>
      <c r="I181" s="25"/>
      <c r="J181" s="25"/>
      <c r="K181" s="25"/>
      <c r="L181" s="25"/>
      <c r="M181" s="25"/>
      <c r="N181" s="25"/>
    </row>
    <row r="182" spans="1:14" ht="23.25" x14ac:dyDescent="0.35">
      <c r="A182" s="559"/>
      <c r="B182" s="559"/>
      <c r="C182" s="562"/>
      <c r="D182" s="559"/>
      <c r="E182" s="25"/>
      <c r="F182" s="25"/>
      <c r="G182" s="25"/>
      <c r="H182" s="25"/>
      <c r="I182" s="25"/>
      <c r="J182" s="25"/>
      <c r="K182" s="25"/>
      <c r="L182" s="25"/>
      <c r="M182" s="25"/>
      <c r="N182" s="25"/>
    </row>
    <row r="183" spans="1:14" s="71" customFormat="1" ht="23.25" x14ac:dyDescent="0.35">
      <c r="A183" s="68"/>
      <c r="B183" s="69" t="s">
        <v>15</v>
      </c>
      <c r="C183" s="70"/>
      <c r="D183" s="148"/>
      <c r="E183" s="68"/>
      <c r="F183" s="25"/>
      <c r="G183" s="25"/>
      <c r="H183" s="68"/>
      <c r="I183" s="68"/>
      <c r="J183" s="68"/>
      <c r="K183" s="68"/>
      <c r="L183" s="68"/>
      <c r="M183" s="68"/>
      <c r="N183" s="68"/>
    </row>
    <row r="184" spans="1:14" ht="23.25" x14ac:dyDescent="0.35">
      <c r="A184" s="135"/>
      <c r="B184" s="143" t="s">
        <v>52</v>
      </c>
      <c r="C184" s="136"/>
      <c r="D184" s="138"/>
      <c r="E184" s="25"/>
      <c r="F184" s="25"/>
      <c r="G184" s="25"/>
      <c r="H184" s="25"/>
      <c r="I184" s="25"/>
      <c r="J184" s="25"/>
      <c r="K184" s="25"/>
      <c r="L184" s="25"/>
      <c r="M184" s="25"/>
      <c r="N184" s="25"/>
    </row>
    <row r="185" spans="1:14" ht="35.25" customHeight="1" x14ac:dyDescent="0.35">
      <c r="A185" s="874" t="s">
        <v>55</v>
      </c>
      <c r="B185" s="31" t="s">
        <v>934</v>
      </c>
      <c r="C185" s="310">
        <f>158640+42834</f>
        <v>201474</v>
      </c>
      <c r="D185" s="872" t="s">
        <v>929</v>
      </c>
      <c r="E185" s="27"/>
      <c r="F185" s="25"/>
      <c r="G185" s="25"/>
      <c r="H185" s="25"/>
      <c r="I185" s="25"/>
      <c r="J185" s="25"/>
      <c r="K185" s="25"/>
      <c r="L185" s="25"/>
      <c r="M185" s="25"/>
      <c r="N185" s="25"/>
    </row>
    <row r="186" spans="1:14" ht="35.25" customHeight="1" x14ac:dyDescent="0.35">
      <c r="A186" s="874"/>
      <c r="B186" s="31" t="s">
        <v>796</v>
      </c>
      <c r="C186" s="310">
        <f>8500+2295</f>
        <v>10795</v>
      </c>
      <c r="D186" s="866"/>
      <c r="E186" s="387"/>
      <c r="F186" s="25"/>
      <c r="G186" s="25"/>
      <c r="H186" s="25"/>
      <c r="I186" s="25"/>
      <c r="J186" s="25"/>
      <c r="K186" s="25"/>
      <c r="L186" s="25"/>
      <c r="M186" s="25"/>
      <c r="N186" s="25"/>
    </row>
    <row r="187" spans="1:14" ht="35.25" customHeight="1" x14ac:dyDescent="0.35">
      <c r="A187" s="874"/>
      <c r="B187" s="31" t="s">
        <v>808</v>
      </c>
      <c r="C187" s="310">
        <f>151712+40962</f>
        <v>192674</v>
      </c>
      <c r="D187" s="866"/>
      <c r="E187" s="27" t="s">
        <v>848</v>
      </c>
      <c r="F187" s="25"/>
      <c r="G187" s="25"/>
      <c r="H187" s="25"/>
      <c r="I187" s="25"/>
      <c r="J187" s="25"/>
      <c r="K187" s="25"/>
      <c r="L187" s="25"/>
      <c r="M187" s="25"/>
      <c r="N187" s="25"/>
    </row>
    <row r="188" spans="1:14" ht="23.25" x14ac:dyDescent="0.35">
      <c r="A188" s="879" t="s">
        <v>57</v>
      </c>
      <c r="B188" s="879"/>
      <c r="C188" s="308">
        <f>SUM(C185:C187)</f>
        <v>404943</v>
      </c>
      <c r="D188" s="309"/>
      <c r="E188" s="27">
        <f>+C188</f>
        <v>404943</v>
      </c>
      <c r="F188" s="25" t="s">
        <v>831</v>
      </c>
      <c r="G188" s="25"/>
      <c r="H188" s="25"/>
      <c r="I188" s="25"/>
      <c r="J188" s="25"/>
      <c r="K188" s="25"/>
      <c r="L188" s="25"/>
      <c r="M188" s="25"/>
      <c r="N188" s="25"/>
    </row>
    <row r="189" spans="1:14" ht="23.25" x14ac:dyDescent="0.35">
      <c r="A189" s="141"/>
      <c r="B189" s="143" t="s">
        <v>411</v>
      </c>
      <c r="C189" s="160">
        <v>0</v>
      </c>
      <c r="D189" s="138"/>
      <c r="E189" s="25"/>
      <c r="F189" s="25"/>
      <c r="G189" s="25"/>
      <c r="H189" s="25"/>
      <c r="I189" s="25"/>
      <c r="J189" s="25"/>
      <c r="K189" s="25"/>
      <c r="L189" s="25"/>
      <c r="M189" s="25"/>
      <c r="N189" s="25">
        <f>172940*1.27</f>
        <v>219633.80000000002</v>
      </c>
    </row>
    <row r="190" spans="1:14" ht="23.25" x14ac:dyDescent="0.35">
      <c r="A190" s="144"/>
      <c r="B190" s="143" t="s">
        <v>58</v>
      </c>
      <c r="C190" s="160">
        <v>0</v>
      </c>
      <c r="D190" s="138"/>
      <c r="E190" s="25"/>
      <c r="F190" s="25"/>
      <c r="G190" s="25"/>
      <c r="H190" s="25"/>
      <c r="I190" s="25"/>
      <c r="J190" s="25"/>
      <c r="K190" s="25"/>
      <c r="L190" s="25"/>
      <c r="M190" s="25"/>
      <c r="N190" s="25"/>
    </row>
    <row r="191" spans="1:14" ht="23.25" x14ac:dyDescent="0.35">
      <c r="A191" s="897" t="s">
        <v>805</v>
      </c>
      <c r="B191" s="898"/>
      <c r="C191" s="899"/>
      <c r="D191" s="595"/>
      <c r="E191" s="25"/>
      <c r="F191" s="25"/>
      <c r="G191" s="25"/>
      <c r="H191" s="25"/>
      <c r="I191" s="25"/>
      <c r="J191" s="25"/>
      <c r="K191" s="25"/>
      <c r="L191" s="25"/>
      <c r="M191" s="25"/>
      <c r="N191" s="25"/>
    </row>
    <row r="192" spans="1:14" ht="71.25" customHeight="1" x14ac:dyDescent="0.35">
      <c r="A192" s="596" t="s">
        <v>55</v>
      </c>
      <c r="B192" s="31" t="s">
        <v>935</v>
      </c>
      <c r="C192" s="310">
        <v>22860</v>
      </c>
      <c r="D192" s="588" t="s">
        <v>929</v>
      </c>
      <c r="E192" s="27" t="s">
        <v>936</v>
      </c>
      <c r="F192" s="25"/>
      <c r="G192" s="25"/>
      <c r="H192" s="25"/>
      <c r="I192" s="25"/>
      <c r="J192" s="25"/>
      <c r="K192" s="25"/>
      <c r="L192" s="25"/>
      <c r="M192" s="25"/>
      <c r="N192" s="25"/>
    </row>
    <row r="193" spans="1:14" ht="23.25" x14ac:dyDescent="0.35">
      <c r="A193" s="885" t="s">
        <v>807</v>
      </c>
      <c r="B193" s="885"/>
      <c r="C193" s="308">
        <f>+C192</f>
        <v>22860</v>
      </c>
      <c r="D193" s="597"/>
      <c r="E193" s="27">
        <f>+C193</f>
        <v>22860</v>
      </c>
      <c r="F193" s="25" t="s">
        <v>831</v>
      </c>
      <c r="G193" s="25"/>
      <c r="H193" s="25"/>
      <c r="I193" s="25"/>
      <c r="J193" s="25"/>
      <c r="K193" s="25"/>
      <c r="L193" s="25"/>
      <c r="M193" s="25"/>
      <c r="N193" s="25"/>
    </row>
    <row r="194" spans="1:14" ht="23.25" x14ac:dyDescent="0.35">
      <c r="A194" s="868" t="s">
        <v>899</v>
      </c>
      <c r="B194" s="868"/>
      <c r="C194" s="563">
        <f>+C188+C193</f>
        <v>427803</v>
      </c>
      <c r="D194" s="597"/>
      <c r="E194" s="25"/>
      <c r="F194" s="25"/>
      <c r="G194" s="25"/>
      <c r="H194" s="25"/>
      <c r="I194" s="25"/>
      <c r="J194" s="25"/>
      <c r="K194" s="25"/>
      <c r="L194" s="25"/>
      <c r="M194" s="25"/>
      <c r="N194" s="25"/>
    </row>
    <row r="195" spans="1:14" ht="23.25" x14ac:dyDescent="0.35">
      <c r="A195" s="559"/>
      <c r="B195" s="559"/>
      <c r="C195" s="562"/>
      <c r="D195" s="559"/>
      <c r="E195" s="25"/>
      <c r="F195" s="25"/>
      <c r="G195" s="25"/>
      <c r="H195" s="25"/>
      <c r="I195" s="25"/>
      <c r="J195" s="25"/>
      <c r="K195" s="25"/>
      <c r="L195" s="25"/>
      <c r="M195" s="25"/>
      <c r="N195" s="25"/>
    </row>
    <row r="196" spans="1:14" s="71" customFormat="1" ht="23.25" x14ac:dyDescent="0.35">
      <c r="A196" s="68"/>
      <c r="B196" s="69" t="s">
        <v>38</v>
      </c>
      <c r="C196" s="70"/>
      <c r="D196" s="147"/>
      <c r="E196" s="68"/>
      <c r="F196" s="25"/>
      <c r="G196" s="25"/>
      <c r="H196" s="68"/>
      <c r="I196" s="68"/>
      <c r="J196" s="68"/>
      <c r="K196" s="68"/>
      <c r="L196" s="68"/>
      <c r="M196" s="68"/>
      <c r="N196" s="68"/>
    </row>
    <row r="197" spans="1:14" ht="23.25" x14ac:dyDescent="0.35">
      <c r="A197" s="897" t="s">
        <v>52</v>
      </c>
      <c r="B197" s="898"/>
      <c r="C197" s="899"/>
      <c r="D197" s="138"/>
      <c r="E197" s="25"/>
      <c r="F197" s="25"/>
      <c r="G197" s="25"/>
      <c r="H197" s="25"/>
      <c r="I197" s="25"/>
      <c r="J197" s="25"/>
      <c r="K197" s="25"/>
      <c r="L197" s="25"/>
      <c r="M197" s="25"/>
      <c r="N197" s="25"/>
    </row>
    <row r="198" spans="1:14" ht="23.25" x14ac:dyDescent="0.35">
      <c r="A198" s="875" t="s">
        <v>55</v>
      </c>
      <c r="B198" s="72" t="s">
        <v>800</v>
      </c>
      <c r="C198" s="130">
        <v>38100</v>
      </c>
      <c r="D198" s="877" t="s">
        <v>929</v>
      </c>
      <c r="E198" s="27"/>
      <c r="F198" s="25"/>
      <c r="G198" s="25"/>
      <c r="H198" s="25"/>
      <c r="I198" s="25"/>
      <c r="J198" s="25"/>
      <c r="K198" s="25"/>
      <c r="L198" s="25"/>
      <c r="M198" s="25"/>
      <c r="N198" s="25"/>
    </row>
    <row r="199" spans="1:14" ht="23.25" x14ac:dyDescent="0.35">
      <c r="A199" s="876"/>
      <c r="B199" s="465" t="s">
        <v>798</v>
      </c>
      <c r="C199" s="466">
        <f>16440+4271+55+14414+3744</f>
        <v>38924</v>
      </c>
      <c r="D199" s="878"/>
      <c r="E199" s="27"/>
      <c r="F199" s="25"/>
      <c r="G199" s="25"/>
      <c r="H199" s="25"/>
      <c r="I199" s="25"/>
      <c r="J199" s="25"/>
      <c r="K199" s="25"/>
      <c r="L199" s="25"/>
      <c r="M199" s="25"/>
      <c r="N199" s="25"/>
    </row>
    <row r="200" spans="1:14" ht="23.25" x14ac:dyDescent="0.35">
      <c r="A200" s="876"/>
      <c r="B200" s="465" t="s">
        <v>799</v>
      </c>
      <c r="C200" s="466">
        <f>2170+585+1902+514</f>
        <v>5171</v>
      </c>
      <c r="D200" s="878"/>
      <c r="E200" s="27"/>
      <c r="F200" s="25"/>
      <c r="G200" s="25"/>
      <c r="H200" s="25"/>
      <c r="I200" s="25"/>
      <c r="J200" s="25"/>
      <c r="K200" s="25"/>
      <c r="L200" s="25"/>
      <c r="M200" s="25"/>
      <c r="N200" s="25"/>
    </row>
    <row r="201" spans="1:14" ht="23.25" x14ac:dyDescent="0.35">
      <c r="A201" s="875"/>
      <c r="B201" s="72" t="s">
        <v>725</v>
      </c>
      <c r="C201" s="130">
        <v>9845</v>
      </c>
      <c r="D201" s="877"/>
      <c r="E201" s="25" t="s">
        <v>933</v>
      </c>
      <c r="F201" s="25"/>
      <c r="G201" s="25"/>
      <c r="H201" s="25"/>
      <c r="I201" s="25"/>
      <c r="J201" s="25"/>
      <c r="K201" s="25"/>
      <c r="L201" s="25"/>
      <c r="M201" s="25"/>
      <c r="N201" s="25"/>
    </row>
    <row r="202" spans="1:14" ht="23.25" x14ac:dyDescent="0.35">
      <c r="A202" s="885" t="s">
        <v>57</v>
      </c>
      <c r="B202" s="885"/>
      <c r="C202" s="127">
        <f>SUM(C197:C201)</f>
        <v>92040</v>
      </c>
      <c r="D202" s="134"/>
      <c r="E202" s="27">
        <f>+C202</f>
        <v>92040</v>
      </c>
      <c r="F202" s="25" t="s">
        <v>831</v>
      </c>
      <c r="G202" s="25"/>
      <c r="H202" s="25"/>
      <c r="I202" s="25"/>
      <c r="J202" s="25"/>
      <c r="K202" s="25"/>
      <c r="L202" s="25"/>
      <c r="M202" s="25"/>
      <c r="N202" s="25"/>
    </row>
    <row r="203" spans="1:14" ht="23.25" x14ac:dyDescent="0.35">
      <c r="A203" s="25"/>
      <c r="B203" s="77" t="s">
        <v>411</v>
      </c>
      <c r="C203" s="130">
        <v>0</v>
      </c>
      <c r="D203" s="138"/>
      <c r="E203" s="25"/>
      <c r="F203" s="25"/>
      <c r="G203" s="25"/>
      <c r="H203" s="25"/>
      <c r="I203" s="25"/>
      <c r="J203" s="25"/>
      <c r="K203" s="25"/>
      <c r="L203" s="25"/>
      <c r="M203" s="25"/>
      <c r="N203" s="25">
        <f>172940*1.27</f>
        <v>219633.80000000002</v>
      </c>
    </row>
    <row r="204" spans="1:14" ht="23.25" x14ac:dyDescent="0.35">
      <c r="A204" s="142"/>
      <c r="B204" s="143" t="s">
        <v>58</v>
      </c>
      <c r="C204" s="130">
        <v>0</v>
      </c>
      <c r="D204" s="138"/>
      <c r="E204" s="25"/>
      <c r="F204" s="25"/>
      <c r="G204" s="25"/>
      <c r="H204" s="25"/>
      <c r="I204" s="25"/>
      <c r="J204" s="25"/>
      <c r="K204" s="25"/>
      <c r="L204" s="25"/>
      <c r="M204" s="25"/>
      <c r="N204" s="25"/>
    </row>
    <row r="205" spans="1:14" ht="23.25" x14ac:dyDescent="0.35">
      <c r="A205" s="897" t="s">
        <v>805</v>
      </c>
      <c r="B205" s="898"/>
      <c r="C205" s="899"/>
      <c r="D205" s="567"/>
      <c r="E205" s="25"/>
      <c r="F205" s="25"/>
      <c r="G205" s="25"/>
      <c r="H205" s="25"/>
      <c r="I205" s="25"/>
      <c r="J205" s="25"/>
      <c r="K205" s="25"/>
      <c r="L205" s="25"/>
      <c r="M205" s="25"/>
      <c r="N205" s="25"/>
    </row>
    <row r="206" spans="1:14" ht="50.25" customHeight="1" x14ac:dyDescent="0.35">
      <c r="A206" s="875" t="s">
        <v>55</v>
      </c>
      <c r="B206" s="480" t="s">
        <v>796</v>
      </c>
      <c r="C206" s="473">
        <f>18000+4860</f>
        <v>22860</v>
      </c>
      <c r="D206" s="877" t="s">
        <v>929</v>
      </c>
      <c r="E206" s="25"/>
      <c r="F206" s="25"/>
      <c r="G206" s="25"/>
      <c r="H206" s="25"/>
      <c r="I206" s="25"/>
      <c r="J206" s="25"/>
      <c r="K206" s="25"/>
      <c r="L206" s="25"/>
      <c r="M206" s="25"/>
      <c r="N206" s="25"/>
    </row>
    <row r="207" spans="1:14" ht="50.25" customHeight="1" x14ac:dyDescent="0.35">
      <c r="A207" s="876"/>
      <c r="B207" s="480" t="s">
        <v>801</v>
      </c>
      <c r="C207" s="473">
        <v>254000</v>
      </c>
      <c r="D207" s="878"/>
      <c r="E207" s="25" t="s">
        <v>931</v>
      </c>
      <c r="F207" s="25"/>
      <c r="G207" s="25"/>
      <c r="H207" s="25"/>
      <c r="I207" s="25"/>
      <c r="J207" s="25"/>
      <c r="K207" s="25"/>
      <c r="L207" s="25"/>
      <c r="M207" s="25"/>
      <c r="N207" s="25"/>
    </row>
    <row r="208" spans="1:14" ht="23.25" x14ac:dyDescent="0.35">
      <c r="A208" s="885" t="s">
        <v>807</v>
      </c>
      <c r="B208" s="885"/>
      <c r="C208" s="593">
        <f>SUM(C206:C207)</f>
        <v>276860</v>
      </c>
      <c r="D208" s="567"/>
      <c r="E208" s="27">
        <f>+C208</f>
        <v>276860</v>
      </c>
      <c r="F208" s="25" t="s">
        <v>831</v>
      </c>
      <c r="G208" s="25"/>
      <c r="H208" s="25"/>
      <c r="I208" s="25"/>
      <c r="J208" s="25"/>
      <c r="K208" s="25"/>
      <c r="L208" s="25"/>
      <c r="M208" s="25"/>
      <c r="N208" s="25"/>
    </row>
    <row r="209" spans="1:14" ht="23.25" x14ac:dyDescent="0.35">
      <c r="A209" s="868" t="s">
        <v>1023</v>
      </c>
      <c r="B209" s="868"/>
      <c r="C209" s="621">
        <f>+C202+C208</f>
        <v>368900</v>
      </c>
      <c r="D209" s="567"/>
      <c r="E209" s="27"/>
      <c r="F209" s="25"/>
      <c r="G209" s="25"/>
      <c r="H209" s="25"/>
      <c r="I209" s="25"/>
      <c r="J209" s="25"/>
      <c r="K209" s="25"/>
      <c r="L209" s="25"/>
      <c r="M209" s="25"/>
      <c r="N209" s="25"/>
    </row>
    <row r="210" spans="1:14" ht="23.25" x14ac:dyDescent="0.35">
      <c r="A210" s="559"/>
      <c r="B210" s="565"/>
      <c r="C210" s="566"/>
      <c r="D210" s="567"/>
      <c r="E210" s="25"/>
      <c r="F210" s="25"/>
      <c r="G210" s="25"/>
      <c r="H210" s="25"/>
      <c r="I210" s="25"/>
      <c r="J210" s="25"/>
      <c r="K210" s="25"/>
      <c r="L210" s="25"/>
      <c r="M210" s="25"/>
      <c r="N210" s="25"/>
    </row>
    <row r="211" spans="1:14" ht="23.25" x14ac:dyDescent="0.35">
      <c r="A211" s="68"/>
      <c r="B211" s="69" t="s">
        <v>583</v>
      </c>
      <c r="C211" s="70"/>
      <c r="D211" s="147"/>
      <c r="E211" s="25"/>
      <c r="F211" s="68"/>
      <c r="G211" s="68"/>
      <c r="H211" s="25"/>
      <c r="I211" s="25"/>
      <c r="J211" s="25"/>
      <c r="K211" s="25"/>
      <c r="L211" s="25"/>
      <c r="M211" s="25"/>
      <c r="N211" s="25"/>
    </row>
    <row r="212" spans="1:14" ht="23.25" x14ac:dyDescent="0.35">
      <c r="A212" s="135"/>
      <c r="B212" s="143" t="s">
        <v>52</v>
      </c>
      <c r="C212" s="159"/>
      <c r="D212" s="138"/>
      <c r="E212" s="25"/>
      <c r="F212" s="25"/>
      <c r="G212" s="25"/>
      <c r="H212" s="25"/>
      <c r="I212" s="25"/>
      <c r="J212" s="25"/>
      <c r="K212" s="25"/>
      <c r="L212" s="25"/>
      <c r="M212" s="25"/>
      <c r="N212" s="25"/>
    </row>
    <row r="213" spans="1:14" ht="23.25" x14ac:dyDescent="0.35">
      <c r="A213" s="888" t="s">
        <v>55</v>
      </c>
      <c r="B213" s="72" t="s">
        <v>808</v>
      </c>
      <c r="C213" s="130">
        <f>4072+1099</f>
        <v>5171</v>
      </c>
      <c r="D213" s="914" t="s">
        <v>929</v>
      </c>
      <c r="E213" s="27"/>
      <c r="F213" s="25"/>
      <c r="G213" s="25"/>
      <c r="H213" s="25"/>
      <c r="I213" s="25"/>
      <c r="J213" s="25"/>
      <c r="K213" s="25"/>
      <c r="L213" s="25"/>
      <c r="M213" s="25"/>
      <c r="N213" s="25"/>
    </row>
    <row r="214" spans="1:14" ht="23.25" x14ac:dyDescent="0.35">
      <c r="A214" s="889"/>
      <c r="B214" s="72" t="s">
        <v>802</v>
      </c>
      <c r="C214" s="130">
        <f>6477+2318+948</f>
        <v>9743</v>
      </c>
      <c r="D214" s="915"/>
      <c r="E214" s="27"/>
      <c r="F214" s="25"/>
      <c r="G214" s="25"/>
      <c r="H214" s="25"/>
      <c r="I214" s="25"/>
      <c r="J214" s="25"/>
      <c r="K214" s="25"/>
      <c r="L214" s="25"/>
      <c r="M214" s="25"/>
      <c r="N214" s="25"/>
    </row>
    <row r="215" spans="1:14" ht="23.25" x14ac:dyDescent="0.35">
      <c r="A215" s="889"/>
      <c r="B215" s="72" t="s">
        <v>942</v>
      </c>
      <c r="C215" s="307">
        <v>30000</v>
      </c>
      <c r="D215" s="915"/>
      <c r="E215" s="27"/>
      <c r="F215" s="25"/>
      <c r="G215" s="25"/>
      <c r="H215" s="25"/>
      <c r="I215" s="25"/>
      <c r="J215" s="25"/>
      <c r="K215" s="25"/>
      <c r="L215" s="25"/>
      <c r="M215" s="25"/>
      <c r="N215" s="25"/>
    </row>
    <row r="216" spans="1:14" ht="23.25" x14ac:dyDescent="0.35">
      <c r="A216" s="889"/>
      <c r="B216" s="307" t="s">
        <v>934</v>
      </c>
      <c r="C216" s="307">
        <f>68900+18603</f>
        <v>87503</v>
      </c>
      <c r="D216" s="915"/>
      <c r="E216" s="25"/>
      <c r="F216" s="25"/>
      <c r="G216" s="25"/>
      <c r="H216" s="25"/>
      <c r="I216" s="25"/>
      <c r="J216" s="25"/>
      <c r="K216" s="25"/>
      <c r="L216" s="25"/>
      <c r="M216" s="25"/>
      <c r="N216" s="25"/>
    </row>
    <row r="217" spans="1:14" ht="23.25" x14ac:dyDescent="0.35">
      <c r="A217" s="890"/>
      <c r="B217" s="72" t="s">
        <v>728</v>
      </c>
      <c r="C217" s="307">
        <f>44953+166494</f>
        <v>211447</v>
      </c>
      <c r="D217" s="916"/>
      <c r="E217" s="27" t="s">
        <v>849</v>
      </c>
      <c r="F217" s="25"/>
      <c r="G217" s="25"/>
      <c r="H217" s="25"/>
      <c r="I217" s="25"/>
      <c r="J217" s="25"/>
      <c r="K217" s="25"/>
      <c r="L217" s="25"/>
      <c r="M217" s="25"/>
      <c r="N217" s="25"/>
    </row>
    <row r="218" spans="1:14" ht="23.25" x14ac:dyDescent="0.35">
      <c r="A218" s="885" t="s">
        <v>57</v>
      </c>
      <c r="B218" s="885"/>
      <c r="C218" s="127">
        <f>SUM(C213:C217)</f>
        <v>343864</v>
      </c>
      <c r="D218" s="134"/>
      <c r="E218" s="27">
        <f>+C218</f>
        <v>343864</v>
      </c>
      <c r="F218" s="25" t="s">
        <v>831</v>
      </c>
      <c r="G218" s="25"/>
      <c r="H218" s="25"/>
      <c r="I218" s="25"/>
      <c r="J218" s="25"/>
      <c r="K218" s="25"/>
      <c r="L218" s="25"/>
      <c r="M218" s="25"/>
      <c r="N218" s="25"/>
    </row>
    <row r="219" spans="1:14" ht="23.25" x14ac:dyDescent="0.35">
      <c r="A219" s="25"/>
      <c r="B219" s="77" t="s">
        <v>411</v>
      </c>
      <c r="C219" s="130"/>
      <c r="D219" s="138"/>
      <c r="E219" s="25"/>
      <c r="F219" s="25"/>
      <c r="G219" s="25"/>
      <c r="H219" s="25"/>
      <c r="I219" s="25"/>
      <c r="J219" s="25"/>
      <c r="K219" s="25"/>
      <c r="L219" s="25"/>
      <c r="M219" s="25"/>
      <c r="N219" s="25"/>
    </row>
    <row r="220" spans="1:14" ht="23.25" x14ac:dyDescent="0.35">
      <c r="A220" s="142"/>
      <c r="B220" s="143" t="s">
        <v>58</v>
      </c>
      <c r="C220" s="130"/>
      <c r="D220" s="138"/>
      <c r="E220" s="25"/>
      <c r="F220" s="25"/>
      <c r="G220" s="25"/>
      <c r="H220" s="25"/>
      <c r="I220" s="25"/>
      <c r="J220" s="25"/>
      <c r="K220" s="25"/>
      <c r="L220" s="25"/>
      <c r="M220" s="25"/>
      <c r="N220" s="25"/>
    </row>
    <row r="221" spans="1:14" ht="23.25" x14ac:dyDescent="0.35">
      <c r="A221" s="463"/>
      <c r="B221" s="143" t="s">
        <v>805</v>
      </c>
      <c r="C221" s="157"/>
      <c r="D221" s="136"/>
      <c r="E221" s="25"/>
      <c r="F221" s="25"/>
      <c r="G221" s="25"/>
      <c r="H221" s="25"/>
      <c r="I221" s="25"/>
      <c r="J221" s="25"/>
      <c r="K221" s="25"/>
      <c r="L221" s="25"/>
      <c r="M221" s="25"/>
      <c r="N221" s="25"/>
    </row>
    <row r="222" spans="1:14" ht="29.25" customHeight="1" x14ac:dyDescent="0.35">
      <c r="A222" s="895" t="s">
        <v>55</v>
      </c>
      <c r="B222" s="463" t="s">
        <v>811</v>
      </c>
      <c r="C222" s="469">
        <v>250000</v>
      </c>
      <c r="D222" s="869" t="s">
        <v>929</v>
      </c>
      <c r="E222" s="25"/>
      <c r="F222" s="25"/>
      <c r="G222" s="25"/>
      <c r="H222" s="25"/>
      <c r="I222" s="25"/>
      <c r="J222" s="25"/>
      <c r="K222" s="25"/>
      <c r="L222" s="25"/>
      <c r="M222" s="25"/>
      <c r="N222" s="25"/>
    </row>
    <row r="223" spans="1:14" ht="29.25" customHeight="1" x14ac:dyDescent="0.35">
      <c r="A223" s="892"/>
      <c r="B223" s="465" t="s">
        <v>809</v>
      </c>
      <c r="C223" s="473">
        <v>30000</v>
      </c>
      <c r="D223" s="871"/>
      <c r="E223" s="25" t="s">
        <v>949</v>
      </c>
      <c r="F223" s="25"/>
      <c r="G223" s="25"/>
      <c r="H223" s="25"/>
      <c r="I223" s="25"/>
      <c r="J223" s="25"/>
      <c r="K223" s="25"/>
      <c r="L223" s="25"/>
      <c r="M223" s="25"/>
      <c r="N223" s="25"/>
    </row>
    <row r="224" spans="1:14" ht="29.25" customHeight="1" x14ac:dyDescent="0.35">
      <c r="A224" s="892"/>
      <c r="B224" s="465" t="s">
        <v>810</v>
      </c>
      <c r="C224" s="473">
        <f>9000+2430+9000+2430</f>
        <v>22860</v>
      </c>
      <c r="D224" s="871"/>
      <c r="E224" s="27">
        <f>SUM(C222:C224)</f>
        <v>302860</v>
      </c>
      <c r="F224" s="25" t="s">
        <v>831</v>
      </c>
      <c r="G224" s="27">
        <f>+E218+E224</f>
        <v>646724</v>
      </c>
      <c r="H224" s="25"/>
      <c r="I224" s="25"/>
      <c r="J224" s="25"/>
      <c r="K224" s="25"/>
      <c r="L224" s="25"/>
      <c r="M224" s="25"/>
      <c r="N224" s="25"/>
    </row>
    <row r="225" spans="1:14" ht="102.75" customHeight="1" x14ac:dyDescent="0.35">
      <c r="A225" s="606" t="s">
        <v>56</v>
      </c>
      <c r="B225" s="472" t="s">
        <v>943</v>
      </c>
      <c r="C225" s="473">
        <f>2478951+669316</f>
        <v>3148267</v>
      </c>
      <c r="D225" s="871"/>
      <c r="E225" s="25" t="s">
        <v>949</v>
      </c>
      <c r="F225" s="25"/>
      <c r="G225" s="25"/>
      <c r="H225" s="25"/>
      <c r="I225" s="25"/>
      <c r="J225" s="25"/>
      <c r="K225" s="25"/>
      <c r="L225" s="25"/>
      <c r="M225" s="25"/>
      <c r="N225" s="25"/>
    </row>
    <row r="226" spans="1:14" ht="23.25" x14ac:dyDescent="0.35">
      <c r="A226" s="893" t="s">
        <v>807</v>
      </c>
      <c r="B226" s="894"/>
      <c r="C226" s="471">
        <f>SUM(C222:C225)</f>
        <v>3451127</v>
      </c>
      <c r="D226" s="470"/>
      <c r="E226" s="27">
        <f>+C225</f>
        <v>3148267</v>
      </c>
      <c r="F226" s="25" t="s">
        <v>832</v>
      </c>
      <c r="G226" s="25"/>
      <c r="H226" s="25"/>
      <c r="I226" s="25"/>
      <c r="J226" s="25"/>
      <c r="K226" s="25"/>
      <c r="L226" s="25"/>
      <c r="M226" s="25"/>
      <c r="N226" s="25"/>
    </row>
    <row r="227" spans="1:14" ht="23.25" x14ac:dyDescent="0.35">
      <c r="A227" s="868" t="s">
        <v>900</v>
      </c>
      <c r="B227" s="868"/>
      <c r="C227" s="563">
        <f>+C218+C219+C220+C226</f>
        <v>3794991</v>
      </c>
      <c r="D227" s="564"/>
      <c r="E227" s="27"/>
      <c r="F227" s="25"/>
      <c r="G227" s="25"/>
      <c r="H227" s="25"/>
      <c r="I227" s="25"/>
      <c r="J227" s="25"/>
      <c r="K227" s="25"/>
      <c r="L227" s="25"/>
      <c r="M227" s="25"/>
      <c r="N227" s="25"/>
    </row>
    <row r="228" spans="1:14" ht="23.25" x14ac:dyDescent="0.35">
      <c r="A228" s="559"/>
      <c r="B228" s="565"/>
      <c r="C228" s="566"/>
      <c r="D228" s="567"/>
      <c r="E228" s="25"/>
      <c r="G228" s="29"/>
      <c r="H228" s="25"/>
      <c r="I228" s="25"/>
      <c r="J228" s="25"/>
      <c r="K228" s="25"/>
      <c r="L228" s="25"/>
      <c r="M228" s="25"/>
      <c r="N228" s="25"/>
    </row>
    <row r="229" spans="1:14" ht="23.25" x14ac:dyDescent="0.35">
      <c r="A229" s="68"/>
      <c r="B229" s="69" t="s">
        <v>585</v>
      </c>
      <c r="C229" s="70"/>
      <c r="D229" s="147"/>
      <c r="E229" s="25"/>
      <c r="F229" s="32"/>
      <c r="G229" s="25"/>
      <c r="H229" s="25"/>
      <c r="I229" s="25"/>
      <c r="J229" s="25"/>
      <c r="K229" s="25"/>
      <c r="L229" s="25"/>
      <c r="M229" s="25"/>
      <c r="N229" s="25"/>
    </row>
    <row r="230" spans="1:14" ht="23.25" x14ac:dyDescent="0.35">
      <c r="A230" s="135"/>
      <c r="B230" s="143" t="s">
        <v>52</v>
      </c>
      <c r="C230" s="159"/>
      <c r="D230" s="138"/>
      <c r="E230" s="25"/>
      <c r="F230" s="32"/>
      <c r="G230" s="25"/>
      <c r="H230" s="25"/>
      <c r="I230" s="25"/>
      <c r="J230" s="25"/>
      <c r="K230" s="25"/>
      <c r="L230" s="25"/>
      <c r="M230" s="25"/>
      <c r="N230" s="25"/>
    </row>
    <row r="231" spans="1:14" ht="47.25" customHeight="1" x14ac:dyDescent="0.35">
      <c r="A231" s="888" t="s">
        <v>55</v>
      </c>
      <c r="B231" s="72" t="s">
        <v>934</v>
      </c>
      <c r="C231" s="130">
        <f>115138+31088+76457+20644</f>
        <v>243327</v>
      </c>
      <c r="D231" s="914" t="s">
        <v>929</v>
      </c>
      <c r="E231" s="311"/>
      <c r="F231" s="32"/>
      <c r="G231" s="25"/>
      <c r="H231" s="25"/>
      <c r="I231" s="25"/>
      <c r="J231" s="25"/>
      <c r="K231" s="25"/>
      <c r="L231" s="25"/>
      <c r="M231" s="25"/>
      <c r="N231" s="25"/>
    </row>
    <row r="232" spans="1:14" ht="47.25" customHeight="1" x14ac:dyDescent="0.35">
      <c r="A232" s="889"/>
      <c r="B232" s="465" t="s">
        <v>725</v>
      </c>
      <c r="C232" s="466">
        <v>1830</v>
      </c>
      <c r="D232" s="915"/>
      <c r="E232" s="311" t="s">
        <v>950</v>
      </c>
      <c r="F232" s="32"/>
      <c r="G232" s="25"/>
      <c r="H232" s="25"/>
      <c r="I232" s="25"/>
      <c r="J232" s="25"/>
      <c r="K232" s="25"/>
      <c r="L232" s="25"/>
      <c r="M232" s="25"/>
      <c r="N232" s="25"/>
    </row>
    <row r="233" spans="1:14" ht="23.25" x14ac:dyDescent="0.35">
      <c r="A233" s="885" t="s">
        <v>57</v>
      </c>
      <c r="B233" s="885"/>
      <c r="C233" s="127">
        <f>SUM(C231:C232)</f>
        <v>245157</v>
      </c>
      <c r="D233" s="134"/>
      <c r="E233" s="27">
        <f>+C233</f>
        <v>245157</v>
      </c>
      <c r="F233" s="25" t="s">
        <v>831</v>
      </c>
      <c r="G233" s="25"/>
      <c r="H233" s="25"/>
      <c r="I233" s="25"/>
      <c r="J233" s="25"/>
      <c r="K233" s="25"/>
      <c r="L233" s="25"/>
      <c r="M233" s="25"/>
      <c r="N233" s="25"/>
    </row>
    <row r="234" spans="1:14" ht="23.25" x14ac:dyDescent="0.35">
      <c r="A234" s="25"/>
      <c r="B234" s="77" t="s">
        <v>411</v>
      </c>
      <c r="C234" s="130">
        <v>0</v>
      </c>
      <c r="D234" s="138"/>
      <c r="E234" s="25"/>
      <c r="F234" s="25"/>
      <c r="G234" s="25"/>
      <c r="H234" s="25"/>
      <c r="I234" s="25"/>
      <c r="J234" s="25"/>
      <c r="K234" s="25"/>
      <c r="L234" s="25"/>
      <c r="M234" s="25"/>
      <c r="N234" s="25"/>
    </row>
    <row r="235" spans="1:14" ht="23.25" x14ac:dyDescent="0.35">
      <c r="A235" s="142"/>
      <c r="B235" s="143" t="s">
        <v>58</v>
      </c>
      <c r="C235" s="130">
        <v>0</v>
      </c>
      <c r="D235" s="138"/>
      <c r="E235" s="25"/>
      <c r="F235" s="25"/>
      <c r="G235" s="25"/>
      <c r="H235" s="25"/>
      <c r="I235" s="25"/>
      <c r="J235" s="25"/>
      <c r="K235" s="25"/>
      <c r="L235" s="25"/>
      <c r="M235" s="25"/>
      <c r="N235" s="25"/>
    </row>
    <row r="236" spans="1:14" ht="23.25" x14ac:dyDescent="0.35">
      <c r="A236" s="897" t="s">
        <v>805</v>
      </c>
      <c r="B236" s="898"/>
      <c r="C236" s="899"/>
      <c r="D236" s="136"/>
      <c r="E236" s="25"/>
      <c r="F236" s="25"/>
      <c r="G236" s="25"/>
      <c r="H236" s="25"/>
      <c r="I236" s="25"/>
      <c r="J236" s="25"/>
      <c r="K236" s="25"/>
      <c r="L236" s="25"/>
      <c r="M236" s="25"/>
      <c r="N236" s="25"/>
    </row>
    <row r="237" spans="1:14" ht="93" x14ac:dyDescent="0.35">
      <c r="A237" s="598" t="s">
        <v>55</v>
      </c>
      <c r="B237" s="616" t="s">
        <v>791</v>
      </c>
      <c r="C237" s="469">
        <v>22860</v>
      </c>
      <c r="D237" s="599" t="s">
        <v>929</v>
      </c>
      <c r="E237" s="25" t="s">
        <v>951</v>
      </c>
      <c r="F237" s="25"/>
      <c r="G237" s="25"/>
      <c r="H237" s="25"/>
      <c r="I237" s="25"/>
      <c r="J237" s="25"/>
      <c r="K237" s="25"/>
      <c r="L237" s="25"/>
      <c r="M237" s="25"/>
      <c r="N237" s="25"/>
    </row>
    <row r="238" spans="1:14" ht="23.25" x14ac:dyDescent="0.35">
      <c r="A238" s="885" t="s">
        <v>807</v>
      </c>
      <c r="B238" s="885"/>
      <c r="C238" s="471">
        <f>SUM(C237:C237)</f>
        <v>22860</v>
      </c>
      <c r="D238" s="470"/>
      <c r="E238" s="27">
        <f>+C238</f>
        <v>22860</v>
      </c>
      <c r="F238" s="25" t="s">
        <v>831</v>
      </c>
      <c r="G238" s="25"/>
      <c r="H238" s="25"/>
      <c r="I238" s="25"/>
      <c r="J238" s="25"/>
      <c r="K238" s="25"/>
      <c r="L238" s="25"/>
      <c r="M238" s="25"/>
      <c r="N238" s="25"/>
    </row>
    <row r="239" spans="1:14" ht="23.25" x14ac:dyDescent="0.35">
      <c r="A239" s="868" t="s">
        <v>901</v>
      </c>
      <c r="B239" s="868"/>
      <c r="C239" s="563">
        <f>+C233+C238+C234+C235</f>
        <v>268017</v>
      </c>
      <c r="D239" s="564"/>
      <c r="E239" s="27"/>
      <c r="F239" s="25"/>
      <c r="G239" s="25"/>
      <c r="H239" s="25"/>
      <c r="I239" s="25"/>
      <c r="J239" s="25"/>
      <c r="K239" s="25"/>
      <c r="L239" s="25"/>
      <c r="M239" s="25"/>
      <c r="N239" s="25"/>
    </row>
    <row r="240" spans="1:14" ht="23.25" x14ac:dyDescent="0.35">
      <c r="A240" s="559"/>
      <c r="B240" s="565"/>
      <c r="C240" s="566"/>
      <c r="D240" s="567"/>
      <c r="E240" s="25"/>
      <c r="F240" s="25"/>
      <c r="G240" s="25"/>
      <c r="H240" s="25"/>
      <c r="I240" s="25"/>
      <c r="J240" s="25"/>
      <c r="K240" s="25"/>
      <c r="L240" s="25"/>
      <c r="M240" s="25"/>
      <c r="N240" s="25"/>
    </row>
    <row r="241" spans="1:14" s="71" customFormat="1" ht="23.25" x14ac:dyDescent="0.35">
      <c r="A241" s="68"/>
      <c r="B241" s="69" t="s">
        <v>584</v>
      </c>
      <c r="C241" s="70"/>
      <c r="D241" s="147"/>
      <c r="E241" s="68"/>
      <c r="F241" s="25"/>
      <c r="G241" s="25"/>
      <c r="H241" s="25"/>
      <c r="I241" s="25"/>
      <c r="J241" s="25"/>
      <c r="K241" s="68"/>
      <c r="L241" s="68"/>
      <c r="M241" s="68"/>
      <c r="N241" s="68"/>
    </row>
    <row r="242" spans="1:14" ht="23.25" x14ac:dyDescent="0.35">
      <c r="A242" s="880" t="s">
        <v>52</v>
      </c>
      <c r="B242" s="881"/>
      <c r="C242" s="882"/>
      <c r="D242" s="139"/>
      <c r="E242" s="25"/>
      <c r="F242" s="25"/>
      <c r="G242" s="25"/>
      <c r="H242" s="25"/>
      <c r="I242" s="25"/>
      <c r="J242" s="25"/>
      <c r="K242" s="25"/>
      <c r="L242" s="25"/>
      <c r="M242" s="25"/>
      <c r="N242" s="25"/>
    </row>
    <row r="243" spans="1:14" ht="23.25" x14ac:dyDescent="0.35">
      <c r="A243" s="891" t="s">
        <v>55</v>
      </c>
      <c r="B243" s="465" t="s">
        <v>728</v>
      </c>
      <c r="C243" s="466">
        <f>35423+9564</f>
        <v>44987</v>
      </c>
      <c r="D243" s="913" t="s">
        <v>929</v>
      </c>
      <c r="E243" s="25"/>
      <c r="F243" s="312"/>
      <c r="H243" s="25"/>
      <c r="I243" s="25"/>
      <c r="J243" s="25"/>
      <c r="K243" s="25"/>
      <c r="L243" s="25"/>
      <c r="M243" s="25"/>
      <c r="N243" s="25"/>
    </row>
    <row r="244" spans="1:14" ht="23.25" x14ac:dyDescent="0.35">
      <c r="A244" s="892"/>
      <c r="B244" s="465" t="s">
        <v>808</v>
      </c>
      <c r="C244" s="466">
        <f>5091+1375</f>
        <v>6466</v>
      </c>
      <c r="D244" s="871"/>
      <c r="E244" s="25"/>
      <c r="F244" s="312"/>
      <c r="H244" s="25"/>
      <c r="I244" s="25"/>
      <c r="J244" s="25"/>
      <c r="K244" s="25"/>
      <c r="L244" s="25"/>
      <c r="M244" s="25"/>
      <c r="N244" s="25"/>
    </row>
    <row r="245" spans="1:14" ht="23.25" x14ac:dyDescent="0.35">
      <c r="A245" s="892"/>
      <c r="B245" s="465" t="s">
        <v>725</v>
      </c>
      <c r="C245" s="466">
        <v>11590</v>
      </c>
      <c r="D245" s="871"/>
      <c r="E245" s="25"/>
      <c r="F245" s="312"/>
      <c r="H245" s="25"/>
      <c r="I245" s="25"/>
      <c r="J245" s="25"/>
      <c r="K245" s="25"/>
      <c r="L245" s="25"/>
      <c r="M245" s="25"/>
      <c r="N245" s="25"/>
    </row>
    <row r="246" spans="1:14" ht="23.25" x14ac:dyDescent="0.35">
      <c r="A246" s="892"/>
      <c r="B246" s="465" t="s">
        <v>727</v>
      </c>
      <c r="C246" s="466"/>
      <c r="D246" s="871"/>
      <c r="E246" s="25"/>
      <c r="H246" s="25"/>
      <c r="I246" s="25"/>
      <c r="J246" s="25"/>
      <c r="K246" s="25"/>
      <c r="L246" s="25"/>
      <c r="M246" s="25"/>
      <c r="N246" s="25"/>
    </row>
    <row r="247" spans="1:14" ht="23.25" x14ac:dyDescent="0.35">
      <c r="A247" s="892"/>
      <c r="B247" s="465" t="s">
        <v>793</v>
      </c>
      <c r="C247" s="466"/>
      <c r="D247" s="871"/>
      <c r="E247" s="25"/>
      <c r="H247" s="25"/>
      <c r="I247" s="25"/>
      <c r="J247" s="25"/>
      <c r="K247" s="25"/>
      <c r="L247" s="25"/>
      <c r="M247" s="25"/>
      <c r="N247" s="25"/>
    </row>
    <row r="248" spans="1:14" ht="23.25" x14ac:dyDescent="0.35">
      <c r="A248" s="892"/>
      <c r="B248" s="465" t="s">
        <v>803</v>
      </c>
      <c r="C248" s="466"/>
      <c r="D248" s="871"/>
      <c r="E248" s="27" t="s">
        <v>850</v>
      </c>
      <c r="H248" s="25"/>
      <c r="I248" s="25"/>
      <c r="J248" s="25"/>
      <c r="K248" s="25"/>
      <c r="L248" s="25"/>
      <c r="M248" s="25"/>
      <c r="N248" s="25"/>
    </row>
    <row r="249" spans="1:14" ht="23.25" x14ac:dyDescent="0.35">
      <c r="A249" s="885" t="s">
        <v>57</v>
      </c>
      <c r="B249" s="885"/>
      <c r="C249" s="127">
        <f>SUM(C243:C248)</f>
        <v>63043</v>
      </c>
      <c r="D249" s="134"/>
      <c r="E249" s="27">
        <f>+C249</f>
        <v>63043</v>
      </c>
      <c r="F249" s="68" t="s">
        <v>831</v>
      </c>
      <c r="G249" s="68"/>
      <c r="H249" s="68"/>
      <c r="I249" s="68"/>
      <c r="J249" s="68"/>
      <c r="K249" s="25"/>
      <c r="L249" s="25"/>
      <c r="M249" s="25"/>
      <c r="N249" s="25"/>
    </row>
    <row r="250" spans="1:14" ht="23.25" x14ac:dyDescent="0.35">
      <c r="A250" s="25"/>
      <c r="B250" s="77" t="s">
        <v>411</v>
      </c>
      <c r="C250" s="130">
        <v>0</v>
      </c>
      <c r="D250" s="136"/>
      <c r="E250" s="27"/>
      <c r="H250" s="25"/>
      <c r="I250" s="25"/>
      <c r="J250" s="25"/>
      <c r="K250" s="25"/>
      <c r="L250" s="25"/>
      <c r="M250" s="25"/>
      <c r="N250" s="25"/>
    </row>
    <row r="251" spans="1:14" ht="23.25" x14ac:dyDescent="0.35">
      <c r="A251" s="25"/>
      <c r="B251" s="143" t="s">
        <v>58</v>
      </c>
      <c r="C251" s="130"/>
      <c r="D251" s="133"/>
      <c r="H251" s="25"/>
      <c r="I251" s="25"/>
      <c r="J251" s="25"/>
      <c r="K251" s="25"/>
      <c r="L251" s="25"/>
      <c r="M251" s="25"/>
      <c r="N251" s="25"/>
    </row>
    <row r="252" spans="1:14" ht="96.75" x14ac:dyDescent="0.35">
      <c r="A252" s="386" t="s">
        <v>56</v>
      </c>
      <c r="B252" s="154" t="s">
        <v>60</v>
      </c>
      <c r="C252" s="155">
        <v>340528</v>
      </c>
      <c r="D252" s="140" t="s">
        <v>929</v>
      </c>
      <c r="E252" s="25" t="s">
        <v>851</v>
      </c>
      <c r="H252" s="25"/>
      <c r="I252" s="25"/>
      <c r="J252" s="25"/>
      <c r="K252" s="25"/>
      <c r="L252" s="25"/>
      <c r="M252" s="25"/>
      <c r="N252" s="25"/>
    </row>
    <row r="253" spans="1:14" ht="23.25" x14ac:dyDescent="0.35">
      <c r="A253" s="886" t="s">
        <v>59</v>
      </c>
      <c r="B253" s="887"/>
      <c r="C253" s="131">
        <f>SUM(C252:C252)</f>
        <v>340528</v>
      </c>
      <c r="D253" s="132"/>
      <c r="E253" s="488">
        <f>SUM(C253)</f>
        <v>340528</v>
      </c>
      <c r="F253" s="491" t="s">
        <v>832</v>
      </c>
      <c r="H253" s="25"/>
      <c r="I253" s="25"/>
      <c r="J253" s="25"/>
      <c r="K253" s="25"/>
      <c r="L253" s="25"/>
      <c r="M253" s="25"/>
      <c r="N253" s="25"/>
    </row>
    <row r="254" spans="1:14" ht="23.25" x14ac:dyDescent="0.35">
      <c r="A254" s="897" t="s">
        <v>805</v>
      </c>
      <c r="B254" s="898"/>
      <c r="C254" s="899"/>
      <c r="D254" s="475"/>
      <c r="E254" s="488"/>
      <c r="F254" s="491"/>
      <c r="H254" s="25"/>
      <c r="I254" s="25"/>
      <c r="J254" s="25"/>
      <c r="K254" s="25"/>
      <c r="L254" s="25"/>
      <c r="M254" s="25"/>
      <c r="N254" s="25"/>
    </row>
    <row r="255" spans="1:14" ht="45.75" customHeight="1" x14ac:dyDescent="0.35">
      <c r="A255" s="895" t="s">
        <v>55</v>
      </c>
      <c r="B255" s="465" t="s">
        <v>791</v>
      </c>
      <c r="C255" s="155">
        <f>18000+4860</f>
        <v>22860</v>
      </c>
      <c r="D255" s="863" t="s">
        <v>929</v>
      </c>
      <c r="E255" s="488"/>
      <c r="F255" s="491"/>
      <c r="H255" s="25"/>
      <c r="I255" s="25"/>
      <c r="J255" s="25"/>
      <c r="K255" s="25"/>
      <c r="L255" s="25"/>
      <c r="M255" s="25"/>
      <c r="N255" s="25"/>
    </row>
    <row r="256" spans="1:14" ht="45.75" customHeight="1" x14ac:dyDescent="0.35">
      <c r="A256" s="896"/>
      <c r="B256" s="465" t="s">
        <v>937</v>
      </c>
      <c r="C256" s="155">
        <f>82+6</f>
        <v>88</v>
      </c>
      <c r="D256" s="864"/>
      <c r="E256" s="488" t="s">
        <v>938</v>
      </c>
      <c r="F256" s="491"/>
      <c r="H256" s="25"/>
      <c r="I256" s="25"/>
      <c r="J256" s="25"/>
      <c r="K256" s="25"/>
      <c r="L256" s="25"/>
      <c r="M256" s="25"/>
      <c r="N256" s="25"/>
    </row>
    <row r="257" spans="1:14" ht="23.25" x14ac:dyDescent="0.35">
      <c r="A257" s="885" t="s">
        <v>807</v>
      </c>
      <c r="B257" s="885"/>
      <c r="C257" s="601">
        <f>SUM(C255:C256)</f>
        <v>22948</v>
      </c>
      <c r="D257" s="475"/>
      <c r="E257" s="488">
        <f>+C257</f>
        <v>22948</v>
      </c>
      <c r="F257" s="68" t="s">
        <v>831</v>
      </c>
      <c r="G257" s="622">
        <f>+E249+E257</f>
        <v>85991</v>
      </c>
      <c r="H257" s="25"/>
      <c r="I257" s="25"/>
      <c r="J257" s="25"/>
      <c r="K257" s="25"/>
      <c r="L257" s="25"/>
      <c r="M257" s="25"/>
      <c r="N257" s="25"/>
    </row>
    <row r="258" spans="1:14" ht="23.25" x14ac:dyDescent="0.35">
      <c r="A258" s="868" t="s">
        <v>902</v>
      </c>
      <c r="B258" s="868"/>
      <c r="C258" s="568">
        <f>+C249+C253+C257</f>
        <v>426519</v>
      </c>
      <c r="D258" s="549"/>
      <c r="E258" s="488"/>
      <c r="F258" s="491"/>
      <c r="H258" s="25"/>
      <c r="I258" s="25"/>
      <c r="J258" s="25"/>
      <c r="K258" s="25"/>
      <c r="L258" s="25"/>
      <c r="M258" s="25"/>
      <c r="N258" s="25"/>
    </row>
    <row r="259" spans="1:14" ht="23.25" x14ac:dyDescent="0.35">
      <c r="A259" s="228"/>
      <c r="B259" s="229"/>
      <c r="C259" s="131"/>
      <c r="D259" s="262"/>
      <c r="E259" s="25"/>
      <c r="H259" s="25"/>
      <c r="I259" s="25"/>
      <c r="J259" s="25"/>
      <c r="K259" s="25"/>
      <c r="L259" s="25"/>
      <c r="M259" s="25"/>
      <c r="N259" s="25"/>
    </row>
    <row r="260" spans="1:14" s="71" customFormat="1" ht="23.25" x14ac:dyDescent="0.35">
      <c r="A260" s="68"/>
      <c r="B260" s="69" t="s">
        <v>903</v>
      </c>
      <c r="C260" s="70"/>
      <c r="D260" s="147"/>
      <c r="E260" s="68"/>
      <c r="F260" s="1"/>
      <c r="G260" s="1"/>
      <c r="H260" s="25"/>
      <c r="I260" s="25"/>
      <c r="J260" s="25"/>
      <c r="K260" s="68"/>
      <c r="L260" s="68"/>
      <c r="M260" s="68"/>
      <c r="N260" s="68"/>
    </row>
    <row r="261" spans="1:14" ht="23.25" x14ac:dyDescent="0.35">
      <c r="A261" s="31"/>
      <c r="B261" s="259" t="s">
        <v>1025</v>
      </c>
      <c r="C261" s="260">
        <f>+C19+C107+C133+C153+C171+C188+C202+C218+C233+C249</f>
        <v>17257053</v>
      </c>
      <c r="D261" s="865" t="s">
        <v>929</v>
      </c>
      <c r="E261" s="25"/>
      <c r="H261" s="25"/>
      <c r="I261" s="25"/>
      <c r="J261" s="25"/>
      <c r="K261" s="25"/>
      <c r="L261" s="25"/>
      <c r="M261" s="25"/>
      <c r="N261" s="25"/>
    </row>
    <row r="262" spans="1:14" ht="23.25" x14ac:dyDescent="0.35">
      <c r="A262" s="31"/>
      <c r="B262" s="259" t="s">
        <v>729</v>
      </c>
      <c r="C262" s="260">
        <f>+C22</f>
        <v>63513436</v>
      </c>
      <c r="D262" s="866"/>
      <c r="E262" s="25"/>
      <c r="H262" s="25"/>
      <c r="I262" s="25"/>
      <c r="J262" s="25"/>
      <c r="K262" s="25"/>
      <c r="L262" s="25"/>
      <c r="M262" s="25"/>
      <c r="N262" s="25"/>
    </row>
    <row r="263" spans="1:14" ht="23.25" x14ac:dyDescent="0.35">
      <c r="A263" s="31"/>
      <c r="B263" s="259" t="s">
        <v>640</v>
      </c>
      <c r="C263" s="261">
        <f>+C35+C253</f>
        <v>28689016</v>
      </c>
      <c r="D263" s="866"/>
      <c r="E263" s="25"/>
      <c r="H263" s="25"/>
      <c r="I263" s="25"/>
      <c r="J263" s="25"/>
      <c r="K263" s="25"/>
      <c r="L263" s="25"/>
      <c r="M263" s="25"/>
      <c r="N263" s="25"/>
    </row>
    <row r="264" spans="1:14" ht="23.25" x14ac:dyDescent="0.35">
      <c r="A264" s="472"/>
      <c r="B264" s="484" t="s">
        <v>806</v>
      </c>
      <c r="C264" s="485">
        <f>+C84+C113+C142+C158+C180+C193+C208+C226+C238+C257</f>
        <v>163937259</v>
      </c>
      <c r="D264" s="866"/>
      <c r="E264" s="25"/>
      <c r="H264" s="25"/>
      <c r="I264" s="25"/>
      <c r="J264" s="25"/>
      <c r="K264" s="25"/>
      <c r="L264" s="25"/>
      <c r="M264" s="25"/>
      <c r="N264" s="25"/>
    </row>
    <row r="265" spans="1:14" ht="23.25" x14ac:dyDescent="0.35">
      <c r="A265" s="31"/>
      <c r="B265" s="259" t="s">
        <v>837</v>
      </c>
      <c r="C265" s="486">
        <f>+C91</f>
        <v>853990120</v>
      </c>
      <c r="D265" s="867"/>
      <c r="E265" s="25"/>
      <c r="H265" s="25"/>
      <c r="I265" s="25"/>
      <c r="J265" s="25"/>
      <c r="K265" s="25"/>
      <c r="L265" s="25"/>
      <c r="M265" s="25"/>
      <c r="N265" s="25"/>
    </row>
    <row r="266" spans="1:14" ht="23.25" x14ac:dyDescent="0.35">
      <c r="A266" s="623"/>
      <c r="B266" s="624" t="s">
        <v>1024</v>
      </c>
      <c r="C266" s="625">
        <f>+C94</f>
        <v>642944250</v>
      </c>
      <c r="D266" s="611"/>
      <c r="E266" s="25"/>
      <c r="H266" s="25"/>
      <c r="I266" s="25"/>
      <c r="J266" s="25"/>
      <c r="K266" s="25"/>
      <c r="L266" s="25"/>
      <c r="M266" s="25"/>
      <c r="N266" s="25"/>
    </row>
    <row r="267" spans="1:14" ht="57.75" customHeight="1" x14ac:dyDescent="0.35">
      <c r="A267" s="883" t="s">
        <v>904</v>
      </c>
      <c r="B267" s="884"/>
      <c r="C267" s="569">
        <f>SUM(C261:C266)</f>
        <v>1770331134</v>
      </c>
      <c r="D267" s="135"/>
      <c r="E267" s="25"/>
      <c r="H267" s="25"/>
      <c r="I267" s="25"/>
      <c r="J267" s="25"/>
      <c r="K267" s="25"/>
      <c r="L267" s="25"/>
      <c r="M267" s="25"/>
      <c r="N267" s="25"/>
    </row>
    <row r="268" spans="1:14" ht="23.25" x14ac:dyDescent="0.35">
      <c r="A268" s="25"/>
      <c r="B268" s="25"/>
      <c r="C268" s="61"/>
      <c r="D268" s="32"/>
      <c r="E268" s="25"/>
      <c r="K268" s="25"/>
      <c r="L268" s="25"/>
      <c r="M268" s="25"/>
      <c r="N268" s="25"/>
    </row>
    <row r="269" spans="1:14" ht="23.25" x14ac:dyDescent="0.35">
      <c r="A269" s="173"/>
      <c r="B269" s="25" t="s">
        <v>739</v>
      </c>
      <c r="C269" s="61">
        <f>+E17+E21+E62+E87+E94+E107+E113+E133+E142+E153+E158+E170+E180+E188+E193+E202+E208+E218+E224+E233+E238+E249+E257</f>
        <v>817806308</v>
      </c>
      <c r="D269" s="32"/>
      <c r="E269" s="25"/>
      <c r="K269" s="25"/>
      <c r="L269" s="25"/>
      <c r="M269" s="25"/>
      <c r="N269" s="25"/>
    </row>
    <row r="270" spans="1:14" ht="23.25" x14ac:dyDescent="0.35">
      <c r="A270" s="25"/>
      <c r="B270" s="25" t="s">
        <v>740</v>
      </c>
      <c r="C270" s="61">
        <f>+E18+E30+E83+E90+E226+E253</f>
        <v>952524826</v>
      </c>
      <c r="D270" s="32"/>
      <c r="E270" s="25"/>
      <c r="K270" s="25"/>
      <c r="L270" s="25"/>
      <c r="M270" s="25"/>
      <c r="N270" s="25"/>
    </row>
    <row r="271" spans="1:14" ht="23.25" x14ac:dyDescent="0.35">
      <c r="A271" s="25"/>
      <c r="B271" s="25" t="s">
        <v>741</v>
      </c>
      <c r="C271" s="61">
        <f>SUM(C269:C270)</f>
        <v>1770331134</v>
      </c>
      <c r="D271" s="25"/>
      <c r="E271" s="25"/>
      <c r="K271" s="25"/>
      <c r="L271" s="25"/>
      <c r="M271" s="25"/>
      <c r="N271" s="25"/>
    </row>
    <row r="272" spans="1:14" ht="23.25" x14ac:dyDescent="0.35">
      <c r="A272" s="25"/>
      <c r="B272" s="25"/>
      <c r="C272" s="60"/>
      <c r="D272" s="27"/>
      <c r="E272" s="25"/>
      <c r="K272" s="25"/>
      <c r="L272" s="25"/>
      <c r="M272" s="25"/>
      <c r="N272" s="25"/>
    </row>
    <row r="273" spans="1:14" ht="23.25" x14ac:dyDescent="0.35">
      <c r="A273" s="25"/>
      <c r="B273" s="25"/>
      <c r="C273" s="177">
        <f>+C35+C253</f>
        <v>28689016</v>
      </c>
      <c r="D273" s="25"/>
      <c r="E273" s="25"/>
      <c r="K273" s="25"/>
      <c r="L273" s="25"/>
      <c r="M273" s="25"/>
      <c r="N273" s="25"/>
    </row>
    <row r="278" spans="1:14" x14ac:dyDescent="0.25">
      <c r="E278" s="626">
        <f>+C267-C271</f>
        <v>0</v>
      </c>
    </row>
  </sheetData>
  <mergeCells count="92">
    <mergeCell ref="A37:A62"/>
    <mergeCell ref="D111:D112"/>
    <mergeCell ref="A111:A112"/>
    <mergeCell ref="A142:B142"/>
    <mergeCell ref="D118:D132"/>
    <mergeCell ref="A86:A87"/>
    <mergeCell ref="D86:D90"/>
    <mergeCell ref="A85:C85"/>
    <mergeCell ref="A92:C92"/>
    <mergeCell ref="A94:B94"/>
    <mergeCell ref="A107:B107"/>
    <mergeCell ref="A133:B133"/>
    <mergeCell ref="A118:A132"/>
    <mergeCell ref="A137:A141"/>
    <mergeCell ref="A136:C136"/>
    <mergeCell ref="A110:C110"/>
    <mergeCell ref="A63:A83"/>
    <mergeCell ref="A254:C254"/>
    <mergeCell ref="A238:B238"/>
    <mergeCell ref="A227:B227"/>
    <mergeCell ref="A208:B208"/>
    <mergeCell ref="A236:C236"/>
    <mergeCell ref="A222:A224"/>
    <mergeCell ref="A113:B113"/>
    <mergeCell ref="A147:A152"/>
    <mergeCell ref="A171:B171"/>
    <mergeCell ref="A153:B153"/>
    <mergeCell ref="A163:A170"/>
    <mergeCell ref="A158:B158"/>
    <mergeCell ref="A174:C174"/>
    <mergeCell ref="A156:C156"/>
    <mergeCell ref="D175:D179"/>
    <mergeCell ref="D243:D248"/>
    <mergeCell ref="D206:D207"/>
    <mergeCell ref="A242:C242"/>
    <mergeCell ref="D213:D217"/>
    <mergeCell ref="D231:D232"/>
    <mergeCell ref="D222:D225"/>
    <mergeCell ref="A194:B194"/>
    <mergeCell ref="A180:B180"/>
    <mergeCell ref="A197:C197"/>
    <mergeCell ref="A191:C191"/>
    <mergeCell ref="A193:B193"/>
    <mergeCell ref="A209:B209"/>
    <mergeCell ref="A1:D1"/>
    <mergeCell ref="D5:D17"/>
    <mergeCell ref="D24:D34"/>
    <mergeCell ref="A31:A34"/>
    <mergeCell ref="D99:D106"/>
    <mergeCell ref="A91:B91"/>
    <mergeCell ref="A19:B19"/>
    <mergeCell ref="A35:B35"/>
    <mergeCell ref="A24:A30"/>
    <mergeCell ref="A22:B22"/>
    <mergeCell ref="A5:A17"/>
    <mergeCell ref="A84:B84"/>
    <mergeCell ref="A99:A106"/>
    <mergeCell ref="D37:D62"/>
    <mergeCell ref="D63:D83"/>
    <mergeCell ref="A88:A90"/>
    <mergeCell ref="A267:B267"/>
    <mergeCell ref="A202:B202"/>
    <mergeCell ref="A249:B249"/>
    <mergeCell ref="A253:B253"/>
    <mergeCell ref="A218:B218"/>
    <mergeCell ref="A233:B233"/>
    <mergeCell ref="A213:A217"/>
    <mergeCell ref="A243:A248"/>
    <mergeCell ref="A231:A232"/>
    <mergeCell ref="A226:B226"/>
    <mergeCell ref="A258:B258"/>
    <mergeCell ref="A239:B239"/>
    <mergeCell ref="A257:B257"/>
    <mergeCell ref="A255:A256"/>
    <mergeCell ref="A206:A207"/>
    <mergeCell ref="A205:C205"/>
    <mergeCell ref="D255:D256"/>
    <mergeCell ref="D261:D265"/>
    <mergeCell ref="A95:B95"/>
    <mergeCell ref="A114:B114"/>
    <mergeCell ref="A143:B143"/>
    <mergeCell ref="A159:B159"/>
    <mergeCell ref="A181:B181"/>
    <mergeCell ref="D147:D152"/>
    <mergeCell ref="D163:D170"/>
    <mergeCell ref="A185:A187"/>
    <mergeCell ref="D185:D187"/>
    <mergeCell ref="A198:A201"/>
    <mergeCell ref="D198:D201"/>
    <mergeCell ref="A188:B188"/>
    <mergeCell ref="A98:C98"/>
    <mergeCell ref="D137:D141"/>
  </mergeCells>
  <printOptions horizontalCentered="1" verticalCentered="1"/>
  <pageMargins left="0.31496062992125984" right="0.31496062992125984" top="0.59055118110236227" bottom="0.59055118110236227" header="0.15748031496062992" footer="0.55118110236220474"/>
  <pageSetup paperSize="9" scale="36" orientation="portrait" r:id="rId1"/>
  <headerFooter>
    <oddHeader>&amp;CDunaharaszti Város Önkormányzat 
2021. évi zárszámadás&amp;R&amp;A</oddHeader>
    <oddFooter>&amp;C&amp;P/&amp;N</oddFooter>
  </headerFooter>
  <rowBreaks count="3" manualBreakCount="3">
    <brk id="62" max="3" man="1"/>
    <brk id="135" max="3" man="1"/>
    <brk id="209" max="3" man="1"/>
  </rowBreaks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L82"/>
  <sheetViews>
    <sheetView view="pageBreakPreview" topLeftCell="A63" zoomScaleNormal="100" zoomScaleSheetLayoutView="100" workbookViewId="0">
      <selection activeCell="D70" sqref="D70"/>
    </sheetView>
  </sheetViews>
  <sheetFormatPr defaultColWidth="9.140625" defaultRowHeight="15" x14ac:dyDescent="0.25"/>
  <cols>
    <col min="1" max="1" width="9.140625" style="56"/>
    <col min="2" max="2" width="6" style="56" customWidth="1"/>
    <col min="3" max="3" width="81.5703125" style="56" customWidth="1"/>
    <col min="4" max="4" width="20.85546875" style="56" customWidth="1"/>
    <col min="5" max="5" width="20.7109375" style="56" customWidth="1"/>
    <col min="6" max="6" width="18.7109375" style="56" customWidth="1"/>
    <col min="7" max="7" width="17.140625" style="56" customWidth="1"/>
    <col min="8" max="8" width="17.42578125" style="56" bestFit="1" customWidth="1"/>
    <col min="9" max="11" width="9.140625" style="56"/>
    <col min="12" max="12" width="18.7109375" style="56" customWidth="1"/>
    <col min="13" max="16384" width="9.140625" style="56"/>
  </cols>
  <sheetData>
    <row r="1" spans="1:5" ht="23.25" x14ac:dyDescent="0.35">
      <c r="A1" s="927" t="s">
        <v>61</v>
      </c>
      <c r="B1" s="927"/>
      <c r="C1" s="927"/>
      <c r="D1" s="927"/>
      <c r="E1" s="927"/>
    </row>
    <row r="2" spans="1:5" ht="8.25" customHeight="1" x14ac:dyDescent="0.35">
      <c r="A2" s="230"/>
      <c r="B2" s="230"/>
      <c r="C2" s="230"/>
      <c r="D2" s="230"/>
      <c r="E2" s="230"/>
    </row>
    <row r="3" spans="1:5" ht="32.25" customHeight="1" x14ac:dyDescent="0.35">
      <c r="A3" s="928" t="s">
        <v>1026</v>
      </c>
      <c r="B3" s="928"/>
      <c r="C3" s="928"/>
      <c r="D3" s="928"/>
      <c r="E3" s="928"/>
    </row>
    <row r="4" spans="1:5" ht="30" x14ac:dyDescent="0.25">
      <c r="A4" s="78"/>
      <c r="B4" s="161" t="s">
        <v>1</v>
      </c>
      <c r="C4" s="79" t="s">
        <v>53</v>
      </c>
      <c r="D4" s="80" t="s">
        <v>54</v>
      </c>
      <c r="E4" s="166"/>
    </row>
    <row r="5" spans="1:5" ht="15" customHeight="1" x14ac:dyDescent="0.25">
      <c r="A5" s="938" t="s">
        <v>63</v>
      </c>
      <c r="B5" s="570" t="s">
        <v>3</v>
      </c>
      <c r="C5" s="571" t="s">
        <v>1030</v>
      </c>
      <c r="D5" s="631">
        <v>10000000</v>
      </c>
      <c r="E5" s="931" t="s">
        <v>929</v>
      </c>
    </row>
    <row r="6" spans="1:5" x14ac:dyDescent="0.25">
      <c r="A6" s="939"/>
      <c r="B6" s="572" t="s">
        <v>4</v>
      </c>
      <c r="C6" s="487" t="s">
        <v>1031</v>
      </c>
      <c r="D6" s="630">
        <v>15000000</v>
      </c>
      <c r="E6" s="932"/>
    </row>
    <row r="7" spans="1:5" x14ac:dyDescent="0.25">
      <c r="A7" s="939"/>
      <c r="B7" s="572" t="s">
        <v>5</v>
      </c>
      <c r="C7" s="487" t="s">
        <v>1032</v>
      </c>
      <c r="D7" s="630">
        <v>5000000</v>
      </c>
      <c r="E7" s="932"/>
    </row>
    <row r="8" spans="1:5" x14ac:dyDescent="0.25">
      <c r="A8" s="939"/>
      <c r="B8" s="572" t="s">
        <v>6</v>
      </c>
      <c r="C8" s="487" t="s">
        <v>1033</v>
      </c>
      <c r="D8" s="630">
        <v>6000000</v>
      </c>
      <c r="E8" s="932"/>
    </row>
    <row r="9" spans="1:5" x14ac:dyDescent="0.25">
      <c r="A9" s="939"/>
      <c r="B9" s="572" t="s">
        <v>7</v>
      </c>
      <c r="C9" s="487" t="s">
        <v>1034</v>
      </c>
      <c r="D9" s="630">
        <v>10000000</v>
      </c>
      <c r="E9" s="932"/>
    </row>
    <row r="10" spans="1:5" x14ac:dyDescent="0.25">
      <c r="A10" s="939"/>
      <c r="B10" s="572" t="s">
        <v>8</v>
      </c>
      <c r="C10" s="487" t="s">
        <v>1035</v>
      </c>
      <c r="D10" s="630">
        <v>40000000</v>
      </c>
      <c r="E10" s="932"/>
    </row>
    <row r="11" spans="1:5" x14ac:dyDescent="0.25">
      <c r="A11" s="939"/>
      <c r="B11" s="572" t="s">
        <v>9</v>
      </c>
      <c r="C11" s="487" t="s">
        <v>1036</v>
      </c>
      <c r="D11" s="630">
        <v>30000000</v>
      </c>
      <c r="E11" s="932"/>
    </row>
    <row r="12" spans="1:5" x14ac:dyDescent="0.25">
      <c r="A12" s="939"/>
      <c r="B12" s="572" t="s">
        <v>23</v>
      </c>
      <c r="C12" s="487" t="s">
        <v>1037</v>
      </c>
      <c r="D12" s="632">
        <v>38000000</v>
      </c>
      <c r="E12" s="932"/>
    </row>
    <row r="13" spans="1:5" x14ac:dyDescent="0.25">
      <c r="A13" s="939"/>
      <c r="B13" s="572" t="s">
        <v>25</v>
      </c>
      <c r="C13" s="487" t="s">
        <v>1038</v>
      </c>
      <c r="D13" s="630">
        <v>15000000</v>
      </c>
      <c r="E13" s="932"/>
    </row>
    <row r="14" spans="1:5" x14ac:dyDescent="0.25">
      <c r="A14" s="939"/>
      <c r="B14" s="572" t="s">
        <v>27</v>
      </c>
      <c r="C14" s="487" t="s">
        <v>1039</v>
      </c>
      <c r="D14" s="630">
        <v>3000000</v>
      </c>
      <c r="E14" s="932"/>
    </row>
    <row r="15" spans="1:5" x14ac:dyDescent="0.25">
      <c r="A15" s="939"/>
      <c r="B15" s="572" t="s">
        <v>30</v>
      </c>
      <c r="C15" s="487" t="s">
        <v>1040</v>
      </c>
      <c r="D15" s="630">
        <v>5000000</v>
      </c>
      <c r="E15" s="932"/>
    </row>
    <row r="16" spans="1:5" x14ac:dyDescent="0.25">
      <c r="A16" s="939"/>
      <c r="B16" s="572" t="s">
        <v>32</v>
      </c>
      <c r="C16" s="487" t="s">
        <v>1041</v>
      </c>
      <c r="D16" s="630">
        <v>5000000</v>
      </c>
      <c r="E16" s="932"/>
    </row>
    <row r="17" spans="1:7" x14ac:dyDescent="0.25">
      <c r="A17" s="939"/>
      <c r="B17" s="572" t="s">
        <v>33</v>
      </c>
      <c r="C17" s="487" t="s">
        <v>1042</v>
      </c>
      <c r="D17" s="630">
        <v>5000000</v>
      </c>
      <c r="E17" s="932"/>
    </row>
    <row r="18" spans="1:7" x14ac:dyDescent="0.25">
      <c r="A18" s="939"/>
      <c r="B18" s="572" t="s">
        <v>34</v>
      </c>
      <c r="C18" s="487" t="s">
        <v>1043</v>
      </c>
      <c r="D18" s="630">
        <v>6000000</v>
      </c>
      <c r="E18" s="932"/>
    </row>
    <row r="19" spans="1:7" x14ac:dyDescent="0.25">
      <c r="A19" s="939"/>
      <c r="B19" s="572" t="s">
        <v>35</v>
      </c>
      <c r="C19" s="487" t="s">
        <v>1044</v>
      </c>
      <c r="D19" s="630">
        <v>13970000</v>
      </c>
      <c r="E19" s="932"/>
    </row>
    <row r="20" spans="1:7" x14ac:dyDescent="0.25">
      <c r="A20" s="939"/>
      <c r="B20" s="572" t="s">
        <v>37</v>
      </c>
      <c r="C20" s="487" t="s">
        <v>1045</v>
      </c>
      <c r="D20" s="630">
        <v>9000000</v>
      </c>
      <c r="E20" s="932"/>
    </row>
    <row r="21" spans="1:7" x14ac:dyDescent="0.25">
      <c r="A21" s="939"/>
      <c r="B21" s="572" t="s">
        <v>47</v>
      </c>
      <c r="C21" s="487" t="s">
        <v>1046</v>
      </c>
      <c r="D21" s="630">
        <v>30000000</v>
      </c>
      <c r="E21" s="932"/>
    </row>
    <row r="22" spans="1:7" x14ac:dyDescent="0.25">
      <c r="A22" s="939"/>
      <c r="B22" s="572" t="s">
        <v>49</v>
      </c>
      <c r="C22" s="487" t="s">
        <v>1047</v>
      </c>
      <c r="D22" s="630">
        <v>10000000</v>
      </c>
      <c r="E22" s="932"/>
    </row>
    <row r="23" spans="1:7" x14ac:dyDescent="0.25">
      <c r="A23" s="939"/>
      <c r="B23" s="572" t="s">
        <v>66</v>
      </c>
      <c r="C23" s="487" t="s">
        <v>1048</v>
      </c>
      <c r="D23" s="630">
        <v>10000000</v>
      </c>
      <c r="E23" s="932"/>
    </row>
    <row r="24" spans="1:7" x14ac:dyDescent="0.25">
      <c r="A24" s="939"/>
      <c r="B24" s="572" t="s">
        <v>67</v>
      </c>
      <c r="C24" s="487" t="s">
        <v>1049</v>
      </c>
      <c r="D24" s="630">
        <v>10000000</v>
      </c>
      <c r="E24" s="932"/>
    </row>
    <row r="25" spans="1:7" x14ac:dyDescent="0.25">
      <c r="A25" s="939"/>
      <c r="B25" s="572" t="s">
        <v>68</v>
      </c>
      <c r="C25" s="487" t="s">
        <v>1050</v>
      </c>
      <c r="D25" s="630">
        <v>17000000</v>
      </c>
      <c r="E25" s="932"/>
    </row>
    <row r="26" spans="1:7" x14ac:dyDescent="0.25">
      <c r="A26" s="939"/>
      <c r="B26" s="572" t="s">
        <v>69</v>
      </c>
      <c r="C26" s="487" t="s">
        <v>1051</v>
      </c>
      <c r="D26" s="630">
        <v>5000000</v>
      </c>
      <c r="E26" s="932"/>
      <c r="F26" s="305"/>
    </row>
    <row r="27" spans="1:7" x14ac:dyDescent="0.25">
      <c r="A27" s="939"/>
      <c r="B27" s="572" t="s">
        <v>70</v>
      </c>
      <c r="C27" s="633" t="s">
        <v>1052</v>
      </c>
      <c r="D27" s="630">
        <v>2000000</v>
      </c>
      <c r="E27" s="462"/>
      <c r="F27" s="305"/>
    </row>
    <row r="28" spans="1:7" x14ac:dyDescent="0.25">
      <c r="A28" s="939"/>
      <c r="B28" s="634" t="s">
        <v>71</v>
      </c>
      <c r="C28" s="629" t="s">
        <v>1053</v>
      </c>
      <c r="D28" s="635">
        <v>10000000</v>
      </c>
      <c r="E28" s="462"/>
      <c r="F28" s="305">
        <f>SUM(D5:D28)</f>
        <v>309970000</v>
      </c>
      <c r="G28" s="56" t="s">
        <v>730</v>
      </c>
    </row>
    <row r="29" spans="1:7" ht="17.25" customHeight="1" x14ac:dyDescent="0.25">
      <c r="A29" s="935" t="s">
        <v>64</v>
      </c>
      <c r="B29" s="570" t="s">
        <v>72</v>
      </c>
      <c r="C29" s="636" t="s">
        <v>1054</v>
      </c>
      <c r="D29" s="631">
        <v>240150000</v>
      </c>
      <c r="E29" s="933" t="s">
        <v>929</v>
      </c>
      <c r="F29" s="81"/>
    </row>
    <row r="30" spans="1:7" ht="17.25" customHeight="1" x14ac:dyDescent="0.25">
      <c r="A30" s="936"/>
      <c r="B30" s="572" t="s">
        <v>73</v>
      </c>
      <c r="C30" s="633" t="s">
        <v>1055</v>
      </c>
      <c r="D30" s="630">
        <v>50000000</v>
      </c>
      <c r="E30" s="933"/>
    </row>
    <row r="31" spans="1:7" ht="17.25" customHeight="1" x14ac:dyDescent="0.25">
      <c r="A31" s="936"/>
      <c r="B31" s="572" t="s">
        <v>74</v>
      </c>
      <c r="C31" s="633" t="s">
        <v>1056</v>
      </c>
      <c r="D31" s="630">
        <v>50000000</v>
      </c>
      <c r="E31" s="933"/>
    </row>
    <row r="32" spans="1:7" ht="17.25" customHeight="1" x14ac:dyDescent="0.25">
      <c r="A32" s="936"/>
      <c r="B32" s="572" t="s">
        <v>75</v>
      </c>
      <c r="C32" s="633" t="s">
        <v>1057</v>
      </c>
      <c r="D32" s="630">
        <v>20000000</v>
      </c>
      <c r="E32" s="933"/>
    </row>
    <row r="33" spans="1:6" ht="17.25" customHeight="1" x14ac:dyDescent="0.25">
      <c r="A33" s="936"/>
      <c r="B33" s="572" t="s">
        <v>266</v>
      </c>
      <c r="C33" s="633" t="s">
        <v>1058</v>
      </c>
      <c r="D33" s="630">
        <v>50000000</v>
      </c>
      <c r="E33" s="933"/>
    </row>
    <row r="34" spans="1:6" ht="17.25" customHeight="1" x14ac:dyDescent="0.25">
      <c r="A34" s="936"/>
      <c r="B34" s="572" t="s">
        <v>267</v>
      </c>
      <c r="C34" s="633" t="s">
        <v>1059</v>
      </c>
      <c r="D34" s="630">
        <v>10000000</v>
      </c>
      <c r="E34" s="933"/>
    </row>
    <row r="35" spans="1:6" ht="17.25" customHeight="1" x14ac:dyDescent="0.25">
      <c r="A35" s="936"/>
      <c r="B35" s="572" t="s">
        <v>268</v>
      </c>
      <c r="C35" s="633" t="s">
        <v>1060</v>
      </c>
      <c r="D35" s="630">
        <v>93000000</v>
      </c>
      <c r="E35" s="933"/>
    </row>
    <row r="36" spans="1:6" ht="17.25" customHeight="1" x14ac:dyDescent="0.25">
      <c r="A36" s="936"/>
      <c r="B36" s="572" t="s">
        <v>269</v>
      </c>
      <c r="C36" s="633" t="s">
        <v>1061</v>
      </c>
      <c r="D36" s="630">
        <v>10000000</v>
      </c>
      <c r="E36" s="933"/>
    </row>
    <row r="37" spans="1:6" ht="17.25" customHeight="1" x14ac:dyDescent="0.25">
      <c r="A37" s="936"/>
      <c r="B37" s="572" t="s">
        <v>270</v>
      </c>
      <c r="C37" s="633" t="s">
        <v>1062</v>
      </c>
      <c r="D37" s="630">
        <v>3000000</v>
      </c>
      <c r="E37" s="933"/>
    </row>
    <row r="38" spans="1:6" ht="17.25" customHeight="1" x14ac:dyDescent="0.25">
      <c r="A38" s="936"/>
      <c r="B38" s="572" t="s">
        <v>271</v>
      </c>
      <c r="C38" s="633" t="s">
        <v>1063</v>
      </c>
      <c r="D38" s="630">
        <v>25000000</v>
      </c>
      <c r="E38" s="933"/>
    </row>
    <row r="39" spans="1:6" ht="17.25" customHeight="1" x14ac:dyDescent="0.25">
      <c r="A39" s="936"/>
      <c r="B39" s="572" t="s">
        <v>272</v>
      </c>
      <c r="C39" s="633" t="s">
        <v>1064</v>
      </c>
      <c r="D39" s="630">
        <v>10000000</v>
      </c>
      <c r="E39" s="933"/>
    </row>
    <row r="40" spans="1:6" ht="17.25" customHeight="1" x14ac:dyDescent="0.25">
      <c r="A40" s="936"/>
      <c r="B40" s="572" t="s">
        <v>273</v>
      </c>
      <c r="C40" s="633" t="s">
        <v>1065</v>
      </c>
      <c r="D40" s="630">
        <v>25000000</v>
      </c>
      <c r="E40" s="933"/>
      <c r="F40" s="81"/>
    </row>
    <row r="41" spans="1:6" ht="17.25" customHeight="1" x14ac:dyDescent="0.25">
      <c r="A41" s="936"/>
      <c r="B41" s="572" t="s">
        <v>274</v>
      </c>
      <c r="C41" s="633" t="s">
        <v>1066</v>
      </c>
      <c r="D41" s="630">
        <v>51500000</v>
      </c>
      <c r="E41" s="933"/>
    </row>
    <row r="42" spans="1:6" ht="25.5" x14ac:dyDescent="0.25">
      <c r="A42" s="936"/>
      <c r="B42" s="572" t="s">
        <v>505</v>
      </c>
      <c r="C42" s="633" t="s">
        <v>1067</v>
      </c>
      <c r="D42" s="630">
        <v>101000000</v>
      </c>
      <c r="E42" s="933"/>
    </row>
    <row r="43" spans="1:6" ht="17.25" customHeight="1" x14ac:dyDescent="0.25">
      <c r="A43" s="936"/>
      <c r="B43" s="572" t="s">
        <v>275</v>
      </c>
      <c r="C43" s="633" t="s">
        <v>1068</v>
      </c>
      <c r="D43" s="630">
        <v>42500000</v>
      </c>
      <c r="E43" s="933"/>
    </row>
    <row r="44" spans="1:6" ht="17.25" customHeight="1" x14ac:dyDescent="0.25">
      <c r="A44" s="936"/>
      <c r="B44" s="572" t="s">
        <v>276</v>
      </c>
      <c r="C44" s="633" t="s">
        <v>1069</v>
      </c>
      <c r="D44" s="630">
        <v>37000000</v>
      </c>
      <c r="E44" s="933"/>
    </row>
    <row r="45" spans="1:6" ht="17.25" customHeight="1" x14ac:dyDescent="0.25">
      <c r="A45" s="936"/>
      <c r="B45" s="572" t="s">
        <v>277</v>
      </c>
      <c r="C45" s="633" t="s">
        <v>1070</v>
      </c>
      <c r="D45" s="630">
        <v>20000000</v>
      </c>
      <c r="E45" s="933"/>
    </row>
    <row r="46" spans="1:6" ht="17.25" customHeight="1" x14ac:dyDescent="0.25">
      <c r="A46" s="936"/>
      <c r="B46" s="572" t="s">
        <v>278</v>
      </c>
      <c r="C46" s="633" t="s">
        <v>1071</v>
      </c>
      <c r="D46" s="630">
        <v>120000000</v>
      </c>
      <c r="E46" s="933"/>
    </row>
    <row r="47" spans="1:6" x14ac:dyDescent="0.25">
      <c r="A47" s="936"/>
      <c r="B47" s="572" t="s">
        <v>279</v>
      </c>
      <c r="C47" s="633" t="s">
        <v>1072</v>
      </c>
      <c r="D47" s="630">
        <v>1750000</v>
      </c>
      <c r="E47" s="933"/>
    </row>
    <row r="48" spans="1:6" ht="17.25" customHeight="1" x14ac:dyDescent="0.25">
      <c r="A48" s="936"/>
      <c r="B48" s="572" t="s">
        <v>280</v>
      </c>
      <c r="C48" s="633" t="s">
        <v>1073</v>
      </c>
      <c r="D48" s="630">
        <v>840000</v>
      </c>
      <c r="E48" s="933"/>
    </row>
    <row r="49" spans="1:12" x14ac:dyDescent="0.25">
      <c r="A49" s="936"/>
      <c r="B49" s="572" t="s">
        <v>281</v>
      </c>
      <c r="C49" s="633" t="s">
        <v>1074</v>
      </c>
      <c r="D49" s="630">
        <v>500000</v>
      </c>
      <c r="E49" s="933"/>
    </row>
    <row r="50" spans="1:12" x14ac:dyDescent="0.25">
      <c r="A50" s="936"/>
      <c r="B50" s="572" t="s">
        <v>282</v>
      </c>
      <c r="C50" s="633" t="s">
        <v>1075</v>
      </c>
      <c r="D50" s="630">
        <v>500000</v>
      </c>
      <c r="E50" s="933"/>
    </row>
    <row r="51" spans="1:12" x14ac:dyDescent="0.25">
      <c r="A51" s="936"/>
      <c r="B51" s="572" t="s">
        <v>283</v>
      </c>
      <c r="C51" s="633" t="s">
        <v>1076</v>
      </c>
      <c r="D51" s="630">
        <v>300000</v>
      </c>
      <c r="E51" s="933"/>
    </row>
    <row r="52" spans="1:12" x14ac:dyDescent="0.25">
      <c r="A52" s="936"/>
      <c r="B52" s="572" t="s">
        <v>284</v>
      </c>
      <c r="C52" s="633" t="s">
        <v>1077</v>
      </c>
      <c r="D52" s="630">
        <v>1000000</v>
      </c>
      <c r="E52" s="933"/>
    </row>
    <row r="53" spans="1:12" ht="17.25" customHeight="1" x14ac:dyDescent="0.25">
      <c r="A53" s="937"/>
      <c r="B53" s="573" t="s">
        <v>285</v>
      </c>
      <c r="C53" s="637" t="s">
        <v>1078</v>
      </c>
      <c r="D53" s="638">
        <v>476990000</v>
      </c>
      <c r="E53" s="933"/>
      <c r="F53" s="81">
        <f>SUM(D29:D53)</f>
        <v>1440030000</v>
      </c>
      <c r="G53" s="56" t="s">
        <v>731</v>
      </c>
    </row>
    <row r="54" spans="1:12" ht="18.75" x14ac:dyDescent="0.25">
      <c r="A54" s="165"/>
      <c r="B54" s="934" t="s">
        <v>506</v>
      </c>
      <c r="C54" s="934"/>
      <c r="D54" s="149">
        <f>SUM(D5:D53)</f>
        <v>1750000000</v>
      </c>
      <c r="E54" s="150"/>
      <c r="F54" s="82"/>
      <c r="L54" s="81"/>
    </row>
    <row r="55" spans="1:12" x14ac:dyDescent="0.25">
      <c r="A55" s="153"/>
      <c r="B55" s="152"/>
      <c r="C55" s="152"/>
      <c r="D55" s="152"/>
      <c r="E55" s="151"/>
      <c r="F55" s="81"/>
    </row>
    <row r="56" spans="1:12" ht="43.5" customHeight="1" x14ac:dyDescent="0.35">
      <c r="A56" s="928" t="s">
        <v>1027</v>
      </c>
      <c r="B56" s="928"/>
      <c r="C56" s="928"/>
      <c r="D56" s="928"/>
      <c r="E56" s="928"/>
    </row>
    <row r="58" spans="1:12" ht="23.25" x14ac:dyDescent="0.35">
      <c r="A58" s="927" t="s">
        <v>51</v>
      </c>
      <c r="B58" s="927"/>
      <c r="C58" s="927"/>
      <c r="D58" s="927"/>
      <c r="E58" s="927"/>
    </row>
    <row r="59" spans="1:12" ht="23.25" x14ac:dyDescent="0.35">
      <c r="A59" s="171"/>
      <c r="B59" s="171"/>
      <c r="C59" s="171"/>
      <c r="D59" s="171"/>
      <c r="E59" s="171"/>
    </row>
    <row r="60" spans="1:12" ht="30" x14ac:dyDescent="0.25">
      <c r="A60" s="315"/>
      <c r="B60" s="161" t="s">
        <v>1</v>
      </c>
      <c r="C60" s="172" t="s">
        <v>587</v>
      </c>
      <c r="D60" s="179" t="s">
        <v>54</v>
      </c>
      <c r="E60" s="153"/>
    </row>
    <row r="61" spans="1:12" s="319" customFormat="1" ht="30.75" customHeight="1" x14ac:dyDescent="0.25">
      <c r="A61" s="940" t="s">
        <v>64</v>
      </c>
      <c r="B61" s="313" t="s">
        <v>3</v>
      </c>
      <c r="C61" s="316" t="s">
        <v>1079</v>
      </c>
      <c r="D61" s="317">
        <v>10000000</v>
      </c>
      <c r="E61" s="318"/>
    </row>
    <row r="62" spans="1:12" s="319" customFormat="1" ht="30.75" customHeight="1" x14ac:dyDescent="0.25">
      <c r="A62" s="940"/>
      <c r="B62" s="313" t="s">
        <v>4</v>
      </c>
      <c r="C62" s="508" t="s">
        <v>1080</v>
      </c>
      <c r="D62" s="509">
        <v>24003000</v>
      </c>
      <c r="E62" s="318"/>
    </row>
    <row r="63" spans="1:12" s="319" customFormat="1" ht="30.75" customHeight="1" x14ac:dyDescent="0.25">
      <c r="A63" s="940"/>
      <c r="B63" s="313" t="s">
        <v>5</v>
      </c>
      <c r="C63" s="508" t="s">
        <v>1081</v>
      </c>
      <c r="D63" s="509">
        <v>5000000</v>
      </c>
      <c r="E63" s="318"/>
      <c r="F63" s="510">
        <f>SUM(D61:D66)</f>
        <v>141592897</v>
      </c>
      <c r="G63" s="319" t="s">
        <v>831</v>
      </c>
    </row>
    <row r="64" spans="1:12" s="319" customFormat="1" ht="30.75" customHeight="1" x14ac:dyDescent="0.25">
      <c r="A64" s="940"/>
      <c r="B64" s="313" t="s">
        <v>6</v>
      </c>
      <c r="C64" s="807" t="s">
        <v>1194</v>
      </c>
      <c r="D64" s="808">
        <v>40000000</v>
      </c>
      <c r="E64" s="318"/>
      <c r="F64" s="510"/>
    </row>
    <row r="65" spans="1:7" s="319" customFormat="1" ht="30.75" customHeight="1" x14ac:dyDescent="0.25">
      <c r="A65" s="940"/>
      <c r="B65" s="313" t="s">
        <v>7</v>
      </c>
      <c r="C65" s="807" t="s">
        <v>1200</v>
      </c>
      <c r="D65" s="808">
        <v>4000000</v>
      </c>
      <c r="E65" s="318"/>
      <c r="F65" s="510"/>
    </row>
    <row r="66" spans="1:7" s="319" customFormat="1" ht="30.75" customHeight="1" x14ac:dyDescent="0.25">
      <c r="A66" s="940"/>
      <c r="B66" s="313" t="s">
        <v>8</v>
      </c>
      <c r="C66" s="508" t="s">
        <v>1060</v>
      </c>
      <c r="D66" s="509">
        <v>58589897</v>
      </c>
      <c r="E66" s="318"/>
      <c r="F66" s="510"/>
    </row>
    <row r="67" spans="1:7" s="319" customFormat="1" ht="30.75" customHeight="1" x14ac:dyDescent="0.25">
      <c r="A67" s="940" t="s">
        <v>56</v>
      </c>
      <c r="B67" s="313" t="s">
        <v>9</v>
      </c>
      <c r="C67" s="508" t="s">
        <v>1037</v>
      </c>
      <c r="D67" s="509">
        <v>10000000</v>
      </c>
      <c r="E67" s="318"/>
      <c r="F67" s="510"/>
    </row>
    <row r="68" spans="1:7" s="319" customFormat="1" ht="64.5" customHeight="1" x14ac:dyDescent="0.25">
      <c r="A68" s="940"/>
      <c r="B68" s="313" t="s">
        <v>23</v>
      </c>
      <c r="C68" s="508" t="s">
        <v>1199</v>
      </c>
      <c r="D68" s="509">
        <v>118000000</v>
      </c>
      <c r="E68" s="318"/>
      <c r="F68" s="510">
        <f>SUM(D67:D68)</f>
        <v>128000000</v>
      </c>
      <c r="G68" s="319" t="s">
        <v>832</v>
      </c>
    </row>
    <row r="69" spans="1:7" x14ac:dyDescent="0.25">
      <c r="F69" s="82"/>
    </row>
    <row r="70" spans="1:7" ht="39.75" customHeight="1" x14ac:dyDescent="0.3">
      <c r="A70" s="929" t="s">
        <v>1028</v>
      </c>
      <c r="B70" s="929"/>
      <c r="C70" s="929"/>
      <c r="D70" s="180">
        <f>SUM(D61:D68)</f>
        <v>269592897</v>
      </c>
      <c r="E70" s="181"/>
      <c r="F70" s="82"/>
    </row>
    <row r="71" spans="1:7" x14ac:dyDescent="0.25">
      <c r="F71" s="82"/>
    </row>
    <row r="72" spans="1:7" ht="21" x14ac:dyDescent="0.35">
      <c r="A72" s="930" t="s">
        <v>588</v>
      </c>
      <c r="B72" s="930"/>
      <c r="C72" s="930"/>
      <c r="D72" s="180">
        <f>+D54+D70</f>
        <v>2019592897</v>
      </c>
    </row>
    <row r="73" spans="1:7" s="1" customFormat="1" ht="21" x14ac:dyDescent="0.35">
      <c r="A73" s="389"/>
      <c r="B73" s="389"/>
      <c r="C73" s="389"/>
      <c r="D73" s="390"/>
      <c r="F73" s="450"/>
    </row>
    <row r="74" spans="1:7" x14ac:dyDescent="0.25">
      <c r="C74" s="56" t="s">
        <v>742</v>
      </c>
      <c r="D74" s="388">
        <f>+F28+F63</f>
        <v>451562897</v>
      </c>
    </row>
    <row r="75" spans="1:7" x14ac:dyDescent="0.25">
      <c r="C75" s="56" t="s">
        <v>743</v>
      </c>
      <c r="D75" s="388">
        <f>+F53+F68</f>
        <v>1568030000</v>
      </c>
    </row>
    <row r="76" spans="1:7" x14ac:dyDescent="0.25">
      <c r="C76" s="56" t="s">
        <v>744</v>
      </c>
      <c r="D76" s="388">
        <f>SUM(D74:D75)</f>
        <v>2019592897</v>
      </c>
    </row>
    <row r="77" spans="1:7" x14ac:dyDescent="0.25">
      <c r="E77" s="82">
        <f>+'13.b.sz.m.Maradványkim.-Önk'!F39</f>
        <v>2019592897</v>
      </c>
    </row>
    <row r="78" spans="1:7" x14ac:dyDescent="0.25">
      <c r="E78" s="81">
        <f>+D72</f>
        <v>2019592897</v>
      </c>
    </row>
    <row r="79" spans="1:7" x14ac:dyDescent="0.25">
      <c r="E79" s="81">
        <f>+E77-E78</f>
        <v>0</v>
      </c>
    </row>
    <row r="82" spans="5:5" x14ac:dyDescent="0.25">
      <c r="E82" s="639">
        <v>269592897</v>
      </c>
    </row>
  </sheetData>
  <mergeCells count="13">
    <mergeCell ref="A1:E1"/>
    <mergeCell ref="A3:E3"/>
    <mergeCell ref="A70:C70"/>
    <mergeCell ref="A72:C72"/>
    <mergeCell ref="E5:E26"/>
    <mergeCell ref="E29:E53"/>
    <mergeCell ref="A56:E56"/>
    <mergeCell ref="A58:E58"/>
    <mergeCell ref="B54:C54"/>
    <mergeCell ref="A29:A53"/>
    <mergeCell ref="A5:A28"/>
    <mergeCell ref="A67:A68"/>
    <mergeCell ref="A61:A66"/>
  </mergeCells>
  <phoneticPr fontId="121" type="noConversion"/>
  <printOptions horizontalCentered="1" verticalCentered="1"/>
  <pageMargins left="0.39370078740157483" right="0.39370078740157483" top="0" bottom="0" header="0.31496062992125984" footer="0.31496062992125984"/>
  <pageSetup paperSize="9" scale="50" orientation="portrait" r:id="rId1"/>
  <headerFooter>
    <oddHeader>&amp;CDunaharaszti Város Önkormányzat 
2021. évi zárszámadás&amp;R&amp;A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1"/>
  <sheetViews>
    <sheetView view="pageBreakPreview" zoomScale="70" zoomScaleNormal="70" zoomScaleSheetLayoutView="70" zoomScalePageLayoutView="70" workbookViewId="0">
      <selection activeCell="J9" sqref="J9"/>
    </sheetView>
  </sheetViews>
  <sheetFormatPr defaultColWidth="20.5703125" defaultRowHeight="14.25" customHeight="1" x14ac:dyDescent="0.25"/>
  <cols>
    <col min="1" max="1" width="4.7109375" style="34" customWidth="1"/>
    <col min="2" max="2" width="43" style="34" customWidth="1"/>
    <col min="3" max="4" width="21.28515625" style="46" customWidth="1"/>
    <col min="5" max="5" width="24.28515625" style="46" customWidth="1"/>
    <col min="6" max="7" width="20.28515625" style="46" customWidth="1"/>
    <col min="8" max="8" width="10.85546875" style="46" customWidth="1"/>
    <col min="9" max="9" width="20.7109375" style="46" customWidth="1"/>
    <col min="10" max="10" width="19.5703125" style="47" customWidth="1"/>
    <col min="11" max="11" width="20.5703125" style="47" customWidth="1"/>
    <col min="12" max="12" width="17.28515625" style="48" customWidth="1"/>
    <col min="13" max="13" width="22.140625" style="613" customWidth="1"/>
    <col min="14" max="14" width="23.85546875" style="34" customWidth="1"/>
    <col min="15" max="16384" width="20.5703125" style="34"/>
  </cols>
  <sheetData>
    <row r="1" spans="1:14" ht="30" customHeight="1" x14ac:dyDescent="0.35">
      <c r="A1" s="35"/>
      <c r="B1" s="523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38.25" customHeight="1" x14ac:dyDescent="0.35">
      <c r="A2" s="941" t="s">
        <v>855</v>
      </c>
      <c r="B2" s="941"/>
      <c r="C2" s="941"/>
      <c r="D2" s="941"/>
      <c r="E2" s="941"/>
      <c r="F2" s="941"/>
      <c r="G2" s="941"/>
      <c r="H2" s="941"/>
      <c r="I2" s="941"/>
      <c r="J2" s="941"/>
      <c r="K2" s="941"/>
      <c r="L2" s="941"/>
      <c r="M2" s="941"/>
      <c r="N2" s="35"/>
    </row>
    <row r="3" spans="1:14" ht="38.25" customHeight="1" x14ac:dyDescent="0.35">
      <c r="A3" s="941" t="s">
        <v>856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  <c r="M3" s="941"/>
      <c r="N3" s="35"/>
    </row>
    <row r="4" spans="1:14" ht="38.25" customHeight="1" x14ac:dyDescent="0.35">
      <c r="A4" s="941"/>
      <c r="B4" s="941"/>
      <c r="C4" s="941"/>
      <c r="D4" s="941"/>
      <c r="E4" s="941"/>
      <c r="F4" s="941"/>
      <c r="G4" s="941"/>
      <c r="H4" s="941"/>
      <c r="I4" s="941"/>
      <c r="J4" s="941"/>
      <c r="K4" s="941"/>
      <c r="L4" s="941"/>
      <c r="M4" s="941"/>
      <c r="N4" s="35"/>
    </row>
    <row r="5" spans="1:14" ht="61.5" customHeight="1" x14ac:dyDescent="0.25">
      <c r="B5" s="612"/>
      <c r="C5" s="612"/>
      <c r="D5" s="612"/>
      <c r="E5" s="612"/>
      <c r="F5" s="612"/>
      <c r="G5" s="612"/>
      <c r="H5" s="612"/>
      <c r="I5" s="612"/>
      <c r="J5" s="612"/>
      <c r="K5" s="612"/>
      <c r="L5" s="612"/>
      <c r="M5" s="612"/>
      <c r="N5" s="612"/>
    </row>
    <row r="6" spans="1:14" s="35" customFormat="1" ht="29.25" customHeight="1" x14ac:dyDescent="0.25">
      <c r="A6" s="942"/>
      <c r="B6" s="942"/>
      <c r="C6" s="942"/>
      <c r="D6" s="942"/>
      <c r="E6" s="942"/>
      <c r="F6" s="942"/>
      <c r="G6" s="942"/>
      <c r="H6" s="942"/>
      <c r="I6" s="942"/>
      <c r="J6" s="942"/>
      <c r="K6" s="942"/>
      <c r="L6" s="942"/>
      <c r="M6" s="612"/>
    </row>
    <row r="7" spans="1:14" s="35" customFormat="1" ht="9" customHeight="1" x14ac:dyDescent="0.25">
      <c r="B7" s="36"/>
      <c r="C7" s="37"/>
      <c r="D7" s="37"/>
      <c r="E7" s="37"/>
      <c r="F7" s="37"/>
      <c r="G7" s="37"/>
      <c r="H7" s="37"/>
      <c r="I7" s="37"/>
      <c r="J7" s="38"/>
      <c r="K7" s="38"/>
      <c r="L7" s="39"/>
      <c r="M7" s="612"/>
    </row>
    <row r="8" spans="1:14" s="321" customFormat="1" ht="50.25" customHeight="1" x14ac:dyDescent="0.25">
      <c r="A8" s="943" t="s">
        <v>62</v>
      </c>
      <c r="B8" s="945" t="s">
        <v>857</v>
      </c>
      <c r="C8" s="945" t="s">
        <v>1082</v>
      </c>
      <c r="D8" s="947" t="s">
        <v>858</v>
      </c>
      <c r="E8" s="948"/>
      <c r="F8" s="945" t="s">
        <v>1083</v>
      </c>
      <c r="G8" s="640" t="s">
        <v>859</v>
      </c>
      <c r="H8" s="947" t="s">
        <v>860</v>
      </c>
      <c r="I8" s="948"/>
      <c r="J8" s="641" t="s">
        <v>1084</v>
      </c>
      <c r="K8" s="951" t="s">
        <v>861</v>
      </c>
      <c r="L8" s="945" t="s">
        <v>862</v>
      </c>
      <c r="M8" s="642" t="s">
        <v>41</v>
      </c>
    </row>
    <row r="9" spans="1:14" s="321" customFormat="1" ht="58.5" customHeight="1" x14ac:dyDescent="0.25">
      <c r="A9" s="944"/>
      <c r="B9" s="946"/>
      <c r="C9" s="945"/>
      <c r="D9" s="643" t="s">
        <v>863</v>
      </c>
      <c r="E9" s="643" t="s">
        <v>864</v>
      </c>
      <c r="F9" s="945"/>
      <c r="G9" s="643"/>
      <c r="H9" s="643" t="s">
        <v>76</v>
      </c>
      <c r="I9" s="643" t="s">
        <v>77</v>
      </c>
      <c r="J9" s="811" t="s">
        <v>1196</v>
      </c>
      <c r="K9" s="951"/>
      <c r="L9" s="945"/>
      <c r="M9" s="644" t="s">
        <v>733</v>
      </c>
    </row>
    <row r="10" spans="1:14" s="524" customFormat="1" ht="39.75" customHeight="1" x14ac:dyDescent="0.25">
      <c r="A10" s="645" t="s">
        <v>3</v>
      </c>
      <c r="B10" s="645" t="s">
        <v>865</v>
      </c>
      <c r="C10" s="646">
        <v>648000000</v>
      </c>
      <c r="D10" s="646"/>
      <c r="E10" s="646"/>
      <c r="F10" s="646">
        <v>648000000</v>
      </c>
      <c r="G10" s="646"/>
      <c r="H10" s="647">
        <v>0.41</v>
      </c>
      <c r="I10" s="646">
        <f>+F10*H10</f>
        <v>265679999.99999997</v>
      </c>
      <c r="J10" s="648">
        <f>+F10-I10</f>
        <v>382320000</v>
      </c>
      <c r="K10" s="649" t="s">
        <v>866</v>
      </c>
      <c r="L10" s="650">
        <v>16222</v>
      </c>
      <c r="M10" s="651" t="s">
        <v>79</v>
      </c>
    </row>
    <row r="11" spans="1:14" s="524" customFormat="1" ht="39.75" customHeight="1" x14ac:dyDescent="0.25">
      <c r="A11" s="645" t="s">
        <v>4</v>
      </c>
      <c r="B11" s="652" t="s">
        <v>867</v>
      </c>
      <c r="C11" s="646">
        <v>10000</v>
      </c>
      <c r="D11" s="653"/>
      <c r="E11" s="646"/>
      <c r="F11" s="646">
        <v>10000</v>
      </c>
      <c r="G11" s="646">
        <v>13200</v>
      </c>
      <c r="H11" s="647">
        <v>0</v>
      </c>
      <c r="I11" s="646"/>
      <c r="J11" s="648">
        <v>23200</v>
      </c>
      <c r="K11" s="654" t="s">
        <v>868</v>
      </c>
      <c r="L11" s="650">
        <v>16213</v>
      </c>
      <c r="M11" s="655">
        <f>(10000/1380000000)</f>
        <v>7.2463768115942025E-6</v>
      </c>
    </row>
    <row r="12" spans="1:14" s="524" customFormat="1" ht="39.75" customHeight="1" x14ac:dyDescent="0.25">
      <c r="A12" s="645" t="s">
        <v>5</v>
      </c>
      <c r="B12" s="652" t="s">
        <v>1085</v>
      </c>
      <c r="C12" s="646"/>
      <c r="D12" s="653" t="s">
        <v>1086</v>
      </c>
      <c r="E12" s="646">
        <v>49970000</v>
      </c>
      <c r="F12" s="646">
        <f>+E12</f>
        <v>49970000</v>
      </c>
      <c r="G12" s="646"/>
      <c r="H12" s="647"/>
      <c r="I12" s="646"/>
      <c r="J12" s="648">
        <f>+E12-I12</f>
        <v>49970000</v>
      </c>
      <c r="K12" s="654" t="s">
        <v>1087</v>
      </c>
      <c r="L12" s="650">
        <v>16223</v>
      </c>
      <c r="M12" s="656">
        <v>0.26300000000000001</v>
      </c>
    </row>
    <row r="13" spans="1:14" s="40" customFormat="1" ht="39.75" customHeight="1" x14ac:dyDescent="0.25">
      <c r="A13" s="952" t="s">
        <v>80</v>
      </c>
      <c r="B13" s="952"/>
      <c r="C13" s="657">
        <f>SUM(C10:C12)</f>
        <v>648010000</v>
      </c>
      <c r="D13" s="657">
        <f t="shared" ref="D13:E13" si="0">SUM(D10:D12)</f>
        <v>0</v>
      </c>
      <c r="E13" s="657">
        <f t="shared" si="0"/>
        <v>49970000</v>
      </c>
      <c r="F13" s="657">
        <f>SUM(F10:F12)</f>
        <v>697980000</v>
      </c>
      <c r="G13" s="657">
        <f>SUM(G10:G12)</f>
        <v>13200</v>
      </c>
      <c r="H13" s="658"/>
      <c r="I13" s="657">
        <f>SUM(I10:I12)</f>
        <v>265679999.99999997</v>
      </c>
      <c r="J13" s="657">
        <f>SUM(J10:J12)</f>
        <v>432313200</v>
      </c>
      <c r="K13" s="659"/>
      <c r="L13" s="660"/>
      <c r="M13" s="661"/>
      <c r="N13" s="322"/>
    </row>
    <row r="14" spans="1:14" s="323" customFormat="1" ht="36.75" customHeight="1" x14ac:dyDescent="0.25">
      <c r="C14" s="41"/>
      <c r="D14" s="41"/>
      <c r="E14" s="41"/>
      <c r="F14" s="41"/>
      <c r="G14" s="41"/>
      <c r="H14" s="41"/>
      <c r="I14" s="41"/>
      <c r="J14" s="41"/>
      <c r="K14" s="41"/>
      <c r="L14" s="324"/>
    </row>
    <row r="15" spans="1:14" s="323" customFormat="1" ht="46.5" customHeight="1" x14ac:dyDescent="0.25">
      <c r="A15" s="953"/>
      <c r="B15" s="953"/>
      <c r="C15" s="953"/>
      <c r="D15" s="953"/>
      <c r="E15" s="953"/>
      <c r="F15" s="953"/>
      <c r="G15" s="953"/>
      <c r="H15" s="953"/>
      <c r="I15" s="953"/>
      <c r="J15" s="953"/>
      <c r="K15" s="953"/>
      <c r="L15" s="953"/>
    </row>
    <row r="16" spans="1:14" s="35" customFormat="1" ht="36.75" customHeight="1" x14ac:dyDescent="0.25">
      <c r="A16" s="954"/>
      <c r="B16" s="954"/>
      <c r="C16" s="954"/>
      <c r="D16" s="954"/>
      <c r="E16" s="954"/>
      <c r="F16" s="954"/>
      <c r="G16" s="954"/>
      <c r="H16" s="954"/>
      <c r="I16" s="954"/>
      <c r="J16" s="954"/>
      <c r="K16" s="954"/>
      <c r="L16" s="954"/>
      <c r="M16" s="954"/>
      <c r="N16" s="34"/>
    </row>
    <row r="17" spans="1:14" s="35" customFormat="1" ht="18" hidden="1" customHeight="1" x14ac:dyDescent="0.25">
      <c r="C17" s="42"/>
      <c r="D17" s="42"/>
      <c r="E17" s="42"/>
      <c r="F17" s="42"/>
      <c r="G17" s="42"/>
      <c r="H17" s="42"/>
      <c r="I17" s="42"/>
      <c r="J17" s="43"/>
      <c r="K17" s="43"/>
      <c r="L17" s="39"/>
      <c r="M17" s="612"/>
      <c r="N17" s="34"/>
    </row>
    <row r="18" spans="1:14" s="35" customFormat="1" ht="18" customHeight="1" x14ac:dyDescent="0.25">
      <c r="C18" s="42"/>
      <c r="D18" s="42"/>
      <c r="E18" s="42"/>
      <c r="F18" s="42"/>
      <c r="G18" s="42"/>
      <c r="H18" s="42"/>
      <c r="I18" s="42"/>
      <c r="J18" s="43"/>
      <c r="K18" s="43"/>
      <c r="L18" s="39"/>
      <c r="M18" s="612"/>
      <c r="N18" s="34"/>
    </row>
    <row r="19" spans="1:14" s="35" customFormat="1" ht="25.5" customHeight="1" x14ac:dyDescent="0.3">
      <c r="A19" s="955"/>
      <c r="B19" s="955"/>
      <c r="C19" s="955"/>
      <c r="D19" s="955"/>
      <c r="E19" s="955"/>
      <c r="F19" s="955"/>
      <c r="G19" s="955"/>
      <c r="H19" s="955"/>
      <c r="I19" s="955"/>
      <c r="J19" s="955"/>
      <c r="K19" s="955"/>
      <c r="L19" s="955"/>
      <c r="N19" s="34"/>
    </row>
    <row r="20" spans="1:14" s="35" customFormat="1" ht="85.5" customHeight="1" x14ac:dyDescent="0.25">
      <c r="A20" s="613"/>
      <c r="B20" s="613"/>
      <c r="C20" s="613"/>
      <c r="D20" s="613"/>
      <c r="E20" s="613"/>
      <c r="F20" s="613"/>
      <c r="G20" s="613"/>
      <c r="H20" s="613"/>
      <c r="I20" s="613"/>
      <c r="J20" s="613"/>
      <c r="K20" s="613"/>
      <c r="L20" s="613"/>
      <c r="N20" s="34"/>
    </row>
    <row r="21" spans="1:14" s="35" customFormat="1" ht="18" customHeight="1" x14ac:dyDescent="0.25">
      <c r="A21" s="956"/>
      <c r="B21" s="956"/>
      <c r="C21" s="614"/>
      <c r="D21" s="614"/>
      <c r="E21" s="614"/>
      <c r="F21" s="614"/>
      <c r="G21" s="614"/>
      <c r="H21" s="957"/>
      <c r="I21" s="957"/>
      <c r="J21" s="48"/>
      <c r="K21" s="48"/>
      <c r="L21" s="613"/>
      <c r="N21" s="34"/>
    </row>
    <row r="22" spans="1:14" s="35" customFormat="1" ht="30.75" customHeight="1" x14ac:dyDescent="0.25">
      <c r="A22" s="949"/>
      <c r="B22" s="949"/>
      <c r="C22" s="64"/>
      <c r="D22" s="64"/>
      <c r="E22" s="64"/>
      <c r="F22" s="495"/>
      <c r="G22" s="495"/>
      <c r="H22" s="950"/>
      <c r="I22" s="950"/>
      <c r="J22" s="39"/>
      <c r="K22" s="64"/>
      <c r="L22" s="39"/>
      <c r="N22" s="34"/>
    </row>
    <row r="23" spans="1:14" s="325" customFormat="1" ht="33" customHeight="1" x14ac:dyDescent="0.25">
      <c r="B23" s="326"/>
      <c r="C23" s="44"/>
      <c r="D23" s="44"/>
      <c r="E23" s="44"/>
      <c r="F23" s="44"/>
      <c r="G23" s="44"/>
      <c r="H23" s="44"/>
      <c r="I23" s="44"/>
      <c r="J23" s="44"/>
      <c r="K23" s="44"/>
      <c r="L23" s="327"/>
      <c r="M23" s="326"/>
      <c r="N23" s="328"/>
    </row>
    <row r="24" spans="1:14" s="35" customFormat="1" ht="14.25" customHeight="1" x14ac:dyDescent="0.25">
      <c r="C24" s="45"/>
      <c r="D24" s="45"/>
      <c r="E24" s="45"/>
      <c r="F24" s="45"/>
      <c r="G24" s="45"/>
      <c r="H24" s="45"/>
      <c r="I24" s="45"/>
      <c r="J24" s="495"/>
      <c r="K24" s="495"/>
      <c r="L24" s="39"/>
      <c r="M24" s="612"/>
      <c r="N24" s="34"/>
    </row>
    <row r="25" spans="1:14" s="35" customFormat="1" ht="21.75" customHeight="1" x14ac:dyDescent="0.25">
      <c r="C25" s="45"/>
      <c r="D25" s="45"/>
      <c r="E25" s="45"/>
      <c r="F25" s="45"/>
      <c r="G25" s="45"/>
      <c r="H25" s="45"/>
      <c r="I25" s="45"/>
      <c r="J25" s="495"/>
      <c r="K25" s="495"/>
      <c r="L25" s="39"/>
      <c r="M25" s="612"/>
      <c r="N25" s="34"/>
    </row>
    <row r="27" spans="1:14" ht="14.25" customHeight="1" x14ac:dyDescent="0.25">
      <c r="N27" s="35"/>
    </row>
    <row r="28" spans="1:14" s="35" customFormat="1" ht="21" customHeight="1" x14ac:dyDescent="0.25">
      <c r="N28" s="34"/>
    </row>
    <row r="29" spans="1:14" ht="7.5" customHeight="1" x14ac:dyDescent="0.25">
      <c r="N29" s="35"/>
    </row>
    <row r="30" spans="1:14" s="35" customFormat="1" ht="14.25" customHeight="1" x14ac:dyDescent="0.25">
      <c r="N30" s="34"/>
    </row>
    <row r="31" spans="1:14" ht="7.5" customHeight="1" x14ac:dyDescent="0.25"/>
  </sheetData>
  <mergeCells count="20">
    <mergeCell ref="A22:B22"/>
    <mergeCell ref="H22:I22"/>
    <mergeCell ref="K8:K9"/>
    <mergeCell ref="A13:B13"/>
    <mergeCell ref="A15:L15"/>
    <mergeCell ref="A16:M16"/>
    <mergeCell ref="A19:L19"/>
    <mergeCell ref="A21:B21"/>
    <mergeCell ref="H21:I21"/>
    <mergeCell ref="A2:M2"/>
    <mergeCell ref="A3:M3"/>
    <mergeCell ref="A4:M4"/>
    <mergeCell ref="A6:L6"/>
    <mergeCell ref="A8:A9"/>
    <mergeCell ref="B8:B9"/>
    <mergeCell ref="C8:C9"/>
    <mergeCell ref="D8:E8"/>
    <mergeCell ref="F8:F9"/>
    <mergeCell ref="H8:I8"/>
    <mergeCell ref="L8:L9"/>
  </mergeCells>
  <pageMargins left="0.7" right="0.7" top="0.75" bottom="0.75" header="0.3" footer="0.3"/>
  <pageSetup paperSize="9" scale="49" orientation="landscape" r:id="rId1"/>
  <headerFooter alignWithMargins="0">
    <oddHeader>&amp;C&amp;"-,Félkövér"Dunaharaszti Város Önkormányzata 2021. évi zárszámadás&amp;R&amp;"-,Félkövér"&amp;A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87"/>
  <sheetViews>
    <sheetView view="pageBreakPreview" zoomScale="48" zoomScaleNormal="100" zoomScaleSheetLayoutView="48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82" sqref="K82"/>
    </sheetView>
  </sheetViews>
  <sheetFormatPr defaultColWidth="9.140625" defaultRowHeight="15" x14ac:dyDescent="0.25"/>
  <cols>
    <col min="1" max="1" width="4.28515625" customWidth="1"/>
    <col min="2" max="2" width="41" customWidth="1"/>
    <col min="3" max="3" width="18.5703125" customWidth="1"/>
    <col min="4" max="4" width="18" bestFit="1" customWidth="1"/>
    <col min="5" max="5" width="15.42578125" customWidth="1"/>
    <col min="6" max="6" width="14.140625" bestFit="1" customWidth="1"/>
    <col min="7" max="8" width="13.140625" bestFit="1" customWidth="1"/>
    <col min="9" max="9" width="16" customWidth="1"/>
    <col min="10" max="10" width="15.7109375" customWidth="1"/>
    <col min="11" max="12" width="13.140625" bestFit="1" customWidth="1"/>
    <col min="13" max="13" width="12.7109375" bestFit="1" customWidth="1"/>
    <col min="14" max="14" width="12" bestFit="1" customWidth="1"/>
    <col min="15" max="15" width="14.140625" customWidth="1"/>
    <col min="16" max="16" width="13.140625" bestFit="1" customWidth="1"/>
    <col min="17" max="17" width="14" bestFit="1" customWidth="1"/>
    <col min="18" max="18" width="13.7109375" customWidth="1"/>
    <col min="19" max="21" width="13.140625" bestFit="1" customWidth="1"/>
    <col min="22" max="22" width="17" bestFit="1" customWidth="1"/>
  </cols>
  <sheetData>
    <row r="1" spans="1:22" ht="36" customHeight="1" x14ac:dyDescent="0.25">
      <c r="A1" s="959" t="s">
        <v>2</v>
      </c>
      <c r="B1" s="959"/>
      <c r="C1" s="961" t="s">
        <v>51</v>
      </c>
      <c r="D1" s="961"/>
      <c r="E1" s="961" t="s">
        <v>11</v>
      </c>
      <c r="F1" s="961"/>
      <c r="G1" s="961" t="s">
        <v>12</v>
      </c>
      <c r="H1" s="961"/>
      <c r="I1" s="961" t="s">
        <v>14</v>
      </c>
      <c r="J1" s="961"/>
      <c r="K1" s="961" t="s">
        <v>15</v>
      </c>
      <c r="L1" s="961"/>
      <c r="M1" s="960" t="s">
        <v>38</v>
      </c>
      <c r="N1" s="960"/>
      <c r="O1" s="960" t="s">
        <v>613</v>
      </c>
      <c r="P1" s="960"/>
      <c r="Q1" s="961" t="s">
        <v>13</v>
      </c>
      <c r="R1" s="961"/>
      <c r="S1" s="961" t="s">
        <v>614</v>
      </c>
      <c r="T1" s="961"/>
      <c r="U1" s="961" t="s">
        <v>615</v>
      </c>
      <c r="V1" s="961"/>
    </row>
    <row r="2" spans="1:22" ht="18" customHeight="1" x14ac:dyDescent="0.25">
      <c r="A2" s="959"/>
      <c r="B2" s="959"/>
      <c r="C2" s="789" t="s">
        <v>265</v>
      </c>
      <c r="D2" s="789" t="s">
        <v>261</v>
      </c>
      <c r="E2" s="789" t="s">
        <v>265</v>
      </c>
      <c r="F2" s="789" t="s">
        <v>261</v>
      </c>
      <c r="G2" s="789" t="s">
        <v>265</v>
      </c>
      <c r="H2" s="789" t="s">
        <v>261</v>
      </c>
      <c r="I2" s="789" t="s">
        <v>265</v>
      </c>
      <c r="J2" s="789" t="s">
        <v>261</v>
      </c>
      <c r="K2" s="789" t="s">
        <v>265</v>
      </c>
      <c r="L2" s="789" t="s">
        <v>261</v>
      </c>
      <c r="M2" s="789" t="s">
        <v>265</v>
      </c>
      <c r="N2" s="789" t="s">
        <v>261</v>
      </c>
      <c r="O2" s="789" t="s">
        <v>265</v>
      </c>
      <c r="P2" s="789" t="s">
        <v>261</v>
      </c>
      <c r="Q2" s="789" t="s">
        <v>265</v>
      </c>
      <c r="R2" s="789" t="s">
        <v>261</v>
      </c>
      <c r="S2" s="789" t="s">
        <v>265</v>
      </c>
      <c r="T2" s="789" t="s">
        <v>261</v>
      </c>
      <c r="U2" s="789" t="s">
        <v>265</v>
      </c>
      <c r="V2" s="789" t="s">
        <v>261</v>
      </c>
    </row>
    <row r="3" spans="1:22" ht="29.25" customHeight="1" x14ac:dyDescent="0.25">
      <c r="A3" s="958" t="s">
        <v>416</v>
      </c>
      <c r="B3" s="958"/>
      <c r="C3" s="790">
        <f>SUM(C4,C7,C33,C49)</f>
        <v>31925058798</v>
      </c>
      <c r="D3" s="790">
        <f>SUM(D4,D7,D33,D49)</f>
        <v>24236098641</v>
      </c>
      <c r="E3" s="790">
        <f t="shared" ref="E3:R3" si="0">SUM(E4,E7,E33,E49)</f>
        <v>162669272</v>
      </c>
      <c r="F3" s="790">
        <f t="shared" si="0"/>
        <v>27162745</v>
      </c>
      <c r="G3" s="790">
        <f t="shared" si="0"/>
        <v>17709773</v>
      </c>
      <c r="H3" s="790">
        <f t="shared" si="0"/>
        <v>4014424</v>
      </c>
      <c r="I3" s="790">
        <f t="shared" si="0"/>
        <v>66389110</v>
      </c>
      <c r="J3" s="790">
        <f t="shared" si="0"/>
        <v>4992389</v>
      </c>
      <c r="K3" s="790">
        <f t="shared" si="0"/>
        <v>19233504</v>
      </c>
      <c r="L3" s="790">
        <f t="shared" si="0"/>
        <v>1553033</v>
      </c>
      <c r="M3" s="790">
        <f t="shared" si="0"/>
        <v>8102057</v>
      </c>
      <c r="N3" s="790">
        <f t="shared" si="0"/>
        <v>353142</v>
      </c>
      <c r="O3" s="790">
        <f t="shared" si="0"/>
        <v>109847548</v>
      </c>
      <c r="P3" s="790">
        <f t="shared" si="0"/>
        <v>906494</v>
      </c>
      <c r="Q3" s="790">
        <f t="shared" si="0"/>
        <v>90836647</v>
      </c>
      <c r="R3" s="790">
        <f t="shared" si="0"/>
        <v>11738554</v>
      </c>
      <c r="S3" s="790">
        <f>SUM(S4,S7,S33,S49)</f>
        <v>30538687</v>
      </c>
      <c r="T3" s="790">
        <f>SUM(T4,T7,T33,T49)</f>
        <v>3319822</v>
      </c>
      <c r="U3" s="790">
        <f>SUM(U4,U7,U33,U49)</f>
        <v>59175145</v>
      </c>
      <c r="V3" s="790">
        <f>SUM(V4,V7,V33,V49)</f>
        <v>2653578</v>
      </c>
    </row>
    <row r="4" spans="1:22" x14ac:dyDescent="0.25">
      <c r="A4" s="791"/>
      <c r="B4" s="791" t="s">
        <v>417</v>
      </c>
      <c r="C4" s="790">
        <f>SUM(C5:C6)</f>
        <v>92032948</v>
      </c>
      <c r="D4" s="790">
        <f t="shared" ref="D4:R4" si="1">SUM(D5:D6)</f>
        <v>11208526</v>
      </c>
      <c r="E4" s="790">
        <f t="shared" si="1"/>
        <v>18521096</v>
      </c>
      <c r="F4" s="790">
        <f t="shared" si="1"/>
        <v>569145</v>
      </c>
      <c r="G4" s="790">
        <f t="shared" si="1"/>
        <v>427374</v>
      </c>
      <c r="H4" s="790">
        <f t="shared" si="1"/>
        <v>13093</v>
      </c>
      <c r="I4" s="790">
        <f t="shared" si="1"/>
        <v>358750</v>
      </c>
      <c r="J4" s="790">
        <f t="shared" si="1"/>
        <v>0</v>
      </c>
      <c r="K4" s="790">
        <f t="shared" si="1"/>
        <v>247082</v>
      </c>
      <c r="L4" s="790">
        <f t="shared" si="1"/>
        <v>0</v>
      </c>
      <c r="M4" s="790">
        <f t="shared" si="1"/>
        <v>0</v>
      </c>
      <c r="N4" s="790">
        <f t="shared" si="1"/>
        <v>0</v>
      </c>
      <c r="O4" s="790">
        <f>SUM(O5:O6)</f>
        <v>99695756</v>
      </c>
      <c r="P4" s="790">
        <f t="shared" si="1"/>
        <v>144521</v>
      </c>
      <c r="Q4" s="790">
        <f t="shared" si="1"/>
        <v>4941892</v>
      </c>
      <c r="R4" s="790">
        <f t="shared" si="1"/>
        <v>484233</v>
      </c>
      <c r="S4" s="790">
        <v>278750</v>
      </c>
      <c r="T4" s="790">
        <f>SUM(T5:T6)</f>
        <v>0</v>
      </c>
      <c r="U4" s="790">
        <f>SUM(U5:U6)</f>
        <v>50000</v>
      </c>
      <c r="V4" s="790">
        <f>SUM(V5:V6)</f>
        <v>0</v>
      </c>
    </row>
    <row r="5" spans="1:22" x14ac:dyDescent="0.25">
      <c r="A5" s="792"/>
      <c r="B5" s="793" t="s">
        <v>418</v>
      </c>
      <c r="C5" s="794"/>
      <c r="D5" s="794"/>
      <c r="E5" s="794"/>
      <c r="F5" s="794"/>
      <c r="G5" s="794"/>
      <c r="H5" s="794"/>
      <c r="I5" s="794"/>
      <c r="J5" s="794"/>
      <c r="K5" s="794"/>
      <c r="L5" s="794"/>
      <c r="M5" s="794"/>
      <c r="N5" s="794"/>
      <c r="O5" s="794"/>
      <c r="P5" s="794"/>
      <c r="Q5" s="794"/>
      <c r="R5" s="794"/>
      <c r="S5" s="794"/>
      <c r="T5" s="794"/>
      <c r="U5" s="794"/>
      <c r="V5" s="794"/>
    </row>
    <row r="6" spans="1:22" x14ac:dyDescent="0.25">
      <c r="A6" s="792"/>
      <c r="B6" s="793" t="s">
        <v>419</v>
      </c>
      <c r="C6" s="445">
        <v>92032948</v>
      </c>
      <c r="D6" s="795">
        <v>11208526</v>
      </c>
      <c r="E6" s="794">
        <v>18521096</v>
      </c>
      <c r="F6" s="794">
        <v>569145</v>
      </c>
      <c r="G6" s="794">
        <v>427374</v>
      </c>
      <c r="H6" s="794">
        <v>13093</v>
      </c>
      <c r="I6" s="794">
        <v>358750</v>
      </c>
      <c r="J6" s="794">
        <v>0</v>
      </c>
      <c r="K6" s="794">
        <v>247082</v>
      </c>
      <c r="L6" s="794">
        <v>0</v>
      </c>
      <c r="M6" s="794">
        <v>0</v>
      </c>
      <c r="N6" s="794">
        <v>0</v>
      </c>
      <c r="O6" s="796">
        <v>99695756</v>
      </c>
      <c r="P6" s="796">
        <v>144521</v>
      </c>
      <c r="Q6" s="796">
        <v>4941892</v>
      </c>
      <c r="R6" s="794">
        <v>484233</v>
      </c>
      <c r="S6" s="794">
        <v>278750</v>
      </c>
      <c r="T6" s="794">
        <v>0</v>
      </c>
      <c r="U6" s="794">
        <v>50000</v>
      </c>
      <c r="V6" s="794">
        <v>0</v>
      </c>
    </row>
    <row r="7" spans="1:22" x14ac:dyDescent="0.25">
      <c r="A7" s="791"/>
      <c r="B7" s="791" t="s">
        <v>420</v>
      </c>
      <c r="C7" s="790">
        <f>+C8+C13+C18+C23+C28</f>
        <v>30235525309</v>
      </c>
      <c r="D7" s="797">
        <f>+D8+D13+D18+D23+D28</f>
        <v>23253676116</v>
      </c>
      <c r="E7" s="790">
        <f t="shared" ref="E7:V7" si="2">+E8+E13+E18+E23+E28</f>
        <v>144148176</v>
      </c>
      <c r="F7" s="790">
        <f t="shared" si="2"/>
        <v>26593600</v>
      </c>
      <c r="G7" s="790">
        <f t="shared" si="2"/>
        <v>17282399</v>
      </c>
      <c r="H7" s="790">
        <f t="shared" si="2"/>
        <v>4001331</v>
      </c>
      <c r="I7" s="790">
        <f t="shared" si="2"/>
        <v>66030360</v>
      </c>
      <c r="J7" s="790">
        <f t="shared" si="2"/>
        <v>4992389</v>
      </c>
      <c r="K7" s="790">
        <f t="shared" si="2"/>
        <v>18986422</v>
      </c>
      <c r="L7" s="790">
        <f t="shared" si="2"/>
        <v>1553033</v>
      </c>
      <c r="M7" s="790">
        <f t="shared" si="2"/>
        <v>8102057</v>
      </c>
      <c r="N7" s="790">
        <f t="shared" si="2"/>
        <v>353142</v>
      </c>
      <c r="O7" s="790">
        <f>+O8+O13+O18+O23+O28</f>
        <v>10151792</v>
      </c>
      <c r="P7" s="790">
        <f t="shared" si="2"/>
        <v>761973</v>
      </c>
      <c r="Q7" s="790">
        <f t="shared" si="2"/>
        <v>85894755</v>
      </c>
      <c r="R7" s="790">
        <f t="shared" si="2"/>
        <v>11254321</v>
      </c>
      <c r="S7" s="790">
        <f t="shared" si="2"/>
        <v>30259937</v>
      </c>
      <c r="T7" s="790">
        <f t="shared" si="2"/>
        <v>3319822</v>
      </c>
      <c r="U7" s="790">
        <f t="shared" si="2"/>
        <v>59125145</v>
      </c>
      <c r="V7" s="790">
        <f t="shared" si="2"/>
        <v>2653578</v>
      </c>
    </row>
    <row r="8" spans="1:22" ht="30" x14ac:dyDescent="0.25">
      <c r="A8" s="792"/>
      <c r="B8" s="798" t="s">
        <v>421</v>
      </c>
      <c r="C8" s="794">
        <f t="shared" ref="C8:H8" si="3">SUM(C9:C12)</f>
        <v>28624333714</v>
      </c>
      <c r="D8" s="794">
        <f t="shared" si="3"/>
        <v>21937990708</v>
      </c>
      <c r="E8" s="794">
        <f t="shared" si="3"/>
        <v>0</v>
      </c>
      <c r="F8" s="794">
        <f t="shared" si="3"/>
        <v>0</v>
      </c>
      <c r="G8" s="794">
        <f t="shared" si="3"/>
        <v>0</v>
      </c>
      <c r="H8" s="794">
        <f t="shared" si="3"/>
        <v>0</v>
      </c>
      <c r="I8" s="794">
        <f t="shared" ref="I8:V8" si="4">SUM(I9:I12)</f>
        <v>0</v>
      </c>
      <c r="J8" s="794">
        <f t="shared" si="4"/>
        <v>0</v>
      </c>
      <c r="K8" s="794">
        <f t="shared" si="4"/>
        <v>0</v>
      </c>
      <c r="L8" s="794">
        <f t="shared" si="4"/>
        <v>0</v>
      </c>
      <c r="M8" s="794">
        <f t="shared" si="4"/>
        <v>0</v>
      </c>
      <c r="N8" s="794">
        <f t="shared" si="4"/>
        <v>0</v>
      </c>
      <c r="O8" s="794">
        <f t="shared" si="4"/>
        <v>0</v>
      </c>
      <c r="P8" s="794">
        <f t="shared" si="4"/>
        <v>0</v>
      </c>
      <c r="Q8" s="794">
        <f t="shared" si="4"/>
        <v>0</v>
      </c>
      <c r="R8" s="794">
        <f t="shared" si="4"/>
        <v>0</v>
      </c>
      <c r="S8" s="794">
        <f t="shared" si="4"/>
        <v>0</v>
      </c>
      <c r="T8" s="794">
        <f t="shared" si="4"/>
        <v>0</v>
      </c>
      <c r="U8" s="794">
        <f t="shared" si="4"/>
        <v>0</v>
      </c>
      <c r="V8" s="794">
        <f t="shared" si="4"/>
        <v>0</v>
      </c>
    </row>
    <row r="9" spans="1:22" ht="30" x14ac:dyDescent="0.25">
      <c r="A9" s="792"/>
      <c r="B9" s="793" t="s">
        <v>422</v>
      </c>
      <c r="C9" s="794">
        <v>18679800648</v>
      </c>
      <c r="D9" s="794">
        <v>14438874278</v>
      </c>
      <c r="E9" s="794"/>
      <c r="F9" s="794"/>
      <c r="G9" s="794"/>
      <c r="H9" s="794"/>
      <c r="I9" s="794"/>
      <c r="J9" s="794"/>
      <c r="K9" s="794"/>
      <c r="L9" s="794"/>
      <c r="M9" s="794"/>
      <c r="N9" s="794"/>
      <c r="O9" s="794"/>
      <c r="P9" s="794"/>
      <c r="Q9" s="794"/>
      <c r="R9" s="794"/>
      <c r="S9" s="794"/>
      <c r="T9" s="794"/>
      <c r="U9" s="794"/>
      <c r="V9" s="794"/>
    </row>
    <row r="10" spans="1:22" ht="30" x14ac:dyDescent="0.25">
      <c r="A10" s="792"/>
      <c r="B10" s="793" t="s">
        <v>423</v>
      </c>
      <c r="C10" s="794">
        <v>92041284</v>
      </c>
      <c r="D10" s="794">
        <v>73468480</v>
      </c>
      <c r="E10" s="794"/>
      <c r="F10" s="794"/>
      <c r="G10" s="794"/>
      <c r="H10" s="794"/>
      <c r="I10" s="794"/>
      <c r="J10" s="794"/>
      <c r="K10" s="794"/>
      <c r="L10" s="794"/>
      <c r="M10" s="794"/>
      <c r="N10" s="794"/>
      <c r="O10" s="794"/>
      <c r="P10" s="794"/>
      <c r="Q10" s="794"/>
      <c r="R10" s="794"/>
      <c r="S10" s="794"/>
      <c r="T10" s="794"/>
      <c r="U10" s="794"/>
      <c r="V10" s="794"/>
    </row>
    <row r="11" spans="1:22" ht="30" x14ac:dyDescent="0.25">
      <c r="A11" s="792"/>
      <c r="B11" s="793" t="s">
        <v>424</v>
      </c>
      <c r="C11" s="794">
        <v>8798186088</v>
      </c>
      <c r="D11" s="794">
        <v>6410519458</v>
      </c>
      <c r="E11" s="794"/>
      <c r="F11" s="794"/>
      <c r="G11" s="794"/>
      <c r="H11" s="794"/>
      <c r="I11" s="794"/>
      <c r="J11" s="794"/>
      <c r="K11" s="794"/>
      <c r="L11" s="794"/>
      <c r="M11" s="794"/>
      <c r="N11" s="794"/>
      <c r="O11" s="794"/>
      <c r="P11" s="794"/>
      <c r="Q11" s="794"/>
      <c r="R11" s="794"/>
      <c r="S11" s="794"/>
      <c r="T11" s="794"/>
      <c r="U11" s="794"/>
      <c r="V11" s="794"/>
    </row>
    <row r="12" spans="1:22" ht="30" x14ac:dyDescent="0.25">
      <c r="A12" s="792"/>
      <c r="B12" s="793" t="s">
        <v>425</v>
      </c>
      <c r="C12" s="794">
        <v>1054305694</v>
      </c>
      <c r="D12" s="794">
        <v>1015128492</v>
      </c>
      <c r="E12" s="794"/>
      <c r="F12" s="794"/>
      <c r="G12" s="794"/>
      <c r="H12" s="794"/>
      <c r="I12" s="794"/>
      <c r="J12" s="794"/>
      <c r="K12" s="794"/>
      <c r="L12" s="794"/>
      <c r="M12" s="794"/>
      <c r="N12" s="794"/>
      <c r="O12" s="794"/>
      <c r="P12" s="794"/>
      <c r="Q12" s="794"/>
      <c r="R12" s="794"/>
      <c r="S12" s="794"/>
      <c r="T12" s="794"/>
      <c r="U12" s="794"/>
      <c r="V12" s="794"/>
    </row>
    <row r="13" spans="1:22" s="448" customFormat="1" ht="30" x14ac:dyDescent="0.25">
      <c r="A13" s="791"/>
      <c r="B13" s="791" t="s">
        <v>426</v>
      </c>
      <c r="C13" s="790">
        <f>SUM(C14:C17)</f>
        <v>426906747</v>
      </c>
      <c r="D13" s="790">
        <f t="shared" ref="D13:H13" si="5">SUM(D14:D17)</f>
        <v>131400560</v>
      </c>
      <c r="E13" s="790">
        <f t="shared" si="5"/>
        <v>144148176</v>
      </c>
      <c r="F13" s="790">
        <f t="shared" si="5"/>
        <v>26593600</v>
      </c>
      <c r="G13" s="790">
        <f t="shared" si="5"/>
        <v>17282399</v>
      </c>
      <c r="H13" s="790">
        <f t="shared" si="5"/>
        <v>4001331</v>
      </c>
      <c r="I13" s="790">
        <v>66030360</v>
      </c>
      <c r="J13" s="790">
        <v>4992389</v>
      </c>
      <c r="K13" s="790">
        <v>18986422</v>
      </c>
      <c r="L13" s="790">
        <v>1553033</v>
      </c>
      <c r="M13" s="790">
        <f>SUM(M14:M17)</f>
        <v>8102057</v>
      </c>
      <c r="N13" s="790">
        <f t="shared" ref="N13:V13" si="6">SUM(N14:N17)</f>
        <v>353142</v>
      </c>
      <c r="O13" s="790">
        <f t="shared" si="6"/>
        <v>10151792</v>
      </c>
      <c r="P13" s="790">
        <f t="shared" si="6"/>
        <v>761973</v>
      </c>
      <c r="Q13" s="790">
        <f t="shared" si="6"/>
        <v>85894755</v>
      </c>
      <c r="R13" s="790">
        <f t="shared" si="6"/>
        <v>11254321</v>
      </c>
      <c r="S13" s="790">
        <f t="shared" si="6"/>
        <v>30259937</v>
      </c>
      <c r="T13" s="790">
        <f t="shared" si="6"/>
        <v>3319822</v>
      </c>
      <c r="U13" s="790">
        <f t="shared" si="6"/>
        <v>59125145</v>
      </c>
      <c r="V13" s="790">
        <f t="shared" si="6"/>
        <v>2653578</v>
      </c>
    </row>
    <row r="14" spans="1:22" ht="30" x14ac:dyDescent="0.25">
      <c r="A14" s="792"/>
      <c r="B14" s="799" t="s">
        <v>427</v>
      </c>
      <c r="C14" s="794"/>
      <c r="D14" s="794"/>
      <c r="E14" s="794"/>
      <c r="F14" s="794"/>
      <c r="G14" s="794"/>
      <c r="H14" s="794"/>
      <c r="I14" s="794"/>
      <c r="J14" s="794"/>
      <c r="K14" s="794"/>
      <c r="L14" s="794"/>
      <c r="M14" s="794"/>
      <c r="N14" s="794"/>
      <c r="O14" s="794"/>
      <c r="P14" s="794"/>
      <c r="Q14" s="794"/>
      <c r="R14" s="794"/>
      <c r="S14" s="794"/>
      <c r="T14" s="794"/>
      <c r="U14" s="794"/>
      <c r="V14" s="794"/>
    </row>
    <row r="15" spans="1:22" ht="30" x14ac:dyDescent="0.25">
      <c r="A15" s="792"/>
      <c r="B15" s="799" t="s">
        <v>428</v>
      </c>
      <c r="C15" s="794"/>
      <c r="D15" s="794"/>
      <c r="E15" s="794"/>
      <c r="F15" s="794"/>
      <c r="G15" s="794"/>
      <c r="H15" s="794"/>
      <c r="I15" s="794"/>
      <c r="J15" s="794"/>
      <c r="K15" s="794"/>
      <c r="L15" s="794"/>
      <c r="M15" s="794"/>
      <c r="N15" s="794"/>
      <c r="O15" s="794"/>
      <c r="P15" s="794"/>
      <c r="Q15" s="794"/>
      <c r="R15" s="794"/>
      <c r="S15" s="794"/>
      <c r="T15" s="794"/>
      <c r="U15" s="794"/>
      <c r="V15" s="794"/>
    </row>
    <row r="16" spans="1:22" ht="30" x14ac:dyDescent="0.25">
      <c r="A16" s="792"/>
      <c r="B16" s="799" t="s">
        <v>429</v>
      </c>
      <c r="C16" s="794"/>
      <c r="D16" s="794"/>
      <c r="E16" s="794"/>
      <c r="F16" s="794"/>
      <c r="G16" s="794"/>
      <c r="H16" s="794"/>
      <c r="I16" s="794"/>
      <c r="J16" s="794"/>
      <c r="K16" s="794"/>
      <c r="L16" s="794"/>
      <c r="M16" s="794"/>
      <c r="N16" s="794"/>
      <c r="O16" s="794"/>
      <c r="P16" s="794"/>
      <c r="Q16" s="794"/>
      <c r="R16" s="794"/>
      <c r="S16" s="794"/>
      <c r="T16" s="794"/>
      <c r="U16" s="794"/>
      <c r="V16" s="794"/>
    </row>
    <row r="17" spans="1:22" ht="30" x14ac:dyDescent="0.25">
      <c r="A17" s="792"/>
      <c r="B17" s="799" t="s">
        <v>430</v>
      </c>
      <c r="C17" s="794">
        <v>426906747</v>
      </c>
      <c r="D17" s="794">
        <v>131400560</v>
      </c>
      <c r="E17" s="794">
        <v>144148176</v>
      </c>
      <c r="F17" s="794">
        <v>26593600</v>
      </c>
      <c r="G17" s="794">
        <v>17282399</v>
      </c>
      <c r="H17" s="794">
        <v>4001331</v>
      </c>
      <c r="I17" s="794">
        <v>66030360</v>
      </c>
      <c r="J17" s="794">
        <v>4992389</v>
      </c>
      <c r="K17" s="794">
        <v>18986422</v>
      </c>
      <c r="L17" s="794">
        <v>1449269</v>
      </c>
      <c r="M17" s="794">
        <v>8102057</v>
      </c>
      <c r="N17" s="794">
        <v>353142</v>
      </c>
      <c r="O17" s="794">
        <v>10151792</v>
      </c>
      <c r="P17" s="794">
        <v>761973</v>
      </c>
      <c r="Q17" s="794">
        <v>85894755</v>
      </c>
      <c r="R17" s="794">
        <v>11254321</v>
      </c>
      <c r="S17" s="794">
        <v>30259937</v>
      </c>
      <c r="T17" s="794">
        <v>3319822</v>
      </c>
      <c r="U17" s="794">
        <v>59125145</v>
      </c>
      <c r="V17" s="794">
        <v>2653578</v>
      </c>
    </row>
    <row r="18" spans="1:22" x14ac:dyDescent="0.25">
      <c r="A18" s="792"/>
      <c r="B18" s="791" t="s">
        <v>431</v>
      </c>
      <c r="C18" s="794">
        <f>SUM(C19:C22)</f>
        <v>0</v>
      </c>
      <c r="D18" s="794">
        <f t="shared" ref="D18:R18" si="7">SUM(D19:D22)</f>
        <v>0</v>
      </c>
      <c r="E18" s="794">
        <f t="shared" si="7"/>
        <v>0</v>
      </c>
      <c r="F18" s="794">
        <f t="shared" si="7"/>
        <v>0</v>
      </c>
      <c r="G18" s="794">
        <f t="shared" si="7"/>
        <v>0</v>
      </c>
      <c r="H18" s="794">
        <f t="shared" si="7"/>
        <v>0</v>
      </c>
      <c r="I18" s="794">
        <f t="shared" si="7"/>
        <v>0</v>
      </c>
      <c r="J18" s="794">
        <f t="shared" si="7"/>
        <v>0</v>
      </c>
      <c r="K18" s="794">
        <f t="shared" si="7"/>
        <v>0</v>
      </c>
      <c r="L18" s="794">
        <f t="shared" si="7"/>
        <v>0</v>
      </c>
      <c r="M18" s="794">
        <f t="shared" si="7"/>
        <v>0</v>
      </c>
      <c r="N18" s="794">
        <f t="shared" si="7"/>
        <v>0</v>
      </c>
      <c r="O18" s="794">
        <f t="shared" si="7"/>
        <v>0</v>
      </c>
      <c r="P18" s="794">
        <f t="shared" si="7"/>
        <v>0</v>
      </c>
      <c r="Q18" s="794">
        <f t="shared" si="7"/>
        <v>0</v>
      </c>
      <c r="R18" s="794">
        <f t="shared" si="7"/>
        <v>0</v>
      </c>
      <c r="S18" s="794">
        <f>SUM(S19:S22)</f>
        <v>0</v>
      </c>
      <c r="T18" s="794">
        <f>SUM(T19:T22)</f>
        <v>0</v>
      </c>
      <c r="U18" s="794">
        <f>SUM(U19:U22)</f>
        <v>0</v>
      </c>
      <c r="V18" s="794">
        <f>SUM(V19:V22)</f>
        <v>0</v>
      </c>
    </row>
    <row r="19" spans="1:22" x14ac:dyDescent="0.25">
      <c r="A19" s="792"/>
      <c r="B19" s="799" t="s">
        <v>432</v>
      </c>
      <c r="C19" s="794"/>
      <c r="D19" s="794"/>
      <c r="E19" s="794"/>
      <c r="F19" s="794"/>
      <c r="G19" s="794"/>
      <c r="H19" s="794"/>
      <c r="I19" s="794"/>
      <c r="J19" s="794"/>
      <c r="K19" s="794"/>
      <c r="L19" s="794"/>
      <c r="M19" s="794"/>
      <c r="N19" s="794"/>
      <c r="O19" s="794"/>
      <c r="P19" s="794"/>
      <c r="Q19" s="794"/>
      <c r="R19" s="794"/>
      <c r="S19" s="794"/>
      <c r="T19" s="794"/>
      <c r="U19" s="794"/>
      <c r="V19" s="794"/>
    </row>
    <row r="20" spans="1:22" ht="30" x14ac:dyDescent="0.25">
      <c r="A20" s="792"/>
      <c r="B20" s="799" t="s">
        <v>433</v>
      </c>
      <c r="C20" s="794"/>
      <c r="D20" s="794"/>
      <c r="E20" s="794"/>
      <c r="F20" s="794"/>
      <c r="G20" s="794"/>
      <c r="H20" s="794"/>
      <c r="I20" s="794"/>
      <c r="J20" s="794"/>
      <c r="K20" s="794"/>
      <c r="L20" s="794"/>
      <c r="M20" s="794"/>
      <c r="N20" s="794"/>
      <c r="O20" s="794"/>
      <c r="P20" s="794"/>
      <c r="Q20" s="794"/>
      <c r="R20" s="794"/>
      <c r="S20" s="794"/>
      <c r="T20" s="794"/>
      <c r="U20" s="794"/>
      <c r="V20" s="794"/>
    </row>
    <row r="21" spans="1:22" x14ac:dyDescent="0.25">
      <c r="A21" s="792"/>
      <c r="B21" s="799" t="s">
        <v>434</v>
      </c>
      <c r="C21" s="794"/>
      <c r="D21" s="794"/>
      <c r="E21" s="794"/>
      <c r="F21" s="794"/>
      <c r="G21" s="794"/>
      <c r="H21" s="794"/>
      <c r="I21" s="794"/>
      <c r="J21" s="794"/>
      <c r="K21" s="794"/>
      <c r="L21" s="794"/>
      <c r="M21" s="794"/>
      <c r="N21" s="794"/>
      <c r="O21" s="794"/>
      <c r="P21" s="794"/>
      <c r="Q21" s="794"/>
      <c r="R21" s="794"/>
      <c r="S21" s="794"/>
      <c r="T21" s="794"/>
      <c r="U21" s="794"/>
      <c r="V21" s="794"/>
    </row>
    <row r="22" spans="1:22" x14ac:dyDescent="0.25">
      <c r="A22" s="792"/>
      <c r="B22" s="799" t="s">
        <v>435</v>
      </c>
      <c r="C22" s="794"/>
      <c r="D22" s="794"/>
      <c r="E22" s="794"/>
      <c r="F22" s="794"/>
      <c r="G22" s="794"/>
      <c r="H22" s="794"/>
      <c r="I22" s="794"/>
      <c r="J22" s="794"/>
      <c r="K22" s="794"/>
      <c r="L22" s="794"/>
      <c r="M22" s="794"/>
      <c r="N22" s="794"/>
      <c r="O22" s="794"/>
      <c r="P22" s="794"/>
      <c r="Q22" s="794"/>
      <c r="R22" s="794"/>
      <c r="S22" s="794"/>
      <c r="T22" s="794"/>
      <c r="U22" s="794"/>
      <c r="V22" s="794"/>
    </row>
    <row r="23" spans="1:22" x14ac:dyDescent="0.25">
      <c r="A23" s="792"/>
      <c r="B23" s="791" t="s">
        <v>436</v>
      </c>
      <c r="C23" s="794">
        <f t="shared" ref="C23:R23" si="8">SUM(C24:C27)</f>
        <v>599762111</v>
      </c>
      <c r="D23" s="794">
        <f t="shared" si="8"/>
        <v>599762111</v>
      </c>
      <c r="E23" s="794">
        <f t="shared" si="8"/>
        <v>0</v>
      </c>
      <c r="F23" s="794">
        <f t="shared" si="8"/>
        <v>0</v>
      </c>
      <c r="G23" s="794">
        <f t="shared" si="8"/>
        <v>0</v>
      </c>
      <c r="H23" s="794">
        <f t="shared" si="8"/>
        <v>0</v>
      </c>
      <c r="I23" s="794">
        <f t="shared" si="8"/>
        <v>0</v>
      </c>
      <c r="J23" s="794">
        <f t="shared" si="8"/>
        <v>0</v>
      </c>
      <c r="K23" s="794">
        <f t="shared" si="8"/>
        <v>0</v>
      </c>
      <c r="L23" s="794">
        <f t="shared" si="8"/>
        <v>0</v>
      </c>
      <c r="M23" s="794">
        <f t="shared" si="8"/>
        <v>0</v>
      </c>
      <c r="N23" s="794">
        <f t="shared" si="8"/>
        <v>0</v>
      </c>
      <c r="O23" s="794">
        <f t="shared" si="8"/>
        <v>0</v>
      </c>
      <c r="P23" s="794">
        <f t="shared" si="8"/>
        <v>0</v>
      </c>
      <c r="Q23" s="794">
        <f t="shared" si="8"/>
        <v>0</v>
      </c>
      <c r="R23" s="794">
        <f t="shared" si="8"/>
        <v>0</v>
      </c>
      <c r="S23" s="794">
        <f>SUM(S24:S27)</f>
        <v>0</v>
      </c>
      <c r="T23" s="794">
        <f>SUM(T24:T27)</f>
        <v>0</v>
      </c>
      <c r="U23" s="794">
        <f>SUM(U24:U27)</f>
        <v>0</v>
      </c>
      <c r="V23" s="794">
        <f>SUM(V24:V27)</f>
        <v>0</v>
      </c>
    </row>
    <row r="24" spans="1:22" x14ac:dyDescent="0.25">
      <c r="A24" s="792"/>
      <c r="B24" s="799" t="s">
        <v>437</v>
      </c>
      <c r="C24" s="794">
        <v>599762111</v>
      </c>
      <c r="D24" s="794">
        <v>599762111</v>
      </c>
      <c r="E24" s="794"/>
      <c r="F24" s="794"/>
      <c r="G24" s="794"/>
      <c r="H24" s="794"/>
      <c r="I24" s="794"/>
      <c r="J24" s="794"/>
      <c r="K24" s="794"/>
      <c r="L24" s="794"/>
      <c r="M24" s="794"/>
      <c r="N24" s="794"/>
      <c r="O24" s="794"/>
      <c r="P24" s="794"/>
      <c r="Q24" s="794"/>
      <c r="R24" s="794"/>
      <c r="S24" s="794"/>
      <c r="T24" s="794"/>
      <c r="U24" s="794"/>
      <c r="V24" s="794"/>
    </row>
    <row r="25" spans="1:22" ht="30" x14ac:dyDescent="0.25">
      <c r="A25" s="792"/>
      <c r="B25" s="799" t="s">
        <v>438</v>
      </c>
      <c r="C25" s="794"/>
      <c r="D25" s="794"/>
      <c r="E25" s="794"/>
      <c r="F25" s="794"/>
      <c r="G25" s="794"/>
      <c r="H25" s="794"/>
      <c r="I25" s="794"/>
      <c r="J25" s="794"/>
      <c r="K25" s="794"/>
      <c r="L25" s="794"/>
      <c r="M25" s="794"/>
      <c r="N25" s="794"/>
      <c r="O25" s="794"/>
      <c r="P25" s="794"/>
      <c r="Q25" s="794"/>
      <c r="R25" s="794"/>
      <c r="S25" s="794"/>
      <c r="T25" s="794"/>
      <c r="U25" s="794"/>
      <c r="V25" s="794"/>
    </row>
    <row r="26" spans="1:22" ht="30" x14ac:dyDescent="0.25">
      <c r="A26" s="792"/>
      <c r="B26" s="799" t="s">
        <v>439</v>
      </c>
      <c r="C26" s="794"/>
      <c r="D26" s="794"/>
      <c r="E26" s="794"/>
      <c r="F26" s="794"/>
      <c r="G26" s="794"/>
      <c r="H26" s="794"/>
      <c r="I26" s="794"/>
      <c r="J26" s="794"/>
      <c r="K26" s="794"/>
      <c r="L26" s="794"/>
      <c r="M26" s="794"/>
      <c r="N26" s="794"/>
      <c r="O26" s="794"/>
      <c r="P26" s="794"/>
      <c r="Q26" s="794"/>
      <c r="R26" s="794"/>
      <c r="S26" s="794"/>
      <c r="T26" s="794"/>
      <c r="U26" s="794"/>
      <c r="V26" s="794"/>
    </row>
    <row r="27" spans="1:22" x14ac:dyDescent="0.25">
      <c r="A27" s="792"/>
      <c r="B27" s="799" t="s">
        <v>440</v>
      </c>
      <c r="C27" s="794"/>
      <c r="D27" s="794"/>
      <c r="E27" s="794"/>
      <c r="F27" s="794"/>
      <c r="G27" s="794"/>
      <c r="H27" s="794"/>
      <c r="I27" s="794"/>
      <c r="J27" s="794"/>
      <c r="K27" s="794"/>
      <c r="L27" s="794"/>
      <c r="M27" s="794"/>
      <c r="N27" s="794"/>
      <c r="O27" s="794"/>
      <c r="P27" s="794"/>
      <c r="Q27" s="794"/>
      <c r="R27" s="794"/>
      <c r="S27" s="794"/>
      <c r="T27" s="794"/>
      <c r="U27" s="794"/>
      <c r="V27" s="794"/>
    </row>
    <row r="28" spans="1:22" x14ac:dyDescent="0.25">
      <c r="A28" s="792"/>
      <c r="B28" s="791" t="s">
        <v>441</v>
      </c>
      <c r="C28" s="794">
        <f>SUM(C29:C32)</f>
        <v>584522737</v>
      </c>
      <c r="D28" s="794">
        <f t="shared" ref="D28:R28" si="9">SUM(D29:D32)</f>
        <v>584522737</v>
      </c>
      <c r="E28" s="794">
        <f t="shared" si="9"/>
        <v>0</v>
      </c>
      <c r="F28" s="794">
        <f t="shared" si="9"/>
        <v>0</v>
      </c>
      <c r="G28" s="794">
        <f t="shared" si="9"/>
        <v>0</v>
      </c>
      <c r="H28" s="794">
        <f t="shared" si="9"/>
        <v>0</v>
      </c>
      <c r="I28" s="794">
        <f t="shared" si="9"/>
        <v>0</v>
      </c>
      <c r="J28" s="794">
        <f t="shared" si="9"/>
        <v>0</v>
      </c>
      <c r="K28" s="794">
        <f t="shared" si="9"/>
        <v>0</v>
      </c>
      <c r="L28" s="794">
        <f t="shared" si="9"/>
        <v>0</v>
      </c>
      <c r="M28" s="794">
        <f t="shared" si="9"/>
        <v>0</v>
      </c>
      <c r="N28" s="794">
        <f t="shared" si="9"/>
        <v>0</v>
      </c>
      <c r="O28" s="794">
        <f t="shared" si="9"/>
        <v>0</v>
      </c>
      <c r="P28" s="794">
        <f t="shared" si="9"/>
        <v>0</v>
      </c>
      <c r="Q28" s="794">
        <f t="shared" si="9"/>
        <v>0</v>
      </c>
      <c r="R28" s="794">
        <f t="shared" si="9"/>
        <v>0</v>
      </c>
      <c r="S28" s="794">
        <f>SUM(S29:S32)</f>
        <v>0</v>
      </c>
      <c r="T28" s="794">
        <f>SUM(T29:T32)</f>
        <v>0</v>
      </c>
      <c r="U28" s="794">
        <f>SUM(U29:U32)</f>
        <v>0</v>
      </c>
      <c r="V28" s="794">
        <f>SUM(V29:V32)</f>
        <v>0</v>
      </c>
    </row>
    <row r="29" spans="1:22" ht="30" x14ac:dyDescent="0.25">
      <c r="A29" s="792"/>
      <c r="B29" s="799" t="s">
        <v>442</v>
      </c>
      <c r="C29" s="794"/>
      <c r="D29" s="794"/>
      <c r="E29" s="794"/>
      <c r="F29" s="794"/>
      <c r="G29" s="794"/>
      <c r="H29" s="794"/>
      <c r="I29" s="794"/>
      <c r="J29" s="794"/>
      <c r="K29" s="794"/>
      <c r="L29" s="794"/>
      <c r="M29" s="794"/>
      <c r="N29" s="794"/>
      <c r="O29" s="794"/>
      <c r="P29" s="794"/>
      <c r="Q29" s="794"/>
      <c r="R29" s="794"/>
      <c r="S29" s="794"/>
      <c r="T29" s="794"/>
      <c r="U29" s="794"/>
      <c r="V29" s="794"/>
    </row>
    <row r="30" spans="1:22" ht="30" x14ac:dyDescent="0.25">
      <c r="A30" s="792"/>
      <c r="B30" s="799" t="s">
        <v>443</v>
      </c>
      <c r="C30" s="794"/>
      <c r="D30" s="794"/>
      <c r="E30" s="794"/>
      <c r="F30" s="794"/>
      <c r="G30" s="794"/>
      <c r="H30" s="794"/>
      <c r="I30" s="794"/>
      <c r="J30" s="794"/>
      <c r="K30" s="794"/>
      <c r="L30" s="794"/>
      <c r="M30" s="794"/>
      <c r="N30" s="794"/>
      <c r="O30" s="794"/>
      <c r="P30" s="794"/>
      <c r="Q30" s="794"/>
      <c r="R30" s="794"/>
      <c r="S30" s="794"/>
      <c r="T30" s="794"/>
      <c r="U30" s="794"/>
      <c r="V30" s="794"/>
    </row>
    <row r="31" spans="1:22" ht="30" x14ac:dyDescent="0.25">
      <c r="A31" s="792"/>
      <c r="B31" s="799" t="s">
        <v>444</v>
      </c>
      <c r="C31" s="794">
        <v>584522737</v>
      </c>
      <c r="D31" s="794">
        <v>584522737</v>
      </c>
      <c r="E31" s="794"/>
      <c r="F31" s="794"/>
      <c r="G31" s="794"/>
      <c r="H31" s="794"/>
      <c r="I31" s="794"/>
      <c r="J31" s="794"/>
      <c r="K31" s="794"/>
      <c r="L31" s="794"/>
      <c r="M31" s="794"/>
      <c r="N31" s="794"/>
      <c r="O31" s="794"/>
      <c r="P31" s="794"/>
      <c r="Q31" s="794"/>
      <c r="R31" s="794"/>
      <c r="S31" s="794"/>
      <c r="T31" s="794"/>
      <c r="U31" s="794"/>
      <c r="V31" s="794"/>
    </row>
    <row r="32" spans="1:22" ht="30" x14ac:dyDescent="0.25">
      <c r="A32" s="792"/>
      <c r="B32" s="799" t="s">
        <v>445</v>
      </c>
      <c r="C32" s="794"/>
      <c r="D32" s="794"/>
      <c r="E32" s="794"/>
      <c r="F32" s="794"/>
      <c r="G32" s="794"/>
      <c r="H32" s="794"/>
      <c r="I32" s="794"/>
      <c r="J32" s="794"/>
      <c r="K32" s="794"/>
      <c r="L32" s="794"/>
      <c r="M32" s="794"/>
      <c r="N32" s="794"/>
      <c r="O32" s="794"/>
      <c r="P32" s="794"/>
      <c r="Q32" s="794"/>
      <c r="R32" s="794"/>
      <c r="S32" s="794"/>
      <c r="T32" s="794"/>
      <c r="U32" s="794"/>
      <c r="V32" s="794"/>
    </row>
    <row r="33" spans="1:22" s="512" customFormat="1" x14ac:dyDescent="0.25">
      <c r="A33" s="800"/>
      <c r="B33" s="801" t="s">
        <v>446</v>
      </c>
      <c r="C33" s="797">
        <f>SUM(C34,C39,C44)</f>
        <v>697993200</v>
      </c>
      <c r="D33" s="797">
        <f t="shared" ref="D33:R33" si="10">SUM(D34,D39,D44)</f>
        <v>432313200</v>
      </c>
      <c r="E33" s="802">
        <f t="shared" si="10"/>
        <v>0</v>
      </c>
      <c r="F33" s="802">
        <f t="shared" si="10"/>
        <v>0</v>
      </c>
      <c r="G33" s="802">
        <f t="shared" si="10"/>
        <v>0</v>
      </c>
      <c r="H33" s="802">
        <f t="shared" si="10"/>
        <v>0</v>
      </c>
      <c r="I33" s="802">
        <f t="shared" si="10"/>
        <v>0</v>
      </c>
      <c r="J33" s="802">
        <f t="shared" si="10"/>
        <v>0</v>
      </c>
      <c r="K33" s="802">
        <f t="shared" si="10"/>
        <v>0</v>
      </c>
      <c r="L33" s="802">
        <f t="shared" si="10"/>
        <v>0</v>
      </c>
      <c r="M33" s="802">
        <f t="shared" si="10"/>
        <v>0</v>
      </c>
      <c r="N33" s="802">
        <f t="shared" si="10"/>
        <v>0</v>
      </c>
      <c r="O33" s="802">
        <f t="shared" si="10"/>
        <v>0</v>
      </c>
      <c r="P33" s="802">
        <f t="shared" si="10"/>
        <v>0</v>
      </c>
      <c r="Q33" s="802">
        <f t="shared" si="10"/>
        <v>0</v>
      </c>
      <c r="R33" s="802">
        <f t="shared" si="10"/>
        <v>0</v>
      </c>
      <c r="S33" s="802">
        <f>SUM(S34,S39,S44)</f>
        <v>0</v>
      </c>
      <c r="T33" s="802">
        <f>SUM(T34,T39,T44)</f>
        <v>0</v>
      </c>
      <c r="U33" s="802">
        <f>SUM(U34,U39,U44)</f>
        <v>0</v>
      </c>
      <c r="V33" s="802">
        <f>SUM(V34,V39,V44)</f>
        <v>0</v>
      </c>
    </row>
    <row r="34" spans="1:22" x14ac:dyDescent="0.25">
      <c r="A34" s="792"/>
      <c r="B34" s="791" t="s">
        <v>447</v>
      </c>
      <c r="C34" s="794">
        <f>C38</f>
        <v>697980000</v>
      </c>
      <c r="D34" s="794">
        <f>D38</f>
        <v>432300000</v>
      </c>
      <c r="E34" s="794">
        <f t="shared" ref="E34:R34" si="11">SUM(E35:E38)</f>
        <v>0</v>
      </c>
      <c r="F34" s="794">
        <f t="shared" si="11"/>
        <v>0</v>
      </c>
      <c r="G34" s="794">
        <f t="shared" si="11"/>
        <v>0</v>
      </c>
      <c r="H34" s="794">
        <f t="shared" si="11"/>
        <v>0</v>
      </c>
      <c r="I34" s="794">
        <f t="shared" si="11"/>
        <v>0</v>
      </c>
      <c r="J34" s="794">
        <f t="shared" si="11"/>
        <v>0</v>
      </c>
      <c r="K34" s="794">
        <f t="shared" si="11"/>
        <v>0</v>
      </c>
      <c r="L34" s="794">
        <f t="shared" si="11"/>
        <v>0</v>
      </c>
      <c r="M34" s="794">
        <f t="shared" si="11"/>
        <v>0</v>
      </c>
      <c r="N34" s="794">
        <f t="shared" si="11"/>
        <v>0</v>
      </c>
      <c r="O34" s="794">
        <f t="shared" si="11"/>
        <v>0</v>
      </c>
      <c r="P34" s="794">
        <f t="shared" si="11"/>
        <v>0</v>
      </c>
      <c r="Q34" s="794">
        <f t="shared" si="11"/>
        <v>0</v>
      </c>
      <c r="R34" s="794">
        <f t="shared" si="11"/>
        <v>0</v>
      </c>
      <c r="S34" s="794">
        <f>SUM(S35:S38)</f>
        <v>0</v>
      </c>
      <c r="T34" s="794">
        <f>SUM(T35:T38)</f>
        <v>0</v>
      </c>
      <c r="U34" s="794">
        <f>SUM(U35:U38)</f>
        <v>0</v>
      </c>
      <c r="V34" s="794">
        <f>SUM(V35:V38)</f>
        <v>0</v>
      </c>
    </row>
    <row r="35" spans="1:22" x14ac:dyDescent="0.25">
      <c r="A35" s="792"/>
      <c r="B35" s="799" t="s">
        <v>448</v>
      </c>
      <c r="C35" s="794"/>
      <c r="D35" s="794"/>
      <c r="E35" s="794"/>
      <c r="F35" s="794"/>
      <c r="G35" s="794"/>
      <c r="H35" s="794"/>
      <c r="I35" s="794"/>
      <c r="J35" s="794"/>
      <c r="K35" s="794"/>
      <c r="L35" s="794"/>
      <c r="M35" s="794"/>
      <c r="N35" s="794"/>
      <c r="O35" s="794"/>
      <c r="P35" s="794"/>
      <c r="Q35" s="794"/>
      <c r="R35" s="794"/>
      <c r="S35" s="794"/>
      <c r="T35" s="794"/>
      <c r="U35" s="794"/>
      <c r="V35" s="794"/>
    </row>
    <row r="36" spans="1:22" ht="30" x14ac:dyDescent="0.25">
      <c r="A36" s="792"/>
      <c r="B36" s="799" t="s">
        <v>449</v>
      </c>
      <c r="C36" s="794"/>
      <c r="D36" s="794"/>
      <c r="E36" s="794"/>
      <c r="F36" s="794"/>
      <c r="G36" s="794"/>
      <c r="H36" s="794"/>
      <c r="I36" s="794"/>
      <c r="J36" s="794"/>
      <c r="K36" s="794"/>
      <c r="L36" s="794"/>
      <c r="M36" s="794"/>
      <c r="N36" s="794"/>
      <c r="O36" s="794"/>
      <c r="P36" s="794"/>
      <c r="Q36" s="794"/>
      <c r="R36" s="794"/>
      <c r="S36" s="794"/>
      <c r="T36" s="794"/>
      <c r="U36" s="794"/>
      <c r="V36" s="794"/>
    </row>
    <row r="37" spans="1:22" x14ac:dyDescent="0.25">
      <c r="A37" s="792"/>
      <c r="B37" s="799" t="s">
        <v>450</v>
      </c>
      <c r="C37" s="794"/>
      <c r="D37" s="794"/>
      <c r="E37" s="794"/>
      <c r="F37" s="794"/>
      <c r="G37" s="794"/>
      <c r="H37" s="794"/>
      <c r="I37" s="794"/>
      <c r="J37" s="794"/>
      <c r="K37" s="794"/>
      <c r="L37" s="794"/>
      <c r="M37" s="794"/>
      <c r="N37" s="794"/>
      <c r="O37" s="794"/>
      <c r="P37" s="794"/>
      <c r="Q37" s="794"/>
      <c r="R37" s="794"/>
      <c r="S37" s="794"/>
      <c r="T37" s="794"/>
      <c r="U37" s="794"/>
      <c r="V37" s="794"/>
    </row>
    <row r="38" spans="1:22" x14ac:dyDescent="0.25">
      <c r="A38" s="792"/>
      <c r="B38" s="799" t="s">
        <v>451</v>
      </c>
      <c r="C38" s="794">
        <v>697980000</v>
      </c>
      <c r="D38" s="794">
        <v>432300000</v>
      </c>
      <c r="E38" s="794"/>
      <c r="F38" s="794"/>
      <c r="G38" s="794"/>
      <c r="H38" s="794"/>
      <c r="I38" s="794"/>
      <c r="J38" s="794"/>
      <c r="K38" s="794"/>
      <c r="L38" s="794"/>
      <c r="M38" s="794"/>
      <c r="N38" s="794"/>
      <c r="O38" s="794"/>
      <c r="P38" s="794"/>
      <c r="Q38" s="794"/>
      <c r="R38" s="794"/>
      <c r="S38" s="794"/>
      <c r="T38" s="794"/>
      <c r="U38" s="794"/>
      <c r="V38" s="794"/>
    </row>
    <row r="39" spans="1:22" ht="30" x14ac:dyDescent="0.25">
      <c r="A39" s="792"/>
      <c r="B39" s="791" t="s">
        <v>452</v>
      </c>
      <c r="C39" s="794">
        <f>SUM(C40:C43)</f>
        <v>0</v>
      </c>
      <c r="D39" s="794">
        <f t="shared" ref="D39:R39" si="12">SUM(D40:D43)</f>
        <v>0</v>
      </c>
      <c r="E39" s="794">
        <f t="shared" si="12"/>
        <v>0</v>
      </c>
      <c r="F39" s="794">
        <f t="shared" si="12"/>
        <v>0</v>
      </c>
      <c r="G39" s="794">
        <f t="shared" si="12"/>
        <v>0</v>
      </c>
      <c r="H39" s="794">
        <f t="shared" si="12"/>
        <v>0</v>
      </c>
      <c r="I39" s="794">
        <f t="shared" si="12"/>
        <v>0</v>
      </c>
      <c r="J39" s="794">
        <f t="shared" si="12"/>
        <v>0</v>
      </c>
      <c r="K39" s="794">
        <f t="shared" si="12"/>
        <v>0</v>
      </c>
      <c r="L39" s="794">
        <f t="shared" si="12"/>
        <v>0</v>
      </c>
      <c r="M39" s="794">
        <f t="shared" si="12"/>
        <v>0</v>
      </c>
      <c r="N39" s="794">
        <f t="shared" si="12"/>
        <v>0</v>
      </c>
      <c r="O39" s="794">
        <f t="shared" si="12"/>
        <v>0</v>
      </c>
      <c r="P39" s="794">
        <f t="shared" si="12"/>
        <v>0</v>
      </c>
      <c r="Q39" s="794">
        <f t="shared" si="12"/>
        <v>0</v>
      </c>
      <c r="R39" s="794">
        <f t="shared" si="12"/>
        <v>0</v>
      </c>
      <c r="S39" s="794">
        <f>SUM(S40:S43)</f>
        <v>0</v>
      </c>
      <c r="T39" s="794">
        <f>SUM(T40:T43)</f>
        <v>0</v>
      </c>
      <c r="U39" s="794">
        <f>SUM(U40:U43)</f>
        <v>0</v>
      </c>
      <c r="V39" s="794">
        <f>SUM(V40:V43)</f>
        <v>0</v>
      </c>
    </row>
    <row r="40" spans="1:22" ht="30" x14ac:dyDescent="0.25">
      <c r="A40" s="792"/>
      <c r="B40" s="799" t="s">
        <v>453</v>
      </c>
      <c r="C40" s="794"/>
      <c r="D40" s="794"/>
      <c r="E40" s="794"/>
      <c r="F40" s="794"/>
      <c r="G40" s="794"/>
      <c r="H40" s="794"/>
      <c r="I40" s="794"/>
      <c r="J40" s="794"/>
      <c r="K40" s="794"/>
      <c r="L40" s="794"/>
      <c r="M40" s="794"/>
      <c r="N40" s="794"/>
      <c r="O40" s="794"/>
      <c r="P40" s="794"/>
      <c r="Q40" s="794"/>
      <c r="R40" s="794"/>
      <c r="S40" s="794"/>
      <c r="T40" s="794"/>
      <c r="U40" s="794"/>
      <c r="V40" s="794"/>
    </row>
    <row r="41" spans="1:22" ht="30" x14ac:dyDescent="0.25">
      <c r="A41" s="792"/>
      <c r="B41" s="799" t="s">
        <v>454</v>
      </c>
      <c r="C41" s="794"/>
      <c r="D41" s="794"/>
      <c r="E41" s="794"/>
      <c r="F41" s="794"/>
      <c r="G41" s="794"/>
      <c r="H41" s="794"/>
      <c r="I41" s="794"/>
      <c r="J41" s="794"/>
      <c r="K41" s="794"/>
      <c r="L41" s="794"/>
      <c r="M41" s="794"/>
      <c r="N41" s="794"/>
      <c r="O41" s="794"/>
      <c r="P41" s="794"/>
      <c r="Q41" s="794"/>
      <c r="R41" s="794"/>
      <c r="S41" s="794"/>
      <c r="T41" s="794"/>
      <c r="U41" s="794"/>
      <c r="V41" s="794"/>
    </row>
    <row r="42" spans="1:22" ht="30" x14ac:dyDescent="0.25">
      <c r="A42" s="792"/>
      <c r="B42" s="799" t="s">
        <v>455</v>
      </c>
      <c r="C42" s="794"/>
      <c r="D42" s="794"/>
      <c r="E42" s="794"/>
      <c r="F42" s="794"/>
      <c r="G42" s="794"/>
      <c r="H42" s="794"/>
      <c r="I42" s="794"/>
      <c r="J42" s="794"/>
      <c r="K42" s="794"/>
      <c r="L42" s="794"/>
      <c r="M42" s="794"/>
      <c r="N42" s="794"/>
      <c r="O42" s="794"/>
      <c r="P42" s="794"/>
      <c r="Q42" s="794"/>
      <c r="R42" s="794"/>
      <c r="S42" s="794"/>
      <c r="T42" s="794"/>
      <c r="U42" s="794"/>
      <c r="V42" s="794"/>
    </row>
    <row r="43" spans="1:22" ht="30" x14ac:dyDescent="0.25">
      <c r="A43" s="792"/>
      <c r="B43" s="799" t="s">
        <v>456</v>
      </c>
      <c r="C43" s="794"/>
      <c r="D43" s="794"/>
      <c r="E43" s="794"/>
      <c r="F43" s="794"/>
      <c r="G43" s="794"/>
      <c r="H43" s="794"/>
      <c r="I43" s="794"/>
      <c r="J43" s="794"/>
      <c r="K43" s="794"/>
      <c r="L43" s="794"/>
      <c r="M43" s="794"/>
      <c r="N43" s="794"/>
      <c r="O43" s="794"/>
      <c r="P43" s="794"/>
      <c r="Q43" s="794"/>
      <c r="R43" s="794"/>
      <c r="S43" s="794"/>
      <c r="T43" s="794"/>
      <c r="U43" s="794"/>
      <c r="V43" s="794"/>
    </row>
    <row r="44" spans="1:22" ht="30" x14ac:dyDescent="0.25">
      <c r="A44" s="792"/>
      <c r="B44" s="791" t="s">
        <v>457</v>
      </c>
      <c r="C44" s="794">
        <f>SUM(C45:C48)</f>
        <v>13200</v>
      </c>
      <c r="D44" s="794">
        <f t="shared" ref="D44:R44" si="13">SUM(D45:D48)</f>
        <v>13200</v>
      </c>
      <c r="E44" s="794">
        <f t="shared" si="13"/>
        <v>0</v>
      </c>
      <c r="F44" s="794">
        <f t="shared" si="13"/>
        <v>0</v>
      </c>
      <c r="G44" s="794">
        <f t="shared" si="13"/>
        <v>0</v>
      </c>
      <c r="H44" s="794">
        <f t="shared" si="13"/>
        <v>0</v>
      </c>
      <c r="I44" s="794">
        <f t="shared" si="13"/>
        <v>0</v>
      </c>
      <c r="J44" s="794">
        <f t="shared" si="13"/>
        <v>0</v>
      </c>
      <c r="K44" s="794">
        <f t="shared" si="13"/>
        <v>0</v>
      </c>
      <c r="L44" s="794">
        <f t="shared" si="13"/>
        <v>0</v>
      </c>
      <c r="M44" s="794">
        <f t="shared" si="13"/>
        <v>0</v>
      </c>
      <c r="N44" s="794">
        <f t="shared" si="13"/>
        <v>0</v>
      </c>
      <c r="O44" s="794">
        <f t="shared" si="13"/>
        <v>0</v>
      </c>
      <c r="P44" s="794">
        <f t="shared" si="13"/>
        <v>0</v>
      </c>
      <c r="Q44" s="794">
        <f t="shared" si="13"/>
        <v>0</v>
      </c>
      <c r="R44" s="794">
        <f t="shared" si="13"/>
        <v>0</v>
      </c>
      <c r="S44" s="794">
        <f>SUM(S45:S48)</f>
        <v>0</v>
      </c>
      <c r="T44" s="794">
        <f>SUM(T45:T48)</f>
        <v>0</v>
      </c>
      <c r="U44" s="794">
        <f>SUM(U45:U48)</f>
        <v>0</v>
      </c>
      <c r="V44" s="794">
        <f>SUM(V45:V48)</f>
        <v>0</v>
      </c>
    </row>
    <row r="45" spans="1:22" ht="30" x14ac:dyDescent="0.25">
      <c r="A45" s="792"/>
      <c r="B45" s="799" t="s">
        <v>458</v>
      </c>
      <c r="C45" s="794"/>
      <c r="D45" s="794"/>
      <c r="E45" s="794"/>
      <c r="F45" s="794"/>
      <c r="G45" s="794"/>
      <c r="H45" s="794"/>
      <c r="I45" s="794"/>
      <c r="J45" s="794"/>
      <c r="K45" s="794"/>
      <c r="L45" s="794"/>
      <c r="M45" s="794"/>
      <c r="N45" s="794"/>
      <c r="O45" s="794"/>
      <c r="P45" s="794"/>
      <c r="Q45" s="794"/>
      <c r="R45" s="794"/>
      <c r="S45" s="794"/>
      <c r="T45" s="794"/>
      <c r="U45" s="794"/>
      <c r="V45" s="794"/>
    </row>
    <row r="46" spans="1:22" ht="30" x14ac:dyDescent="0.25">
      <c r="A46" s="792"/>
      <c r="B46" s="799" t="s">
        <v>459</v>
      </c>
      <c r="C46" s="794"/>
      <c r="D46" s="794"/>
      <c r="E46" s="794"/>
      <c r="F46" s="794"/>
      <c r="G46" s="794"/>
      <c r="H46" s="794"/>
      <c r="I46" s="794"/>
      <c r="J46" s="794"/>
      <c r="K46" s="794"/>
      <c r="L46" s="794"/>
      <c r="M46" s="794"/>
      <c r="N46" s="794"/>
      <c r="O46" s="794"/>
      <c r="P46" s="794"/>
      <c r="Q46" s="794"/>
      <c r="R46" s="794"/>
      <c r="S46" s="794"/>
      <c r="T46" s="794"/>
      <c r="U46" s="794"/>
      <c r="V46" s="794"/>
    </row>
    <row r="47" spans="1:22" ht="30" x14ac:dyDescent="0.25">
      <c r="A47" s="792"/>
      <c r="B47" s="799" t="s">
        <v>460</v>
      </c>
      <c r="C47" s="794"/>
      <c r="D47" s="794"/>
      <c r="E47" s="794"/>
      <c r="F47" s="794"/>
      <c r="G47" s="794"/>
      <c r="H47" s="794"/>
      <c r="I47" s="794"/>
      <c r="J47" s="794"/>
      <c r="K47" s="794"/>
      <c r="L47" s="794"/>
      <c r="M47" s="794"/>
      <c r="N47" s="794"/>
      <c r="O47" s="794"/>
      <c r="P47" s="794"/>
      <c r="Q47" s="794"/>
      <c r="R47" s="794"/>
      <c r="S47" s="794"/>
      <c r="T47" s="794"/>
      <c r="U47" s="794"/>
      <c r="V47" s="794"/>
    </row>
    <row r="48" spans="1:22" ht="30" x14ac:dyDescent="0.25">
      <c r="A48" s="792"/>
      <c r="B48" s="799" t="s">
        <v>461</v>
      </c>
      <c r="C48" s="794">
        <v>13200</v>
      </c>
      <c r="D48" s="794">
        <v>13200</v>
      </c>
      <c r="E48" s="794"/>
      <c r="F48" s="794"/>
      <c r="G48" s="794"/>
      <c r="H48" s="794"/>
      <c r="I48" s="794"/>
      <c r="J48" s="794"/>
      <c r="K48" s="794"/>
      <c r="L48" s="794"/>
      <c r="M48" s="794"/>
      <c r="N48" s="794"/>
      <c r="O48" s="794"/>
      <c r="P48" s="794"/>
      <c r="Q48" s="794"/>
      <c r="R48" s="794"/>
      <c r="S48" s="794"/>
      <c r="T48" s="794"/>
      <c r="U48" s="794"/>
      <c r="V48" s="794"/>
    </row>
    <row r="49" spans="1:22" ht="30" x14ac:dyDescent="0.25">
      <c r="A49" s="791"/>
      <c r="B49" s="803" t="s">
        <v>462</v>
      </c>
      <c r="C49" s="790">
        <f>SUM(C50:C53)</f>
        <v>899507341</v>
      </c>
      <c r="D49" s="790">
        <f>SUM(D50:D53)</f>
        <v>538900799</v>
      </c>
      <c r="E49" s="790">
        <f t="shared" ref="E49:R49" si="14">SUM(E50:E53)</f>
        <v>0</v>
      </c>
      <c r="F49" s="790">
        <f t="shared" si="14"/>
        <v>0</v>
      </c>
      <c r="G49" s="790">
        <f t="shared" si="14"/>
        <v>0</v>
      </c>
      <c r="H49" s="790">
        <f t="shared" si="14"/>
        <v>0</v>
      </c>
      <c r="I49" s="790">
        <f t="shared" si="14"/>
        <v>0</v>
      </c>
      <c r="J49" s="790">
        <f t="shared" si="14"/>
        <v>0</v>
      </c>
      <c r="K49" s="790">
        <f t="shared" si="14"/>
        <v>0</v>
      </c>
      <c r="L49" s="790">
        <f t="shared" si="14"/>
        <v>0</v>
      </c>
      <c r="M49" s="790">
        <f t="shared" si="14"/>
        <v>0</v>
      </c>
      <c r="N49" s="790">
        <f t="shared" si="14"/>
        <v>0</v>
      </c>
      <c r="O49" s="790">
        <f t="shared" si="14"/>
        <v>0</v>
      </c>
      <c r="P49" s="790">
        <f t="shared" si="14"/>
        <v>0</v>
      </c>
      <c r="Q49" s="790">
        <f t="shared" si="14"/>
        <v>0</v>
      </c>
      <c r="R49" s="790">
        <f t="shared" si="14"/>
        <v>0</v>
      </c>
      <c r="S49" s="790">
        <f>SUM(S50:S53)</f>
        <v>0</v>
      </c>
      <c r="T49" s="790">
        <f>SUM(T50:T53)</f>
        <v>0</v>
      </c>
      <c r="U49" s="790">
        <f>SUM(U50:U53)</f>
        <v>0</v>
      </c>
      <c r="V49" s="790">
        <f>SUM(V50:V53)</f>
        <v>0</v>
      </c>
    </row>
    <row r="50" spans="1:22" ht="30" x14ac:dyDescent="0.25">
      <c r="A50" s="792"/>
      <c r="B50" s="792" t="s">
        <v>463</v>
      </c>
      <c r="C50" s="794">
        <v>294253129</v>
      </c>
      <c r="D50" s="794">
        <v>273213555</v>
      </c>
      <c r="E50" s="794"/>
      <c r="F50" s="794"/>
      <c r="G50" s="794"/>
      <c r="H50" s="794"/>
      <c r="I50" s="794"/>
      <c r="J50" s="794"/>
      <c r="K50" s="794"/>
      <c r="L50" s="794"/>
      <c r="M50" s="794"/>
      <c r="N50" s="794"/>
      <c r="O50" s="794"/>
      <c r="P50" s="794"/>
      <c r="Q50" s="794"/>
      <c r="R50" s="794"/>
      <c r="S50" s="794"/>
      <c r="T50" s="794"/>
      <c r="U50" s="794"/>
      <c r="V50" s="794"/>
    </row>
    <row r="51" spans="1:22" ht="45" x14ac:dyDescent="0.25">
      <c r="A51" s="792"/>
      <c r="B51" s="792" t="s">
        <v>464</v>
      </c>
      <c r="C51" s="794"/>
      <c r="D51" s="794"/>
      <c r="E51" s="794"/>
      <c r="F51" s="794"/>
      <c r="G51" s="794"/>
      <c r="H51" s="794"/>
      <c r="I51" s="794"/>
      <c r="J51" s="794"/>
      <c r="K51" s="794"/>
      <c r="L51" s="794"/>
      <c r="M51" s="794"/>
      <c r="N51" s="794"/>
      <c r="O51" s="794"/>
      <c r="P51" s="794"/>
      <c r="Q51" s="794"/>
      <c r="R51" s="794"/>
      <c r="S51" s="794"/>
      <c r="T51" s="794"/>
      <c r="U51" s="794"/>
      <c r="V51" s="794"/>
    </row>
    <row r="52" spans="1:22" ht="30" x14ac:dyDescent="0.25">
      <c r="A52" s="792"/>
      <c r="B52" s="792" t="s">
        <v>465</v>
      </c>
      <c r="C52" s="449">
        <v>474573181</v>
      </c>
      <c r="D52" s="794">
        <v>175675317</v>
      </c>
      <c r="E52" s="794"/>
      <c r="F52" s="794"/>
      <c r="G52" s="794"/>
      <c r="H52" s="794"/>
      <c r="I52" s="794"/>
      <c r="J52" s="794"/>
      <c r="K52" s="794"/>
      <c r="L52" s="794"/>
      <c r="M52" s="794"/>
      <c r="N52" s="794"/>
      <c r="O52" s="794"/>
      <c r="P52" s="794"/>
      <c r="Q52" s="794"/>
      <c r="R52" s="794"/>
      <c r="S52" s="794"/>
      <c r="T52" s="794"/>
      <c r="U52" s="794"/>
      <c r="V52" s="794"/>
    </row>
    <row r="53" spans="1:22" ht="30" x14ac:dyDescent="0.25">
      <c r="A53" s="792"/>
      <c r="B53" s="792" t="s">
        <v>466</v>
      </c>
      <c r="C53" s="794">
        <v>130681031</v>
      </c>
      <c r="D53" s="794">
        <v>90011927</v>
      </c>
      <c r="E53" s="794"/>
      <c r="F53" s="794"/>
      <c r="G53" s="794"/>
      <c r="H53" s="794"/>
      <c r="I53" s="794"/>
      <c r="J53" s="794"/>
      <c r="K53" s="794"/>
      <c r="L53" s="794"/>
      <c r="M53" s="794"/>
      <c r="N53" s="794"/>
      <c r="O53" s="794"/>
      <c r="P53" s="794"/>
      <c r="Q53" s="794"/>
      <c r="R53" s="794"/>
      <c r="S53" s="794"/>
      <c r="T53" s="794"/>
      <c r="U53" s="794"/>
      <c r="V53" s="794"/>
    </row>
    <row r="54" spans="1:22" ht="31.15" customHeight="1" x14ac:dyDescent="0.25">
      <c r="A54" s="958" t="s">
        <v>467</v>
      </c>
      <c r="B54" s="958"/>
      <c r="C54" s="790">
        <f t="shared" ref="C54:V54" si="15">+C55+C56</f>
        <v>1984575</v>
      </c>
      <c r="D54" s="790">
        <f t="shared" si="15"/>
        <v>1984575</v>
      </c>
      <c r="E54" s="790">
        <f t="shared" si="15"/>
        <v>613824</v>
      </c>
      <c r="F54" s="790">
        <f t="shared" si="15"/>
        <v>613824</v>
      </c>
      <c r="G54" s="790">
        <f t="shared" si="15"/>
        <v>671861</v>
      </c>
      <c r="H54" s="790">
        <f t="shared" si="15"/>
        <v>671861</v>
      </c>
      <c r="I54" s="790">
        <f t="shared" si="15"/>
        <v>228142</v>
      </c>
      <c r="J54" s="790">
        <f t="shared" si="15"/>
        <v>228142</v>
      </c>
      <c r="K54" s="790">
        <f t="shared" si="15"/>
        <v>108065</v>
      </c>
      <c r="L54" s="790">
        <f t="shared" si="15"/>
        <v>108065</v>
      </c>
      <c r="M54" s="790">
        <f t="shared" si="15"/>
        <v>42171</v>
      </c>
      <c r="N54" s="790">
        <f t="shared" si="15"/>
        <v>42171</v>
      </c>
      <c r="O54" s="790">
        <f t="shared" si="15"/>
        <v>483443</v>
      </c>
      <c r="P54" s="790">
        <f t="shared" si="15"/>
        <v>483443</v>
      </c>
      <c r="Q54" s="790">
        <f t="shared" si="15"/>
        <v>237050</v>
      </c>
      <c r="R54" s="790">
        <f t="shared" si="15"/>
        <v>237050</v>
      </c>
      <c r="S54" s="790">
        <f t="shared" si="15"/>
        <v>51962</v>
      </c>
      <c r="T54" s="790">
        <f t="shared" si="15"/>
        <v>51962</v>
      </c>
      <c r="U54" s="790">
        <f t="shared" si="15"/>
        <v>192737</v>
      </c>
      <c r="V54" s="790">
        <f t="shared" si="15"/>
        <v>192737</v>
      </c>
    </row>
    <row r="55" spans="1:22" x14ac:dyDescent="0.25">
      <c r="A55" s="791"/>
      <c r="B55" s="791" t="s">
        <v>468</v>
      </c>
      <c r="C55" s="794">
        <v>1984575</v>
      </c>
      <c r="D55" s="794">
        <f>+C55</f>
        <v>1984575</v>
      </c>
      <c r="E55" s="794">
        <v>613824</v>
      </c>
      <c r="F55" s="794">
        <f>+E55</f>
        <v>613824</v>
      </c>
      <c r="G55" s="794">
        <v>671861</v>
      </c>
      <c r="H55" s="794">
        <f>+G55</f>
        <v>671861</v>
      </c>
      <c r="I55" s="794">
        <v>228142</v>
      </c>
      <c r="J55" s="794">
        <f>+I55</f>
        <v>228142</v>
      </c>
      <c r="K55" s="794">
        <v>108065</v>
      </c>
      <c r="L55" s="794">
        <f>+K55</f>
        <v>108065</v>
      </c>
      <c r="M55" s="794">
        <v>42171</v>
      </c>
      <c r="N55" s="794">
        <v>42171</v>
      </c>
      <c r="O55" s="794">
        <v>483443</v>
      </c>
      <c r="P55" s="794">
        <f>+O55</f>
        <v>483443</v>
      </c>
      <c r="Q55" s="794">
        <v>237050</v>
      </c>
      <c r="R55" s="794">
        <f>+Q55</f>
        <v>237050</v>
      </c>
      <c r="S55" s="794">
        <v>51962</v>
      </c>
      <c r="T55" s="794">
        <f>+S55</f>
        <v>51962</v>
      </c>
      <c r="U55" s="794">
        <v>192737</v>
      </c>
      <c r="V55" s="794">
        <f>+U55</f>
        <v>192737</v>
      </c>
    </row>
    <row r="56" spans="1:22" x14ac:dyDescent="0.25">
      <c r="A56" s="791"/>
      <c r="B56" s="791" t="s">
        <v>469</v>
      </c>
      <c r="C56" s="790"/>
      <c r="D56" s="794">
        <f t="shared" ref="D56:D80" si="16">+C56</f>
        <v>0</v>
      </c>
      <c r="E56" s="790"/>
      <c r="F56" s="794">
        <f t="shared" ref="F56:F81" si="17">+E56</f>
        <v>0</v>
      </c>
      <c r="G56" s="790"/>
      <c r="H56" s="794">
        <f t="shared" ref="H56:H81" si="18">+G56</f>
        <v>0</v>
      </c>
      <c r="I56" s="790"/>
      <c r="J56" s="794">
        <f t="shared" ref="J56:J81" si="19">+I56</f>
        <v>0</v>
      </c>
      <c r="K56" s="790"/>
      <c r="L56" s="794">
        <f t="shared" ref="L56:L81" si="20">+K56</f>
        <v>0</v>
      </c>
      <c r="M56" s="790"/>
      <c r="N56" s="790"/>
      <c r="O56" s="790"/>
      <c r="P56" s="794">
        <f t="shared" ref="P56:P82" si="21">+O56</f>
        <v>0</v>
      </c>
      <c r="Q56" s="790"/>
      <c r="R56" s="794">
        <f t="shared" ref="R56:R81" si="22">+Q56</f>
        <v>0</v>
      </c>
      <c r="S56" s="790"/>
      <c r="T56" s="794">
        <f t="shared" ref="T56:T80" si="23">+S56</f>
        <v>0</v>
      </c>
      <c r="U56" s="790"/>
      <c r="V56" s="794">
        <f t="shared" ref="V56:V80" si="24">+U56</f>
        <v>0</v>
      </c>
    </row>
    <row r="57" spans="1:22" s="448" customFormat="1" x14ac:dyDescent="0.25">
      <c r="A57" s="958" t="s">
        <v>470</v>
      </c>
      <c r="B57" s="958"/>
      <c r="C57" s="790">
        <f t="shared" ref="C57:G57" si="25">+C58+C59+C60+C61+C62</f>
        <v>3598969017</v>
      </c>
      <c r="D57" s="790">
        <f t="shared" si="25"/>
        <v>3598969017</v>
      </c>
      <c r="E57" s="790">
        <f t="shared" si="25"/>
        <v>38558215</v>
      </c>
      <c r="F57" s="790">
        <f t="shared" si="17"/>
        <v>38558215</v>
      </c>
      <c r="G57" s="790">
        <f t="shared" si="25"/>
        <v>19736684</v>
      </c>
      <c r="H57" s="790">
        <f t="shared" si="18"/>
        <v>19736684</v>
      </c>
      <c r="I57" s="790">
        <f t="shared" ref="I57:U57" si="26">+I58+I59+I60+I61+I62</f>
        <v>6289643</v>
      </c>
      <c r="J57" s="790">
        <f t="shared" si="19"/>
        <v>6289643</v>
      </c>
      <c r="K57" s="790">
        <f t="shared" si="26"/>
        <v>11546767</v>
      </c>
      <c r="L57" s="790">
        <f t="shared" si="20"/>
        <v>11546767</v>
      </c>
      <c r="M57" s="790">
        <f t="shared" si="26"/>
        <v>3437187</v>
      </c>
      <c r="N57" s="790">
        <f t="shared" si="26"/>
        <v>3437187</v>
      </c>
      <c r="O57" s="790">
        <f t="shared" si="26"/>
        <v>6664200</v>
      </c>
      <c r="P57" s="790">
        <f t="shared" si="21"/>
        <v>6664200</v>
      </c>
      <c r="Q57" s="790">
        <f t="shared" si="26"/>
        <v>78820686</v>
      </c>
      <c r="R57" s="790">
        <f t="shared" si="22"/>
        <v>78820686</v>
      </c>
      <c r="S57" s="790">
        <f t="shared" si="26"/>
        <v>5646128</v>
      </c>
      <c r="T57" s="790">
        <f t="shared" si="23"/>
        <v>5646128</v>
      </c>
      <c r="U57" s="790">
        <f t="shared" si="26"/>
        <v>14949282</v>
      </c>
      <c r="V57" s="790">
        <f t="shared" si="24"/>
        <v>14949282</v>
      </c>
    </row>
    <row r="58" spans="1:22" x14ac:dyDescent="0.25">
      <c r="A58" s="792"/>
      <c r="B58" s="792" t="s">
        <v>471</v>
      </c>
      <c r="C58" s="794"/>
      <c r="D58" s="794">
        <f t="shared" si="16"/>
        <v>0</v>
      </c>
      <c r="E58" s="794"/>
      <c r="F58" s="794">
        <f t="shared" si="17"/>
        <v>0</v>
      </c>
      <c r="G58" s="794"/>
      <c r="H58" s="794">
        <f t="shared" si="18"/>
        <v>0</v>
      </c>
      <c r="I58" s="794"/>
      <c r="J58" s="794">
        <f t="shared" si="19"/>
        <v>0</v>
      </c>
      <c r="K58" s="794"/>
      <c r="L58" s="794">
        <f t="shared" si="20"/>
        <v>0</v>
      </c>
      <c r="M58" s="794"/>
      <c r="N58" s="794"/>
      <c r="O58" s="794"/>
      <c r="P58" s="794">
        <f t="shared" si="21"/>
        <v>0</v>
      </c>
      <c r="Q58" s="794"/>
      <c r="R58" s="794">
        <f t="shared" si="22"/>
        <v>0</v>
      </c>
      <c r="S58" s="794"/>
      <c r="T58" s="794">
        <f t="shared" si="23"/>
        <v>0</v>
      </c>
      <c r="U58" s="794"/>
      <c r="V58" s="794">
        <f t="shared" si="24"/>
        <v>0</v>
      </c>
    </row>
    <row r="59" spans="1:22" x14ac:dyDescent="0.25">
      <c r="A59" s="792"/>
      <c r="B59" s="792" t="s">
        <v>472</v>
      </c>
      <c r="C59" s="794"/>
      <c r="D59" s="794">
        <f t="shared" si="16"/>
        <v>0</v>
      </c>
      <c r="E59" s="794"/>
      <c r="F59" s="794">
        <f t="shared" si="17"/>
        <v>0</v>
      </c>
      <c r="G59" s="794"/>
      <c r="H59" s="794">
        <f t="shared" si="18"/>
        <v>0</v>
      </c>
      <c r="I59" s="794"/>
      <c r="J59" s="794">
        <f t="shared" si="19"/>
        <v>0</v>
      </c>
      <c r="K59" s="794"/>
      <c r="L59" s="794">
        <f t="shared" si="20"/>
        <v>0</v>
      </c>
      <c r="M59" s="794"/>
      <c r="N59" s="794"/>
      <c r="O59" s="794"/>
      <c r="P59" s="794">
        <f t="shared" si="21"/>
        <v>0</v>
      </c>
      <c r="Q59" s="794"/>
      <c r="R59" s="794">
        <f t="shared" si="22"/>
        <v>0</v>
      </c>
      <c r="S59" s="794"/>
      <c r="T59" s="794">
        <f t="shared" si="23"/>
        <v>0</v>
      </c>
      <c r="U59" s="794"/>
      <c r="V59" s="794">
        <f t="shared" si="24"/>
        <v>0</v>
      </c>
    </row>
    <row r="60" spans="1:22" x14ac:dyDescent="0.25">
      <c r="A60" s="792"/>
      <c r="B60" s="792" t="s">
        <v>473</v>
      </c>
      <c r="C60" s="794">
        <f>3598660693+308324</f>
        <v>3598969017</v>
      </c>
      <c r="D60" s="794">
        <f t="shared" si="16"/>
        <v>3598969017</v>
      </c>
      <c r="E60" s="794">
        <v>38558215</v>
      </c>
      <c r="F60" s="794">
        <f t="shared" si="17"/>
        <v>38558215</v>
      </c>
      <c r="G60" s="794">
        <v>19736684</v>
      </c>
      <c r="H60" s="794">
        <f t="shared" si="18"/>
        <v>19736684</v>
      </c>
      <c r="I60" s="794">
        <v>6289643</v>
      </c>
      <c r="J60" s="794">
        <f t="shared" si="19"/>
        <v>6289643</v>
      </c>
      <c r="K60" s="794">
        <v>11546767</v>
      </c>
      <c r="L60" s="794">
        <f t="shared" si="20"/>
        <v>11546767</v>
      </c>
      <c r="M60" s="794">
        <v>3437187</v>
      </c>
      <c r="N60" s="794">
        <v>3437187</v>
      </c>
      <c r="O60" s="794">
        <v>6664200</v>
      </c>
      <c r="P60" s="794">
        <f t="shared" si="21"/>
        <v>6664200</v>
      </c>
      <c r="Q60" s="794">
        <v>78820686</v>
      </c>
      <c r="R60" s="794">
        <f t="shared" si="22"/>
        <v>78820686</v>
      </c>
      <c r="S60" s="794">
        <v>5646128</v>
      </c>
      <c r="T60" s="794">
        <f t="shared" si="23"/>
        <v>5646128</v>
      </c>
      <c r="U60" s="794">
        <v>14949282</v>
      </c>
      <c r="V60" s="794">
        <f t="shared" si="24"/>
        <v>14949282</v>
      </c>
    </row>
    <row r="61" spans="1:22" x14ac:dyDescent="0.25">
      <c r="A61" s="792"/>
      <c r="B61" s="792" t="s">
        <v>474</v>
      </c>
      <c r="C61" s="794"/>
      <c r="D61" s="794">
        <f t="shared" si="16"/>
        <v>0</v>
      </c>
      <c r="E61" s="794"/>
      <c r="F61" s="794">
        <f t="shared" si="17"/>
        <v>0</v>
      </c>
      <c r="G61" s="794"/>
      <c r="H61" s="794">
        <f t="shared" si="18"/>
        <v>0</v>
      </c>
      <c r="I61" s="794"/>
      <c r="J61" s="794">
        <f t="shared" si="19"/>
        <v>0</v>
      </c>
      <c r="K61" s="794"/>
      <c r="L61" s="794">
        <f t="shared" si="20"/>
        <v>0</v>
      </c>
      <c r="M61" s="794"/>
      <c r="N61" s="794"/>
      <c r="O61" s="794"/>
      <c r="P61" s="794">
        <f t="shared" si="21"/>
        <v>0</v>
      </c>
      <c r="Q61" s="794"/>
      <c r="R61" s="794">
        <f t="shared" si="22"/>
        <v>0</v>
      </c>
      <c r="S61" s="794"/>
      <c r="T61" s="794">
        <f t="shared" si="23"/>
        <v>0</v>
      </c>
      <c r="U61" s="794"/>
      <c r="V61" s="794">
        <f t="shared" si="24"/>
        <v>0</v>
      </c>
    </row>
    <row r="62" spans="1:22" x14ac:dyDescent="0.25">
      <c r="A62" s="792"/>
      <c r="B62" s="792" t="s">
        <v>475</v>
      </c>
      <c r="C62" s="794"/>
      <c r="D62" s="794">
        <f t="shared" si="16"/>
        <v>0</v>
      </c>
      <c r="E62" s="794"/>
      <c r="F62" s="794">
        <f t="shared" si="17"/>
        <v>0</v>
      </c>
      <c r="G62" s="794"/>
      <c r="H62" s="794">
        <f t="shared" si="18"/>
        <v>0</v>
      </c>
      <c r="I62" s="794"/>
      <c r="J62" s="794">
        <f t="shared" si="19"/>
        <v>0</v>
      </c>
      <c r="K62" s="794"/>
      <c r="L62" s="794">
        <f t="shared" si="20"/>
        <v>0</v>
      </c>
      <c r="M62" s="794"/>
      <c r="N62" s="794"/>
      <c r="O62" s="794"/>
      <c r="P62" s="794">
        <f t="shared" si="21"/>
        <v>0</v>
      </c>
      <c r="Q62" s="794"/>
      <c r="R62" s="794">
        <f t="shared" si="22"/>
        <v>0</v>
      </c>
      <c r="S62" s="794"/>
      <c r="T62" s="794">
        <f t="shared" si="23"/>
        <v>0</v>
      </c>
      <c r="U62" s="794"/>
      <c r="V62" s="794">
        <f t="shared" si="24"/>
        <v>0</v>
      </c>
    </row>
    <row r="63" spans="1:22" s="448" customFormat="1" x14ac:dyDescent="0.25">
      <c r="A63" s="958" t="s">
        <v>476</v>
      </c>
      <c r="B63" s="958"/>
      <c r="C63" s="790">
        <f t="shared" ref="C63:G63" si="27">+C64+C65+C66</f>
        <v>1797684013</v>
      </c>
      <c r="D63" s="790">
        <f t="shared" si="27"/>
        <v>1797684013</v>
      </c>
      <c r="E63" s="790">
        <f t="shared" si="27"/>
        <v>14385466</v>
      </c>
      <c r="F63" s="790">
        <f t="shared" si="17"/>
        <v>14385466</v>
      </c>
      <c r="G63" s="790">
        <f t="shared" si="27"/>
        <v>895012</v>
      </c>
      <c r="H63" s="790">
        <f t="shared" si="18"/>
        <v>895012</v>
      </c>
      <c r="I63" s="790">
        <f t="shared" ref="I63:U63" si="28">+I64+I65+I66</f>
        <v>49000</v>
      </c>
      <c r="J63" s="790">
        <f t="shared" si="19"/>
        <v>49000</v>
      </c>
      <c r="K63" s="790">
        <f t="shared" si="28"/>
        <v>141374</v>
      </c>
      <c r="L63" s="790">
        <f t="shared" si="20"/>
        <v>141374</v>
      </c>
      <c r="M63" s="790">
        <f t="shared" si="28"/>
        <v>0</v>
      </c>
      <c r="N63" s="790">
        <f t="shared" si="28"/>
        <v>0</v>
      </c>
      <c r="O63" s="790">
        <f t="shared" si="28"/>
        <v>82</v>
      </c>
      <c r="P63" s="790">
        <f t="shared" si="21"/>
        <v>82</v>
      </c>
      <c r="Q63" s="790">
        <f t="shared" si="28"/>
        <v>31796090</v>
      </c>
      <c r="R63" s="790">
        <f t="shared" si="22"/>
        <v>31796090</v>
      </c>
      <c r="S63" s="790">
        <f t="shared" si="28"/>
        <v>0</v>
      </c>
      <c r="T63" s="790">
        <f t="shared" si="23"/>
        <v>0</v>
      </c>
      <c r="U63" s="790">
        <f t="shared" si="28"/>
        <v>144500</v>
      </c>
      <c r="V63" s="790">
        <f t="shared" si="24"/>
        <v>144500</v>
      </c>
    </row>
    <row r="64" spans="1:22" x14ac:dyDescent="0.25">
      <c r="A64" s="792"/>
      <c r="B64" s="792" t="s">
        <v>477</v>
      </c>
      <c r="C64" s="794">
        <f>46979111+89437785</f>
        <v>136416896</v>
      </c>
      <c r="D64" s="794">
        <f t="shared" si="16"/>
        <v>136416896</v>
      </c>
      <c r="E64" s="794"/>
      <c r="F64" s="794">
        <f t="shared" si="17"/>
        <v>0</v>
      </c>
      <c r="G64" s="794">
        <v>895012</v>
      </c>
      <c r="H64" s="794">
        <f t="shared" si="18"/>
        <v>895012</v>
      </c>
      <c r="I64" s="794">
        <v>49000</v>
      </c>
      <c r="J64" s="794">
        <f t="shared" si="19"/>
        <v>49000</v>
      </c>
      <c r="K64" s="794">
        <v>141374</v>
      </c>
      <c r="L64" s="794">
        <f t="shared" si="20"/>
        <v>141374</v>
      </c>
      <c r="M64" s="794"/>
      <c r="N64" s="794"/>
      <c r="O64" s="794"/>
      <c r="P64" s="794">
        <f t="shared" si="21"/>
        <v>0</v>
      </c>
      <c r="Q64" s="794">
        <v>31796090</v>
      </c>
      <c r="R64" s="794">
        <f t="shared" si="22"/>
        <v>31796090</v>
      </c>
      <c r="S64" s="794"/>
      <c r="T64" s="794">
        <f t="shared" si="23"/>
        <v>0</v>
      </c>
      <c r="U64" s="794">
        <v>144500</v>
      </c>
      <c r="V64" s="794">
        <f t="shared" si="24"/>
        <v>144500</v>
      </c>
    </row>
    <row r="65" spans="1:22" ht="30" x14ac:dyDescent="0.25">
      <c r="A65" s="792"/>
      <c r="B65" s="792" t="s">
        <v>478</v>
      </c>
      <c r="C65" s="794">
        <v>1653215993</v>
      </c>
      <c r="D65" s="794">
        <f t="shared" si="16"/>
        <v>1653215993</v>
      </c>
      <c r="E65" s="794">
        <v>14268800</v>
      </c>
      <c r="F65" s="794">
        <f t="shared" si="17"/>
        <v>14268800</v>
      </c>
      <c r="G65" s="794"/>
      <c r="H65" s="794">
        <f t="shared" si="18"/>
        <v>0</v>
      </c>
      <c r="I65" s="794"/>
      <c r="J65" s="794">
        <f t="shared" si="19"/>
        <v>0</v>
      </c>
      <c r="K65" s="794"/>
      <c r="L65" s="794">
        <f t="shared" si="20"/>
        <v>0</v>
      </c>
      <c r="M65" s="794"/>
      <c r="N65" s="794"/>
      <c r="O65" s="794"/>
      <c r="P65" s="794">
        <f t="shared" si="21"/>
        <v>0</v>
      </c>
      <c r="Q65" s="794"/>
      <c r="R65" s="794">
        <f t="shared" si="22"/>
        <v>0</v>
      </c>
      <c r="S65" s="794"/>
      <c r="T65" s="794">
        <f t="shared" si="23"/>
        <v>0</v>
      </c>
      <c r="U65" s="794"/>
      <c r="V65" s="794">
        <f t="shared" si="24"/>
        <v>0</v>
      </c>
    </row>
    <row r="66" spans="1:22" x14ac:dyDescent="0.25">
      <c r="A66" s="792"/>
      <c r="B66" s="792" t="s">
        <v>479</v>
      </c>
      <c r="C66" s="794">
        <v>8051124</v>
      </c>
      <c r="D66" s="794">
        <f t="shared" si="16"/>
        <v>8051124</v>
      </c>
      <c r="E66" s="794">
        <v>116666</v>
      </c>
      <c r="F66" s="794">
        <f t="shared" si="17"/>
        <v>116666</v>
      </c>
      <c r="G66" s="794"/>
      <c r="H66" s="794">
        <f t="shared" si="18"/>
        <v>0</v>
      </c>
      <c r="I66" s="794"/>
      <c r="J66" s="794">
        <f t="shared" si="19"/>
        <v>0</v>
      </c>
      <c r="K66" s="794"/>
      <c r="L66" s="794">
        <f t="shared" si="20"/>
        <v>0</v>
      </c>
      <c r="M66" s="794"/>
      <c r="N66" s="794"/>
      <c r="O66" s="794">
        <v>82</v>
      </c>
      <c r="P66" s="794">
        <f t="shared" si="21"/>
        <v>82</v>
      </c>
      <c r="Q66" s="794"/>
      <c r="R66" s="794">
        <f t="shared" si="22"/>
        <v>0</v>
      </c>
      <c r="S66" s="794"/>
      <c r="T66" s="794">
        <f t="shared" si="23"/>
        <v>0</v>
      </c>
      <c r="U66" s="794"/>
      <c r="V66" s="794">
        <f t="shared" si="24"/>
        <v>0</v>
      </c>
    </row>
    <row r="67" spans="1:22" s="448" customFormat="1" ht="28.15" customHeight="1" x14ac:dyDescent="0.25">
      <c r="A67" s="958" t="s">
        <v>480</v>
      </c>
      <c r="B67" s="958"/>
      <c r="C67" s="790">
        <v>-654227500</v>
      </c>
      <c r="D67" s="790">
        <f t="shared" si="16"/>
        <v>-654227500</v>
      </c>
      <c r="E67" s="790">
        <v>11000</v>
      </c>
      <c r="F67" s="790">
        <f t="shared" si="17"/>
        <v>11000</v>
      </c>
      <c r="G67" s="790">
        <v>-149000</v>
      </c>
      <c r="H67" s="790">
        <f t="shared" si="18"/>
        <v>-149000</v>
      </c>
      <c r="I67" s="790"/>
      <c r="J67" s="790">
        <f t="shared" si="19"/>
        <v>0</v>
      </c>
      <c r="K67" s="790"/>
      <c r="L67" s="790">
        <f t="shared" si="20"/>
        <v>0</v>
      </c>
      <c r="M67" s="790"/>
      <c r="N67" s="790"/>
      <c r="O67" s="790">
        <v>-24000</v>
      </c>
      <c r="P67" s="790">
        <f t="shared" si="21"/>
        <v>-24000</v>
      </c>
      <c r="Q67" s="790">
        <v>14485000</v>
      </c>
      <c r="R67" s="790">
        <f t="shared" si="22"/>
        <v>14485000</v>
      </c>
      <c r="S67" s="790"/>
      <c r="T67" s="790">
        <f t="shared" si="23"/>
        <v>0</v>
      </c>
      <c r="U67" s="790">
        <v>-20000</v>
      </c>
      <c r="V67" s="790">
        <f t="shared" si="24"/>
        <v>-20000</v>
      </c>
    </row>
    <row r="68" spans="1:22" s="448" customFormat="1" ht="20.45" customHeight="1" x14ac:dyDescent="0.25">
      <c r="A68" s="958" t="s">
        <v>481</v>
      </c>
      <c r="B68" s="958"/>
      <c r="C68" s="790">
        <v>4106403</v>
      </c>
      <c r="D68" s="790">
        <f t="shared" si="16"/>
        <v>4106403</v>
      </c>
      <c r="E68" s="790">
        <v>2707424</v>
      </c>
      <c r="F68" s="790">
        <f t="shared" si="17"/>
        <v>2707424</v>
      </c>
      <c r="G68" s="790">
        <v>78129</v>
      </c>
      <c r="H68" s="790">
        <f t="shared" si="18"/>
        <v>78129</v>
      </c>
      <c r="I68" s="790">
        <v>107475</v>
      </c>
      <c r="J68" s="790">
        <f t="shared" si="19"/>
        <v>107475</v>
      </c>
      <c r="K68" s="790">
        <v>102786</v>
      </c>
      <c r="L68" s="790">
        <f t="shared" si="20"/>
        <v>102786</v>
      </c>
      <c r="M68" s="790">
        <v>46937</v>
      </c>
      <c r="N68" s="790">
        <v>46937</v>
      </c>
      <c r="O68" s="790">
        <v>984436</v>
      </c>
      <c r="P68" s="790">
        <f t="shared" si="21"/>
        <v>984436</v>
      </c>
      <c r="Q68" s="790">
        <v>641106</v>
      </c>
      <c r="R68" s="790">
        <f t="shared" si="22"/>
        <v>641106</v>
      </c>
      <c r="S68" s="790">
        <v>13248</v>
      </c>
      <c r="T68" s="790">
        <f t="shared" si="23"/>
        <v>13248</v>
      </c>
      <c r="U68" s="790">
        <v>180859</v>
      </c>
      <c r="V68" s="790">
        <f t="shared" si="24"/>
        <v>180859</v>
      </c>
    </row>
    <row r="69" spans="1:22" ht="38.25" customHeight="1" x14ac:dyDescent="0.25">
      <c r="A69" s="959" t="s">
        <v>482</v>
      </c>
      <c r="B69" s="959"/>
      <c r="C69" s="790">
        <f>+C68+C67+C63+C57+C54+C3</f>
        <v>36673575306</v>
      </c>
      <c r="D69" s="790">
        <f t="shared" ref="D69:V69" si="29">+D68+D67+D63+D57+D54+D3</f>
        <v>28984615149</v>
      </c>
      <c r="E69" s="790">
        <f>+E68+E67+E63+E57+E54+E3</f>
        <v>218945201</v>
      </c>
      <c r="F69" s="790">
        <f>+F68+F67+F63+F57+F54+F3</f>
        <v>83438674</v>
      </c>
      <c r="G69" s="790">
        <f t="shared" si="29"/>
        <v>38942459</v>
      </c>
      <c r="H69" s="790">
        <f t="shared" si="29"/>
        <v>25247110</v>
      </c>
      <c r="I69" s="790">
        <f t="shared" si="29"/>
        <v>73063370</v>
      </c>
      <c r="J69" s="790">
        <f t="shared" si="29"/>
        <v>11666649</v>
      </c>
      <c r="K69" s="790">
        <f t="shared" si="29"/>
        <v>31132496</v>
      </c>
      <c r="L69" s="790">
        <f t="shared" si="29"/>
        <v>13452025</v>
      </c>
      <c r="M69" s="790">
        <f>+M68+M67+M63+M57+M54+M3</f>
        <v>11628352</v>
      </c>
      <c r="N69" s="790">
        <f t="shared" si="29"/>
        <v>3879437</v>
      </c>
      <c r="O69" s="790">
        <f t="shared" si="29"/>
        <v>117955709</v>
      </c>
      <c r="P69" s="790">
        <f t="shared" si="29"/>
        <v>9014655</v>
      </c>
      <c r="Q69" s="790">
        <f t="shared" si="29"/>
        <v>216816579</v>
      </c>
      <c r="R69" s="790">
        <f t="shared" si="29"/>
        <v>137718486</v>
      </c>
      <c r="S69" s="790">
        <f t="shared" si="29"/>
        <v>36250025</v>
      </c>
      <c r="T69" s="790">
        <f t="shared" si="29"/>
        <v>9031160</v>
      </c>
      <c r="U69" s="790">
        <f t="shared" si="29"/>
        <v>74622523</v>
      </c>
      <c r="V69" s="790">
        <f t="shared" si="29"/>
        <v>18100956</v>
      </c>
    </row>
    <row r="70" spans="1:22" s="448" customFormat="1" x14ac:dyDescent="0.25">
      <c r="A70" s="958" t="s">
        <v>483</v>
      </c>
      <c r="B70" s="958"/>
      <c r="C70" s="790">
        <f t="shared" ref="C70:V70" si="30">+C71+C72+C73+C74+C75+C76</f>
        <v>23165373523</v>
      </c>
      <c r="D70" s="790">
        <f t="shared" si="30"/>
        <v>23165373523</v>
      </c>
      <c r="E70" s="790">
        <f t="shared" si="30"/>
        <v>43426115</v>
      </c>
      <c r="F70" s="790">
        <f t="shared" si="17"/>
        <v>43426115</v>
      </c>
      <c r="G70" s="790">
        <f t="shared" si="30"/>
        <v>3659122</v>
      </c>
      <c r="H70" s="790">
        <f t="shared" si="30"/>
        <v>3659122</v>
      </c>
      <c r="I70" s="790">
        <f t="shared" si="30"/>
        <v>-15460961</v>
      </c>
      <c r="J70" s="790">
        <f t="shared" si="19"/>
        <v>-15460961</v>
      </c>
      <c r="K70" s="790">
        <f t="shared" si="30"/>
        <v>-5584494</v>
      </c>
      <c r="L70" s="790">
        <f t="shared" si="20"/>
        <v>-5584494</v>
      </c>
      <c r="M70" s="790">
        <f t="shared" si="30"/>
        <v>-1043028</v>
      </c>
      <c r="N70" s="790">
        <f t="shared" si="30"/>
        <v>-1043028</v>
      </c>
      <c r="O70" s="790">
        <f t="shared" si="30"/>
        <v>5587407</v>
      </c>
      <c r="P70" s="790">
        <f t="shared" si="21"/>
        <v>5587407</v>
      </c>
      <c r="Q70" s="790">
        <f t="shared" si="30"/>
        <v>88524194</v>
      </c>
      <c r="R70" s="790">
        <f t="shared" si="30"/>
        <v>88524194</v>
      </c>
      <c r="S70" s="790">
        <f t="shared" si="30"/>
        <v>-6953189</v>
      </c>
      <c r="T70" s="790">
        <f t="shared" si="30"/>
        <v>-6953189</v>
      </c>
      <c r="U70" s="790">
        <f t="shared" si="30"/>
        <v>12301524</v>
      </c>
      <c r="V70" s="790">
        <f t="shared" si="30"/>
        <v>12301524</v>
      </c>
    </row>
    <row r="71" spans="1:22" ht="31.5" customHeight="1" x14ac:dyDescent="0.25">
      <c r="A71" s="792"/>
      <c r="B71" s="792" t="s">
        <v>484</v>
      </c>
      <c r="C71" s="794">
        <v>23743022163</v>
      </c>
      <c r="D71" s="794">
        <f t="shared" si="16"/>
        <v>23743022163</v>
      </c>
      <c r="E71" s="794">
        <v>207008158</v>
      </c>
      <c r="F71" s="794">
        <f t="shared" si="17"/>
        <v>207008158</v>
      </c>
      <c r="G71" s="794">
        <v>1534389</v>
      </c>
      <c r="H71" s="794">
        <f t="shared" si="18"/>
        <v>1534389</v>
      </c>
      <c r="I71" s="794">
        <v>55419477</v>
      </c>
      <c r="J71" s="794">
        <f t="shared" si="19"/>
        <v>55419477</v>
      </c>
      <c r="K71" s="794">
        <v>10525271</v>
      </c>
      <c r="L71" s="794">
        <f t="shared" si="20"/>
        <v>10525271</v>
      </c>
      <c r="M71" s="794">
        <v>4705151</v>
      </c>
      <c r="N71" s="794">
        <v>4705151</v>
      </c>
      <c r="O71" s="794">
        <v>18790352</v>
      </c>
      <c r="P71" s="794">
        <f t="shared" si="21"/>
        <v>18790352</v>
      </c>
      <c r="Q71" s="794">
        <v>150879576</v>
      </c>
      <c r="R71" s="794">
        <f t="shared" si="22"/>
        <v>150879576</v>
      </c>
      <c r="S71" s="794">
        <v>5811199</v>
      </c>
      <c r="T71" s="794">
        <f t="shared" si="23"/>
        <v>5811199</v>
      </c>
      <c r="U71" s="794">
        <v>6418258</v>
      </c>
      <c r="V71" s="794">
        <f t="shared" si="24"/>
        <v>6418258</v>
      </c>
    </row>
    <row r="72" spans="1:22" ht="31.5" customHeight="1" x14ac:dyDescent="0.25">
      <c r="A72" s="792"/>
      <c r="B72" s="792" t="s">
        <v>485</v>
      </c>
      <c r="C72" s="794">
        <v>-1120628342</v>
      </c>
      <c r="D72" s="794">
        <f t="shared" si="16"/>
        <v>-1120628342</v>
      </c>
      <c r="E72" s="794">
        <v>56599</v>
      </c>
      <c r="F72" s="794">
        <f t="shared" si="17"/>
        <v>56599</v>
      </c>
      <c r="G72" s="794"/>
      <c r="H72" s="794">
        <f t="shared" si="18"/>
        <v>0</v>
      </c>
      <c r="I72" s="794">
        <v>-120441</v>
      </c>
      <c r="J72" s="794">
        <f t="shared" si="19"/>
        <v>-120441</v>
      </c>
      <c r="K72" s="794">
        <v>12938276</v>
      </c>
      <c r="L72" s="794">
        <f t="shared" si="20"/>
        <v>12938276</v>
      </c>
      <c r="M72" s="794"/>
      <c r="N72" s="794"/>
      <c r="O72" s="794">
        <v>-1347797</v>
      </c>
      <c r="P72" s="794">
        <f t="shared" si="21"/>
        <v>-1347797</v>
      </c>
      <c r="Q72" s="794">
        <v>-17118276</v>
      </c>
      <c r="R72" s="794">
        <f t="shared" si="22"/>
        <v>-17118276</v>
      </c>
      <c r="S72" s="794"/>
      <c r="T72" s="794">
        <f t="shared" si="23"/>
        <v>0</v>
      </c>
      <c r="U72" s="794"/>
      <c r="V72" s="794">
        <f t="shared" si="24"/>
        <v>0</v>
      </c>
    </row>
    <row r="73" spans="1:22" ht="31.5" customHeight="1" x14ac:dyDescent="0.25">
      <c r="A73" s="792"/>
      <c r="B73" s="792" t="s">
        <v>486</v>
      </c>
      <c r="C73" s="794">
        <v>449861622</v>
      </c>
      <c r="D73" s="794">
        <f t="shared" si="16"/>
        <v>449861622</v>
      </c>
      <c r="E73" s="794">
        <v>2659757</v>
      </c>
      <c r="F73" s="794">
        <f t="shared" si="17"/>
        <v>2659757</v>
      </c>
      <c r="G73" s="794">
        <v>813104</v>
      </c>
      <c r="H73" s="794">
        <f t="shared" si="18"/>
        <v>813104</v>
      </c>
      <c r="I73" s="794">
        <v>1869708</v>
      </c>
      <c r="J73" s="794">
        <f t="shared" si="19"/>
        <v>1869708</v>
      </c>
      <c r="K73" s="794">
        <v>61574</v>
      </c>
      <c r="L73" s="794">
        <f t="shared" si="20"/>
        <v>61574</v>
      </c>
      <c r="M73" s="794">
        <v>591312</v>
      </c>
      <c r="N73" s="794">
        <v>591312</v>
      </c>
      <c r="O73" s="794">
        <v>759776</v>
      </c>
      <c r="P73" s="794">
        <f t="shared" si="21"/>
        <v>759776</v>
      </c>
      <c r="Q73" s="794">
        <v>2067177</v>
      </c>
      <c r="R73" s="794">
        <f t="shared" si="22"/>
        <v>2067177</v>
      </c>
      <c r="S73" s="794"/>
      <c r="T73" s="794">
        <f t="shared" si="23"/>
        <v>0</v>
      </c>
      <c r="U73" s="794"/>
      <c r="V73" s="794">
        <f t="shared" si="24"/>
        <v>0</v>
      </c>
    </row>
    <row r="74" spans="1:22" ht="31.5" customHeight="1" x14ac:dyDescent="0.25">
      <c r="A74" s="792"/>
      <c r="B74" s="792" t="s">
        <v>487</v>
      </c>
      <c r="C74" s="794">
        <v>-1147895332</v>
      </c>
      <c r="D74" s="794">
        <f t="shared" si="16"/>
        <v>-1147895332</v>
      </c>
      <c r="E74" s="794">
        <v>-176210925</v>
      </c>
      <c r="F74" s="794">
        <f t="shared" si="17"/>
        <v>-176210925</v>
      </c>
      <c r="G74" s="794">
        <v>-1378161</v>
      </c>
      <c r="H74" s="794">
        <f t="shared" si="18"/>
        <v>-1378161</v>
      </c>
      <c r="I74" s="794">
        <v>-74368869</v>
      </c>
      <c r="J74" s="794">
        <f t="shared" si="19"/>
        <v>-74368869</v>
      </c>
      <c r="K74" s="794">
        <v>-26906970</v>
      </c>
      <c r="L74" s="794">
        <f t="shared" si="20"/>
        <v>-26906970</v>
      </c>
      <c r="M74" s="794">
        <v>-5759720</v>
      </c>
      <c r="N74" s="794">
        <v>-5759720</v>
      </c>
      <c r="O74" s="794">
        <v>-13322711</v>
      </c>
      <c r="P74" s="794">
        <f t="shared" si="21"/>
        <v>-13322711</v>
      </c>
      <c r="Q74" s="794">
        <v>-70914502</v>
      </c>
      <c r="R74" s="794">
        <f t="shared" si="22"/>
        <v>-70914502</v>
      </c>
      <c r="S74" s="794">
        <v>-11413699</v>
      </c>
      <c r="T74" s="794">
        <f t="shared" si="23"/>
        <v>-11413699</v>
      </c>
      <c r="U74" s="794">
        <v>-2267422</v>
      </c>
      <c r="V74" s="794">
        <f t="shared" si="24"/>
        <v>-2267422</v>
      </c>
    </row>
    <row r="75" spans="1:22" ht="31.5" customHeight="1" x14ac:dyDescent="0.25">
      <c r="A75" s="792"/>
      <c r="B75" s="792" t="s">
        <v>488</v>
      </c>
      <c r="C75" s="794">
        <v>584535937</v>
      </c>
      <c r="D75" s="794">
        <f t="shared" si="16"/>
        <v>584535937</v>
      </c>
      <c r="E75" s="722"/>
      <c r="F75" s="794">
        <f t="shared" si="17"/>
        <v>0</v>
      </c>
      <c r="G75" s="794"/>
      <c r="H75" s="794">
        <f t="shared" si="18"/>
        <v>0</v>
      </c>
      <c r="I75" s="794"/>
      <c r="J75" s="794">
        <f t="shared" si="19"/>
        <v>0</v>
      </c>
      <c r="K75" s="794"/>
      <c r="L75" s="794">
        <f t="shared" si="20"/>
        <v>0</v>
      </c>
      <c r="M75" s="794"/>
      <c r="N75" s="794"/>
      <c r="O75" s="794"/>
      <c r="P75" s="794">
        <f t="shared" si="21"/>
        <v>0</v>
      </c>
      <c r="Q75" s="794"/>
      <c r="R75" s="794">
        <f t="shared" si="22"/>
        <v>0</v>
      </c>
      <c r="S75" s="794"/>
      <c r="T75" s="794">
        <f t="shared" si="23"/>
        <v>0</v>
      </c>
      <c r="U75" s="794"/>
      <c r="V75" s="794">
        <f t="shared" si="24"/>
        <v>0</v>
      </c>
    </row>
    <row r="76" spans="1:22" ht="31.5" customHeight="1" x14ac:dyDescent="0.25">
      <c r="A76" s="792"/>
      <c r="B76" s="792" t="s">
        <v>489</v>
      </c>
      <c r="C76" s="794">
        <v>656477475</v>
      </c>
      <c r="D76" s="794">
        <f t="shared" si="16"/>
        <v>656477475</v>
      </c>
      <c r="E76" s="794">
        <v>9912526</v>
      </c>
      <c r="F76" s="794">
        <f t="shared" si="17"/>
        <v>9912526</v>
      </c>
      <c r="G76" s="794">
        <v>2689790</v>
      </c>
      <c r="H76" s="794">
        <f t="shared" si="18"/>
        <v>2689790</v>
      </c>
      <c r="I76" s="794">
        <v>1739164</v>
      </c>
      <c r="J76" s="794">
        <f t="shared" si="19"/>
        <v>1739164</v>
      </c>
      <c r="K76" s="794">
        <v>-2202645</v>
      </c>
      <c r="L76" s="794">
        <f t="shared" si="20"/>
        <v>-2202645</v>
      </c>
      <c r="M76" s="794">
        <v>-579771</v>
      </c>
      <c r="N76" s="794">
        <v>-579771</v>
      </c>
      <c r="O76" s="794">
        <v>707787</v>
      </c>
      <c r="P76" s="794">
        <f t="shared" si="21"/>
        <v>707787</v>
      </c>
      <c r="Q76" s="794">
        <v>23610219</v>
      </c>
      <c r="R76" s="794">
        <f t="shared" si="22"/>
        <v>23610219</v>
      </c>
      <c r="S76" s="794">
        <v>-1350689</v>
      </c>
      <c r="T76" s="794">
        <f t="shared" si="23"/>
        <v>-1350689</v>
      </c>
      <c r="U76" s="794">
        <v>8150688</v>
      </c>
      <c r="V76" s="794">
        <f t="shared" si="24"/>
        <v>8150688</v>
      </c>
    </row>
    <row r="77" spans="1:22" s="448" customFormat="1" ht="31.5" customHeight="1" x14ac:dyDescent="0.25">
      <c r="A77" s="958" t="s">
        <v>490</v>
      </c>
      <c r="B77" s="958"/>
      <c r="C77" s="790">
        <f t="shared" ref="C77:V77" si="31">+C78+C79+C80</f>
        <v>541846403</v>
      </c>
      <c r="D77" s="790">
        <f t="shared" si="31"/>
        <v>541846403</v>
      </c>
      <c r="E77" s="790">
        <f t="shared" si="31"/>
        <v>884945</v>
      </c>
      <c r="F77" s="790">
        <f t="shared" si="17"/>
        <v>884945</v>
      </c>
      <c r="G77" s="790">
        <f t="shared" si="31"/>
        <v>582926</v>
      </c>
      <c r="H77" s="790">
        <f t="shared" si="31"/>
        <v>582926</v>
      </c>
      <c r="I77" s="790">
        <f t="shared" si="31"/>
        <v>726432</v>
      </c>
      <c r="J77" s="790">
        <f t="shared" si="19"/>
        <v>726432</v>
      </c>
      <c r="K77" s="790">
        <f t="shared" si="31"/>
        <v>404943</v>
      </c>
      <c r="L77" s="790">
        <f t="shared" si="20"/>
        <v>404943</v>
      </c>
      <c r="M77" s="790">
        <f t="shared" si="31"/>
        <v>92040</v>
      </c>
      <c r="N77" s="790">
        <f t="shared" si="31"/>
        <v>92040</v>
      </c>
      <c r="O77" s="790">
        <f t="shared" si="31"/>
        <v>150038</v>
      </c>
      <c r="P77" s="790">
        <f t="shared" si="21"/>
        <v>150038</v>
      </c>
      <c r="Q77" s="790">
        <f t="shared" si="31"/>
        <v>12778592</v>
      </c>
      <c r="R77" s="790">
        <f t="shared" si="31"/>
        <v>12778592</v>
      </c>
      <c r="S77" s="790">
        <f t="shared" si="31"/>
        <v>245157</v>
      </c>
      <c r="T77" s="790">
        <f t="shared" si="31"/>
        <v>245157</v>
      </c>
      <c r="U77" s="790">
        <f t="shared" si="31"/>
        <v>343864</v>
      </c>
      <c r="V77" s="790">
        <f t="shared" si="31"/>
        <v>343864</v>
      </c>
    </row>
    <row r="78" spans="1:22" ht="31.5" customHeight="1" x14ac:dyDescent="0.25">
      <c r="A78" s="792"/>
      <c r="B78" s="792" t="s">
        <v>491</v>
      </c>
      <c r="C78" s="794">
        <v>1525176</v>
      </c>
      <c r="D78" s="794">
        <f t="shared" si="16"/>
        <v>1525176</v>
      </c>
      <c r="E78" s="794">
        <v>884945</v>
      </c>
      <c r="F78" s="794">
        <f t="shared" si="17"/>
        <v>884945</v>
      </c>
      <c r="G78" s="794">
        <v>326636</v>
      </c>
      <c r="H78" s="794">
        <f t="shared" si="18"/>
        <v>326636</v>
      </c>
      <c r="I78" s="794">
        <v>726432</v>
      </c>
      <c r="J78" s="794">
        <f t="shared" si="19"/>
        <v>726432</v>
      </c>
      <c r="K78" s="794">
        <v>404943</v>
      </c>
      <c r="L78" s="794">
        <f t="shared" si="20"/>
        <v>404943</v>
      </c>
      <c r="M78" s="794">
        <v>92040</v>
      </c>
      <c r="N78" s="794">
        <v>92040</v>
      </c>
      <c r="O78" s="794">
        <v>63043</v>
      </c>
      <c r="P78" s="794">
        <f t="shared" si="21"/>
        <v>63043</v>
      </c>
      <c r="Q78" s="794">
        <v>12644817</v>
      </c>
      <c r="R78" s="794">
        <f t="shared" si="22"/>
        <v>12644817</v>
      </c>
      <c r="S78" s="794">
        <v>245157</v>
      </c>
      <c r="T78" s="794">
        <f t="shared" si="23"/>
        <v>245157</v>
      </c>
      <c r="U78" s="794">
        <v>343864</v>
      </c>
      <c r="V78" s="794">
        <f t="shared" si="24"/>
        <v>343864</v>
      </c>
    </row>
    <row r="79" spans="1:22" ht="31.5" customHeight="1" x14ac:dyDescent="0.25">
      <c r="A79" s="792"/>
      <c r="B79" s="792" t="s">
        <v>492</v>
      </c>
      <c r="C79" s="794">
        <v>536518151</v>
      </c>
      <c r="D79" s="794">
        <f t="shared" si="16"/>
        <v>536518151</v>
      </c>
      <c r="E79" s="794"/>
      <c r="F79" s="794">
        <f t="shared" si="17"/>
        <v>0</v>
      </c>
      <c r="G79" s="794">
        <v>219498</v>
      </c>
      <c r="H79" s="794">
        <f t="shared" si="18"/>
        <v>219498</v>
      </c>
      <c r="I79" s="794"/>
      <c r="J79" s="794">
        <f t="shared" si="19"/>
        <v>0</v>
      </c>
      <c r="K79" s="794"/>
      <c r="L79" s="794">
        <f t="shared" si="20"/>
        <v>0</v>
      </c>
      <c r="M79" s="794">
        <v>0</v>
      </c>
      <c r="N79" s="794">
        <v>0</v>
      </c>
      <c r="O79" s="794">
        <v>86995</v>
      </c>
      <c r="P79" s="794">
        <f t="shared" si="21"/>
        <v>86995</v>
      </c>
      <c r="Q79" s="794">
        <v>111785</v>
      </c>
      <c r="R79" s="794">
        <f t="shared" si="22"/>
        <v>111785</v>
      </c>
      <c r="S79" s="794"/>
      <c r="T79" s="794">
        <f t="shared" si="23"/>
        <v>0</v>
      </c>
      <c r="U79" s="794"/>
      <c r="V79" s="794">
        <f t="shared" si="24"/>
        <v>0</v>
      </c>
    </row>
    <row r="80" spans="1:22" ht="31.5" customHeight="1" x14ac:dyDescent="0.25">
      <c r="A80" s="792"/>
      <c r="B80" s="792" t="s">
        <v>493</v>
      </c>
      <c r="C80" s="794">
        <v>3803076</v>
      </c>
      <c r="D80" s="794">
        <f t="shared" si="16"/>
        <v>3803076</v>
      </c>
      <c r="E80" s="794"/>
      <c r="F80" s="794">
        <f t="shared" si="17"/>
        <v>0</v>
      </c>
      <c r="G80" s="794">
        <v>36792</v>
      </c>
      <c r="H80" s="794">
        <f t="shared" si="18"/>
        <v>36792</v>
      </c>
      <c r="I80" s="794"/>
      <c r="J80" s="794">
        <f t="shared" si="19"/>
        <v>0</v>
      </c>
      <c r="K80" s="794"/>
      <c r="L80" s="794">
        <f t="shared" si="20"/>
        <v>0</v>
      </c>
      <c r="M80" s="794"/>
      <c r="N80" s="794"/>
      <c r="O80" s="794"/>
      <c r="P80" s="794">
        <f t="shared" si="21"/>
        <v>0</v>
      </c>
      <c r="Q80" s="794">
        <v>21990</v>
      </c>
      <c r="R80" s="794">
        <f t="shared" si="22"/>
        <v>21990</v>
      </c>
      <c r="S80" s="794"/>
      <c r="T80" s="794">
        <f t="shared" si="23"/>
        <v>0</v>
      </c>
      <c r="U80" s="794"/>
      <c r="V80" s="794">
        <f t="shared" si="24"/>
        <v>0</v>
      </c>
    </row>
    <row r="81" spans="1:22" s="448" customFormat="1" ht="31.5" customHeight="1" x14ac:dyDescent="0.25">
      <c r="A81" s="958" t="s">
        <v>500</v>
      </c>
      <c r="B81" s="958"/>
      <c r="C81" s="790">
        <v>5277395223</v>
      </c>
      <c r="D81" s="790">
        <v>5277395223</v>
      </c>
      <c r="E81" s="790">
        <v>39127614</v>
      </c>
      <c r="F81" s="790">
        <f t="shared" si="17"/>
        <v>39127614</v>
      </c>
      <c r="G81" s="790">
        <v>21005062</v>
      </c>
      <c r="H81" s="790">
        <f t="shared" si="18"/>
        <v>21005062</v>
      </c>
      <c r="I81" s="790">
        <v>26401178</v>
      </c>
      <c r="J81" s="790">
        <f t="shared" si="19"/>
        <v>26401178</v>
      </c>
      <c r="K81" s="790">
        <v>18631576</v>
      </c>
      <c r="L81" s="790">
        <f t="shared" si="20"/>
        <v>18631576</v>
      </c>
      <c r="M81" s="790">
        <v>4830425</v>
      </c>
      <c r="N81" s="790">
        <v>4830425</v>
      </c>
      <c r="O81" s="790">
        <v>3277210</v>
      </c>
      <c r="P81" s="790">
        <f t="shared" si="21"/>
        <v>3277210</v>
      </c>
      <c r="Q81" s="790">
        <v>36415700</v>
      </c>
      <c r="R81" s="790">
        <f t="shared" si="22"/>
        <v>36415700</v>
      </c>
      <c r="S81" s="790">
        <v>15739192</v>
      </c>
      <c r="T81" s="790">
        <v>15739192</v>
      </c>
      <c r="U81" s="790">
        <v>5455568</v>
      </c>
      <c r="V81" s="790">
        <v>5455568</v>
      </c>
    </row>
    <row r="82" spans="1:22" s="448" customFormat="1" ht="39" customHeight="1" x14ac:dyDescent="0.25">
      <c r="A82" s="959" t="s">
        <v>494</v>
      </c>
      <c r="B82" s="959"/>
      <c r="C82" s="790">
        <f t="shared" ref="C82:V82" si="32">+C81+C77+C70</f>
        <v>28984615149</v>
      </c>
      <c r="D82" s="790">
        <f t="shared" si="32"/>
        <v>28984615149</v>
      </c>
      <c r="E82" s="790">
        <f>+E81+E77+E70</f>
        <v>83438674</v>
      </c>
      <c r="F82" s="790">
        <f>+E82</f>
        <v>83438674</v>
      </c>
      <c r="G82" s="790">
        <f t="shared" si="32"/>
        <v>25247110</v>
      </c>
      <c r="H82" s="790">
        <f t="shared" si="32"/>
        <v>25247110</v>
      </c>
      <c r="I82" s="790">
        <f t="shared" si="32"/>
        <v>11666649</v>
      </c>
      <c r="J82" s="790">
        <f t="shared" si="32"/>
        <v>11666649</v>
      </c>
      <c r="K82" s="790">
        <f t="shared" si="32"/>
        <v>13452025</v>
      </c>
      <c r="L82" s="790">
        <f t="shared" si="32"/>
        <v>13452025</v>
      </c>
      <c r="M82" s="790">
        <f t="shared" si="32"/>
        <v>3879437</v>
      </c>
      <c r="N82" s="790">
        <f t="shared" si="32"/>
        <v>3879437</v>
      </c>
      <c r="O82" s="790">
        <f t="shared" si="32"/>
        <v>9014655</v>
      </c>
      <c r="P82" s="790">
        <f t="shared" si="21"/>
        <v>9014655</v>
      </c>
      <c r="Q82" s="790">
        <f t="shared" si="32"/>
        <v>137718486</v>
      </c>
      <c r="R82" s="790">
        <f t="shared" si="32"/>
        <v>137718486</v>
      </c>
      <c r="S82" s="790">
        <f t="shared" si="32"/>
        <v>9031160</v>
      </c>
      <c r="T82" s="790">
        <f t="shared" si="32"/>
        <v>9031160</v>
      </c>
      <c r="U82" s="790">
        <f t="shared" si="32"/>
        <v>18100956</v>
      </c>
      <c r="V82" s="790">
        <f t="shared" si="32"/>
        <v>18100956</v>
      </c>
    </row>
    <row r="84" spans="1:22" x14ac:dyDescent="0.25">
      <c r="D84" s="511">
        <f>+D82-D69</f>
        <v>0</v>
      </c>
      <c r="E84" s="511"/>
      <c r="F84" s="511">
        <f>+F82-F69</f>
        <v>0</v>
      </c>
      <c r="G84" s="511"/>
      <c r="H84" s="511">
        <f>+H82-H69</f>
        <v>0</v>
      </c>
      <c r="I84" s="511"/>
      <c r="J84" s="511">
        <f>+J82-J69</f>
        <v>0</v>
      </c>
      <c r="K84" s="511"/>
      <c r="L84" s="511">
        <f>+L82-L69</f>
        <v>0</v>
      </c>
      <c r="M84" s="511"/>
      <c r="N84" s="511">
        <f>+N82-N69</f>
        <v>0</v>
      </c>
      <c r="O84" s="511"/>
      <c r="P84" s="511">
        <f>+P82-P69</f>
        <v>0</v>
      </c>
      <c r="Q84" s="511"/>
      <c r="R84" s="511">
        <f>+R82-R69</f>
        <v>0</v>
      </c>
      <c r="S84" s="511"/>
      <c r="T84" s="511">
        <f>+T82-T69</f>
        <v>0</v>
      </c>
      <c r="U84" s="511"/>
      <c r="V84" s="511">
        <f>+V82-V69</f>
        <v>0</v>
      </c>
    </row>
    <row r="86" spans="1:22" x14ac:dyDescent="0.25">
      <c r="D86" s="511"/>
      <c r="U86" t="s">
        <v>905</v>
      </c>
      <c r="V86" s="511">
        <f>+D69+F69+H69+J69+L69+N69+P69+R69+T69+V69</f>
        <v>29296164301</v>
      </c>
    </row>
    <row r="87" spans="1:22" x14ac:dyDescent="0.25">
      <c r="U87" t="s">
        <v>906</v>
      </c>
      <c r="V87" s="511">
        <f>+D82+F82+H82+J82+L82+N82+P82+R82+T82+V82</f>
        <v>29296164301</v>
      </c>
    </row>
  </sheetData>
  <mergeCells count="22">
    <mergeCell ref="I1:J1"/>
    <mergeCell ref="K1:L1"/>
    <mergeCell ref="A3:B3"/>
    <mergeCell ref="A1:B2"/>
    <mergeCell ref="C1:D1"/>
    <mergeCell ref="E1:F1"/>
    <mergeCell ref="G1:H1"/>
    <mergeCell ref="M1:N1"/>
    <mergeCell ref="O1:P1"/>
    <mergeCell ref="Q1:R1"/>
    <mergeCell ref="S1:T1"/>
    <mergeCell ref="U1:V1"/>
    <mergeCell ref="A70:B70"/>
    <mergeCell ref="A77:B77"/>
    <mergeCell ref="A81:B81"/>
    <mergeCell ref="A82:B82"/>
    <mergeCell ref="A54:B54"/>
    <mergeCell ref="A57:B57"/>
    <mergeCell ref="A63:B63"/>
    <mergeCell ref="A67:B67"/>
    <mergeCell ref="A68:B68"/>
    <mergeCell ref="A69:B6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0" orientation="landscape" r:id="rId1"/>
  <headerFooter>
    <oddHeader>&amp;CDunaharaszti Város Önkormányzata 
2021. évi zárszámadás&amp;R&amp;A</oddHeader>
    <oddFooter>&amp;C&amp;P/&amp;N</oddFooter>
  </headerFooter>
  <rowBreaks count="1" manualBreakCount="1">
    <brk id="44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3"/>
  <sheetViews>
    <sheetView view="pageBreakPreview" topLeftCell="A10" zoomScaleNormal="100" zoomScaleSheetLayoutView="100" workbookViewId="0">
      <selection activeCell="D11" sqref="D11"/>
    </sheetView>
  </sheetViews>
  <sheetFormatPr defaultRowHeight="12.75" x14ac:dyDescent="0.2"/>
  <cols>
    <col min="1" max="1" width="9.140625" style="432"/>
    <col min="2" max="2" width="45.7109375" style="432" customWidth="1"/>
    <col min="3" max="3" width="15.5703125" style="432" customWidth="1"/>
    <col min="4" max="4" width="12.28515625" style="432" customWidth="1"/>
    <col min="5" max="5" width="13.28515625" style="432" customWidth="1"/>
    <col min="6" max="6" width="12.42578125" style="432" customWidth="1"/>
    <col min="7" max="9" width="13.28515625" style="432" customWidth="1"/>
    <col min="10" max="10" width="16.7109375" style="432" customWidth="1"/>
    <col min="11" max="11" width="41.7109375" style="432" customWidth="1"/>
    <col min="12" max="12" width="14.7109375" style="432" bestFit="1" customWidth="1"/>
    <col min="13" max="258" width="9.140625" style="432"/>
    <col min="259" max="259" width="42.140625" style="432" customWidth="1"/>
    <col min="260" max="260" width="9.140625" style="432"/>
    <col min="261" max="261" width="12.28515625" style="432" customWidth="1"/>
    <col min="262" max="262" width="13.28515625" style="432" customWidth="1"/>
    <col min="263" max="263" width="12.42578125" style="432" customWidth="1"/>
    <col min="264" max="265" width="13.28515625" style="432" customWidth="1"/>
    <col min="266" max="266" width="16.7109375" style="432" customWidth="1"/>
    <col min="267" max="514" width="9.140625" style="432"/>
    <col min="515" max="515" width="42.140625" style="432" customWidth="1"/>
    <col min="516" max="516" width="9.140625" style="432"/>
    <col min="517" max="517" width="12.28515625" style="432" customWidth="1"/>
    <col min="518" max="518" width="13.28515625" style="432" customWidth="1"/>
    <col min="519" max="519" width="12.42578125" style="432" customWidth="1"/>
    <col min="520" max="521" width="13.28515625" style="432" customWidth="1"/>
    <col min="522" max="522" width="16.7109375" style="432" customWidth="1"/>
    <col min="523" max="770" width="9.140625" style="432"/>
    <col min="771" max="771" width="42.140625" style="432" customWidth="1"/>
    <col min="772" max="772" width="9.140625" style="432"/>
    <col min="773" max="773" width="12.28515625" style="432" customWidth="1"/>
    <col min="774" max="774" width="13.28515625" style="432" customWidth="1"/>
    <col min="775" max="775" width="12.42578125" style="432" customWidth="1"/>
    <col min="776" max="777" width="13.28515625" style="432" customWidth="1"/>
    <col min="778" max="778" width="16.7109375" style="432" customWidth="1"/>
    <col min="779" max="1026" width="9.140625" style="432"/>
    <col min="1027" max="1027" width="42.140625" style="432" customWidth="1"/>
    <col min="1028" max="1028" width="9.140625" style="432"/>
    <col min="1029" max="1029" width="12.28515625" style="432" customWidth="1"/>
    <col min="1030" max="1030" width="13.28515625" style="432" customWidth="1"/>
    <col min="1031" max="1031" width="12.42578125" style="432" customWidth="1"/>
    <col min="1032" max="1033" width="13.28515625" style="432" customWidth="1"/>
    <col min="1034" max="1034" width="16.7109375" style="432" customWidth="1"/>
    <col min="1035" max="1282" width="9.140625" style="432"/>
    <col min="1283" max="1283" width="42.140625" style="432" customWidth="1"/>
    <col min="1284" max="1284" width="9.140625" style="432"/>
    <col min="1285" max="1285" width="12.28515625" style="432" customWidth="1"/>
    <col min="1286" max="1286" width="13.28515625" style="432" customWidth="1"/>
    <col min="1287" max="1287" width="12.42578125" style="432" customWidth="1"/>
    <col min="1288" max="1289" width="13.28515625" style="432" customWidth="1"/>
    <col min="1290" max="1290" width="16.7109375" style="432" customWidth="1"/>
    <col min="1291" max="1538" width="9.140625" style="432"/>
    <col min="1539" max="1539" width="42.140625" style="432" customWidth="1"/>
    <col min="1540" max="1540" width="9.140625" style="432"/>
    <col min="1541" max="1541" width="12.28515625" style="432" customWidth="1"/>
    <col min="1542" max="1542" width="13.28515625" style="432" customWidth="1"/>
    <col min="1543" max="1543" width="12.42578125" style="432" customWidth="1"/>
    <col min="1544" max="1545" width="13.28515625" style="432" customWidth="1"/>
    <col min="1546" max="1546" width="16.7109375" style="432" customWidth="1"/>
    <col min="1547" max="1794" width="9.140625" style="432"/>
    <col min="1795" max="1795" width="42.140625" style="432" customWidth="1"/>
    <col min="1796" max="1796" width="9.140625" style="432"/>
    <col min="1797" max="1797" width="12.28515625" style="432" customWidth="1"/>
    <col min="1798" max="1798" width="13.28515625" style="432" customWidth="1"/>
    <col min="1799" max="1799" width="12.42578125" style="432" customWidth="1"/>
    <col min="1800" max="1801" width="13.28515625" style="432" customWidth="1"/>
    <col min="1802" max="1802" width="16.7109375" style="432" customWidth="1"/>
    <col min="1803" max="2050" width="9.140625" style="432"/>
    <col min="2051" max="2051" width="42.140625" style="432" customWidth="1"/>
    <col min="2052" max="2052" width="9.140625" style="432"/>
    <col min="2053" max="2053" width="12.28515625" style="432" customWidth="1"/>
    <col min="2054" max="2054" width="13.28515625" style="432" customWidth="1"/>
    <col min="2055" max="2055" width="12.42578125" style="432" customWidth="1"/>
    <col min="2056" max="2057" width="13.28515625" style="432" customWidth="1"/>
    <col min="2058" max="2058" width="16.7109375" style="432" customWidth="1"/>
    <col min="2059" max="2306" width="9.140625" style="432"/>
    <col min="2307" max="2307" width="42.140625" style="432" customWidth="1"/>
    <col min="2308" max="2308" width="9.140625" style="432"/>
    <col min="2309" max="2309" width="12.28515625" style="432" customWidth="1"/>
    <col min="2310" max="2310" width="13.28515625" style="432" customWidth="1"/>
    <col min="2311" max="2311" width="12.42578125" style="432" customWidth="1"/>
    <col min="2312" max="2313" width="13.28515625" style="432" customWidth="1"/>
    <col min="2314" max="2314" width="16.7109375" style="432" customWidth="1"/>
    <col min="2315" max="2562" width="9.140625" style="432"/>
    <col min="2563" max="2563" width="42.140625" style="432" customWidth="1"/>
    <col min="2564" max="2564" width="9.140625" style="432"/>
    <col min="2565" max="2565" width="12.28515625" style="432" customWidth="1"/>
    <col min="2566" max="2566" width="13.28515625" style="432" customWidth="1"/>
    <col min="2567" max="2567" width="12.42578125" style="432" customWidth="1"/>
    <col min="2568" max="2569" width="13.28515625" style="432" customWidth="1"/>
    <col min="2570" max="2570" width="16.7109375" style="432" customWidth="1"/>
    <col min="2571" max="2818" width="9.140625" style="432"/>
    <col min="2819" max="2819" width="42.140625" style="432" customWidth="1"/>
    <col min="2820" max="2820" width="9.140625" style="432"/>
    <col min="2821" max="2821" width="12.28515625" style="432" customWidth="1"/>
    <col min="2822" max="2822" width="13.28515625" style="432" customWidth="1"/>
    <col min="2823" max="2823" width="12.42578125" style="432" customWidth="1"/>
    <col min="2824" max="2825" width="13.28515625" style="432" customWidth="1"/>
    <col min="2826" max="2826" width="16.7109375" style="432" customWidth="1"/>
    <col min="2827" max="3074" width="9.140625" style="432"/>
    <col min="3075" max="3075" width="42.140625" style="432" customWidth="1"/>
    <col min="3076" max="3076" width="9.140625" style="432"/>
    <col min="3077" max="3077" width="12.28515625" style="432" customWidth="1"/>
    <col min="3078" max="3078" width="13.28515625" style="432" customWidth="1"/>
    <col min="3079" max="3079" width="12.42578125" style="432" customWidth="1"/>
    <col min="3080" max="3081" width="13.28515625" style="432" customWidth="1"/>
    <col min="3082" max="3082" width="16.7109375" style="432" customWidth="1"/>
    <col min="3083" max="3330" width="9.140625" style="432"/>
    <col min="3331" max="3331" width="42.140625" style="432" customWidth="1"/>
    <col min="3332" max="3332" width="9.140625" style="432"/>
    <col min="3333" max="3333" width="12.28515625" style="432" customWidth="1"/>
    <col min="3334" max="3334" width="13.28515625" style="432" customWidth="1"/>
    <col min="3335" max="3335" width="12.42578125" style="432" customWidth="1"/>
    <col min="3336" max="3337" width="13.28515625" style="432" customWidth="1"/>
    <col min="3338" max="3338" width="16.7109375" style="432" customWidth="1"/>
    <col min="3339" max="3586" width="9.140625" style="432"/>
    <col min="3587" max="3587" width="42.140625" style="432" customWidth="1"/>
    <col min="3588" max="3588" width="9.140625" style="432"/>
    <col min="3589" max="3589" width="12.28515625" style="432" customWidth="1"/>
    <col min="3590" max="3590" width="13.28515625" style="432" customWidth="1"/>
    <col min="3591" max="3591" width="12.42578125" style="432" customWidth="1"/>
    <col min="3592" max="3593" width="13.28515625" style="432" customWidth="1"/>
    <col min="3594" max="3594" width="16.7109375" style="432" customWidth="1"/>
    <col min="3595" max="3842" width="9.140625" style="432"/>
    <col min="3843" max="3843" width="42.140625" style="432" customWidth="1"/>
    <col min="3844" max="3844" width="9.140625" style="432"/>
    <col min="3845" max="3845" width="12.28515625" style="432" customWidth="1"/>
    <col min="3846" max="3846" width="13.28515625" style="432" customWidth="1"/>
    <col min="3847" max="3847" width="12.42578125" style="432" customWidth="1"/>
    <col min="3848" max="3849" width="13.28515625" style="432" customWidth="1"/>
    <col min="3850" max="3850" width="16.7109375" style="432" customWidth="1"/>
    <col min="3851" max="4098" width="9.140625" style="432"/>
    <col min="4099" max="4099" width="42.140625" style="432" customWidth="1"/>
    <col min="4100" max="4100" width="9.140625" style="432"/>
    <col min="4101" max="4101" width="12.28515625" style="432" customWidth="1"/>
    <col min="4102" max="4102" width="13.28515625" style="432" customWidth="1"/>
    <col min="4103" max="4103" width="12.42578125" style="432" customWidth="1"/>
    <col min="4104" max="4105" width="13.28515625" style="432" customWidth="1"/>
    <col min="4106" max="4106" width="16.7109375" style="432" customWidth="1"/>
    <col min="4107" max="4354" width="9.140625" style="432"/>
    <col min="4355" max="4355" width="42.140625" style="432" customWidth="1"/>
    <col min="4356" max="4356" width="9.140625" style="432"/>
    <col min="4357" max="4357" width="12.28515625" style="432" customWidth="1"/>
    <col min="4358" max="4358" width="13.28515625" style="432" customWidth="1"/>
    <col min="4359" max="4359" width="12.42578125" style="432" customWidth="1"/>
    <col min="4360" max="4361" width="13.28515625" style="432" customWidth="1"/>
    <col min="4362" max="4362" width="16.7109375" style="432" customWidth="1"/>
    <col min="4363" max="4610" width="9.140625" style="432"/>
    <col min="4611" max="4611" width="42.140625" style="432" customWidth="1"/>
    <col min="4612" max="4612" width="9.140625" style="432"/>
    <col min="4613" max="4613" width="12.28515625" style="432" customWidth="1"/>
    <col min="4614" max="4614" width="13.28515625" style="432" customWidth="1"/>
    <col min="4615" max="4615" width="12.42578125" style="432" customWidth="1"/>
    <col min="4616" max="4617" width="13.28515625" style="432" customWidth="1"/>
    <col min="4618" max="4618" width="16.7109375" style="432" customWidth="1"/>
    <col min="4619" max="4866" width="9.140625" style="432"/>
    <col min="4867" max="4867" width="42.140625" style="432" customWidth="1"/>
    <col min="4868" max="4868" width="9.140625" style="432"/>
    <col min="4869" max="4869" width="12.28515625" style="432" customWidth="1"/>
    <col min="4870" max="4870" width="13.28515625" style="432" customWidth="1"/>
    <col min="4871" max="4871" width="12.42578125" style="432" customWidth="1"/>
    <col min="4872" max="4873" width="13.28515625" style="432" customWidth="1"/>
    <col min="4874" max="4874" width="16.7109375" style="432" customWidth="1"/>
    <col min="4875" max="5122" width="9.140625" style="432"/>
    <col min="5123" max="5123" width="42.140625" style="432" customWidth="1"/>
    <col min="5124" max="5124" width="9.140625" style="432"/>
    <col min="5125" max="5125" width="12.28515625" style="432" customWidth="1"/>
    <col min="5126" max="5126" width="13.28515625" style="432" customWidth="1"/>
    <col min="5127" max="5127" width="12.42578125" style="432" customWidth="1"/>
    <col min="5128" max="5129" width="13.28515625" style="432" customWidth="1"/>
    <col min="5130" max="5130" width="16.7109375" style="432" customWidth="1"/>
    <col min="5131" max="5378" width="9.140625" style="432"/>
    <col min="5379" max="5379" width="42.140625" style="432" customWidth="1"/>
    <col min="5380" max="5380" width="9.140625" style="432"/>
    <col min="5381" max="5381" width="12.28515625" style="432" customWidth="1"/>
    <col min="5382" max="5382" width="13.28515625" style="432" customWidth="1"/>
    <col min="5383" max="5383" width="12.42578125" style="432" customWidth="1"/>
    <col min="5384" max="5385" width="13.28515625" style="432" customWidth="1"/>
    <col min="5386" max="5386" width="16.7109375" style="432" customWidth="1"/>
    <col min="5387" max="5634" width="9.140625" style="432"/>
    <col min="5635" max="5635" width="42.140625" style="432" customWidth="1"/>
    <col min="5636" max="5636" width="9.140625" style="432"/>
    <col min="5637" max="5637" width="12.28515625" style="432" customWidth="1"/>
    <col min="5638" max="5638" width="13.28515625" style="432" customWidth="1"/>
    <col min="5639" max="5639" width="12.42578125" style="432" customWidth="1"/>
    <col min="5640" max="5641" width="13.28515625" style="432" customWidth="1"/>
    <col min="5642" max="5642" width="16.7109375" style="432" customWidth="1"/>
    <col min="5643" max="5890" width="9.140625" style="432"/>
    <col min="5891" max="5891" width="42.140625" style="432" customWidth="1"/>
    <col min="5892" max="5892" width="9.140625" style="432"/>
    <col min="5893" max="5893" width="12.28515625" style="432" customWidth="1"/>
    <col min="5894" max="5894" width="13.28515625" style="432" customWidth="1"/>
    <col min="5895" max="5895" width="12.42578125" style="432" customWidth="1"/>
    <col min="5896" max="5897" width="13.28515625" style="432" customWidth="1"/>
    <col min="5898" max="5898" width="16.7109375" style="432" customWidth="1"/>
    <col min="5899" max="6146" width="9.140625" style="432"/>
    <col min="6147" max="6147" width="42.140625" style="432" customWidth="1"/>
    <col min="6148" max="6148" width="9.140625" style="432"/>
    <col min="6149" max="6149" width="12.28515625" style="432" customWidth="1"/>
    <col min="6150" max="6150" width="13.28515625" style="432" customWidth="1"/>
    <col min="6151" max="6151" width="12.42578125" style="432" customWidth="1"/>
    <col min="6152" max="6153" width="13.28515625" style="432" customWidth="1"/>
    <col min="6154" max="6154" width="16.7109375" style="432" customWidth="1"/>
    <col min="6155" max="6402" width="9.140625" style="432"/>
    <col min="6403" max="6403" width="42.140625" style="432" customWidth="1"/>
    <col min="6404" max="6404" width="9.140625" style="432"/>
    <col min="6405" max="6405" width="12.28515625" style="432" customWidth="1"/>
    <col min="6406" max="6406" width="13.28515625" style="432" customWidth="1"/>
    <col min="6407" max="6407" width="12.42578125" style="432" customWidth="1"/>
    <col min="6408" max="6409" width="13.28515625" style="432" customWidth="1"/>
    <col min="6410" max="6410" width="16.7109375" style="432" customWidth="1"/>
    <col min="6411" max="6658" width="9.140625" style="432"/>
    <col min="6659" max="6659" width="42.140625" style="432" customWidth="1"/>
    <col min="6660" max="6660" width="9.140625" style="432"/>
    <col min="6661" max="6661" width="12.28515625" style="432" customWidth="1"/>
    <col min="6662" max="6662" width="13.28515625" style="432" customWidth="1"/>
    <col min="6663" max="6663" width="12.42578125" style="432" customWidth="1"/>
    <col min="6664" max="6665" width="13.28515625" style="432" customWidth="1"/>
    <col min="6666" max="6666" width="16.7109375" style="432" customWidth="1"/>
    <col min="6667" max="6914" width="9.140625" style="432"/>
    <col min="6915" max="6915" width="42.140625" style="432" customWidth="1"/>
    <col min="6916" max="6916" width="9.140625" style="432"/>
    <col min="6917" max="6917" width="12.28515625" style="432" customWidth="1"/>
    <col min="6918" max="6918" width="13.28515625" style="432" customWidth="1"/>
    <col min="6919" max="6919" width="12.42578125" style="432" customWidth="1"/>
    <col min="6920" max="6921" width="13.28515625" style="432" customWidth="1"/>
    <col min="6922" max="6922" width="16.7109375" style="432" customWidth="1"/>
    <col min="6923" max="7170" width="9.140625" style="432"/>
    <col min="7171" max="7171" width="42.140625" style="432" customWidth="1"/>
    <col min="7172" max="7172" width="9.140625" style="432"/>
    <col min="7173" max="7173" width="12.28515625" style="432" customWidth="1"/>
    <col min="7174" max="7174" width="13.28515625" style="432" customWidth="1"/>
    <col min="7175" max="7175" width="12.42578125" style="432" customWidth="1"/>
    <col min="7176" max="7177" width="13.28515625" style="432" customWidth="1"/>
    <col min="7178" max="7178" width="16.7109375" style="432" customWidth="1"/>
    <col min="7179" max="7426" width="9.140625" style="432"/>
    <col min="7427" max="7427" width="42.140625" style="432" customWidth="1"/>
    <col min="7428" max="7428" width="9.140625" style="432"/>
    <col min="7429" max="7429" width="12.28515625" style="432" customWidth="1"/>
    <col min="7430" max="7430" width="13.28515625" style="432" customWidth="1"/>
    <col min="7431" max="7431" width="12.42578125" style="432" customWidth="1"/>
    <col min="7432" max="7433" width="13.28515625" style="432" customWidth="1"/>
    <col min="7434" max="7434" width="16.7109375" style="432" customWidth="1"/>
    <col min="7435" max="7682" width="9.140625" style="432"/>
    <col min="7683" max="7683" width="42.140625" style="432" customWidth="1"/>
    <col min="7684" max="7684" width="9.140625" style="432"/>
    <col min="7685" max="7685" width="12.28515625" style="432" customWidth="1"/>
    <col min="7686" max="7686" width="13.28515625" style="432" customWidth="1"/>
    <col min="7687" max="7687" width="12.42578125" style="432" customWidth="1"/>
    <col min="7688" max="7689" width="13.28515625" style="432" customWidth="1"/>
    <col min="7690" max="7690" width="16.7109375" style="432" customWidth="1"/>
    <col min="7691" max="7938" width="9.140625" style="432"/>
    <col min="7939" max="7939" width="42.140625" style="432" customWidth="1"/>
    <col min="7940" max="7940" width="9.140625" style="432"/>
    <col min="7941" max="7941" width="12.28515625" style="432" customWidth="1"/>
    <col min="7942" max="7942" width="13.28515625" style="432" customWidth="1"/>
    <col min="7943" max="7943" width="12.42578125" style="432" customWidth="1"/>
    <col min="7944" max="7945" width="13.28515625" style="432" customWidth="1"/>
    <col min="7946" max="7946" width="16.7109375" style="432" customWidth="1"/>
    <col min="7947" max="8194" width="9.140625" style="432"/>
    <col min="8195" max="8195" width="42.140625" style="432" customWidth="1"/>
    <col min="8196" max="8196" width="9.140625" style="432"/>
    <col min="8197" max="8197" width="12.28515625" style="432" customWidth="1"/>
    <col min="8198" max="8198" width="13.28515625" style="432" customWidth="1"/>
    <col min="8199" max="8199" width="12.42578125" style="432" customWidth="1"/>
    <col min="8200" max="8201" width="13.28515625" style="432" customWidth="1"/>
    <col min="8202" max="8202" width="16.7109375" style="432" customWidth="1"/>
    <col min="8203" max="8450" width="9.140625" style="432"/>
    <col min="8451" max="8451" width="42.140625" style="432" customWidth="1"/>
    <col min="8452" max="8452" width="9.140625" style="432"/>
    <col min="8453" max="8453" width="12.28515625" style="432" customWidth="1"/>
    <col min="8454" max="8454" width="13.28515625" style="432" customWidth="1"/>
    <col min="8455" max="8455" width="12.42578125" style="432" customWidth="1"/>
    <col min="8456" max="8457" width="13.28515625" style="432" customWidth="1"/>
    <col min="8458" max="8458" width="16.7109375" style="432" customWidth="1"/>
    <col min="8459" max="8706" width="9.140625" style="432"/>
    <col min="8707" max="8707" width="42.140625" style="432" customWidth="1"/>
    <col min="8708" max="8708" width="9.140625" style="432"/>
    <col min="8709" max="8709" width="12.28515625" style="432" customWidth="1"/>
    <col min="8710" max="8710" width="13.28515625" style="432" customWidth="1"/>
    <col min="8711" max="8711" width="12.42578125" style="432" customWidth="1"/>
    <col min="8712" max="8713" width="13.28515625" style="432" customWidth="1"/>
    <col min="8714" max="8714" width="16.7109375" style="432" customWidth="1"/>
    <col min="8715" max="8962" width="9.140625" style="432"/>
    <col min="8963" max="8963" width="42.140625" style="432" customWidth="1"/>
    <col min="8964" max="8964" width="9.140625" style="432"/>
    <col min="8965" max="8965" width="12.28515625" style="432" customWidth="1"/>
    <col min="8966" max="8966" width="13.28515625" style="432" customWidth="1"/>
    <col min="8967" max="8967" width="12.42578125" style="432" customWidth="1"/>
    <col min="8968" max="8969" width="13.28515625" style="432" customWidth="1"/>
    <col min="8970" max="8970" width="16.7109375" style="432" customWidth="1"/>
    <col min="8971" max="9218" width="9.140625" style="432"/>
    <col min="9219" max="9219" width="42.140625" style="432" customWidth="1"/>
    <col min="9220" max="9220" width="9.140625" style="432"/>
    <col min="9221" max="9221" width="12.28515625" style="432" customWidth="1"/>
    <col min="9222" max="9222" width="13.28515625" style="432" customWidth="1"/>
    <col min="9223" max="9223" width="12.42578125" style="432" customWidth="1"/>
    <col min="9224" max="9225" width="13.28515625" style="432" customWidth="1"/>
    <col min="9226" max="9226" width="16.7109375" style="432" customWidth="1"/>
    <col min="9227" max="9474" width="9.140625" style="432"/>
    <col min="9475" max="9475" width="42.140625" style="432" customWidth="1"/>
    <col min="9476" max="9476" width="9.140625" style="432"/>
    <col min="9477" max="9477" width="12.28515625" style="432" customWidth="1"/>
    <col min="9478" max="9478" width="13.28515625" style="432" customWidth="1"/>
    <col min="9479" max="9479" width="12.42578125" style="432" customWidth="1"/>
    <col min="9480" max="9481" width="13.28515625" style="432" customWidth="1"/>
    <col min="9482" max="9482" width="16.7109375" style="432" customWidth="1"/>
    <col min="9483" max="9730" width="9.140625" style="432"/>
    <col min="9731" max="9731" width="42.140625" style="432" customWidth="1"/>
    <col min="9732" max="9732" width="9.140625" style="432"/>
    <col min="9733" max="9733" width="12.28515625" style="432" customWidth="1"/>
    <col min="9734" max="9734" width="13.28515625" style="432" customWidth="1"/>
    <col min="9735" max="9735" width="12.42578125" style="432" customWidth="1"/>
    <col min="9736" max="9737" width="13.28515625" style="432" customWidth="1"/>
    <col min="9738" max="9738" width="16.7109375" style="432" customWidth="1"/>
    <col min="9739" max="9986" width="9.140625" style="432"/>
    <col min="9987" max="9987" width="42.140625" style="432" customWidth="1"/>
    <col min="9988" max="9988" width="9.140625" style="432"/>
    <col min="9989" max="9989" width="12.28515625" style="432" customWidth="1"/>
    <col min="9990" max="9990" width="13.28515625" style="432" customWidth="1"/>
    <col min="9991" max="9991" width="12.42578125" style="432" customWidth="1"/>
    <col min="9992" max="9993" width="13.28515625" style="432" customWidth="1"/>
    <col min="9994" max="9994" width="16.7109375" style="432" customWidth="1"/>
    <col min="9995" max="10242" width="9.140625" style="432"/>
    <col min="10243" max="10243" width="42.140625" style="432" customWidth="1"/>
    <col min="10244" max="10244" width="9.140625" style="432"/>
    <col min="10245" max="10245" width="12.28515625" style="432" customWidth="1"/>
    <col min="10246" max="10246" width="13.28515625" style="432" customWidth="1"/>
    <col min="10247" max="10247" width="12.42578125" style="432" customWidth="1"/>
    <col min="10248" max="10249" width="13.28515625" style="432" customWidth="1"/>
    <col min="10250" max="10250" width="16.7109375" style="432" customWidth="1"/>
    <col min="10251" max="10498" width="9.140625" style="432"/>
    <col min="10499" max="10499" width="42.140625" style="432" customWidth="1"/>
    <col min="10500" max="10500" width="9.140625" style="432"/>
    <col min="10501" max="10501" width="12.28515625" style="432" customWidth="1"/>
    <col min="10502" max="10502" width="13.28515625" style="432" customWidth="1"/>
    <col min="10503" max="10503" width="12.42578125" style="432" customWidth="1"/>
    <col min="10504" max="10505" width="13.28515625" style="432" customWidth="1"/>
    <col min="10506" max="10506" width="16.7109375" style="432" customWidth="1"/>
    <col min="10507" max="10754" width="9.140625" style="432"/>
    <col min="10755" max="10755" width="42.140625" style="432" customWidth="1"/>
    <col min="10756" max="10756" width="9.140625" style="432"/>
    <col min="10757" max="10757" width="12.28515625" style="432" customWidth="1"/>
    <col min="10758" max="10758" width="13.28515625" style="432" customWidth="1"/>
    <col min="10759" max="10759" width="12.42578125" style="432" customWidth="1"/>
    <col min="10760" max="10761" width="13.28515625" style="432" customWidth="1"/>
    <col min="10762" max="10762" width="16.7109375" style="432" customWidth="1"/>
    <col min="10763" max="11010" width="9.140625" style="432"/>
    <col min="11011" max="11011" width="42.140625" style="432" customWidth="1"/>
    <col min="11012" max="11012" width="9.140625" style="432"/>
    <col min="11013" max="11013" width="12.28515625" style="432" customWidth="1"/>
    <col min="11014" max="11014" width="13.28515625" style="432" customWidth="1"/>
    <col min="11015" max="11015" width="12.42578125" style="432" customWidth="1"/>
    <col min="11016" max="11017" width="13.28515625" style="432" customWidth="1"/>
    <col min="11018" max="11018" width="16.7109375" style="432" customWidth="1"/>
    <col min="11019" max="11266" width="9.140625" style="432"/>
    <col min="11267" max="11267" width="42.140625" style="432" customWidth="1"/>
    <col min="11268" max="11268" width="9.140625" style="432"/>
    <col min="11269" max="11269" width="12.28515625" style="432" customWidth="1"/>
    <col min="11270" max="11270" width="13.28515625" style="432" customWidth="1"/>
    <col min="11271" max="11271" width="12.42578125" style="432" customWidth="1"/>
    <col min="11272" max="11273" width="13.28515625" style="432" customWidth="1"/>
    <col min="11274" max="11274" width="16.7109375" style="432" customWidth="1"/>
    <col min="11275" max="11522" width="9.140625" style="432"/>
    <col min="11523" max="11523" width="42.140625" style="432" customWidth="1"/>
    <col min="11524" max="11524" width="9.140625" style="432"/>
    <col min="11525" max="11525" width="12.28515625" style="432" customWidth="1"/>
    <col min="11526" max="11526" width="13.28515625" style="432" customWidth="1"/>
    <col min="11527" max="11527" width="12.42578125" style="432" customWidth="1"/>
    <col min="11528" max="11529" width="13.28515625" style="432" customWidth="1"/>
    <col min="11530" max="11530" width="16.7109375" style="432" customWidth="1"/>
    <col min="11531" max="11778" width="9.140625" style="432"/>
    <col min="11779" max="11779" width="42.140625" style="432" customWidth="1"/>
    <col min="11780" max="11780" width="9.140625" style="432"/>
    <col min="11781" max="11781" width="12.28515625" style="432" customWidth="1"/>
    <col min="11782" max="11782" width="13.28515625" style="432" customWidth="1"/>
    <col min="11783" max="11783" width="12.42578125" style="432" customWidth="1"/>
    <col min="11784" max="11785" width="13.28515625" style="432" customWidth="1"/>
    <col min="11786" max="11786" width="16.7109375" style="432" customWidth="1"/>
    <col min="11787" max="12034" width="9.140625" style="432"/>
    <col min="12035" max="12035" width="42.140625" style="432" customWidth="1"/>
    <col min="12036" max="12036" width="9.140625" style="432"/>
    <col min="12037" max="12037" width="12.28515625" style="432" customWidth="1"/>
    <col min="12038" max="12038" width="13.28515625" style="432" customWidth="1"/>
    <col min="12039" max="12039" width="12.42578125" style="432" customWidth="1"/>
    <col min="12040" max="12041" width="13.28515625" style="432" customWidth="1"/>
    <col min="12042" max="12042" width="16.7109375" style="432" customWidth="1"/>
    <col min="12043" max="12290" width="9.140625" style="432"/>
    <col min="12291" max="12291" width="42.140625" style="432" customWidth="1"/>
    <col min="12292" max="12292" width="9.140625" style="432"/>
    <col min="12293" max="12293" width="12.28515625" style="432" customWidth="1"/>
    <col min="12294" max="12294" width="13.28515625" style="432" customWidth="1"/>
    <col min="12295" max="12295" width="12.42578125" style="432" customWidth="1"/>
    <col min="12296" max="12297" width="13.28515625" style="432" customWidth="1"/>
    <col min="12298" max="12298" width="16.7109375" style="432" customWidth="1"/>
    <col min="12299" max="12546" width="9.140625" style="432"/>
    <col min="12547" max="12547" width="42.140625" style="432" customWidth="1"/>
    <col min="12548" max="12548" width="9.140625" style="432"/>
    <col min="12549" max="12549" width="12.28515625" style="432" customWidth="1"/>
    <col min="12550" max="12550" width="13.28515625" style="432" customWidth="1"/>
    <col min="12551" max="12551" width="12.42578125" style="432" customWidth="1"/>
    <col min="12552" max="12553" width="13.28515625" style="432" customWidth="1"/>
    <col min="12554" max="12554" width="16.7109375" style="432" customWidth="1"/>
    <col min="12555" max="12802" width="9.140625" style="432"/>
    <col min="12803" max="12803" width="42.140625" style="432" customWidth="1"/>
    <col min="12804" max="12804" width="9.140625" style="432"/>
    <col min="12805" max="12805" width="12.28515625" style="432" customWidth="1"/>
    <col min="12806" max="12806" width="13.28515625" style="432" customWidth="1"/>
    <col min="12807" max="12807" width="12.42578125" style="432" customWidth="1"/>
    <col min="12808" max="12809" width="13.28515625" style="432" customWidth="1"/>
    <col min="12810" max="12810" width="16.7109375" style="432" customWidth="1"/>
    <col min="12811" max="13058" width="9.140625" style="432"/>
    <col min="13059" max="13059" width="42.140625" style="432" customWidth="1"/>
    <col min="13060" max="13060" width="9.140625" style="432"/>
    <col min="13061" max="13061" width="12.28515625" style="432" customWidth="1"/>
    <col min="13062" max="13062" width="13.28515625" style="432" customWidth="1"/>
    <col min="13063" max="13063" width="12.42578125" style="432" customWidth="1"/>
    <col min="13064" max="13065" width="13.28515625" style="432" customWidth="1"/>
    <col min="13066" max="13066" width="16.7109375" style="432" customWidth="1"/>
    <col min="13067" max="13314" width="9.140625" style="432"/>
    <col min="13315" max="13315" width="42.140625" style="432" customWidth="1"/>
    <col min="13316" max="13316" width="9.140625" style="432"/>
    <col min="13317" max="13317" width="12.28515625" style="432" customWidth="1"/>
    <col min="13318" max="13318" width="13.28515625" style="432" customWidth="1"/>
    <col min="13319" max="13319" width="12.42578125" style="432" customWidth="1"/>
    <col min="13320" max="13321" width="13.28515625" style="432" customWidth="1"/>
    <col min="13322" max="13322" width="16.7109375" style="432" customWidth="1"/>
    <col min="13323" max="13570" width="9.140625" style="432"/>
    <col min="13571" max="13571" width="42.140625" style="432" customWidth="1"/>
    <col min="13572" max="13572" width="9.140625" style="432"/>
    <col min="13573" max="13573" width="12.28515625" style="432" customWidth="1"/>
    <col min="13574" max="13574" width="13.28515625" style="432" customWidth="1"/>
    <col min="13575" max="13575" width="12.42578125" style="432" customWidth="1"/>
    <col min="13576" max="13577" width="13.28515625" style="432" customWidth="1"/>
    <col min="13578" max="13578" width="16.7109375" style="432" customWidth="1"/>
    <col min="13579" max="13826" width="9.140625" style="432"/>
    <col min="13827" max="13827" width="42.140625" style="432" customWidth="1"/>
    <col min="13828" max="13828" width="9.140625" style="432"/>
    <col min="13829" max="13829" width="12.28515625" style="432" customWidth="1"/>
    <col min="13830" max="13830" width="13.28515625" style="432" customWidth="1"/>
    <col min="13831" max="13831" width="12.42578125" style="432" customWidth="1"/>
    <col min="13832" max="13833" width="13.28515625" style="432" customWidth="1"/>
    <col min="13834" max="13834" width="16.7109375" style="432" customWidth="1"/>
    <col min="13835" max="14082" width="9.140625" style="432"/>
    <col min="14083" max="14083" width="42.140625" style="432" customWidth="1"/>
    <col min="14084" max="14084" width="9.140625" style="432"/>
    <col min="14085" max="14085" width="12.28515625" style="432" customWidth="1"/>
    <col min="14086" max="14086" width="13.28515625" style="432" customWidth="1"/>
    <col min="14087" max="14087" width="12.42578125" style="432" customWidth="1"/>
    <col min="14088" max="14089" width="13.28515625" style="432" customWidth="1"/>
    <col min="14090" max="14090" width="16.7109375" style="432" customWidth="1"/>
    <col min="14091" max="14338" width="9.140625" style="432"/>
    <col min="14339" max="14339" width="42.140625" style="432" customWidth="1"/>
    <col min="14340" max="14340" width="9.140625" style="432"/>
    <col min="14341" max="14341" width="12.28515625" style="432" customWidth="1"/>
    <col min="14342" max="14342" width="13.28515625" style="432" customWidth="1"/>
    <col min="14343" max="14343" width="12.42578125" style="432" customWidth="1"/>
    <col min="14344" max="14345" width="13.28515625" style="432" customWidth="1"/>
    <col min="14346" max="14346" width="16.7109375" style="432" customWidth="1"/>
    <col min="14347" max="14594" width="9.140625" style="432"/>
    <col min="14595" max="14595" width="42.140625" style="432" customWidth="1"/>
    <col min="14596" max="14596" width="9.140625" style="432"/>
    <col min="14597" max="14597" width="12.28515625" style="432" customWidth="1"/>
    <col min="14598" max="14598" width="13.28515625" style="432" customWidth="1"/>
    <col min="14599" max="14599" width="12.42578125" style="432" customWidth="1"/>
    <col min="14600" max="14601" width="13.28515625" style="432" customWidth="1"/>
    <col min="14602" max="14602" width="16.7109375" style="432" customWidth="1"/>
    <col min="14603" max="14850" width="9.140625" style="432"/>
    <col min="14851" max="14851" width="42.140625" style="432" customWidth="1"/>
    <col min="14852" max="14852" width="9.140625" style="432"/>
    <col min="14853" max="14853" width="12.28515625" style="432" customWidth="1"/>
    <col min="14854" max="14854" width="13.28515625" style="432" customWidth="1"/>
    <col min="14855" max="14855" width="12.42578125" style="432" customWidth="1"/>
    <col min="14856" max="14857" width="13.28515625" style="432" customWidth="1"/>
    <col min="14858" max="14858" width="16.7109375" style="432" customWidth="1"/>
    <col min="14859" max="15106" width="9.140625" style="432"/>
    <col min="15107" max="15107" width="42.140625" style="432" customWidth="1"/>
    <col min="15108" max="15108" width="9.140625" style="432"/>
    <col min="15109" max="15109" width="12.28515625" style="432" customWidth="1"/>
    <col min="15110" max="15110" width="13.28515625" style="432" customWidth="1"/>
    <col min="15111" max="15111" width="12.42578125" style="432" customWidth="1"/>
    <col min="15112" max="15113" width="13.28515625" style="432" customWidth="1"/>
    <col min="15114" max="15114" width="16.7109375" style="432" customWidth="1"/>
    <col min="15115" max="15362" width="9.140625" style="432"/>
    <col min="15363" max="15363" width="42.140625" style="432" customWidth="1"/>
    <col min="15364" max="15364" width="9.140625" style="432"/>
    <col min="15365" max="15365" width="12.28515625" style="432" customWidth="1"/>
    <col min="15366" max="15366" width="13.28515625" style="432" customWidth="1"/>
    <col min="15367" max="15367" width="12.42578125" style="432" customWidth="1"/>
    <col min="15368" max="15369" width="13.28515625" style="432" customWidth="1"/>
    <col min="15370" max="15370" width="16.7109375" style="432" customWidth="1"/>
    <col min="15371" max="15618" width="9.140625" style="432"/>
    <col min="15619" max="15619" width="42.140625" style="432" customWidth="1"/>
    <col min="15620" max="15620" width="9.140625" style="432"/>
    <col min="15621" max="15621" width="12.28515625" style="432" customWidth="1"/>
    <col min="15622" max="15622" width="13.28515625" style="432" customWidth="1"/>
    <col min="15623" max="15623" width="12.42578125" style="432" customWidth="1"/>
    <col min="15624" max="15625" width="13.28515625" style="432" customWidth="1"/>
    <col min="15626" max="15626" width="16.7109375" style="432" customWidth="1"/>
    <col min="15627" max="15874" width="9.140625" style="432"/>
    <col min="15875" max="15875" width="42.140625" style="432" customWidth="1"/>
    <col min="15876" max="15876" width="9.140625" style="432"/>
    <col min="15877" max="15877" width="12.28515625" style="432" customWidth="1"/>
    <col min="15878" max="15878" width="13.28515625" style="432" customWidth="1"/>
    <col min="15879" max="15879" width="12.42578125" style="432" customWidth="1"/>
    <col min="15880" max="15881" width="13.28515625" style="432" customWidth="1"/>
    <col min="15882" max="15882" width="16.7109375" style="432" customWidth="1"/>
    <col min="15883" max="16130" width="9.140625" style="432"/>
    <col min="16131" max="16131" width="42.140625" style="432" customWidth="1"/>
    <col min="16132" max="16132" width="9.140625" style="432"/>
    <col min="16133" max="16133" width="12.28515625" style="432" customWidth="1"/>
    <col min="16134" max="16134" width="13.28515625" style="432" customWidth="1"/>
    <col min="16135" max="16135" width="12.42578125" style="432" customWidth="1"/>
    <col min="16136" max="16137" width="13.28515625" style="432" customWidth="1"/>
    <col min="16138" max="16138" width="16.7109375" style="432" customWidth="1"/>
    <col min="16139" max="16384" width="9.140625" style="432"/>
  </cols>
  <sheetData>
    <row r="1" spans="1:13" ht="15.75" x14ac:dyDescent="0.2">
      <c r="A1" s="964" t="s">
        <v>589</v>
      </c>
      <c r="B1" s="964"/>
      <c r="C1" s="964"/>
      <c r="D1" s="964"/>
      <c r="E1" s="964"/>
      <c r="F1" s="964"/>
      <c r="G1" s="964"/>
      <c r="H1" s="964"/>
      <c r="I1" s="964"/>
      <c r="J1" s="964"/>
    </row>
    <row r="2" spans="1:13" ht="14.25" thickBot="1" x14ac:dyDescent="0.3">
      <c r="A2" s="182"/>
      <c r="B2" s="183"/>
      <c r="C2" s="183"/>
      <c r="D2" s="183"/>
      <c r="E2" s="183"/>
      <c r="F2" s="183"/>
      <c r="G2" s="183"/>
      <c r="H2" s="183"/>
      <c r="I2" s="183"/>
      <c r="J2" s="184"/>
    </row>
    <row r="3" spans="1:13" x14ac:dyDescent="0.2">
      <c r="A3" s="965" t="s">
        <v>590</v>
      </c>
      <c r="B3" s="967" t="s">
        <v>591</v>
      </c>
      <c r="C3" s="969" t="s">
        <v>612</v>
      </c>
      <c r="D3" s="969" t="s">
        <v>1176</v>
      </c>
      <c r="E3" s="967" t="s">
        <v>592</v>
      </c>
      <c r="F3" s="967"/>
      <c r="G3" s="967"/>
      <c r="H3" s="967"/>
      <c r="I3" s="967"/>
      <c r="J3" s="971" t="s">
        <v>80</v>
      </c>
    </row>
    <row r="4" spans="1:13" x14ac:dyDescent="0.2">
      <c r="A4" s="966"/>
      <c r="B4" s="968"/>
      <c r="C4" s="968"/>
      <c r="D4" s="970"/>
      <c r="E4" s="533" t="s">
        <v>618</v>
      </c>
      <c r="F4" s="533" t="s">
        <v>619</v>
      </c>
      <c r="G4" s="533" t="s">
        <v>620</v>
      </c>
      <c r="H4" s="533" t="s">
        <v>621</v>
      </c>
      <c r="I4" s="533" t="s">
        <v>1177</v>
      </c>
      <c r="J4" s="972"/>
    </row>
    <row r="5" spans="1:13" ht="25.5" x14ac:dyDescent="0.2">
      <c r="A5" s="532" t="s">
        <v>593</v>
      </c>
      <c r="B5" s="534" t="s">
        <v>594</v>
      </c>
      <c r="C5" s="534" t="s">
        <v>595</v>
      </c>
      <c r="D5" s="534" t="s">
        <v>596</v>
      </c>
      <c r="E5" s="534" t="s">
        <v>597</v>
      </c>
      <c r="F5" s="534" t="s">
        <v>598</v>
      </c>
      <c r="G5" s="534" t="s">
        <v>599</v>
      </c>
      <c r="H5" s="534" t="s">
        <v>600</v>
      </c>
      <c r="I5" s="534" t="s">
        <v>263</v>
      </c>
      <c r="J5" s="185" t="s">
        <v>754</v>
      </c>
    </row>
    <row r="6" spans="1:13" ht="32.25" customHeight="1" x14ac:dyDescent="0.2">
      <c r="A6" s="532" t="s">
        <v>3</v>
      </c>
      <c r="B6" s="535" t="s">
        <v>601</v>
      </c>
      <c r="C6" s="536"/>
      <c r="D6" s="537"/>
      <c r="E6" s="537"/>
      <c r="F6" s="537"/>
      <c r="G6" s="537"/>
      <c r="H6" s="537"/>
      <c r="I6" s="537"/>
      <c r="J6" s="186"/>
    </row>
    <row r="7" spans="1:13" s="187" customFormat="1" ht="36.75" customHeight="1" x14ac:dyDescent="0.2">
      <c r="A7" s="532" t="s">
        <v>4</v>
      </c>
      <c r="B7" s="535" t="s">
        <v>602</v>
      </c>
      <c r="C7" s="536"/>
      <c r="D7" s="538">
        <f>+D8+D10+D9</f>
        <v>149278151</v>
      </c>
      <c r="E7" s="538">
        <f>+E8+E10+E9</f>
        <v>28182624</v>
      </c>
      <c r="F7" s="538">
        <f>+F8+F10+F9</f>
        <v>28182624</v>
      </c>
      <c r="G7" s="538">
        <f>+G8+G10+G9</f>
        <v>28182624</v>
      </c>
      <c r="H7" s="538">
        <f t="shared" ref="H7:I7" si="0">+H8+H10+H9</f>
        <v>28182624</v>
      </c>
      <c r="I7" s="538">
        <f t="shared" si="0"/>
        <v>387483921</v>
      </c>
      <c r="J7" s="435">
        <f>SUM(D7:I7)</f>
        <v>649492568</v>
      </c>
    </row>
    <row r="8" spans="1:13" s="242" customFormat="1" ht="23.25" customHeight="1" x14ac:dyDescent="0.2">
      <c r="A8" s="579"/>
      <c r="B8" s="786" t="s">
        <v>603</v>
      </c>
      <c r="C8" s="581" t="s">
        <v>604</v>
      </c>
      <c r="D8" s="787">
        <f>+'4.sz.tájék.Adósságszolgálat'!B16+'4.sz.tájék.Adósságszolgálat'!B21+'4.sz.tájék.Adósságszolgálat'!B23+'4.sz.tájék.Adósságszolgálat'!B24</f>
        <v>103389477</v>
      </c>
      <c r="E8" s="787">
        <f>+'4.sz.tájék.Adósságszolgálat'!B25</f>
        <v>14063032</v>
      </c>
      <c r="F8" s="787">
        <f>+'4.sz.tájék.Adósságszolgálat'!B26</f>
        <v>14063032</v>
      </c>
      <c r="G8" s="787">
        <f>+'4.sz.tájék.Adósságszolgálat'!B27</f>
        <v>14063032</v>
      </c>
      <c r="H8" s="787">
        <f>+'4.sz.tájék.Adósságszolgálat'!B28</f>
        <v>14063032</v>
      </c>
      <c r="I8" s="787">
        <f>+'4.sz.tájék.Adósságszolgálat'!B29+'4.sz.tájék.Adósságszolgálat'!B30+'4.sz.tájék.Adósságszolgálat'!B31+'4.sz.tájék.Adósságszolgálat'!B32+'4.sz.tájék.Adósságszolgálat'!B33+'4.sz.tájék.Adósságszolgálat'!B34+'4.sz.tájék.Adósságszolgálat'!B35+'4.sz.tájék.Adósságszolgálat'!B36+'4.sz.tájék.Adósságszolgálat'!B37+'4.sz.tájék.Adósságszolgálat'!B38+'4.sz.tájék.Adósságszolgálat'!B39+'4.sz.tájék.Adósságszolgálat'!B40+'4.sz.tájék.Adósságszolgálat'!B41+'4.sz.tájék.Adósságszolgálat'!B42</f>
        <v>189850963</v>
      </c>
      <c r="J8" s="584">
        <f>SUM(D8:I8)</f>
        <v>349492568</v>
      </c>
      <c r="K8" s="788">
        <v>349492568</v>
      </c>
    </row>
    <row r="9" spans="1:13" s="242" customFormat="1" ht="18" customHeight="1" x14ac:dyDescent="0.2">
      <c r="A9" s="579"/>
      <c r="B9" s="786" t="s">
        <v>605</v>
      </c>
      <c r="C9" s="581" t="s">
        <v>606</v>
      </c>
      <c r="D9" s="787">
        <f>+'4.sz.tájék.Adósságszolgálat'!C20+'4.sz.tájék.Adósságszolgálat'!C21+'4.sz.tájék.Adósságszolgálat'!C22+'4.sz.tájék.Adósságszolgálat'!C23+'4.sz.tájék.Adósságszolgálat'!C24</f>
        <v>31666674</v>
      </c>
      <c r="E9" s="787">
        <f>+'4.sz.tájék.Adósságszolgálat'!C25</f>
        <v>9743592</v>
      </c>
      <c r="F9" s="787">
        <f>+'4.sz.tájék.Adósságszolgálat'!C26</f>
        <v>9743592</v>
      </c>
      <c r="G9" s="787">
        <f>+'4.sz.tájék.Adósságszolgálat'!C27</f>
        <v>9743592</v>
      </c>
      <c r="H9" s="787">
        <f>+'4.sz.tájék.Adósságszolgálat'!C28</f>
        <v>9743592</v>
      </c>
      <c r="I9" s="787">
        <f>+'4.sz.tájék.Adósságszolgálat'!C29+'4.sz.tájék.Adósságszolgálat'!C30+'4.sz.tájék.Adósságszolgálat'!C31+'4.sz.tájék.Adósságszolgálat'!C32+'4.sz.tájék.Adósságszolgálat'!C33+'4.sz.tájék.Adósságszolgálat'!C34+'4.sz.tájék.Adósságszolgálat'!C35+'4.sz.tájék.Adósságszolgálat'!C36+'4.sz.tájék.Adósságszolgálat'!C37+'4.sz.tájék.Adósságszolgálat'!C38+'4.sz.tájék.Adósságszolgálat'!C39+'4.sz.tájék.Adósságszolgálat'!C40+'4.sz.tájék.Adósságszolgálat'!C41+'4.sz.tájék.Adósságszolgálat'!C42</f>
        <v>136410325</v>
      </c>
      <c r="J9" s="584">
        <f>SUM(D9:I9)</f>
        <v>207051367</v>
      </c>
      <c r="K9" s="788">
        <v>207051367</v>
      </c>
    </row>
    <row r="10" spans="1:13" s="242" customFormat="1" ht="21.75" customHeight="1" x14ac:dyDescent="0.2">
      <c r="A10" s="579"/>
      <c r="B10" s="786" t="s">
        <v>607</v>
      </c>
      <c r="C10" s="581" t="s">
        <v>606</v>
      </c>
      <c r="D10" s="787">
        <f>+'4.sz.tájék.Adósságszolgálat'!D20+'4.sz.tájék.Adósságszolgálat'!D21+'4.sz.tájék.Adósságszolgálat'!D22+'4.sz.tájék.Adósságszolgálat'!D23+'4.sz.tájék.Adósságszolgálat'!D24</f>
        <v>14222000</v>
      </c>
      <c r="E10" s="787">
        <f>+'4.sz.tájék.Adósságszolgálat'!D25</f>
        <v>4376000</v>
      </c>
      <c r="F10" s="787">
        <f>+'4.sz.tájék.Adósságszolgálat'!D26</f>
        <v>4376000</v>
      </c>
      <c r="G10" s="787">
        <f>+'4.sz.tájék.Adósságszolgálat'!D27</f>
        <v>4376000</v>
      </c>
      <c r="H10" s="787">
        <f>+'4.sz.tájék.Adósságszolgálat'!D28</f>
        <v>4376000</v>
      </c>
      <c r="I10" s="787">
        <f>+'4.sz.tájék.Adósságszolgálat'!D29+'4.sz.tájék.Adósságszolgálat'!D30+'4.sz.tájék.Adósságszolgálat'!D31+'4.sz.tájék.Adósságszolgálat'!D32+'4.sz.tájék.Adósságszolgálat'!D33+'4.sz.tájék.Adósságszolgálat'!D34+'4.sz.tájék.Adósságszolgálat'!D35+'4.sz.tájék.Adósságszolgálat'!D36+'4.sz.tájék.Adósságszolgálat'!D37+'4.sz.tájék.Adósságszolgálat'!D38+'4.sz.tájék.Adósságszolgálat'!D39+'4.sz.tájék.Adósságszolgálat'!D40+'4.sz.tájék.Adósságszolgálat'!D41+'4.sz.tájék.Adósságszolgálat'!D42</f>
        <v>61222633</v>
      </c>
      <c r="J10" s="584">
        <f>SUM(D10:I10)</f>
        <v>92948633</v>
      </c>
      <c r="K10" s="788">
        <v>92948633</v>
      </c>
    </row>
    <row r="11" spans="1:13" s="242" customFormat="1" ht="21" customHeight="1" x14ac:dyDescent="0.2">
      <c r="A11" s="579" t="s">
        <v>5</v>
      </c>
      <c r="B11" s="580" t="s">
        <v>608</v>
      </c>
      <c r="C11" s="581"/>
      <c r="D11" s="582">
        <f>SUM(D12:D15)</f>
        <v>921150699</v>
      </c>
      <c r="E11" s="582">
        <f t="shared" ref="E11:J11" si="1">SUM(E12:E15)</f>
        <v>376390120</v>
      </c>
      <c r="F11" s="582">
        <f t="shared" si="1"/>
        <v>20167300</v>
      </c>
      <c r="G11" s="582">
        <f t="shared" si="1"/>
        <v>597486981</v>
      </c>
      <c r="H11" s="582">
        <f t="shared" si="1"/>
        <v>0</v>
      </c>
      <c r="I11" s="582">
        <f t="shared" si="1"/>
        <v>0</v>
      </c>
      <c r="J11" s="582">
        <f t="shared" si="1"/>
        <v>1915195100</v>
      </c>
      <c r="K11" s="583" t="s">
        <v>871</v>
      </c>
      <c r="L11" s="583"/>
      <c r="M11" s="576"/>
    </row>
    <row r="12" spans="1:13" s="242" customFormat="1" ht="45.75" customHeight="1" x14ac:dyDescent="0.2">
      <c r="A12" s="579"/>
      <c r="B12" s="539" t="s">
        <v>753</v>
      </c>
      <c r="C12" s="581" t="s">
        <v>752</v>
      </c>
      <c r="D12" s="578">
        <v>708424838</v>
      </c>
      <c r="E12" s="578"/>
      <c r="F12" s="578"/>
      <c r="G12" s="578"/>
      <c r="H12" s="578"/>
      <c r="I12" s="578"/>
      <c r="J12" s="584">
        <f t="shared" ref="J12:J13" si="2">SUM(D12:I12)</f>
        <v>708424838</v>
      </c>
      <c r="K12" s="574">
        <v>18837</v>
      </c>
      <c r="L12" s="575">
        <f t="shared" ref="L12:L16" si="3">+J12+K12</f>
        <v>708443675</v>
      </c>
      <c r="M12" s="576"/>
    </row>
    <row r="13" spans="1:13" s="242" customFormat="1" ht="45.75" customHeight="1" x14ac:dyDescent="0.2">
      <c r="A13" s="579"/>
      <c r="B13" s="539" t="s">
        <v>787</v>
      </c>
      <c r="C13" s="581" t="s">
        <v>752</v>
      </c>
      <c r="D13" s="578">
        <v>205296361</v>
      </c>
      <c r="E13" s="578"/>
      <c r="F13" s="578"/>
      <c r="G13" s="578"/>
      <c r="H13" s="578"/>
      <c r="I13" s="578"/>
      <c r="J13" s="584">
        <f t="shared" si="2"/>
        <v>205296361</v>
      </c>
      <c r="K13" s="574">
        <v>287632</v>
      </c>
      <c r="L13" s="575">
        <f t="shared" si="3"/>
        <v>205583993</v>
      </c>
      <c r="M13" s="576"/>
    </row>
    <row r="14" spans="1:13" s="242" customFormat="1" ht="45.75" customHeight="1" x14ac:dyDescent="0.2">
      <c r="A14" s="579"/>
      <c r="B14" s="539" t="s">
        <v>873</v>
      </c>
      <c r="C14" s="581" t="s">
        <v>872</v>
      </c>
      <c r="D14" s="578">
        <v>7429500</v>
      </c>
      <c r="E14" s="578">
        <v>2400000</v>
      </c>
      <c r="F14" s="578">
        <v>20167300</v>
      </c>
      <c r="G14" s="578">
        <v>597486981</v>
      </c>
      <c r="H14" s="578"/>
      <c r="I14" s="578"/>
      <c r="J14" s="584">
        <f>SUM(D14:I14)</f>
        <v>627483781</v>
      </c>
      <c r="K14" s="574"/>
      <c r="L14" s="575"/>
      <c r="M14" s="576"/>
    </row>
    <row r="15" spans="1:13" s="242" customFormat="1" ht="45.75" customHeight="1" x14ac:dyDescent="0.2">
      <c r="A15" s="579"/>
      <c r="B15" s="539" t="s">
        <v>1136</v>
      </c>
      <c r="C15" s="710" t="s">
        <v>1137</v>
      </c>
      <c r="D15" s="711"/>
      <c r="E15" s="711">
        <v>373990120</v>
      </c>
      <c r="F15" s="711"/>
      <c r="G15" s="711"/>
      <c r="H15" s="711"/>
      <c r="I15" s="711"/>
      <c r="J15" s="584">
        <f>SUM(D15:I15)</f>
        <v>373990120</v>
      </c>
      <c r="K15" s="574"/>
      <c r="L15" s="575"/>
      <c r="M15" s="576"/>
    </row>
    <row r="16" spans="1:13" s="242" customFormat="1" ht="20.25" customHeight="1" x14ac:dyDescent="0.2">
      <c r="A16" s="579" t="s">
        <v>6</v>
      </c>
      <c r="B16" s="580" t="s">
        <v>609</v>
      </c>
      <c r="C16" s="581"/>
      <c r="D16" s="582">
        <f>SUM(D17:D18)</f>
        <v>0</v>
      </c>
      <c r="E16" s="582">
        <f t="shared" ref="E16:J16" si="4">SUM(E17:E18)</f>
        <v>28543561</v>
      </c>
      <c r="F16" s="582">
        <f t="shared" si="4"/>
        <v>330331</v>
      </c>
      <c r="G16" s="582">
        <f t="shared" si="4"/>
        <v>0</v>
      </c>
      <c r="H16" s="582">
        <f t="shared" si="4"/>
        <v>0</v>
      </c>
      <c r="I16" s="582">
        <f t="shared" si="4"/>
        <v>0</v>
      </c>
      <c r="J16" s="582">
        <f t="shared" si="4"/>
        <v>28873892</v>
      </c>
      <c r="K16" s="574"/>
      <c r="L16" s="575">
        <f t="shared" si="3"/>
        <v>28873892</v>
      </c>
      <c r="M16" s="576"/>
    </row>
    <row r="17" spans="1:15" s="242" customFormat="1" ht="38.25" x14ac:dyDescent="0.2">
      <c r="A17" s="579"/>
      <c r="B17" s="539" t="s">
        <v>1138</v>
      </c>
      <c r="C17" s="710" t="s">
        <v>1137</v>
      </c>
      <c r="D17" s="711"/>
      <c r="E17" s="711">
        <v>13543561</v>
      </c>
      <c r="F17" s="711">
        <v>330331</v>
      </c>
      <c r="G17" s="711"/>
      <c r="H17" s="711"/>
      <c r="I17" s="711"/>
      <c r="J17" s="584">
        <f t="shared" ref="J17:J18" si="5">SUM(D17:I17)</f>
        <v>13873892</v>
      </c>
      <c r="K17" s="576"/>
      <c r="L17" s="575"/>
      <c r="M17" s="576"/>
    </row>
    <row r="18" spans="1:15" s="242" customFormat="1" ht="54.75" customHeight="1" x14ac:dyDescent="0.2">
      <c r="A18" s="579"/>
      <c r="B18" s="539" t="s">
        <v>1139</v>
      </c>
      <c r="C18" s="710" t="s">
        <v>1137</v>
      </c>
      <c r="D18" s="711"/>
      <c r="E18" s="711">
        <v>15000000</v>
      </c>
      <c r="F18" s="711"/>
      <c r="G18" s="711"/>
      <c r="H18" s="711"/>
      <c r="I18" s="711"/>
      <c r="J18" s="584">
        <f t="shared" si="5"/>
        <v>15000000</v>
      </c>
      <c r="K18" s="576"/>
      <c r="L18" s="575"/>
      <c r="M18" s="576"/>
    </row>
    <row r="19" spans="1:15" s="242" customFormat="1" ht="17.25" customHeight="1" x14ac:dyDescent="0.2">
      <c r="A19" s="579" t="s">
        <v>7</v>
      </c>
      <c r="B19" s="580" t="s">
        <v>610</v>
      </c>
      <c r="C19" s="581"/>
      <c r="D19" s="578"/>
      <c r="E19" s="578"/>
      <c r="F19" s="578"/>
      <c r="G19" s="578"/>
      <c r="H19" s="578"/>
      <c r="I19" s="578"/>
      <c r="J19" s="584"/>
      <c r="O19" s="242">
        <f>5111108+15211170</f>
        <v>20322278</v>
      </c>
    </row>
    <row r="20" spans="1:15" s="242" customFormat="1" ht="23.25" customHeight="1" thickBot="1" x14ac:dyDescent="0.25">
      <c r="A20" s="962" t="s">
        <v>611</v>
      </c>
      <c r="B20" s="963"/>
      <c r="C20" s="585">
        <f t="shared" ref="C20:J20" si="6">+C6+C7+C11+C16+C19</f>
        <v>0</v>
      </c>
      <c r="D20" s="585">
        <f>+D6+D7+D11+D16+D19</f>
        <v>1070428850</v>
      </c>
      <c r="E20" s="585">
        <f t="shared" si="6"/>
        <v>433116305</v>
      </c>
      <c r="F20" s="585">
        <f t="shared" si="6"/>
        <v>48680255</v>
      </c>
      <c r="G20" s="585">
        <f t="shared" si="6"/>
        <v>625669605</v>
      </c>
      <c r="H20" s="585">
        <f t="shared" si="6"/>
        <v>28182624</v>
      </c>
      <c r="I20" s="585">
        <f t="shared" si="6"/>
        <v>387483921</v>
      </c>
      <c r="J20" s="586">
        <f t="shared" si="6"/>
        <v>2593561560</v>
      </c>
    </row>
    <row r="23" spans="1:15" x14ac:dyDescent="0.2">
      <c r="F23" s="577">
        <v>627483781</v>
      </c>
    </row>
  </sheetData>
  <mergeCells count="8">
    <mergeCell ref="A20:B20"/>
    <mergeCell ref="A1:J1"/>
    <mergeCell ref="A3:A4"/>
    <mergeCell ref="B3:B4"/>
    <mergeCell ref="C3:C4"/>
    <mergeCell ref="D3:D4"/>
    <mergeCell ref="E3:I3"/>
    <mergeCell ref="J3:J4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78" orientation="landscape" r:id="rId1"/>
  <headerFooter>
    <oddHeader>&amp;CDunaharaszti Város Önkormányzata
2021. évi zárszámadás
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P690"/>
  <sheetViews>
    <sheetView view="pageBreakPreview" topLeftCell="A22" zoomScaleNormal="100" zoomScaleSheetLayoutView="100" workbookViewId="0">
      <selection activeCell="I45" sqref="I45"/>
    </sheetView>
  </sheetViews>
  <sheetFormatPr defaultColWidth="12.42578125" defaultRowHeight="11.25" x14ac:dyDescent="0.2"/>
  <cols>
    <col min="1" max="1" width="25.5703125" style="513" bestFit="1" customWidth="1"/>
    <col min="2" max="4" width="26.140625" style="513" bestFit="1" customWidth="1"/>
    <col min="5" max="5" width="16.42578125" style="513" bestFit="1" customWidth="1"/>
    <col min="6" max="6" width="21.85546875" style="513" customWidth="1"/>
    <col min="7" max="16384" width="12.42578125" style="513"/>
  </cols>
  <sheetData>
    <row r="1" spans="1:94" ht="14.25" customHeight="1" x14ac:dyDescent="0.25">
      <c r="A1" s="496"/>
      <c r="B1" s="496"/>
      <c r="C1" s="496"/>
      <c r="D1" s="974"/>
      <c r="E1" s="974"/>
      <c r="F1" s="496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9"/>
      <c r="BD1" s="329"/>
      <c r="BE1" s="329"/>
      <c r="BF1" s="329"/>
      <c r="BG1" s="329"/>
      <c r="BH1" s="329"/>
      <c r="BI1" s="329"/>
      <c r="BJ1" s="329"/>
      <c r="BK1" s="329"/>
      <c r="BL1" s="329"/>
      <c r="BM1" s="329"/>
      <c r="BN1" s="329"/>
      <c r="BO1" s="329"/>
      <c r="BP1" s="329"/>
      <c r="BQ1" s="329"/>
      <c r="BR1" s="329"/>
      <c r="BS1" s="329"/>
      <c r="BT1" s="329"/>
      <c r="BU1" s="329"/>
      <c r="BV1" s="329"/>
      <c r="BW1" s="329"/>
      <c r="BX1" s="329"/>
      <c r="BY1" s="329"/>
      <c r="BZ1" s="329"/>
      <c r="CA1" s="329"/>
      <c r="CB1" s="329"/>
      <c r="CC1" s="329"/>
      <c r="CD1" s="329"/>
      <c r="CE1" s="329"/>
      <c r="CF1" s="329"/>
      <c r="CG1" s="329"/>
      <c r="CH1" s="329"/>
      <c r="CI1" s="329"/>
      <c r="CJ1" s="329"/>
      <c r="CK1" s="329"/>
      <c r="CL1" s="329"/>
      <c r="CM1" s="329"/>
      <c r="CN1" s="329"/>
      <c r="CO1" s="329"/>
      <c r="CP1" s="329"/>
    </row>
    <row r="2" spans="1:94" s="514" customFormat="1" ht="29.25" customHeight="1" x14ac:dyDescent="0.25">
      <c r="A2" s="975" t="s">
        <v>220</v>
      </c>
      <c r="B2" s="975"/>
      <c r="C2" s="975"/>
      <c r="D2" s="975"/>
      <c r="E2" s="975"/>
      <c r="F2" s="496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329"/>
      <c r="AR2" s="329"/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329"/>
      <c r="BF2" s="329"/>
      <c r="BG2" s="329"/>
      <c r="BH2" s="329"/>
      <c r="BI2" s="329"/>
      <c r="BJ2" s="329"/>
      <c r="BK2" s="329"/>
      <c r="BL2" s="329"/>
      <c r="BM2" s="329"/>
      <c r="BN2" s="329"/>
      <c r="BO2" s="329"/>
      <c r="BP2" s="329"/>
      <c r="BQ2" s="329"/>
      <c r="BR2" s="329"/>
      <c r="BS2" s="329"/>
      <c r="BT2" s="329"/>
      <c r="BU2" s="329"/>
      <c r="BV2" s="329"/>
      <c r="BW2" s="329"/>
      <c r="BX2" s="329"/>
      <c r="BY2" s="329"/>
      <c r="BZ2" s="329"/>
      <c r="CA2" s="329"/>
      <c r="CB2" s="329"/>
      <c r="CC2" s="329"/>
      <c r="CD2" s="329"/>
      <c r="CE2" s="329"/>
      <c r="CF2" s="329"/>
      <c r="CG2" s="329"/>
      <c r="CH2" s="329"/>
      <c r="CI2" s="329"/>
      <c r="CJ2" s="329"/>
      <c r="CK2" s="329"/>
      <c r="CL2" s="329"/>
      <c r="CM2" s="329"/>
      <c r="CN2" s="329"/>
      <c r="CO2" s="329"/>
      <c r="CP2" s="329"/>
    </row>
    <row r="3" spans="1:94" s="329" customFormat="1" ht="14.25" customHeight="1" x14ac:dyDescent="0.25">
      <c r="A3" s="976"/>
      <c r="B3" s="976"/>
      <c r="C3" s="976"/>
      <c r="D3" s="976"/>
      <c r="E3" s="976"/>
      <c r="F3" s="976"/>
    </row>
    <row r="4" spans="1:94" s="329" customFormat="1" ht="11.25" customHeight="1" x14ac:dyDescent="0.2">
      <c r="A4" s="126"/>
      <c r="E4" s="330"/>
      <c r="F4" s="331"/>
    </row>
    <row r="5" spans="1:94" s="329" customFormat="1" ht="3" customHeight="1" thickBot="1" x14ac:dyDescent="0.25">
      <c r="F5" s="330"/>
    </row>
    <row r="6" spans="1:94" s="332" customFormat="1" ht="37.5" customHeight="1" x14ac:dyDescent="0.2">
      <c r="A6" s="977" t="s">
        <v>2</v>
      </c>
      <c r="B6" s="978" t="s">
        <v>221</v>
      </c>
      <c r="C6" s="978"/>
      <c r="D6" s="978"/>
      <c r="E6" s="979" t="s">
        <v>80</v>
      </c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329"/>
      <c r="AQ6" s="329"/>
      <c r="AR6" s="329"/>
      <c r="AS6" s="329"/>
      <c r="AT6" s="329"/>
      <c r="AU6" s="329"/>
      <c r="AV6" s="329"/>
      <c r="AW6" s="329"/>
      <c r="AX6" s="329"/>
      <c r="AY6" s="329"/>
      <c r="AZ6" s="329"/>
      <c r="BA6" s="329"/>
      <c r="BB6" s="329"/>
      <c r="BC6" s="329"/>
      <c r="BD6" s="329"/>
      <c r="BE6" s="329"/>
      <c r="BF6" s="329"/>
      <c r="BG6" s="329"/>
      <c r="BH6" s="329"/>
      <c r="BI6" s="329"/>
      <c r="BJ6" s="329"/>
      <c r="BK6" s="329"/>
      <c r="BL6" s="329"/>
      <c r="BM6" s="329"/>
      <c r="BN6" s="329"/>
      <c r="BO6" s="329"/>
      <c r="BP6" s="329"/>
      <c r="BQ6" s="329"/>
      <c r="BR6" s="329"/>
      <c r="BS6" s="329"/>
      <c r="BT6" s="329"/>
      <c r="BU6" s="329"/>
      <c r="BV6" s="329"/>
      <c r="BW6" s="329"/>
      <c r="BX6" s="329"/>
      <c r="BY6" s="329"/>
      <c r="BZ6" s="329"/>
      <c r="CA6" s="329"/>
      <c r="CB6" s="329"/>
      <c r="CC6" s="329"/>
      <c r="CD6" s="329"/>
      <c r="CE6" s="329"/>
      <c r="CF6" s="329"/>
      <c r="CG6" s="329"/>
      <c r="CH6" s="329"/>
      <c r="CI6" s="329"/>
      <c r="CJ6" s="329"/>
      <c r="CK6" s="329"/>
      <c r="CL6" s="329"/>
      <c r="CM6" s="329"/>
      <c r="CN6" s="329"/>
      <c r="CO6" s="329"/>
      <c r="CP6" s="329"/>
    </row>
    <row r="7" spans="1:94" s="515" customFormat="1" ht="26.25" customHeight="1" thickBot="1" x14ac:dyDescent="0.25">
      <c r="A7" s="977"/>
      <c r="B7" s="65">
        <f>SUM(B16:B43)</f>
        <v>349492568</v>
      </c>
      <c r="C7" s="65">
        <v>207051367</v>
      </c>
      <c r="D7" s="65">
        <v>92948633</v>
      </c>
      <c r="E7" s="980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329"/>
      <c r="AL7" s="329"/>
      <c r="AM7" s="329"/>
      <c r="AN7" s="329"/>
      <c r="AO7" s="329"/>
      <c r="AP7" s="329"/>
      <c r="AQ7" s="329"/>
      <c r="AR7" s="329"/>
      <c r="AS7" s="329"/>
      <c r="AT7" s="329"/>
      <c r="AU7" s="329"/>
      <c r="AV7" s="329"/>
      <c r="AW7" s="329"/>
      <c r="AX7" s="329"/>
      <c r="AY7" s="329"/>
      <c r="AZ7" s="329"/>
      <c r="BA7" s="329"/>
      <c r="BB7" s="329"/>
      <c r="BC7" s="329"/>
      <c r="BD7" s="329"/>
      <c r="BE7" s="329"/>
      <c r="BF7" s="329"/>
      <c r="BG7" s="329"/>
      <c r="BH7" s="329"/>
      <c r="BI7" s="329"/>
      <c r="BJ7" s="329"/>
      <c r="BK7" s="329"/>
      <c r="BL7" s="329"/>
      <c r="BM7" s="329"/>
      <c r="BN7" s="329"/>
      <c r="BO7" s="329"/>
      <c r="BP7" s="329"/>
      <c r="BQ7" s="329"/>
      <c r="BR7" s="329"/>
      <c r="BS7" s="329"/>
      <c r="BT7" s="329"/>
      <c r="BU7" s="329"/>
      <c r="BV7" s="329"/>
      <c r="BW7" s="329"/>
      <c r="BX7" s="329"/>
      <c r="BY7" s="329"/>
      <c r="BZ7" s="329"/>
      <c r="CA7" s="329"/>
      <c r="CB7" s="329"/>
      <c r="CC7" s="329"/>
      <c r="CD7" s="329"/>
      <c r="CE7" s="329"/>
      <c r="CF7" s="329"/>
      <c r="CG7" s="329"/>
      <c r="CH7" s="329"/>
      <c r="CI7" s="329"/>
      <c r="CJ7" s="329"/>
      <c r="CK7" s="329"/>
      <c r="CL7" s="329"/>
      <c r="CM7" s="329"/>
      <c r="CN7" s="329"/>
      <c r="CO7" s="329"/>
      <c r="CP7" s="329"/>
    </row>
    <row r="8" spans="1:94" s="335" customFormat="1" ht="45" customHeight="1" x14ac:dyDescent="0.2">
      <c r="A8" s="333" t="s">
        <v>222</v>
      </c>
      <c r="B8" s="334" t="s">
        <v>223</v>
      </c>
      <c r="C8" s="334" t="s">
        <v>224</v>
      </c>
      <c r="D8" s="334" t="s">
        <v>225</v>
      </c>
      <c r="E8" s="980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29"/>
      <c r="AL8" s="329"/>
      <c r="AM8" s="329"/>
      <c r="AN8" s="329"/>
      <c r="AO8" s="329"/>
      <c r="AP8" s="329"/>
      <c r="AQ8" s="329"/>
      <c r="AR8" s="329"/>
      <c r="AS8" s="329"/>
      <c r="AT8" s="329"/>
      <c r="AU8" s="329"/>
      <c r="AV8" s="329"/>
      <c r="AW8" s="329"/>
      <c r="AX8" s="329"/>
      <c r="AY8" s="329"/>
      <c r="AZ8" s="329"/>
      <c r="BA8" s="329"/>
      <c r="BB8" s="329"/>
      <c r="BC8" s="329"/>
      <c r="BD8" s="329"/>
      <c r="BE8" s="329"/>
      <c r="BF8" s="329"/>
      <c r="BG8" s="329"/>
      <c r="BH8" s="329"/>
      <c r="BI8" s="329"/>
      <c r="BJ8" s="329"/>
      <c r="BK8" s="329"/>
      <c r="BL8" s="329"/>
      <c r="BM8" s="329"/>
      <c r="BN8" s="329"/>
      <c r="BO8" s="329"/>
      <c r="BP8" s="329"/>
      <c r="BQ8" s="329"/>
      <c r="BR8" s="329"/>
      <c r="BS8" s="329"/>
      <c r="BT8" s="329"/>
      <c r="BU8" s="329"/>
      <c r="BV8" s="329"/>
      <c r="BW8" s="329"/>
      <c r="BX8" s="329"/>
      <c r="BY8" s="329"/>
      <c r="BZ8" s="329"/>
      <c r="CA8" s="329"/>
      <c r="CB8" s="329"/>
      <c r="CC8" s="329"/>
      <c r="CD8" s="329"/>
      <c r="CE8" s="329"/>
      <c r="CF8" s="329"/>
      <c r="CG8" s="329"/>
      <c r="CH8" s="329"/>
      <c r="CI8" s="329"/>
      <c r="CJ8" s="329"/>
      <c r="CK8" s="329"/>
      <c r="CL8" s="329"/>
      <c r="CM8" s="329"/>
      <c r="CN8" s="329"/>
      <c r="CO8" s="329"/>
      <c r="CP8" s="329"/>
    </row>
    <row r="9" spans="1:94" s="335" customFormat="1" ht="22.5" customHeight="1" x14ac:dyDescent="0.2">
      <c r="A9" s="333" t="s">
        <v>226</v>
      </c>
      <c r="B9" s="336">
        <v>41466</v>
      </c>
      <c r="C9" s="336">
        <v>41647</v>
      </c>
      <c r="D9" s="336">
        <v>41647</v>
      </c>
      <c r="E9" s="980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329"/>
      <c r="BG9" s="329"/>
      <c r="BH9" s="329"/>
      <c r="BI9" s="329"/>
      <c r="BJ9" s="329"/>
      <c r="BK9" s="329"/>
      <c r="BL9" s="329"/>
      <c r="BM9" s="329"/>
      <c r="BN9" s="329"/>
      <c r="BO9" s="329"/>
      <c r="BP9" s="329"/>
      <c r="BQ9" s="329"/>
      <c r="BR9" s="329"/>
      <c r="BS9" s="329"/>
      <c r="BT9" s="329"/>
      <c r="BU9" s="329"/>
      <c r="BV9" s="329"/>
      <c r="BW9" s="329"/>
      <c r="BX9" s="329"/>
      <c r="BY9" s="329"/>
      <c r="BZ9" s="329"/>
      <c r="CA9" s="329"/>
      <c r="CB9" s="329"/>
      <c r="CC9" s="329"/>
      <c r="CD9" s="329"/>
      <c r="CE9" s="329"/>
      <c r="CF9" s="329"/>
      <c r="CG9" s="329"/>
      <c r="CH9" s="329"/>
      <c r="CI9" s="329"/>
      <c r="CJ9" s="329"/>
      <c r="CK9" s="329"/>
      <c r="CL9" s="329"/>
      <c r="CM9" s="329"/>
      <c r="CN9" s="329"/>
      <c r="CO9" s="329"/>
      <c r="CP9" s="329"/>
    </row>
    <row r="10" spans="1:94" s="335" customFormat="1" ht="18" customHeight="1" x14ac:dyDescent="0.2">
      <c r="A10" s="337" t="s">
        <v>227</v>
      </c>
      <c r="B10" s="338"/>
      <c r="C10" s="338"/>
      <c r="D10" s="338"/>
      <c r="E10" s="980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29"/>
      <c r="BE10" s="329"/>
      <c r="BF10" s="329"/>
      <c r="BG10" s="329"/>
      <c r="BH10" s="329"/>
      <c r="BI10" s="329"/>
      <c r="BJ10" s="329"/>
      <c r="BK10" s="329"/>
      <c r="BL10" s="329"/>
      <c r="BM10" s="329"/>
      <c r="BN10" s="329"/>
      <c r="BO10" s="329"/>
      <c r="BP10" s="329"/>
      <c r="BQ10" s="329"/>
      <c r="BR10" s="329"/>
      <c r="BS10" s="329"/>
      <c r="BT10" s="329"/>
      <c r="BU10" s="329"/>
      <c r="BV10" s="329"/>
      <c r="BW10" s="329"/>
      <c r="BX10" s="329"/>
      <c r="BY10" s="329"/>
      <c r="BZ10" s="329"/>
      <c r="CA10" s="329"/>
      <c r="CB10" s="329"/>
      <c r="CC10" s="329"/>
      <c r="CD10" s="329"/>
      <c r="CE10" s="329"/>
      <c r="CF10" s="329"/>
      <c r="CG10" s="329"/>
      <c r="CH10" s="329"/>
      <c r="CI10" s="329"/>
      <c r="CJ10" s="329"/>
      <c r="CK10" s="329"/>
      <c r="CL10" s="329"/>
      <c r="CM10" s="329"/>
      <c r="CN10" s="329"/>
      <c r="CO10" s="329"/>
      <c r="CP10" s="329"/>
    </row>
    <row r="11" spans="1:94" s="335" customFormat="1" ht="13.5" customHeight="1" x14ac:dyDescent="0.2">
      <c r="A11" s="339" t="s">
        <v>228</v>
      </c>
      <c r="B11" s="333" t="s">
        <v>501</v>
      </c>
      <c r="C11" s="333" t="s">
        <v>502</v>
      </c>
      <c r="D11" s="333" t="s">
        <v>502</v>
      </c>
      <c r="E11" s="980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29"/>
      <c r="BS11" s="329"/>
      <c r="BT11" s="329"/>
      <c r="BU11" s="329"/>
      <c r="BV11" s="329"/>
      <c r="BW11" s="329"/>
      <c r="BX11" s="329"/>
      <c r="BY11" s="329"/>
      <c r="BZ11" s="329"/>
      <c r="CA11" s="329"/>
      <c r="CB11" s="329"/>
      <c r="CC11" s="329"/>
      <c r="CD11" s="329"/>
      <c r="CE11" s="329"/>
      <c r="CF11" s="329"/>
      <c r="CG11" s="329"/>
      <c r="CH11" s="329"/>
      <c r="CI11" s="329"/>
      <c r="CJ11" s="329"/>
      <c r="CK11" s="329"/>
      <c r="CL11" s="329"/>
      <c r="CM11" s="329"/>
      <c r="CN11" s="329"/>
      <c r="CO11" s="329"/>
      <c r="CP11" s="329"/>
    </row>
    <row r="12" spans="1:94" s="342" customFormat="1" ht="12.75" customHeight="1" x14ac:dyDescent="0.2">
      <c r="A12" s="339" t="s">
        <v>62</v>
      </c>
      <c r="B12" s="340" t="s">
        <v>3</v>
      </c>
      <c r="C12" s="340" t="s">
        <v>4</v>
      </c>
      <c r="D12" s="340" t="s">
        <v>5</v>
      </c>
      <c r="E12" s="980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341"/>
      <c r="BC12" s="341"/>
      <c r="BD12" s="341"/>
      <c r="BE12" s="341"/>
      <c r="BF12" s="341"/>
      <c r="BG12" s="341"/>
      <c r="BH12" s="341"/>
      <c r="BI12" s="341"/>
      <c r="BJ12" s="341"/>
      <c r="BK12" s="341"/>
      <c r="BL12" s="341"/>
      <c r="BM12" s="341"/>
      <c r="BN12" s="341"/>
      <c r="BO12" s="341"/>
      <c r="BP12" s="341"/>
      <c r="BQ12" s="341"/>
      <c r="BR12" s="341"/>
      <c r="BS12" s="341"/>
      <c r="BT12" s="341"/>
      <c r="BU12" s="341"/>
      <c r="BV12" s="341"/>
      <c r="BW12" s="341"/>
      <c r="BX12" s="341"/>
      <c r="BY12" s="341"/>
      <c r="BZ12" s="341"/>
      <c r="CA12" s="341"/>
      <c r="CB12" s="341"/>
      <c r="CC12" s="341"/>
      <c r="CD12" s="341"/>
      <c r="CE12" s="341"/>
      <c r="CF12" s="341"/>
      <c r="CG12" s="341"/>
      <c r="CH12" s="341"/>
      <c r="CI12" s="341"/>
      <c r="CJ12" s="341"/>
      <c r="CK12" s="341"/>
      <c r="CL12" s="341"/>
      <c r="CM12" s="341"/>
      <c r="CN12" s="341"/>
      <c r="CO12" s="341"/>
      <c r="CP12" s="341"/>
    </row>
    <row r="13" spans="1:94" s="345" customFormat="1" ht="31.5" customHeight="1" x14ac:dyDescent="0.2">
      <c r="A13" s="497" t="s">
        <v>229</v>
      </c>
      <c r="B13" s="343" t="s">
        <v>230</v>
      </c>
      <c r="C13" s="343" t="s">
        <v>230</v>
      </c>
      <c r="D13" s="343" t="s">
        <v>230</v>
      </c>
      <c r="E13" s="980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  <c r="AT13" s="344"/>
      <c r="AU13" s="344"/>
      <c r="AV13" s="344"/>
      <c r="AW13" s="344"/>
      <c r="AX13" s="344"/>
      <c r="AY13" s="344"/>
      <c r="AZ13" s="344"/>
      <c r="BA13" s="344"/>
      <c r="BB13" s="344"/>
      <c r="BC13" s="344"/>
      <c r="BD13" s="344"/>
      <c r="BE13" s="344"/>
      <c r="BF13" s="344"/>
      <c r="BG13" s="344"/>
      <c r="BH13" s="344"/>
      <c r="BI13" s="344"/>
      <c r="BJ13" s="344"/>
      <c r="BK13" s="344"/>
      <c r="BL13" s="344"/>
      <c r="BM13" s="344"/>
      <c r="BN13" s="344"/>
      <c r="BO13" s="344"/>
      <c r="BP13" s="344"/>
      <c r="BQ13" s="344"/>
      <c r="BR13" s="344"/>
      <c r="BS13" s="344"/>
      <c r="BT13" s="344"/>
      <c r="BU13" s="344"/>
      <c r="BV13" s="344"/>
      <c r="BW13" s="344"/>
      <c r="BX13" s="344"/>
      <c r="BY13" s="344"/>
      <c r="BZ13" s="344"/>
      <c r="CA13" s="344"/>
      <c r="CB13" s="344"/>
      <c r="CC13" s="344"/>
      <c r="CD13" s="344"/>
      <c r="CE13" s="344"/>
      <c r="CF13" s="344"/>
      <c r="CG13" s="344"/>
      <c r="CH13" s="344"/>
      <c r="CI13" s="344"/>
      <c r="CJ13" s="344"/>
      <c r="CK13" s="344"/>
      <c r="CL13" s="344"/>
      <c r="CM13" s="344"/>
      <c r="CN13" s="344"/>
      <c r="CO13" s="344"/>
      <c r="CP13" s="344"/>
    </row>
    <row r="14" spans="1:94" s="345" customFormat="1" ht="44.25" customHeight="1" x14ac:dyDescent="0.2">
      <c r="A14" s="346" t="s">
        <v>231</v>
      </c>
      <c r="B14" s="347"/>
      <c r="C14" s="347"/>
      <c r="D14" s="347"/>
      <c r="E14" s="981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44"/>
      <c r="BB14" s="344"/>
      <c r="BC14" s="344"/>
      <c r="BD14" s="344"/>
      <c r="BE14" s="344"/>
      <c r="BF14" s="344"/>
      <c r="BG14" s="344"/>
      <c r="BH14" s="344"/>
      <c r="BI14" s="344"/>
      <c r="BJ14" s="344"/>
      <c r="BK14" s="344"/>
      <c r="BL14" s="344"/>
      <c r="BM14" s="344"/>
      <c r="BN14" s="344"/>
      <c r="BO14" s="344"/>
      <c r="BP14" s="344"/>
      <c r="BQ14" s="344"/>
      <c r="BR14" s="344"/>
      <c r="BS14" s="344"/>
      <c r="BT14" s="344"/>
      <c r="BU14" s="344"/>
      <c r="BV14" s="344"/>
      <c r="BW14" s="344"/>
      <c r="BX14" s="344"/>
      <c r="BY14" s="344"/>
      <c r="BZ14" s="344"/>
      <c r="CA14" s="344"/>
      <c r="CB14" s="344"/>
      <c r="CC14" s="344"/>
      <c r="CD14" s="344"/>
      <c r="CE14" s="344"/>
      <c r="CF14" s="344"/>
      <c r="CG14" s="344"/>
      <c r="CH14" s="344"/>
      <c r="CI14" s="344"/>
      <c r="CJ14" s="344"/>
      <c r="CK14" s="344"/>
      <c r="CL14" s="344"/>
      <c r="CM14" s="344"/>
      <c r="CN14" s="344"/>
      <c r="CO14" s="344"/>
      <c r="CP14" s="344"/>
    </row>
    <row r="15" spans="1:94" s="516" customFormat="1" ht="14.25" customHeight="1" x14ac:dyDescent="0.2">
      <c r="A15" s="348" t="s">
        <v>232</v>
      </c>
      <c r="B15" s="348"/>
      <c r="C15" s="348"/>
      <c r="D15" s="348"/>
      <c r="E15" s="348" t="s">
        <v>233</v>
      </c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4"/>
      <c r="AR15" s="344"/>
      <c r="AS15" s="344"/>
      <c r="AT15" s="344"/>
      <c r="AU15" s="344"/>
      <c r="AV15" s="344"/>
      <c r="AW15" s="344"/>
      <c r="AX15" s="344"/>
      <c r="AY15" s="344"/>
      <c r="AZ15" s="344"/>
      <c r="BA15" s="344"/>
      <c r="BB15" s="344"/>
      <c r="BC15" s="344"/>
      <c r="BD15" s="344"/>
      <c r="BE15" s="344"/>
      <c r="BF15" s="344"/>
      <c r="BG15" s="344"/>
      <c r="BH15" s="344"/>
      <c r="BI15" s="344"/>
      <c r="BJ15" s="344"/>
      <c r="BK15" s="344"/>
      <c r="BL15" s="344"/>
      <c r="BM15" s="344"/>
      <c r="BN15" s="344"/>
      <c r="BO15" s="344"/>
      <c r="BP15" s="344"/>
      <c r="BQ15" s="344"/>
      <c r="BR15" s="344"/>
      <c r="BS15" s="344"/>
      <c r="BT15" s="344"/>
      <c r="BU15" s="344"/>
      <c r="BV15" s="344"/>
      <c r="BW15" s="344"/>
      <c r="BX15" s="344"/>
      <c r="BY15" s="344"/>
      <c r="BZ15" s="344"/>
      <c r="CA15" s="344"/>
      <c r="CB15" s="344"/>
      <c r="CC15" s="344"/>
      <c r="CD15" s="344"/>
      <c r="CE15" s="344"/>
      <c r="CF15" s="344"/>
      <c r="CG15" s="344"/>
      <c r="CH15" s="344"/>
      <c r="CI15" s="344"/>
      <c r="CJ15" s="344"/>
      <c r="CK15" s="344"/>
      <c r="CL15" s="344"/>
      <c r="CM15" s="344"/>
      <c r="CN15" s="344"/>
      <c r="CO15" s="344"/>
      <c r="CP15" s="344"/>
    </row>
    <row r="16" spans="1:94" ht="15.95" customHeight="1" x14ac:dyDescent="0.2">
      <c r="A16" s="497" t="s">
        <v>504</v>
      </c>
      <c r="B16" s="49">
        <v>64716139</v>
      </c>
      <c r="C16" s="49"/>
      <c r="D16" s="49"/>
      <c r="E16" s="50">
        <f>SUM(B16:B16)</f>
        <v>64716139</v>
      </c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  <c r="AX16" s="329"/>
      <c r="AY16" s="329"/>
      <c r="AZ16" s="329"/>
      <c r="BA16" s="329"/>
      <c r="BB16" s="329"/>
      <c r="BC16" s="329"/>
      <c r="BD16" s="329"/>
      <c r="BE16" s="329"/>
      <c r="BF16" s="329"/>
      <c r="BG16" s="329"/>
      <c r="BH16" s="329"/>
      <c r="BI16" s="329"/>
      <c r="BJ16" s="329"/>
      <c r="BK16" s="329"/>
      <c r="BL16" s="329"/>
      <c r="BM16" s="329"/>
      <c r="BN16" s="329"/>
      <c r="BO16" s="329"/>
      <c r="BP16" s="329"/>
      <c r="BQ16" s="329"/>
      <c r="BR16" s="329"/>
      <c r="BS16" s="329"/>
      <c r="BT16" s="329"/>
      <c r="BU16" s="329"/>
      <c r="BV16" s="329"/>
      <c r="BW16" s="329"/>
      <c r="BX16" s="329"/>
      <c r="BY16" s="329"/>
      <c r="BZ16" s="329"/>
      <c r="CA16" s="329"/>
      <c r="CB16" s="329"/>
      <c r="CC16" s="329"/>
      <c r="CD16" s="329"/>
      <c r="CE16" s="329"/>
      <c r="CF16" s="329"/>
      <c r="CG16" s="329"/>
      <c r="CH16" s="329"/>
      <c r="CI16" s="329"/>
      <c r="CJ16" s="329"/>
      <c r="CK16" s="329"/>
      <c r="CL16" s="329"/>
      <c r="CM16" s="329"/>
      <c r="CN16" s="329"/>
      <c r="CO16" s="329"/>
      <c r="CP16" s="329"/>
    </row>
    <row r="17" spans="1:94" ht="15.95" customHeight="1" x14ac:dyDescent="0.2">
      <c r="A17" s="497" t="s">
        <v>234</v>
      </c>
      <c r="B17" s="49"/>
      <c r="C17" s="49"/>
      <c r="D17" s="49"/>
      <c r="E17" s="50">
        <f>SUM(B17:B17)</f>
        <v>0</v>
      </c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29"/>
      <c r="AS17" s="329"/>
      <c r="AT17" s="329"/>
      <c r="AU17" s="329"/>
      <c r="AV17" s="329"/>
      <c r="AW17" s="329"/>
      <c r="AX17" s="329"/>
      <c r="AY17" s="329"/>
      <c r="AZ17" s="329"/>
      <c r="BA17" s="329"/>
      <c r="BB17" s="329"/>
      <c r="BC17" s="329"/>
      <c r="BD17" s="329"/>
      <c r="BE17" s="329"/>
      <c r="BF17" s="329"/>
      <c r="BG17" s="329"/>
      <c r="BH17" s="329"/>
      <c r="BI17" s="329"/>
      <c r="BJ17" s="329"/>
      <c r="BK17" s="329"/>
      <c r="BL17" s="329"/>
      <c r="BM17" s="329"/>
      <c r="BN17" s="329"/>
      <c r="BO17" s="329"/>
      <c r="BP17" s="329"/>
      <c r="BQ17" s="329"/>
      <c r="BR17" s="329"/>
      <c r="BS17" s="329"/>
      <c r="BT17" s="329"/>
      <c r="BU17" s="329"/>
      <c r="BV17" s="329"/>
      <c r="BW17" s="329"/>
      <c r="BX17" s="329"/>
      <c r="BY17" s="329"/>
      <c r="BZ17" s="329"/>
      <c r="CA17" s="329"/>
      <c r="CB17" s="329"/>
      <c r="CC17" s="329"/>
      <c r="CD17" s="329"/>
      <c r="CE17" s="329"/>
      <c r="CF17" s="329"/>
      <c r="CG17" s="329"/>
      <c r="CH17" s="329"/>
      <c r="CI17" s="329"/>
      <c r="CJ17" s="329"/>
      <c r="CK17" s="329"/>
      <c r="CL17" s="329"/>
      <c r="CM17" s="329"/>
      <c r="CN17" s="329"/>
      <c r="CO17" s="329"/>
      <c r="CP17" s="329"/>
    </row>
    <row r="18" spans="1:94" s="514" customFormat="1" ht="15.95" customHeight="1" x14ac:dyDescent="0.2">
      <c r="A18" s="497" t="s">
        <v>235</v>
      </c>
      <c r="B18" s="49"/>
      <c r="C18" s="49"/>
      <c r="D18" s="49"/>
      <c r="E18" s="50">
        <f>SUM(B18:B18)</f>
        <v>0</v>
      </c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29"/>
      <c r="BA18" s="329"/>
      <c r="BB18" s="329"/>
      <c r="BC18" s="329"/>
      <c r="BD18" s="329"/>
      <c r="BE18" s="329"/>
      <c r="BF18" s="329"/>
      <c r="BG18" s="329"/>
      <c r="BH18" s="329"/>
      <c r="BI18" s="329"/>
      <c r="BJ18" s="329"/>
      <c r="BK18" s="329"/>
      <c r="BL18" s="329"/>
      <c r="BM18" s="329"/>
      <c r="BN18" s="329"/>
      <c r="BO18" s="329"/>
      <c r="BP18" s="329"/>
      <c r="BQ18" s="329"/>
      <c r="BR18" s="329"/>
      <c r="BS18" s="329"/>
      <c r="BT18" s="329"/>
      <c r="BU18" s="329"/>
      <c r="BV18" s="329"/>
      <c r="BW18" s="329"/>
      <c r="BX18" s="329"/>
      <c r="BY18" s="329"/>
      <c r="BZ18" s="329"/>
      <c r="CA18" s="329"/>
      <c r="CB18" s="329"/>
      <c r="CC18" s="329"/>
      <c r="CD18" s="329"/>
      <c r="CE18" s="329"/>
      <c r="CF18" s="329"/>
      <c r="CG18" s="329"/>
      <c r="CH18" s="329"/>
      <c r="CI18" s="329"/>
      <c r="CJ18" s="329"/>
      <c r="CK18" s="329"/>
      <c r="CL18" s="329"/>
      <c r="CM18" s="329"/>
      <c r="CN18" s="329"/>
      <c r="CO18" s="329"/>
      <c r="CP18" s="329"/>
    </row>
    <row r="19" spans="1:94" s="514" customFormat="1" ht="15.95" customHeight="1" x14ac:dyDescent="0.2">
      <c r="A19" s="497" t="s">
        <v>236</v>
      </c>
      <c r="B19" s="49"/>
      <c r="C19" s="49"/>
      <c r="D19" s="49"/>
      <c r="E19" s="50">
        <f>SUM(B19:D19)</f>
        <v>0</v>
      </c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29"/>
      <c r="AJ19" s="329"/>
      <c r="AK19" s="329"/>
      <c r="AL19" s="329"/>
      <c r="AM19" s="329"/>
      <c r="AN19" s="329"/>
      <c r="AO19" s="329"/>
      <c r="AP19" s="329"/>
      <c r="AQ19" s="329"/>
      <c r="AR19" s="329"/>
      <c r="AS19" s="329"/>
      <c r="AT19" s="329"/>
      <c r="AU19" s="329"/>
      <c r="AV19" s="329"/>
      <c r="AW19" s="329"/>
      <c r="AX19" s="329"/>
      <c r="AY19" s="329"/>
      <c r="AZ19" s="329"/>
      <c r="BA19" s="329"/>
      <c r="BB19" s="329"/>
      <c r="BC19" s="329"/>
      <c r="BD19" s="329"/>
      <c r="BE19" s="329"/>
      <c r="BF19" s="329"/>
      <c r="BG19" s="329"/>
      <c r="BH19" s="329"/>
      <c r="BI19" s="329"/>
      <c r="BJ19" s="329"/>
      <c r="BK19" s="329"/>
      <c r="BL19" s="329"/>
      <c r="BM19" s="329"/>
      <c r="BN19" s="329"/>
      <c r="BO19" s="329"/>
      <c r="BP19" s="329"/>
      <c r="BQ19" s="329"/>
      <c r="BR19" s="329"/>
      <c r="BS19" s="329"/>
      <c r="BT19" s="329"/>
      <c r="BU19" s="329"/>
      <c r="BV19" s="329"/>
      <c r="BW19" s="329"/>
      <c r="BX19" s="329"/>
      <c r="BY19" s="329"/>
      <c r="BZ19" s="329"/>
      <c r="CA19" s="329"/>
      <c r="CB19" s="329"/>
      <c r="CC19" s="329"/>
      <c r="CD19" s="329"/>
      <c r="CE19" s="329"/>
      <c r="CF19" s="329"/>
      <c r="CG19" s="329"/>
      <c r="CH19" s="329"/>
      <c r="CI19" s="329"/>
      <c r="CJ19" s="329"/>
      <c r="CK19" s="329"/>
      <c r="CL19" s="329"/>
      <c r="CM19" s="329"/>
      <c r="CN19" s="329"/>
      <c r="CO19" s="329"/>
      <c r="CP19" s="329"/>
    </row>
    <row r="20" spans="1:94" s="514" customFormat="1" ht="30" customHeight="1" x14ac:dyDescent="0.2">
      <c r="A20" s="346" t="s">
        <v>734</v>
      </c>
      <c r="B20" s="49"/>
      <c r="C20" s="49">
        <v>2435898</v>
      </c>
      <c r="D20" s="49">
        <v>1094000</v>
      </c>
      <c r="E20" s="50">
        <f>SUM(B20:D20)</f>
        <v>3529898</v>
      </c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29"/>
      <c r="BA20" s="329"/>
      <c r="BB20" s="329"/>
      <c r="BC20" s="329"/>
      <c r="BD20" s="329"/>
      <c r="BE20" s="329"/>
      <c r="BF20" s="329"/>
      <c r="BG20" s="329"/>
      <c r="BH20" s="329"/>
      <c r="BI20" s="329"/>
      <c r="BJ20" s="329"/>
      <c r="BK20" s="329"/>
      <c r="BL20" s="329"/>
      <c r="BM20" s="329"/>
      <c r="BN20" s="329"/>
      <c r="BO20" s="329"/>
      <c r="BP20" s="329"/>
      <c r="BQ20" s="329"/>
      <c r="BR20" s="329"/>
      <c r="BS20" s="329"/>
      <c r="BT20" s="329"/>
      <c r="BU20" s="329"/>
      <c r="BV20" s="329"/>
      <c r="BW20" s="329"/>
      <c r="BX20" s="329"/>
      <c r="BY20" s="329"/>
      <c r="BZ20" s="329"/>
      <c r="CA20" s="329"/>
      <c r="CB20" s="329"/>
      <c r="CC20" s="329"/>
      <c r="CD20" s="329"/>
      <c r="CE20" s="329"/>
      <c r="CF20" s="329"/>
      <c r="CG20" s="329"/>
      <c r="CH20" s="329"/>
      <c r="CI20" s="329"/>
      <c r="CJ20" s="329"/>
      <c r="CK20" s="329"/>
      <c r="CL20" s="329"/>
      <c r="CM20" s="329"/>
      <c r="CN20" s="329"/>
      <c r="CO20" s="329"/>
      <c r="CP20" s="329"/>
    </row>
    <row r="21" spans="1:94" s="514" customFormat="1" ht="15.95" customHeight="1" x14ac:dyDescent="0.2">
      <c r="A21" s="497" t="s">
        <v>237</v>
      </c>
      <c r="B21" s="49">
        <v>10547274</v>
      </c>
      <c r="C21" s="49">
        <f>9743592-2435898</f>
        <v>7307694</v>
      </c>
      <c r="D21" s="49">
        <f>4376000-1094000</f>
        <v>3282000</v>
      </c>
      <c r="E21" s="50">
        <f t="shared" ref="E21:E43" si="0">SUM(B21:D21)</f>
        <v>21136968</v>
      </c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29"/>
      <c r="AQ21" s="329"/>
      <c r="AR21" s="329"/>
      <c r="AS21" s="329"/>
      <c r="AT21" s="329"/>
      <c r="AU21" s="329"/>
      <c r="AV21" s="329"/>
      <c r="AW21" s="329"/>
      <c r="AX21" s="329"/>
      <c r="AY21" s="329"/>
      <c r="AZ21" s="329"/>
      <c r="BA21" s="329"/>
      <c r="BB21" s="329"/>
      <c r="BC21" s="329"/>
      <c r="BD21" s="329"/>
      <c r="BE21" s="329"/>
      <c r="BF21" s="329"/>
      <c r="BG21" s="329"/>
      <c r="BH21" s="329"/>
      <c r="BI21" s="329"/>
      <c r="BJ21" s="329"/>
      <c r="BK21" s="329"/>
      <c r="BL21" s="329"/>
      <c r="BM21" s="329"/>
      <c r="BN21" s="329"/>
      <c r="BO21" s="329"/>
      <c r="BP21" s="329"/>
      <c r="BQ21" s="329"/>
      <c r="BR21" s="329"/>
      <c r="BS21" s="329"/>
      <c r="BT21" s="329"/>
      <c r="BU21" s="329"/>
      <c r="BV21" s="329"/>
      <c r="BW21" s="329"/>
      <c r="BX21" s="329"/>
      <c r="BY21" s="329"/>
      <c r="BZ21" s="329"/>
      <c r="CA21" s="329"/>
      <c r="CB21" s="329"/>
      <c r="CC21" s="329"/>
      <c r="CD21" s="329"/>
      <c r="CE21" s="329"/>
      <c r="CF21" s="329"/>
      <c r="CG21" s="329"/>
      <c r="CH21" s="329"/>
      <c r="CI21" s="329"/>
      <c r="CJ21" s="329"/>
      <c r="CK21" s="329"/>
      <c r="CL21" s="329"/>
      <c r="CM21" s="329"/>
      <c r="CN21" s="329"/>
      <c r="CO21" s="329"/>
      <c r="CP21" s="329"/>
    </row>
    <row r="22" spans="1:94" s="514" customFormat="1" x14ac:dyDescent="0.2">
      <c r="A22" s="346" t="s">
        <v>735</v>
      </c>
      <c r="B22" s="49"/>
      <c r="C22" s="49">
        <v>2435898</v>
      </c>
      <c r="D22" s="49">
        <v>1094000</v>
      </c>
      <c r="E22" s="50">
        <f t="shared" si="0"/>
        <v>3529898</v>
      </c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29"/>
      <c r="AO22" s="329"/>
      <c r="AP22" s="329"/>
      <c r="AQ22" s="329"/>
      <c r="AR22" s="329"/>
      <c r="AS22" s="329"/>
      <c r="AT22" s="329"/>
      <c r="AU22" s="329"/>
      <c r="AV22" s="329"/>
      <c r="AW22" s="329"/>
      <c r="AX22" s="329"/>
      <c r="AY22" s="329"/>
      <c r="AZ22" s="329"/>
      <c r="BA22" s="329"/>
      <c r="BB22" s="329"/>
      <c r="BC22" s="329"/>
      <c r="BD22" s="329"/>
      <c r="BE22" s="329"/>
      <c r="BF22" s="329"/>
      <c r="BG22" s="329"/>
      <c r="BH22" s="329"/>
      <c r="BI22" s="329"/>
      <c r="BJ22" s="329"/>
      <c r="BK22" s="329"/>
      <c r="BL22" s="329"/>
      <c r="BM22" s="329"/>
      <c r="BN22" s="329"/>
      <c r="BO22" s="329"/>
      <c r="BP22" s="329"/>
      <c r="BQ22" s="329"/>
      <c r="BR22" s="329"/>
      <c r="BS22" s="329"/>
      <c r="BT22" s="329"/>
      <c r="BU22" s="329"/>
      <c r="BV22" s="329"/>
      <c r="BW22" s="329"/>
      <c r="BX22" s="329"/>
      <c r="BY22" s="329"/>
      <c r="BZ22" s="329"/>
      <c r="CA22" s="329"/>
      <c r="CB22" s="329"/>
      <c r="CC22" s="329"/>
      <c r="CD22" s="329"/>
      <c r="CE22" s="329"/>
      <c r="CF22" s="329"/>
      <c r="CG22" s="329"/>
      <c r="CH22" s="329"/>
      <c r="CI22" s="329"/>
      <c r="CJ22" s="329"/>
      <c r="CK22" s="329"/>
      <c r="CL22" s="329"/>
      <c r="CM22" s="329"/>
      <c r="CN22" s="329"/>
      <c r="CO22" s="329"/>
      <c r="CP22" s="329"/>
    </row>
    <row r="23" spans="1:94" s="514" customFormat="1" ht="15.95" customHeight="1" x14ac:dyDescent="0.2">
      <c r="A23" s="497" t="s">
        <v>238</v>
      </c>
      <c r="B23" s="49">
        <v>14063032</v>
      </c>
      <c r="C23" s="49">
        <v>9743592</v>
      </c>
      <c r="D23" s="49">
        <v>4376000</v>
      </c>
      <c r="E23" s="50">
        <f t="shared" si="0"/>
        <v>28182624</v>
      </c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329"/>
      <c r="AL23" s="329"/>
      <c r="AM23" s="329"/>
      <c r="AN23" s="329"/>
      <c r="AO23" s="329"/>
      <c r="AP23" s="329"/>
      <c r="AQ23" s="329"/>
      <c r="AR23" s="329"/>
      <c r="AS23" s="329"/>
      <c r="AT23" s="329"/>
      <c r="AU23" s="329"/>
      <c r="AV23" s="329"/>
      <c r="AW23" s="329"/>
      <c r="AX23" s="329"/>
      <c r="AY23" s="329"/>
      <c r="AZ23" s="329"/>
      <c r="BA23" s="329"/>
      <c r="BB23" s="329"/>
      <c r="BC23" s="329"/>
      <c r="BD23" s="329"/>
      <c r="BE23" s="329"/>
      <c r="BF23" s="329"/>
      <c r="BG23" s="329"/>
      <c r="BH23" s="329"/>
      <c r="BI23" s="329"/>
      <c r="BJ23" s="329"/>
      <c r="BK23" s="329"/>
      <c r="BL23" s="329"/>
      <c r="BM23" s="329"/>
      <c r="BN23" s="329"/>
      <c r="BO23" s="329"/>
      <c r="BP23" s="329"/>
      <c r="BQ23" s="329"/>
      <c r="BR23" s="329"/>
      <c r="BS23" s="329"/>
      <c r="BT23" s="329"/>
      <c r="BU23" s="329"/>
      <c r="BV23" s="329"/>
      <c r="BW23" s="329"/>
      <c r="BX23" s="329"/>
      <c r="BY23" s="329"/>
      <c r="BZ23" s="329"/>
      <c r="CA23" s="329"/>
      <c r="CB23" s="329"/>
      <c r="CC23" s="329"/>
      <c r="CD23" s="329"/>
      <c r="CE23" s="329"/>
      <c r="CF23" s="329"/>
      <c r="CG23" s="329"/>
      <c r="CH23" s="329"/>
      <c r="CI23" s="329"/>
      <c r="CJ23" s="329"/>
      <c r="CK23" s="329"/>
      <c r="CL23" s="329"/>
      <c r="CM23" s="329"/>
      <c r="CN23" s="329"/>
      <c r="CO23" s="329"/>
      <c r="CP23" s="329"/>
    </row>
    <row r="24" spans="1:94" s="514" customFormat="1" ht="15.95" customHeight="1" x14ac:dyDescent="0.2">
      <c r="A24" s="497" t="s">
        <v>239</v>
      </c>
      <c r="B24" s="49">
        <v>14063032</v>
      </c>
      <c r="C24" s="49">
        <v>9743592</v>
      </c>
      <c r="D24" s="49">
        <v>4376000</v>
      </c>
      <c r="E24" s="50">
        <f t="shared" si="0"/>
        <v>28182624</v>
      </c>
      <c r="F24" s="329"/>
      <c r="G24" s="349"/>
      <c r="H24" s="350"/>
      <c r="I24" s="350"/>
      <c r="J24" s="351"/>
      <c r="K24" s="352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  <c r="AL24" s="329"/>
      <c r="AM24" s="329"/>
      <c r="AN24" s="329"/>
      <c r="AO24" s="329"/>
      <c r="AP24" s="329"/>
      <c r="AQ24" s="329"/>
      <c r="AR24" s="329"/>
      <c r="AS24" s="329"/>
      <c r="AT24" s="329"/>
      <c r="AU24" s="329"/>
      <c r="AV24" s="329"/>
      <c r="AW24" s="329"/>
      <c r="AX24" s="329"/>
      <c r="AY24" s="329"/>
      <c r="AZ24" s="329"/>
      <c r="BA24" s="329"/>
      <c r="BB24" s="329"/>
      <c r="BC24" s="329"/>
      <c r="BD24" s="329"/>
      <c r="BE24" s="329"/>
      <c r="BF24" s="329"/>
      <c r="BG24" s="329"/>
      <c r="BH24" s="329"/>
      <c r="BI24" s="329"/>
      <c r="BJ24" s="329"/>
      <c r="BK24" s="329"/>
      <c r="BL24" s="329"/>
      <c r="BM24" s="329"/>
      <c r="BN24" s="329"/>
      <c r="BO24" s="329"/>
      <c r="BP24" s="329"/>
      <c r="BQ24" s="329"/>
      <c r="BR24" s="329"/>
      <c r="BS24" s="329"/>
      <c r="BT24" s="329"/>
      <c r="BU24" s="329"/>
      <c r="BV24" s="329"/>
      <c r="BW24" s="329"/>
      <c r="BX24" s="329"/>
      <c r="BY24" s="329"/>
      <c r="BZ24" s="329"/>
      <c r="CA24" s="329"/>
      <c r="CB24" s="329"/>
      <c r="CC24" s="329"/>
      <c r="CD24" s="329"/>
      <c r="CE24" s="329"/>
      <c r="CF24" s="329"/>
      <c r="CG24" s="329"/>
      <c r="CH24" s="329"/>
      <c r="CI24" s="329"/>
      <c r="CJ24" s="329"/>
      <c r="CK24" s="329"/>
      <c r="CL24" s="329"/>
      <c r="CM24" s="329"/>
      <c r="CN24" s="329"/>
      <c r="CO24" s="329"/>
      <c r="CP24" s="329"/>
    </row>
    <row r="25" spans="1:94" s="514" customFormat="1" ht="15.95" customHeight="1" x14ac:dyDescent="0.2">
      <c r="A25" s="497" t="s">
        <v>240</v>
      </c>
      <c r="B25" s="49">
        <v>14063032</v>
      </c>
      <c r="C25" s="49">
        <v>9743592</v>
      </c>
      <c r="D25" s="49">
        <v>4376000</v>
      </c>
      <c r="E25" s="50">
        <f t="shared" si="0"/>
        <v>28182624</v>
      </c>
      <c r="F25" s="329"/>
      <c r="G25" s="353"/>
      <c r="H25" s="353"/>
      <c r="I25" s="353"/>
      <c r="J25" s="353"/>
      <c r="K25" s="353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29"/>
      <c r="AB25" s="329"/>
      <c r="AC25" s="329"/>
      <c r="AD25" s="329"/>
      <c r="AE25" s="329"/>
      <c r="AF25" s="329"/>
      <c r="AG25" s="329"/>
      <c r="AH25" s="329"/>
      <c r="AI25" s="329"/>
      <c r="AJ25" s="329"/>
      <c r="AK25" s="329"/>
      <c r="AL25" s="329"/>
      <c r="AM25" s="329"/>
      <c r="AN25" s="329"/>
      <c r="AO25" s="329"/>
      <c r="AP25" s="329"/>
      <c r="AQ25" s="329"/>
      <c r="AR25" s="329"/>
      <c r="AS25" s="329"/>
      <c r="AT25" s="329"/>
      <c r="AU25" s="329"/>
      <c r="AV25" s="329"/>
      <c r="AW25" s="329"/>
      <c r="AX25" s="329"/>
      <c r="AY25" s="329"/>
      <c r="AZ25" s="329"/>
      <c r="BA25" s="329"/>
      <c r="BB25" s="329"/>
      <c r="BC25" s="329"/>
      <c r="BD25" s="329"/>
      <c r="BE25" s="329"/>
      <c r="BF25" s="329"/>
      <c r="BG25" s="329"/>
      <c r="BH25" s="329"/>
      <c r="BI25" s="329"/>
      <c r="BJ25" s="329"/>
      <c r="BK25" s="329"/>
      <c r="BL25" s="329"/>
      <c r="BM25" s="329"/>
      <c r="BN25" s="329"/>
      <c r="BO25" s="329"/>
      <c r="BP25" s="329"/>
      <c r="BQ25" s="329"/>
      <c r="BR25" s="329"/>
      <c r="BS25" s="329"/>
      <c r="BT25" s="329"/>
      <c r="BU25" s="329"/>
      <c r="BV25" s="329"/>
      <c r="BW25" s="329"/>
      <c r="BX25" s="329"/>
      <c r="BY25" s="329"/>
      <c r="BZ25" s="329"/>
      <c r="CA25" s="329"/>
      <c r="CB25" s="329"/>
      <c r="CC25" s="329"/>
      <c r="CD25" s="329"/>
      <c r="CE25" s="329"/>
      <c r="CF25" s="329"/>
      <c r="CG25" s="329"/>
      <c r="CH25" s="329"/>
      <c r="CI25" s="329"/>
      <c r="CJ25" s="329"/>
      <c r="CK25" s="329"/>
      <c r="CL25" s="329"/>
      <c r="CM25" s="329"/>
      <c r="CN25" s="329"/>
      <c r="CO25" s="329"/>
      <c r="CP25" s="329"/>
    </row>
    <row r="26" spans="1:94" s="514" customFormat="1" ht="15.95" customHeight="1" x14ac:dyDescent="0.2">
      <c r="A26" s="497" t="s">
        <v>241</v>
      </c>
      <c r="B26" s="49">
        <v>14063032</v>
      </c>
      <c r="C26" s="49">
        <v>9743592</v>
      </c>
      <c r="D26" s="49">
        <v>4376000</v>
      </c>
      <c r="E26" s="50">
        <f t="shared" si="0"/>
        <v>28182624</v>
      </c>
      <c r="F26" s="329"/>
      <c r="G26" s="353"/>
      <c r="H26" s="353"/>
      <c r="I26" s="353"/>
      <c r="J26" s="353"/>
      <c r="K26" s="353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  <c r="AH26" s="329"/>
      <c r="AI26" s="329"/>
      <c r="AJ26" s="329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329"/>
      <c r="AV26" s="329"/>
      <c r="AW26" s="329"/>
      <c r="AX26" s="329"/>
      <c r="AY26" s="329"/>
      <c r="AZ26" s="329"/>
      <c r="BA26" s="329"/>
      <c r="BB26" s="329"/>
      <c r="BC26" s="329"/>
      <c r="BD26" s="329"/>
      <c r="BE26" s="329"/>
      <c r="BF26" s="329"/>
      <c r="BG26" s="329"/>
      <c r="BH26" s="329"/>
      <c r="BI26" s="329"/>
      <c r="BJ26" s="329"/>
      <c r="BK26" s="329"/>
      <c r="BL26" s="329"/>
      <c r="BM26" s="329"/>
      <c r="BN26" s="329"/>
      <c r="BO26" s="329"/>
      <c r="BP26" s="329"/>
      <c r="BQ26" s="329"/>
      <c r="BR26" s="329"/>
      <c r="BS26" s="329"/>
      <c r="BT26" s="329"/>
      <c r="BU26" s="329"/>
      <c r="BV26" s="329"/>
      <c r="BW26" s="329"/>
      <c r="BX26" s="329"/>
      <c r="BY26" s="329"/>
      <c r="BZ26" s="329"/>
      <c r="CA26" s="329"/>
      <c r="CB26" s="329"/>
      <c r="CC26" s="329"/>
      <c r="CD26" s="329"/>
      <c r="CE26" s="329"/>
      <c r="CF26" s="329"/>
      <c r="CG26" s="329"/>
      <c r="CH26" s="329"/>
      <c r="CI26" s="329"/>
      <c r="CJ26" s="329"/>
      <c r="CK26" s="329"/>
      <c r="CL26" s="329"/>
      <c r="CM26" s="329"/>
      <c r="CN26" s="329"/>
      <c r="CO26" s="329"/>
      <c r="CP26" s="329"/>
    </row>
    <row r="27" spans="1:94" s="514" customFormat="1" ht="15.95" customHeight="1" x14ac:dyDescent="0.2">
      <c r="A27" s="497" t="s">
        <v>242</v>
      </c>
      <c r="B27" s="49">
        <v>14063032</v>
      </c>
      <c r="C27" s="49">
        <v>9743592</v>
      </c>
      <c r="D27" s="49">
        <v>4376000</v>
      </c>
      <c r="E27" s="50">
        <f t="shared" si="0"/>
        <v>28182624</v>
      </c>
      <c r="F27" s="329"/>
      <c r="G27" s="353"/>
      <c r="H27" s="353"/>
      <c r="I27" s="353"/>
      <c r="J27" s="353"/>
      <c r="K27" s="353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29"/>
      <c r="AF27" s="329"/>
      <c r="AG27" s="329"/>
      <c r="AH27" s="329"/>
      <c r="AI27" s="329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29"/>
      <c r="AX27" s="329"/>
      <c r="AY27" s="329"/>
      <c r="AZ27" s="329"/>
      <c r="BA27" s="329"/>
      <c r="BB27" s="329"/>
      <c r="BC27" s="329"/>
      <c r="BD27" s="329"/>
      <c r="BE27" s="329"/>
      <c r="BF27" s="329"/>
      <c r="BG27" s="329"/>
      <c r="BH27" s="329"/>
      <c r="BI27" s="329"/>
      <c r="BJ27" s="329"/>
      <c r="BK27" s="329"/>
      <c r="BL27" s="329"/>
      <c r="BM27" s="329"/>
      <c r="BN27" s="329"/>
      <c r="BO27" s="329"/>
      <c r="BP27" s="329"/>
      <c r="BQ27" s="329"/>
      <c r="BR27" s="329"/>
      <c r="BS27" s="329"/>
      <c r="BT27" s="329"/>
      <c r="BU27" s="329"/>
      <c r="BV27" s="329"/>
      <c r="BW27" s="329"/>
      <c r="BX27" s="329"/>
      <c r="BY27" s="329"/>
      <c r="BZ27" s="329"/>
      <c r="CA27" s="329"/>
      <c r="CB27" s="329"/>
      <c r="CC27" s="329"/>
      <c r="CD27" s="329"/>
      <c r="CE27" s="329"/>
      <c r="CF27" s="329"/>
      <c r="CG27" s="329"/>
      <c r="CH27" s="329"/>
      <c r="CI27" s="329"/>
      <c r="CJ27" s="329"/>
      <c r="CK27" s="329"/>
      <c r="CL27" s="329"/>
      <c r="CM27" s="329"/>
      <c r="CN27" s="329"/>
      <c r="CO27" s="329"/>
      <c r="CP27" s="329"/>
    </row>
    <row r="28" spans="1:94" s="514" customFormat="1" ht="15.95" customHeight="1" x14ac:dyDescent="0.2">
      <c r="A28" s="497" t="s">
        <v>243</v>
      </c>
      <c r="B28" s="49">
        <v>14063032</v>
      </c>
      <c r="C28" s="49">
        <v>9743592</v>
      </c>
      <c r="D28" s="49">
        <v>4376000</v>
      </c>
      <c r="E28" s="50">
        <f t="shared" si="0"/>
        <v>28182624</v>
      </c>
      <c r="F28" s="329"/>
      <c r="G28" s="353"/>
      <c r="H28" s="353"/>
      <c r="I28" s="353"/>
      <c r="J28" s="353"/>
      <c r="K28" s="353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329"/>
      <c r="AJ28" s="329"/>
      <c r="AK28" s="329"/>
      <c r="AL28" s="329"/>
      <c r="AM28" s="329"/>
      <c r="AN28" s="329"/>
      <c r="AO28" s="329"/>
      <c r="AP28" s="329"/>
      <c r="AQ28" s="329"/>
      <c r="AR28" s="329"/>
      <c r="AS28" s="329"/>
      <c r="AT28" s="329"/>
      <c r="AU28" s="329"/>
      <c r="AV28" s="329"/>
      <c r="AW28" s="329"/>
      <c r="AX28" s="329"/>
      <c r="AY28" s="329"/>
      <c r="AZ28" s="329"/>
      <c r="BA28" s="329"/>
      <c r="BB28" s="329"/>
      <c r="BC28" s="329"/>
      <c r="BD28" s="329"/>
      <c r="BE28" s="329"/>
      <c r="BF28" s="329"/>
      <c r="BG28" s="329"/>
      <c r="BH28" s="329"/>
      <c r="BI28" s="329"/>
      <c r="BJ28" s="329"/>
      <c r="BK28" s="329"/>
      <c r="BL28" s="329"/>
      <c r="BM28" s="329"/>
      <c r="BN28" s="329"/>
      <c r="BO28" s="329"/>
      <c r="BP28" s="329"/>
      <c r="BQ28" s="329"/>
      <c r="BR28" s="329"/>
      <c r="BS28" s="329"/>
      <c r="BT28" s="329"/>
      <c r="BU28" s="329"/>
      <c r="BV28" s="329"/>
      <c r="BW28" s="329"/>
      <c r="BX28" s="329"/>
      <c r="BY28" s="329"/>
      <c r="BZ28" s="329"/>
      <c r="CA28" s="329"/>
      <c r="CB28" s="329"/>
      <c r="CC28" s="329"/>
      <c r="CD28" s="329"/>
      <c r="CE28" s="329"/>
      <c r="CF28" s="329"/>
      <c r="CG28" s="329"/>
      <c r="CH28" s="329"/>
      <c r="CI28" s="329"/>
      <c r="CJ28" s="329"/>
      <c r="CK28" s="329"/>
      <c r="CL28" s="329"/>
      <c r="CM28" s="329"/>
      <c r="CN28" s="329"/>
      <c r="CO28" s="329"/>
      <c r="CP28" s="329"/>
    </row>
    <row r="29" spans="1:94" s="514" customFormat="1" ht="15.95" customHeight="1" x14ac:dyDescent="0.2">
      <c r="A29" s="497" t="s">
        <v>244</v>
      </c>
      <c r="B29" s="49">
        <v>14063032</v>
      </c>
      <c r="C29" s="49">
        <v>9743592</v>
      </c>
      <c r="D29" s="49">
        <v>4376000</v>
      </c>
      <c r="E29" s="50">
        <f t="shared" si="0"/>
        <v>28182624</v>
      </c>
      <c r="F29" s="329"/>
      <c r="G29" s="353"/>
      <c r="H29" s="353"/>
      <c r="I29" s="353"/>
      <c r="J29" s="353"/>
      <c r="K29" s="353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  <c r="AG29" s="329"/>
      <c r="AH29" s="329"/>
      <c r="AI29" s="329"/>
      <c r="AJ29" s="329"/>
      <c r="AK29" s="329"/>
      <c r="AL29" s="329"/>
      <c r="AM29" s="329"/>
      <c r="AN29" s="329"/>
      <c r="AO29" s="329"/>
      <c r="AP29" s="329"/>
      <c r="AQ29" s="329"/>
      <c r="AR29" s="329"/>
      <c r="AS29" s="329"/>
      <c r="AT29" s="329"/>
      <c r="AU29" s="329"/>
      <c r="AV29" s="329"/>
      <c r="AW29" s="329"/>
      <c r="AX29" s="329"/>
      <c r="AY29" s="329"/>
      <c r="AZ29" s="329"/>
      <c r="BA29" s="329"/>
      <c r="BB29" s="329"/>
      <c r="BC29" s="329"/>
      <c r="BD29" s="329"/>
      <c r="BE29" s="329"/>
      <c r="BF29" s="329"/>
      <c r="BG29" s="329"/>
      <c r="BH29" s="329"/>
      <c r="BI29" s="329"/>
      <c r="BJ29" s="329"/>
      <c r="BK29" s="329"/>
      <c r="BL29" s="329"/>
      <c r="BM29" s="329"/>
      <c r="BN29" s="329"/>
      <c r="BO29" s="329"/>
      <c r="BP29" s="329"/>
      <c r="BQ29" s="329"/>
      <c r="BR29" s="329"/>
      <c r="BS29" s="329"/>
      <c r="BT29" s="329"/>
      <c r="BU29" s="329"/>
      <c r="BV29" s="329"/>
      <c r="BW29" s="329"/>
      <c r="BX29" s="329"/>
      <c r="BY29" s="329"/>
      <c r="BZ29" s="329"/>
      <c r="CA29" s="329"/>
      <c r="CB29" s="329"/>
      <c r="CC29" s="329"/>
      <c r="CD29" s="329"/>
      <c r="CE29" s="329"/>
      <c r="CF29" s="329"/>
      <c r="CG29" s="329"/>
      <c r="CH29" s="329"/>
      <c r="CI29" s="329"/>
      <c r="CJ29" s="329"/>
      <c r="CK29" s="329"/>
      <c r="CL29" s="329"/>
      <c r="CM29" s="329"/>
      <c r="CN29" s="329"/>
      <c r="CO29" s="329"/>
      <c r="CP29" s="329"/>
    </row>
    <row r="30" spans="1:94" s="514" customFormat="1" ht="15.95" customHeight="1" x14ac:dyDescent="0.2">
      <c r="A30" s="497" t="s">
        <v>245</v>
      </c>
      <c r="B30" s="49">
        <v>14063032</v>
      </c>
      <c r="C30" s="49">
        <v>9743592</v>
      </c>
      <c r="D30" s="49">
        <v>4376000</v>
      </c>
      <c r="E30" s="50">
        <f t="shared" si="0"/>
        <v>28182624</v>
      </c>
      <c r="F30" s="329"/>
      <c r="G30" s="353"/>
      <c r="H30" s="353"/>
      <c r="I30" s="353"/>
      <c r="J30" s="353"/>
      <c r="K30" s="353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329"/>
      <c r="AJ30" s="329"/>
      <c r="AK30" s="329"/>
      <c r="AL30" s="329"/>
      <c r="AM30" s="329"/>
      <c r="AN30" s="329"/>
      <c r="AO30" s="329"/>
      <c r="AP30" s="329"/>
      <c r="AQ30" s="329"/>
      <c r="AR30" s="329"/>
      <c r="AS30" s="329"/>
      <c r="AT30" s="329"/>
      <c r="AU30" s="329"/>
      <c r="AV30" s="329"/>
      <c r="AW30" s="329"/>
      <c r="AX30" s="329"/>
      <c r="AY30" s="329"/>
      <c r="AZ30" s="329"/>
      <c r="BA30" s="329"/>
      <c r="BB30" s="329"/>
      <c r="BC30" s="329"/>
      <c r="BD30" s="329"/>
      <c r="BE30" s="329"/>
      <c r="BF30" s="329"/>
      <c r="BG30" s="329"/>
      <c r="BH30" s="329"/>
      <c r="BI30" s="329"/>
      <c r="BJ30" s="329"/>
      <c r="BK30" s="329"/>
      <c r="BL30" s="329"/>
      <c r="BM30" s="329"/>
      <c r="BN30" s="329"/>
      <c r="BO30" s="329"/>
      <c r="BP30" s="329"/>
      <c r="BQ30" s="329"/>
      <c r="BR30" s="329"/>
      <c r="BS30" s="329"/>
      <c r="BT30" s="329"/>
      <c r="BU30" s="329"/>
      <c r="BV30" s="329"/>
      <c r="BW30" s="329"/>
      <c r="BX30" s="329"/>
      <c r="BY30" s="329"/>
      <c r="BZ30" s="329"/>
      <c r="CA30" s="329"/>
      <c r="CB30" s="329"/>
      <c r="CC30" s="329"/>
      <c r="CD30" s="329"/>
      <c r="CE30" s="329"/>
      <c r="CF30" s="329"/>
      <c r="CG30" s="329"/>
      <c r="CH30" s="329"/>
      <c r="CI30" s="329"/>
      <c r="CJ30" s="329"/>
      <c r="CK30" s="329"/>
      <c r="CL30" s="329"/>
      <c r="CM30" s="329"/>
      <c r="CN30" s="329"/>
      <c r="CO30" s="329"/>
      <c r="CP30" s="329"/>
    </row>
    <row r="31" spans="1:94" s="514" customFormat="1" ht="15.95" customHeight="1" x14ac:dyDescent="0.2">
      <c r="A31" s="497" t="s">
        <v>246</v>
      </c>
      <c r="B31" s="49">
        <v>14063032</v>
      </c>
      <c r="C31" s="49">
        <v>9743592</v>
      </c>
      <c r="D31" s="49">
        <v>4376000</v>
      </c>
      <c r="E31" s="50">
        <f t="shared" si="0"/>
        <v>28182624</v>
      </c>
      <c r="F31" s="329"/>
      <c r="G31" s="353"/>
      <c r="H31" s="353"/>
      <c r="I31" s="353"/>
      <c r="J31" s="353"/>
      <c r="K31" s="353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329"/>
      <c r="AK31" s="329"/>
      <c r="AL31" s="329"/>
      <c r="AM31" s="329"/>
      <c r="AN31" s="329"/>
      <c r="AO31" s="329"/>
      <c r="AP31" s="329"/>
      <c r="AQ31" s="329"/>
      <c r="AR31" s="329"/>
      <c r="AS31" s="329"/>
      <c r="AT31" s="329"/>
      <c r="AU31" s="329"/>
      <c r="AV31" s="329"/>
      <c r="AW31" s="329"/>
      <c r="AX31" s="329"/>
      <c r="AY31" s="329"/>
      <c r="AZ31" s="329"/>
      <c r="BA31" s="329"/>
      <c r="BB31" s="329"/>
      <c r="BC31" s="329"/>
      <c r="BD31" s="329"/>
      <c r="BE31" s="329"/>
      <c r="BF31" s="329"/>
      <c r="BG31" s="329"/>
      <c r="BH31" s="329"/>
      <c r="BI31" s="329"/>
      <c r="BJ31" s="329"/>
      <c r="BK31" s="329"/>
      <c r="BL31" s="329"/>
      <c r="BM31" s="329"/>
      <c r="BN31" s="329"/>
      <c r="BO31" s="329"/>
      <c r="BP31" s="329"/>
      <c r="BQ31" s="329"/>
      <c r="BR31" s="329"/>
      <c r="BS31" s="329"/>
      <c r="BT31" s="329"/>
      <c r="BU31" s="329"/>
      <c r="BV31" s="329"/>
      <c r="BW31" s="329"/>
      <c r="BX31" s="329"/>
      <c r="BY31" s="329"/>
      <c r="BZ31" s="329"/>
      <c r="CA31" s="329"/>
      <c r="CB31" s="329"/>
      <c r="CC31" s="329"/>
      <c r="CD31" s="329"/>
      <c r="CE31" s="329"/>
      <c r="CF31" s="329"/>
      <c r="CG31" s="329"/>
      <c r="CH31" s="329"/>
      <c r="CI31" s="329"/>
      <c r="CJ31" s="329"/>
      <c r="CK31" s="329"/>
      <c r="CL31" s="329"/>
      <c r="CM31" s="329"/>
      <c r="CN31" s="329"/>
      <c r="CO31" s="329"/>
      <c r="CP31" s="329"/>
    </row>
    <row r="32" spans="1:94" s="514" customFormat="1" ht="15.95" customHeight="1" x14ac:dyDescent="0.2">
      <c r="A32" s="497" t="s">
        <v>247</v>
      </c>
      <c r="B32" s="49">
        <v>14063032</v>
      </c>
      <c r="C32" s="49">
        <v>9743592</v>
      </c>
      <c r="D32" s="49">
        <v>4376000</v>
      </c>
      <c r="E32" s="50">
        <f t="shared" si="0"/>
        <v>28182624</v>
      </c>
      <c r="F32" s="329"/>
      <c r="G32" s="353"/>
      <c r="H32" s="353"/>
      <c r="I32" s="353"/>
      <c r="J32" s="353"/>
      <c r="K32" s="353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29"/>
      <c r="AJ32" s="329"/>
      <c r="AK32" s="329"/>
      <c r="AL32" s="329"/>
      <c r="AM32" s="329"/>
      <c r="AN32" s="329"/>
      <c r="AO32" s="329"/>
      <c r="AP32" s="329"/>
      <c r="AQ32" s="329"/>
      <c r="AR32" s="329"/>
      <c r="AS32" s="329"/>
      <c r="AT32" s="329"/>
      <c r="AU32" s="329"/>
      <c r="AV32" s="329"/>
      <c r="AW32" s="329"/>
      <c r="AX32" s="329"/>
      <c r="AY32" s="329"/>
      <c r="AZ32" s="329"/>
      <c r="BA32" s="329"/>
      <c r="BB32" s="329"/>
      <c r="BC32" s="329"/>
      <c r="BD32" s="329"/>
      <c r="BE32" s="329"/>
      <c r="BF32" s="329"/>
      <c r="BG32" s="329"/>
      <c r="BH32" s="329"/>
      <c r="BI32" s="329"/>
      <c r="BJ32" s="329"/>
      <c r="BK32" s="329"/>
      <c r="BL32" s="329"/>
      <c r="BM32" s="329"/>
      <c r="BN32" s="329"/>
      <c r="BO32" s="329"/>
      <c r="BP32" s="329"/>
      <c r="BQ32" s="329"/>
      <c r="BR32" s="329"/>
      <c r="BS32" s="329"/>
      <c r="BT32" s="329"/>
      <c r="BU32" s="329"/>
      <c r="BV32" s="329"/>
      <c r="BW32" s="329"/>
      <c r="BX32" s="329"/>
      <c r="BY32" s="329"/>
      <c r="BZ32" s="329"/>
      <c r="CA32" s="329"/>
      <c r="CB32" s="329"/>
      <c r="CC32" s="329"/>
      <c r="CD32" s="329"/>
      <c r="CE32" s="329"/>
      <c r="CF32" s="329"/>
      <c r="CG32" s="329"/>
      <c r="CH32" s="329"/>
      <c r="CI32" s="329"/>
      <c r="CJ32" s="329"/>
      <c r="CK32" s="329"/>
      <c r="CL32" s="329"/>
      <c r="CM32" s="329"/>
      <c r="CN32" s="329"/>
      <c r="CO32" s="329"/>
      <c r="CP32" s="329"/>
    </row>
    <row r="33" spans="1:94" s="514" customFormat="1" ht="15.95" customHeight="1" x14ac:dyDescent="0.2">
      <c r="A33" s="497" t="s">
        <v>248</v>
      </c>
      <c r="B33" s="49">
        <v>14063032</v>
      </c>
      <c r="C33" s="49">
        <v>9743592</v>
      </c>
      <c r="D33" s="49">
        <v>4376000</v>
      </c>
      <c r="E33" s="50">
        <f t="shared" si="0"/>
        <v>28182624</v>
      </c>
      <c r="F33" s="329"/>
      <c r="G33" s="353"/>
      <c r="H33" s="353"/>
      <c r="I33" s="353"/>
      <c r="J33" s="353"/>
      <c r="K33" s="353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  <c r="W33" s="329"/>
      <c r="X33" s="329"/>
      <c r="Y33" s="329"/>
      <c r="Z33" s="329"/>
      <c r="AA33" s="329"/>
      <c r="AB33" s="329"/>
      <c r="AC33" s="329"/>
      <c r="AD33" s="329"/>
      <c r="AE33" s="329"/>
      <c r="AF33" s="329"/>
      <c r="AG33" s="329"/>
      <c r="AH33" s="329"/>
      <c r="AI33" s="329"/>
      <c r="AJ33" s="329"/>
      <c r="AK33" s="329"/>
      <c r="AL33" s="329"/>
      <c r="AM33" s="329"/>
      <c r="AN33" s="329"/>
      <c r="AO33" s="329"/>
      <c r="AP33" s="329"/>
      <c r="AQ33" s="329"/>
      <c r="AR33" s="329"/>
      <c r="AS33" s="329"/>
      <c r="AT33" s="329"/>
      <c r="AU33" s="329"/>
      <c r="AV33" s="329"/>
      <c r="AW33" s="329"/>
      <c r="AX33" s="329"/>
      <c r="AY33" s="329"/>
      <c r="AZ33" s="329"/>
      <c r="BA33" s="329"/>
      <c r="BB33" s="329"/>
      <c r="BC33" s="329"/>
      <c r="BD33" s="329"/>
      <c r="BE33" s="329"/>
      <c r="BF33" s="329"/>
      <c r="BG33" s="329"/>
      <c r="BH33" s="329"/>
      <c r="BI33" s="329"/>
      <c r="BJ33" s="329"/>
      <c r="BK33" s="329"/>
      <c r="BL33" s="329"/>
      <c r="BM33" s="329"/>
      <c r="BN33" s="329"/>
      <c r="BO33" s="329"/>
      <c r="BP33" s="329"/>
      <c r="BQ33" s="329"/>
      <c r="BR33" s="329"/>
      <c r="BS33" s="329"/>
      <c r="BT33" s="329"/>
      <c r="BU33" s="329"/>
      <c r="BV33" s="329"/>
      <c r="BW33" s="329"/>
      <c r="BX33" s="329"/>
      <c r="BY33" s="329"/>
      <c r="BZ33" s="329"/>
      <c r="CA33" s="329"/>
      <c r="CB33" s="329"/>
      <c r="CC33" s="329"/>
      <c r="CD33" s="329"/>
      <c r="CE33" s="329"/>
      <c r="CF33" s="329"/>
      <c r="CG33" s="329"/>
      <c r="CH33" s="329"/>
      <c r="CI33" s="329"/>
      <c r="CJ33" s="329"/>
      <c r="CK33" s="329"/>
      <c r="CL33" s="329"/>
      <c r="CM33" s="329"/>
      <c r="CN33" s="329"/>
      <c r="CO33" s="329"/>
      <c r="CP33" s="329"/>
    </row>
    <row r="34" spans="1:94" s="514" customFormat="1" ht="15.95" customHeight="1" x14ac:dyDescent="0.2">
      <c r="A34" s="497" t="s">
        <v>249</v>
      </c>
      <c r="B34" s="49">
        <v>14063032</v>
      </c>
      <c r="C34" s="49">
        <v>9743592</v>
      </c>
      <c r="D34" s="49">
        <v>4376000</v>
      </c>
      <c r="E34" s="50">
        <f t="shared" si="0"/>
        <v>28182624</v>
      </c>
      <c r="F34" s="329"/>
      <c r="G34" s="353"/>
      <c r="H34" s="353"/>
      <c r="I34" s="353"/>
      <c r="J34" s="353"/>
      <c r="K34" s="353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329"/>
      <c r="AK34" s="329"/>
      <c r="AL34" s="329"/>
      <c r="AM34" s="329"/>
      <c r="AN34" s="329"/>
      <c r="AO34" s="329"/>
      <c r="AP34" s="329"/>
      <c r="AQ34" s="329"/>
      <c r="AR34" s="329"/>
      <c r="AS34" s="329"/>
      <c r="AT34" s="329"/>
      <c r="AU34" s="329"/>
      <c r="AV34" s="329"/>
      <c r="AW34" s="329"/>
      <c r="AX34" s="329"/>
      <c r="AY34" s="329"/>
      <c r="AZ34" s="329"/>
      <c r="BA34" s="329"/>
      <c r="BB34" s="329"/>
      <c r="BC34" s="329"/>
      <c r="BD34" s="329"/>
      <c r="BE34" s="329"/>
      <c r="BF34" s="329"/>
      <c r="BG34" s="329"/>
      <c r="BH34" s="329"/>
      <c r="BI34" s="329"/>
      <c r="BJ34" s="329"/>
      <c r="BK34" s="329"/>
      <c r="BL34" s="329"/>
      <c r="BM34" s="329"/>
      <c r="BN34" s="329"/>
      <c r="BO34" s="329"/>
      <c r="BP34" s="329"/>
      <c r="BQ34" s="329"/>
      <c r="BR34" s="329"/>
      <c r="BS34" s="329"/>
      <c r="BT34" s="329"/>
      <c r="BU34" s="329"/>
      <c r="BV34" s="329"/>
      <c r="BW34" s="329"/>
      <c r="BX34" s="329"/>
      <c r="BY34" s="329"/>
      <c r="BZ34" s="329"/>
      <c r="CA34" s="329"/>
      <c r="CB34" s="329"/>
      <c r="CC34" s="329"/>
      <c r="CD34" s="329"/>
      <c r="CE34" s="329"/>
      <c r="CF34" s="329"/>
      <c r="CG34" s="329"/>
      <c r="CH34" s="329"/>
      <c r="CI34" s="329"/>
      <c r="CJ34" s="329"/>
      <c r="CK34" s="329"/>
      <c r="CL34" s="329"/>
      <c r="CM34" s="329"/>
      <c r="CN34" s="329"/>
      <c r="CO34" s="329"/>
      <c r="CP34" s="329"/>
    </row>
    <row r="35" spans="1:94" s="514" customFormat="1" ht="15.95" customHeight="1" x14ac:dyDescent="0.2">
      <c r="A35" s="497" t="s">
        <v>250</v>
      </c>
      <c r="B35" s="49">
        <v>14063032</v>
      </c>
      <c r="C35" s="49">
        <v>9743592</v>
      </c>
      <c r="D35" s="49">
        <v>4376000</v>
      </c>
      <c r="E35" s="50">
        <f t="shared" si="0"/>
        <v>28182624</v>
      </c>
      <c r="F35" s="329"/>
      <c r="G35" s="353"/>
      <c r="H35" s="353"/>
      <c r="I35" s="353"/>
      <c r="J35" s="353"/>
      <c r="K35" s="353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  <c r="AG35" s="329"/>
      <c r="AH35" s="329"/>
      <c r="AI35" s="329"/>
      <c r="AJ35" s="329"/>
      <c r="AK35" s="329"/>
      <c r="AL35" s="329"/>
      <c r="AM35" s="329"/>
      <c r="AN35" s="329"/>
      <c r="AO35" s="329"/>
      <c r="AP35" s="329"/>
      <c r="AQ35" s="329"/>
      <c r="AR35" s="329"/>
      <c r="AS35" s="329"/>
      <c r="AT35" s="329"/>
      <c r="AU35" s="329"/>
      <c r="AV35" s="329"/>
      <c r="AW35" s="329"/>
      <c r="AX35" s="329"/>
      <c r="AY35" s="329"/>
      <c r="AZ35" s="329"/>
      <c r="BA35" s="329"/>
      <c r="BB35" s="329"/>
      <c r="BC35" s="329"/>
      <c r="BD35" s="329"/>
      <c r="BE35" s="329"/>
      <c r="BF35" s="329"/>
      <c r="BG35" s="329"/>
      <c r="BH35" s="329"/>
      <c r="BI35" s="329"/>
      <c r="BJ35" s="329"/>
      <c r="BK35" s="329"/>
      <c r="BL35" s="329"/>
      <c r="BM35" s="329"/>
      <c r="BN35" s="329"/>
      <c r="BO35" s="329"/>
      <c r="BP35" s="329"/>
      <c r="BQ35" s="329"/>
      <c r="BR35" s="329"/>
      <c r="BS35" s="329"/>
      <c r="BT35" s="329"/>
      <c r="BU35" s="329"/>
      <c r="BV35" s="329"/>
      <c r="BW35" s="329"/>
      <c r="BX35" s="329"/>
      <c r="BY35" s="329"/>
      <c r="BZ35" s="329"/>
      <c r="CA35" s="329"/>
      <c r="CB35" s="329"/>
      <c r="CC35" s="329"/>
      <c r="CD35" s="329"/>
      <c r="CE35" s="329"/>
      <c r="CF35" s="329"/>
      <c r="CG35" s="329"/>
      <c r="CH35" s="329"/>
      <c r="CI35" s="329"/>
      <c r="CJ35" s="329"/>
      <c r="CK35" s="329"/>
      <c r="CL35" s="329"/>
      <c r="CM35" s="329"/>
      <c r="CN35" s="329"/>
      <c r="CO35" s="329"/>
      <c r="CP35" s="329"/>
    </row>
    <row r="36" spans="1:94" s="514" customFormat="1" ht="15.95" customHeight="1" x14ac:dyDescent="0.2">
      <c r="A36" s="497" t="s">
        <v>251</v>
      </c>
      <c r="B36" s="49">
        <v>14063032</v>
      </c>
      <c r="C36" s="49">
        <v>9743592</v>
      </c>
      <c r="D36" s="49">
        <v>4376000</v>
      </c>
      <c r="E36" s="50">
        <f t="shared" si="0"/>
        <v>28182624</v>
      </c>
      <c r="F36" s="329"/>
      <c r="G36" s="353"/>
      <c r="H36" s="353"/>
      <c r="I36" s="353"/>
      <c r="J36" s="353"/>
      <c r="K36" s="353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29"/>
      <c r="AE36" s="329"/>
      <c r="AF36" s="329"/>
      <c r="AG36" s="329"/>
      <c r="AH36" s="329"/>
      <c r="AI36" s="329"/>
      <c r="AJ36" s="329"/>
      <c r="AK36" s="329"/>
      <c r="AL36" s="329"/>
      <c r="AM36" s="329"/>
      <c r="AN36" s="329"/>
      <c r="AO36" s="329"/>
      <c r="AP36" s="329"/>
      <c r="AQ36" s="329"/>
      <c r="AR36" s="329"/>
      <c r="AS36" s="329"/>
      <c r="AT36" s="329"/>
      <c r="AU36" s="329"/>
      <c r="AV36" s="329"/>
      <c r="AW36" s="329"/>
      <c r="AX36" s="329"/>
      <c r="AY36" s="329"/>
      <c r="AZ36" s="329"/>
      <c r="BA36" s="329"/>
      <c r="BB36" s="329"/>
      <c r="BC36" s="329"/>
      <c r="BD36" s="329"/>
      <c r="BE36" s="329"/>
      <c r="BF36" s="329"/>
      <c r="BG36" s="329"/>
      <c r="BH36" s="329"/>
      <c r="BI36" s="329"/>
      <c r="BJ36" s="329"/>
      <c r="BK36" s="329"/>
      <c r="BL36" s="329"/>
      <c r="BM36" s="329"/>
      <c r="BN36" s="329"/>
      <c r="BO36" s="329"/>
      <c r="BP36" s="329"/>
      <c r="BQ36" s="329"/>
      <c r="BR36" s="329"/>
      <c r="BS36" s="329"/>
      <c r="BT36" s="329"/>
      <c r="BU36" s="329"/>
      <c r="BV36" s="329"/>
      <c r="BW36" s="329"/>
      <c r="BX36" s="329"/>
      <c r="BY36" s="329"/>
      <c r="BZ36" s="329"/>
      <c r="CA36" s="329"/>
      <c r="CB36" s="329"/>
      <c r="CC36" s="329"/>
      <c r="CD36" s="329"/>
      <c r="CE36" s="329"/>
      <c r="CF36" s="329"/>
      <c r="CG36" s="329"/>
      <c r="CH36" s="329"/>
      <c r="CI36" s="329"/>
      <c r="CJ36" s="329"/>
      <c r="CK36" s="329"/>
      <c r="CL36" s="329"/>
      <c r="CM36" s="329"/>
      <c r="CN36" s="329"/>
      <c r="CO36" s="329"/>
      <c r="CP36" s="329"/>
    </row>
    <row r="37" spans="1:94" s="514" customFormat="1" ht="15.95" customHeight="1" x14ac:dyDescent="0.2">
      <c r="A37" s="497" t="s">
        <v>252</v>
      </c>
      <c r="B37" s="49">
        <v>14063032</v>
      </c>
      <c r="C37" s="49">
        <v>9743592</v>
      </c>
      <c r="D37" s="49">
        <v>4376000</v>
      </c>
      <c r="E37" s="50">
        <f t="shared" si="0"/>
        <v>28182624</v>
      </c>
      <c r="F37" s="329"/>
      <c r="G37" s="353"/>
      <c r="H37" s="353"/>
      <c r="I37" s="353"/>
      <c r="J37" s="353"/>
      <c r="K37" s="353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329"/>
      <c r="AK37" s="329"/>
      <c r="AL37" s="329"/>
      <c r="AM37" s="329"/>
      <c r="AN37" s="329"/>
      <c r="AO37" s="329"/>
      <c r="AP37" s="329"/>
      <c r="AQ37" s="329"/>
      <c r="AR37" s="329"/>
      <c r="AS37" s="329"/>
      <c r="AT37" s="329"/>
      <c r="AU37" s="329"/>
      <c r="AV37" s="329"/>
      <c r="AW37" s="329"/>
      <c r="AX37" s="329"/>
      <c r="AY37" s="329"/>
      <c r="AZ37" s="329"/>
      <c r="BA37" s="329"/>
      <c r="BB37" s="329"/>
      <c r="BC37" s="329"/>
      <c r="BD37" s="329"/>
      <c r="BE37" s="329"/>
      <c r="BF37" s="329"/>
      <c r="BG37" s="329"/>
      <c r="BH37" s="329"/>
      <c r="BI37" s="329"/>
      <c r="BJ37" s="329"/>
      <c r="BK37" s="329"/>
      <c r="BL37" s="329"/>
      <c r="BM37" s="329"/>
      <c r="BN37" s="329"/>
      <c r="BO37" s="329"/>
      <c r="BP37" s="329"/>
      <c r="BQ37" s="329"/>
      <c r="BR37" s="329"/>
      <c r="BS37" s="329"/>
      <c r="BT37" s="329"/>
      <c r="BU37" s="329"/>
      <c r="BV37" s="329"/>
      <c r="BW37" s="329"/>
      <c r="BX37" s="329"/>
      <c r="BY37" s="329"/>
      <c r="BZ37" s="329"/>
      <c r="CA37" s="329"/>
      <c r="CB37" s="329"/>
      <c r="CC37" s="329"/>
      <c r="CD37" s="329"/>
      <c r="CE37" s="329"/>
      <c r="CF37" s="329"/>
      <c r="CG37" s="329"/>
      <c r="CH37" s="329"/>
      <c r="CI37" s="329"/>
      <c r="CJ37" s="329"/>
      <c r="CK37" s="329"/>
      <c r="CL37" s="329"/>
      <c r="CM37" s="329"/>
      <c r="CN37" s="329"/>
      <c r="CO37" s="329"/>
      <c r="CP37" s="329"/>
    </row>
    <row r="38" spans="1:94" s="514" customFormat="1" ht="15.95" customHeight="1" x14ac:dyDescent="0.2">
      <c r="A38" s="497" t="s">
        <v>253</v>
      </c>
      <c r="B38" s="49">
        <v>14063032</v>
      </c>
      <c r="C38" s="49">
        <v>9743592</v>
      </c>
      <c r="D38" s="49">
        <v>4376000</v>
      </c>
      <c r="E38" s="50">
        <f t="shared" si="0"/>
        <v>28182624</v>
      </c>
      <c r="F38" s="329"/>
      <c r="G38" s="353"/>
      <c r="H38" s="353"/>
      <c r="I38" s="353"/>
      <c r="J38" s="353"/>
      <c r="K38" s="353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29"/>
      <c r="AJ38" s="329"/>
      <c r="AK38" s="329"/>
      <c r="AL38" s="329"/>
      <c r="AM38" s="329"/>
      <c r="AN38" s="329"/>
      <c r="AO38" s="329"/>
      <c r="AP38" s="329"/>
      <c r="AQ38" s="329"/>
      <c r="AR38" s="329"/>
      <c r="AS38" s="329"/>
      <c r="AT38" s="329"/>
      <c r="AU38" s="329"/>
      <c r="AV38" s="329"/>
      <c r="AW38" s="329"/>
      <c r="AX38" s="329"/>
      <c r="AY38" s="329"/>
      <c r="AZ38" s="329"/>
      <c r="BA38" s="329"/>
      <c r="BB38" s="329"/>
      <c r="BC38" s="329"/>
      <c r="BD38" s="329"/>
      <c r="BE38" s="329"/>
      <c r="BF38" s="329"/>
      <c r="BG38" s="329"/>
      <c r="BH38" s="329"/>
      <c r="BI38" s="329"/>
      <c r="BJ38" s="329"/>
      <c r="BK38" s="329"/>
      <c r="BL38" s="329"/>
      <c r="BM38" s="329"/>
      <c r="BN38" s="329"/>
      <c r="BO38" s="329"/>
      <c r="BP38" s="329"/>
      <c r="BQ38" s="329"/>
      <c r="BR38" s="329"/>
      <c r="BS38" s="329"/>
      <c r="BT38" s="329"/>
      <c r="BU38" s="329"/>
      <c r="BV38" s="329"/>
      <c r="BW38" s="329"/>
      <c r="BX38" s="329"/>
      <c r="BY38" s="329"/>
      <c r="BZ38" s="329"/>
      <c r="CA38" s="329"/>
      <c r="CB38" s="329"/>
      <c r="CC38" s="329"/>
      <c r="CD38" s="329"/>
      <c r="CE38" s="329"/>
      <c r="CF38" s="329"/>
      <c r="CG38" s="329"/>
      <c r="CH38" s="329"/>
      <c r="CI38" s="329"/>
      <c r="CJ38" s="329"/>
      <c r="CK38" s="329"/>
      <c r="CL38" s="329"/>
      <c r="CM38" s="329"/>
      <c r="CN38" s="329"/>
      <c r="CO38" s="329"/>
      <c r="CP38" s="329"/>
    </row>
    <row r="39" spans="1:94" s="514" customFormat="1" ht="15.95" customHeight="1" x14ac:dyDescent="0.2">
      <c r="A39" s="497" t="s">
        <v>254</v>
      </c>
      <c r="B39" s="49">
        <v>14063032</v>
      </c>
      <c r="C39" s="49">
        <v>9743592</v>
      </c>
      <c r="D39" s="49">
        <v>4376000</v>
      </c>
      <c r="E39" s="50">
        <f t="shared" si="0"/>
        <v>28182624</v>
      </c>
      <c r="F39" s="329"/>
      <c r="G39" s="353"/>
      <c r="H39" s="353"/>
      <c r="I39" s="353"/>
      <c r="J39" s="353"/>
      <c r="K39" s="353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29"/>
      <c r="AK39" s="329"/>
      <c r="AL39" s="329"/>
      <c r="AM39" s="329"/>
      <c r="AN39" s="329"/>
      <c r="AO39" s="329"/>
      <c r="AP39" s="329"/>
      <c r="AQ39" s="329"/>
      <c r="AR39" s="329"/>
      <c r="AS39" s="329"/>
      <c r="AT39" s="329"/>
      <c r="AU39" s="329"/>
      <c r="AV39" s="329"/>
      <c r="AW39" s="329"/>
      <c r="AX39" s="329"/>
      <c r="AY39" s="329"/>
      <c r="AZ39" s="329"/>
      <c r="BA39" s="329"/>
      <c r="BB39" s="329"/>
      <c r="BC39" s="329"/>
      <c r="BD39" s="329"/>
      <c r="BE39" s="329"/>
      <c r="BF39" s="329"/>
      <c r="BG39" s="329"/>
      <c r="BH39" s="329"/>
      <c r="BI39" s="329"/>
      <c r="BJ39" s="329"/>
      <c r="BK39" s="329"/>
      <c r="BL39" s="329"/>
      <c r="BM39" s="329"/>
      <c r="BN39" s="329"/>
      <c r="BO39" s="329"/>
      <c r="BP39" s="329"/>
      <c r="BQ39" s="329"/>
      <c r="BR39" s="329"/>
      <c r="BS39" s="329"/>
      <c r="BT39" s="329"/>
      <c r="BU39" s="329"/>
      <c r="BV39" s="329"/>
      <c r="BW39" s="329"/>
      <c r="BX39" s="329"/>
      <c r="BY39" s="329"/>
      <c r="BZ39" s="329"/>
      <c r="CA39" s="329"/>
      <c r="CB39" s="329"/>
      <c r="CC39" s="329"/>
      <c r="CD39" s="329"/>
      <c r="CE39" s="329"/>
      <c r="CF39" s="329"/>
      <c r="CG39" s="329"/>
      <c r="CH39" s="329"/>
      <c r="CI39" s="329"/>
      <c r="CJ39" s="329"/>
      <c r="CK39" s="329"/>
      <c r="CL39" s="329"/>
      <c r="CM39" s="329"/>
      <c r="CN39" s="329"/>
      <c r="CO39" s="329"/>
      <c r="CP39" s="329"/>
    </row>
    <row r="40" spans="1:94" s="514" customFormat="1" ht="15.95" customHeight="1" x14ac:dyDescent="0.2">
      <c r="A40" s="497" t="s">
        <v>255</v>
      </c>
      <c r="B40" s="49">
        <v>14063032</v>
      </c>
      <c r="C40" s="49">
        <v>9743592</v>
      </c>
      <c r="D40" s="49">
        <v>4376000</v>
      </c>
      <c r="E40" s="50">
        <f t="shared" si="0"/>
        <v>28182624</v>
      </c>
      <c r="F40" s="329"/>
      <c r="G40" s="353"/>
      <c r="H40" s="353"/>
      <c r="I40" s="353"/>
      <c r="J40" s="353"/>
      <c r="K40" s="353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9"/>
      <c r="AM40" s="329"/>
      <c r="AN40" s="329"/>
      <c r="AO40" s="329"/>
      <c r="AP40" s="329"/>
      <c r="AQ40" s="329"/>
      <c r="AR40" s="329"/>
      <c r="AS40" s="329"/>
      <c r="AT40" s="329"/>
      <c r="AU40" s="329"/>
      <c r="AV40" s="329"/>
      <c r="AW40" s="329"/>
      <c r="AX40" s="329"/>
      <c r="AY40" s="329"/>
      <c r="AZ40" s="329"/>
      <c r="BA40" s="329"/>
      <c r="BB40" s="329"/>
      <c r="BC40" s="329"/>
      <c r="BD40" s="329"/>
      <c r="BE40" s="329"/>
      <c r="BF40" s="329"/>
      <c r="BG40" s="329"/>
      <c r="BH40" s="329"/>
      <c r="BI40" s="329"/>
      <c r="BJ40" s="329"/>
      <c r="BK40" s="329"/>
      <c r="BL40" s="329"/>
      <c r="BM40" s="329"/>
      <c r="BN40" s="329"/>
      <c r="BO40" s="329"/>
      <c r="BP40" s="329"/>
      <c r="BQ40" s="329"/>
      <c r="BR40" s="329"/>
      <c r="BS40" s="329"/>
      <c r="BT40" s="329"/>
      <c r="BU40" s="329"/>
      <c r="BV40" s="329"/>
      <c r="BW40" s="329"/>
      <c r="BX40" s="329"/>
      <c r="BY40" s="329"/>
      <c r="BZ40" s="329"/>
      <c r="CA40" s="329"/>
      <c r="CB40" s="329"/>
      <c r="CC40" s="329"/>
      <c r="CD40" s="329"/>
      <c r="CE40" s="329"/>
      <c r="CF40" s="329"/>
      <c r="CG40" s="329"/>
      <c r="CH40" s="329"/>
      <c r="CI40" s="329"/>
      <c r="CJ40" s="329"/>
      <c r="CK40" s="329"/>
      <c r="CL40" s="329"/>
      <c r="CM40" s="329"/>
      <c r="CN40" s="329"/>
      <c r="CO40" s="329"/>
      <c r="CP40" s="329"/>
    </row>
    <row r="41" spans="1:94" s="514" customFormat="1" ht="15.95" customHeight="1" x14ac:dyDescent="0.2">
      <c r="A41" s="497" t="s">
        <v>256</v>
      </c>
      <c r="B41" s="49">
        <v>14063032</v>
      </c>
      <c r="C41" s="49">
        <v>9743592</v>
      </c>
      <c r="D41" s="49">
        <v>4376000</v>
      </c>
      <c r="E41" s="50">
        <f t="shared" si="0"/>
        <v>28182624</v>
      </c>
      <c r="F41" s="329"/>
      <c r="G41" s="353"/>
      <c r="H41" s="353"/>
      <c r="I41" s="353"/>
      <c r="J41" s="353"/>
      <c r="K41" s="353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29"/>
      <c r="BB41" s="329"/>
      <c r="BC41" s="329"/>
      <c r="BD41" s="329"/>
      <c r="BE41" s="329"/>
      <c r="BF41" s="329"/>
      <c r="BG41" s="329"/>
      <c r="BH41" s="329"/>
      <c r="BI41" s="329"/>
      <c r="BJ41" s="329"/>
      <c r="BK41" s="329"/>
      <c r="BL41" s="329"/>
      <c r="BM41" s="329"/>
      <c r="BN41" s="329"/>
      <c r="BO41" s="329"/>
      <c r="BP41" s="329"/>
      <c r="BQ41" s="329"/>
      <c r="BR41" s="329"/>
      <c r="BS41" s="329"/>
      <c r="BT41" s="329"/>
      <c r="BU41" s="329"/>
      <c r="BV41" s="329"/>
      <c r="BW41" s="329"/>
      <c r="BX41" s="329"/>
      <c r="BY41" s="329"/>
      <c r="BZ41" s="329"/>
      <c r="CA41" s="329"/>
      <c r="CB41" s="329"/>
      <c r="CC41" s="329"/>
      <c r="CD41" s="329"/>
      <c r="CE41" s="329"/>
      <c r="CF41" s="329"/>
      <c r="CG41" s="329"/>
      <c r="CH41" s="329"/>
      <c r="CI41" s="329"/>
      <c r="CJ41" s="329"/>
      <c r="CK41" s="329"/>
      <c r="CL41" s="329"/>
      <c r="CM41" s="329"/>
      <c r="CN41" s="329"/>
      <c r="CO41" s="329"/>
      <c r="CP41" s="329"/>
    </row>
    <row r="42" spans="1:94" s="514" customFormat="1" ht="15.95" customHeight="1" x14ac:dyDescent="0.2">
      <c r="A42" s="497" t="s">
        <v>257</v>
      </c>
      <c r="B42" s="49">
        <v>7031547</v>
      </c>
      <c r="C42" s="49">
        <v>9743629</v>
      </c>
      <c r="D42" s="49">
        <v>4334633</v>
      </c>
      <c r="E42" s="50">
        <f t="shared" si="0"/>
        <v>21109809</v>
      </c>
      <c r="F42" s="329"/>
      <c r="G42" s="353"/>
      <c r="H42" s="353"/>
      <c r="I42" s="353"/>
      <c r="J42" s="353"/>
      <c r="K42" s="353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9"/>
      <c r="AM42" s="329"/>
      <c r="AN42" s="329"/>
      <c r="AO42" s="329"/>
      <c r="AP42" s="329"/>
      <c r="AQ42" s="329"/>
      <c r="AR42" s="329"/>
      <c r="AS42" s="329"/>
      <c r="AT42" s="329"/>
      <c r="AU42" s="329"/>
      <c r="AV42" s="329"/>
      <c r="AW42" s="329"/>
      <c r="AX42" s="329"/>
      <c r="AY42" s="329"/>
      <c r="AZ42" s="329"/>
      <c r="BA42" s="329"/>
      <c r="BB42" s="329"/>
      <c r="BC42" s="329"/>
      <c r="BD42" s="329"/>
      <c r="BE42" s="329"/>
      <c r="BF42" s="329"/>
      <c r="BG42" s="329"/>
      <c r="BH42" s="329"/>
      <c r="BI42" s="329"/>
      <c r="BJ42" s="329"/>
      <c r="BK42" s="329"/>
      <c r="BL42" s="329"/>
      <c r="BM42" s="329"/>
      <c r="BN42" s="329"/>
      <c r="BO42" s="329"/>
      <c r="BP42" s="329"/>
      <c r="BQ42" s="329"/>
      <c r="BR42" s="329"/>
      <c r="BS42" s="329"/>
      <c r="BT42" s="329"/>
      <c r="BU42" s="329"/>
      <c r="BV42" s="329"/>
      <c r="BW42" s="329"/>
      <c r="BX42" s="329"/>
      <c r="BY42" s="329"/>
      <c r="BZ42" s="329"/>
      <c r="CA42" s="329"/>
      <c r="CB42" s="329"/>
      <c r="CC42" s="329"/>
      <c r="CD42" s="329"/>
      <c r="CE42" s="329"/>
      <c r="CF42" s="329"/>
      <c r="CG42" s="329"/>
      <c r="CH42" s="329"/>
      <c r="CI42" s="329"/>
      <c r="CJ42" s="329"/>
      <c r="CK42" s="329"/>
      <c r="CL42" s="329"/>
      <c r="CM42" s="329"/>
      <c r="CN42" s="329"/>
      <c r="CO42" s="329"/>
      <c r="CP42" s="329"/>
    </row>
    <row r="43" spans="1:94" s="514" customFormat="1" ht="15.95" customHeight="1" x14ac:dyDescent="0.2">
      <c r="A43" s="354" t="s">
        <v>258</v>
      </c>
      <c r="B43" s="355"/>
      <c r="C43" s="355"/>
      <c r="D43" s="51"/>
      <c r="E43" s="50">
        <f t="shared" si="0"/>
        <v>0</v>
      </c>
      <c r="F43" s="329"/>
      <c r="G43" s="353"/>
      <c r="H43" s="353"/>
      <c r="I43" s="353"/>
      <c r="J43" s="353"/>
      <c r="K43" s="353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29"/>
      <c r="AL43" s="329"/>
      <c r="AM43" s="329"/>
      <c r="AN43" s="329"/>
      <c r="AO43" s="329"/>
      <c r="AP43" s="329"/>
      <c r="AQ43" s="329"/>
      <c r="AR43" s="329"/>
      <c r="AS43" s="329"/>
      <c r="AT43" s="329"/>
      <c r="AU43" s="329"/>
      <c r="AV43" s="329"/>
      <c r="AW43" s="329"/>
      <c r="AX43" s="329"/>
      <c r="AY43" s="329"/>
      <c r="AZ43" s="329"/>
      <c r="BA43" s="329"/>
      <c r="BB43" s="329"/>
      <c r="BC43" s="329"/>
      <c r="BD43" s="329"/>
      <c r="BE43" s="329"/>
      <c r="BF43" s="329"/>
      <c r="BG43" s="329"/>
      <c r="BH43" s="329"/>
      <c r="BI43" s="329"/>
      <c r="BJ43" s="329"/>
      <c r="BK43" s="329"/>
      <c r="BL43" s="329"/>
      <c r="BM43" s="329"/>
      <c r="BN43" s="329"/>
      <c r="BO43" s="329"/>
      <c r="BP43" s="329"/>
      <c r="BQ43" s="329"/>
      <c r="BR43" s="329"/>
      <c r="BS43" s="329"/>
      <c r="BT43" s="329"/>
      <c r="BU43" s="329"/>
      <c r="BV43" s="329"/>
      <c r="BW43" s="329"/>
      <c r="BX43" s="329"/>
      <c r="BY43" s="329"/>
      <c r="BZ43" s="329"/>
      <c r="CA43" s="329"/>
      <c r="CB43" s="329"/>
      <c r="CC43" s="329"/>
      <c r="CD43" s="329"/>
      <c r="CE43" s="329"/>
      <c r="CF43" s="329"/>
      <c r="CG43" s="329"/>
      <c r="CH43" s="329"/>
      <c r="CI43" s="329"/>
      <c r="CJ43" s="329"/>
      <c r="CK43" s="329"/>
      <c r="CL43" s="329"/>
      <c r="CM43" s="329"/>
      <c r="CN43" s="329"/>
      <c r="CO43" s="329"/>
      <c r="CP43" s="329"/>
    </row>
    <row r="44" spans="1:94" s="518" customFormat="1" ht="31.5" customHeight="1" thickBot="1" x14ac:dyDescent="0.25">
      <c r="A44" s="52" t="s">
        <v>1142</v>
      </c>
      <c r="B44" s="517">
        <f>SUM(B26:B43)</f>
        <v>232040059</v>
      </c>
      <c r="C44" s="517">
        <f t="shared" ref="C44:E44" si="1">SUM(C26:C43)</f>
        <v>165641101</v>
      </c>
      <c r="D44" s="517">
        <f t="shared" si="1"/>
        <v>74350633</v>
      </c>
      <c r="E44" s="517">
        <f t="shared" si="1"/>
        <v>472031793</v>
      </c>
      <c r="F44" s="356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357"/>
      <c r="AJ44" s="357"/>
      <c r="AK44" s="357"/>
      <c r="AL44" s="357"/>
      <c r="AM44" s="357"/>
      <c r="AN44" s="357"/>
      <c r="AO44" s="357"/>
      <c r="AP44" s="357"/>
      <c r="AQ44" s="357"/>
      <c r="AR44" s="357"/>
      <c r="AS44" s="357"/>
      <c r="AT44" s="357"/>
      <c r="AU44" s="357"/>
      <c r="AV44" s="357"/>
      <c r="AW44" s="357"/>
      <c r="AX44" s="357"/>
      <c r="AY44" s="357"/>
      <c r="AZ44" s="357"/>
      <c r="BA44" s="357"/>
      <c r="BB44" s="357"/>
      <c r="BC44" s="357"/>
      <c r="BD44" s="357"/>
      <c r="BE44" s="357"/>
      <c r="BF44" s="357"/>
      <c r="BG44" s="357"/>
      <c r="BH44" s="357"/>
      <c r="BI44" s="357"/>
      <c r="BJ44" s="357"/>
      <c r="BK44" s="357"/>
      <c r="BL44" s="357"/>
      <c r="BM44" s="357"/>
      <c r="BN44" s="357"/>
      <c r="BO44" s="357"/>
      <c r="BP44" s="357"/>
      <c r="BQ44" s="357"/>
      <c r="BR44" s="357"/>
      <c r="BS44" s="357"/>
      <c r="BT44" s="357"/>
      <c r="BU44" s="357"/>
      <c r="BV44" s="357"/>
      <c r="BW44" s="357"/>
      <c r="BX44" s="357"/>
      <c r="BY44" s="357"/>
      <c r="BZ44" s="357"/>
      <c r="CA44" s="357"/>
      <c r="CB44" s="357"/>
      <c r="CC44" s="357"/>
      <c r="CD44" s="357"/>
      <c r="CE44" s="357"/>
      <c r="CF44" s="357"/>
      <c r="CG44" s="357"/>
      <c r="CH44" s="357"/>
      <c r="CI44" s="357"/>
      <c r="CJ44" s="357"/>
      <c r="CK44" s="357"/>
      <c r="CL44" s="357"/>
      <c r="CM44" s="357"/>
      <c r="CN44" s="357"/>
      <c r="CO44" s="357"/>
      <c r="CP44" s="357"/>
    </row>
    <row r="45" spans="1:94" s="360" customFormat="1" ht="31.5" customHeight="1" thickTop="1" thickBot="1" x14ac:dyDescent="0.2">
      <c r="A45" s="358" t="s">
        <v>1143</v>
      </c>
      <c r="B45" s="53">
        <f>+B44</f>
        <v>232040059</v>
      </c>
      <c r="C45" s="53">
        <f>+C44</f>
        <v>165641101</v>
      </c>
      <c r="D45" s="53">
        <f>+D44</f>
        <v>74350633</v>
      </c>
      <c r="E45" s="53">
        <f>SUM(B45:D45)</f>
        <v>472031793</v>
      </c>
      <c r="F45" s="359"/>
      <c r="G45" s="359"/>
    </row>
    <row r="46" spans="1:94" s="360" customFormat="1" ht="31.5" customHeight="1" thickTop="1" thickBot="1" x14ac:dyDescent="0.2">
      <c r="A46" s="54" t="s">
        <v>259</v>
      </c>
      <c r="B46" s="53">
        <v>0</v>
      </c>
      <c r="C46" s="53">
        <v>0</v>
      </c>
      <c r="D46" s="53">
        <v>0</v>
      </c>
      <c r="E46" s="53">
        <f>SUM(B46:D46)</f>
        <v>0</v>
      </c>
      <c r="F46" s="359"/>
      <c r="G46" s="359"/>
    </row>
    <row r="47" spans="1:94" s="329" customFormat="1" ht="11.25" customHeight="1" thickTop="1" x14ac:dyDescent="0.2">
      <c r="A47" s="361"/>
      <c r="B47" s="55"/>
      <c r="C47" s="55"/>
      <c r="D47" s="55"/>
      <c r="E47" s="55"/>
      <c r="F47" s="362"/>
    </row>
    <row r="48" spans="1:94" s="363" customFormat="1" ht="9" customHeight="1" x14ac:dyDescent="0.15">
      <c r="C48" s="364"/>
      <c r="D48" s="364"/>
      <c r="F48" s="365"/>
      <c r="G48" s="365"/>
    </row>
    <row r="49" spans="1:94" s="363" customFormat="1" ht="21" customHeight="1" x14ac:dyDescent="0.15">
      <c r="A49" s="973" t="s">
        <v>503</v>
      </c>
      <c r="B49" s="973"/>
      <c r="C49" s="366"/>
      <c r="D49" s="366"/>
      <c r="E49" s="367"/>
      <c r="F49" s="365"/>
      <c r="G49" s="365"/>
    </row>
    <row r="50" spans="1:94" s="329" customFormat="1" x14ac:dyDescent="0.2">
      <c r="A50" s="368"/>
      <c r="C50" s="330"/>
      <c r="D50" s="330"/>
      <c r="E50" s="369"/>
      <c r="F50" s="370"/>
      <c r="H50" s="370"/>
    </row>
    <row r="51" spans="1:94" s="329" customFormat="1" x14ac:dyDescent="0.2">
      <c r="A51" s="368"/>
      <c r="B51" s="370">
        <f>SUM(B16:B43)</f>
        <v>349492568</v>
      </c>
      <c r="C51" s="370"/>
      <c r="D51" s="370"/>
      <c r="F51" s="370"/>
    </row>
    <row r="52" spans="1:94" s="329" customFormat="1" ht="10.5" customHeight="1" x14ac:dyDescent="0.2"/>
    <row r="53" spans="1:94" s="329" customFormat="1" x14ac:dyDescent="0.2"/>
    <row r="54" spans="1:94" s="329" customFormat="1" x14ac:dyDescent="0.2">
      <c r="B54" s="362">
        <f>+B44-B45-B46</f>
        <v>0</v>
      </c>
    </row>
    <row r="55" spans="1:94" s="329" customFormat="1" x14ac:dyDescent="0.2"/>
    <row r="56" spans="1:94" s="329" customFormat="1" x14ac:dyDescent="0.2">
      <c r="B56" s="370"/>
      <c r="C56" s="370"/>
      <c r="D56" s="370"/>
      <c r="E56" s="370"/>
    </row>
    <row r="57" spans="1:94" s="371" customFormat="1" x14ac:dyDescent="0.2">
      <c r="A57" s="329"/>
      <c r="B57" s="329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29"/>
      <c r="P57" s="329"/>
      <c r="Q57" s="329"/>
      <c r="R57" s="329"/>
      <c r="S57" s="329"/>
      <c r="T57" s="329"/>
      <c r="U57" s="329"/>
      <c r="V57" s="329"/>
      <c r="W57" s="329"/>
      <c r="X57" s="329"/>
      <c r="Y57" s="329"/>
      <c r="Z57" s="329"/>
      <c r="AA57" s="329"/>
      <c r="AB57" s="329"/>
      <c r="AC57" s="329"/>
      <c r="AD57" s="329"/>
      <c r="AE57" s="329"/>
      <c r="AF57" s="329"/>
      <c r="AG57" s="329"/>
      <c r="AH57" s="329"/>
      <c r="AI57" s="329"/>
      <c r="AJ57" s="329"/>
      <c r="AK57" s="329"/>
      <c r="AL57" s="329"/>
      <c r="AM57" s="329"/>
      <c r="AN57" s="329"/>
      <c r="AO57" s="329"/>
      <c r="AP57" s="329"/>
      <c r="AQ57" s="329"/>
      <c r="AR57" s="329"/>
      <c r="AS57" s="329"/>
      <c r="AT57" s="329"/>
      <c r="AU57" s="329"/>
      <c r="AV57" s="329"/>
      <c r="AW57" s="329"/>
      <c r="AX57" s="329"/>
      <c r="AY57" s="329"/>
      <c r="AZ57" s="329"/>
      <c r="BA57" s="329"/>
      <c r="BB57" s="329"/>
      <c r="BC57" s="329"/>
      <c r="BD57" s="329"/>
      <c r="BE57" s="329"/>
      <c r="BF57" s="329"/>
      <c r="BG57" s="329"/>
      <c r="BH57" s="329"/>
      <c r="BI57" s="329"/>
      <c r="BJ57" s="329"/>
      <c r="BK57" s="329"/>
      <c r="BL57" s="329"/>
      <c r="BM57" s="329"/>
      <c r="BN57" s="329"/>
      <c r="BO57" s="329"/>
      <c r="BP57" s="329"/>
      <c r="BQ57" s="329"/>
      <c r="BR57" s="329"/>
      <c r="BS57" s="329"/>
      <c r="BT57" s="329"/>
      <c r="BU57" s="329"/>
      <c r="BV57" s="329"/>
      <c r="BW57" s="329"/>
      <c r="BX57" s="329"/>
      <c r="BY57" s="329"/>
      <c r="BZ57" s="329"/>
      <c r="CA57" s="329"/>
      <c r="CB57" s="329"/>
      <c r="CC57" s="329"/>
      <c r="CD57" s="329"/>
      <c r="CE57" s="329"/>
      <c r="CF57" s="329"/>
      <c r="CG57" s="329"/>
      <c r="CH57" s="329"/>
      <c r="CI57" s="329"/>
      <c r="CJ57" s="329"/>
      <c r="CK57" s="329"/>
      <c r="CL57" s="329"/>
      <c r="CM57" s="329"/>
      <c r="CN57" s="329"/>
      <c r="CO57" s="329"/>
      <c r="CP57" s="329"/>
    </row>
    <row r="58" spans="1:94" x14ac:dyDescent="0.2">
      <c r="A58" s="329"/>
      <c r="B58" s="329"/>
      <c r="C58" s="329"/>
      <c r="D58" s="329"/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29"/>
      <c r="P58" s="329"/>
      <c r="Q58" s="329"/>
      <c r="R58" s="329"/>
      <c r="S58" s="329"/>
      <c r="T58" s="329"/>
      <c r="U58" s="329"/>
      <c r="V58" s="329"/>
      <c r="W58" s="329"/>
      <c r="X58" s="329"/>
      <c r="Y58" s="329"/>
      <c r="Z58" s="329"/>
      <c r="AA58" s="329"/>
      <c r="AB58" s="329"/>
      <c r="AC58" s="329"/>
      <c r="AD58" s="329"/>
      <c r="AE58" s="329"/>
      <c r="AF58" s="329"/>
      <c r="AG58" s="329"/>
      <c r="AH58" s="329"/>
      <c r="AI58" s="329"/>
      <c r="AJ58" s="329"/>
      <c r="AK58" s="329"/>
      <c r="AL58" s="329"/>
      <c r="AM58" s="329"/>
      <c r="AN58" s="329"/>
      <c r="AO58" s="329"/>
      <c r="AP58" s="329"/>
      <c r="AQ58" s="329"/>
      <c r="AR58" s="329"/>
      <c r="AS58" s="329"/>
      <c r="AT58" s="329"/>
      <c r="AU58" s="329"/>
      <c r="AV58" s="329"/>
      <c r="AW58" s="329"/>
      <c r="AX58" s="329"/>
      <c r="AY58" s="329"/>
      <c r="AZ58" s="329"/>
      <c r="BA58" s="329"/>
      <c r="BB58" s="329"/>
      <c r="BC58" s="329"/>
      <c r="BD58" s="329"/>
      <c r="BE58" s="329"/>
      <c r="BF58" s="329"/>
      <c r="BG58" s="329"/>
      <c r="BH58" s="329"/>
      <c r="BI58" s="329"/>
      <c r="BJ58" s="329"/>
      <c r="BK58" s="329"/>
      <c r="BL58" s="329"/>
      <c r="BM58" s="329"/>
      <c r="BN58" s="329"/>
      <c r="BO58" s="329"/>
      <c r="BP58" s="329"/>
      <c r="BQ58" s="329"/>
      <c r="BR58" s="329"/>
      <c r="BS58" s="329"/>
      <c r="BT58" s="329"/>
      <c r="BU58" s="329"/>
      <c r="BV58" s="329"/>
      <c r="BW58" s="329"/>
      <c r="BX58" s="329"/>
      <c r="BY58" s="329"/>
      <c r="BZ58" s="329"/>
      <c r="CA58" s="329"/>
      <c r="CB58" s="329"/>
      <c r="CC58" s="329"/>
      <c r="CD58" s="329"/>
      <c r="CE58" s="329"/>
      <c r="CF58" s="329"/>
      <c r="CG58" s="329"/>
      <c r="CH58" s="329"/>
      <c r="CI58" s="329"/>
      <c r="CJ58" s="329"/>
      <c r="CK58" s="329"/>
      <c r="CL58" s="329"/>
      <c r="CM58" s="329"/>
      <c r="CN58" s="329"/>
      <c r="CO58" s="329"/>
      <c r="CP58" s="329"/>
    </row>
    <row r="59" spans="1:94" x14ac:dyDescent="0.2">
      <c r="A59" s="329"/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  <c r="AE59" s="329"/>
      <c r="AF59" s="329"/>
      <c r="AG59" s="329"/>
      <c r="AH59" s="329"/>
      <c r="AI59" s="329"/>
      <c r="AJ59" s="329"/>
      <c r="AK59" s="329"/>
      <c r="AL59" s="329"/>
      <c r="AM59" s="329"/>
      <c r="AN59" s="329"/>
      <c r="AO59" s="329"/>
      <c r="AP59" s="329"/>
      <c r="AQ59" s="329"/>
      <c r="AR59" s="329"/>
      <c r="AS59" s="329"/>
      <c r="AT59" s="329"/>
      <c r="AU59" s="329"/>
      <c r="AV59" s="329"/>
      <c r="AW59" s="329"/>
      <c r="AX59" s="329"/>
      <c r="AY59" s="329"/>
      <c r="AZ59" s="329"/>
      <c r="BA59" s="329"/>
      <c r="BB59" s="329"/>
      <c r="BC59" s="329"/>
      <c r="BD59" s="329"/>
      <c r="BE59" s="329"/>
      <c r="BF59" s="329"/>
      <c r="BG59" s="329"/>
      <c r="BH59" s="329"/>
      <c r="BI59" s="329"/>
      <c r="BJ59" s="329"/>
      <c r="BK59" s="329"/>
      <c r="BL59" s="329"/>
      <c r="BM59" s="329"/>
      <c r="BN59" s="329"/>
      <c r="BO59" s="329"/>
      <c r="BP59" s="329"/>
      <c r="BQ59" s="329"/>
      <c r="BR59" s="329"/>
      <c r="BS59" s="329"/>
      <c r="BT59" s="329"/>
      <c r="BU59" s="329"/>
      <c r="BV59" s="329"/>
      <c r="BW59" s="329"/>
      <c r="BX59" s="329"/>
      <c r="BY59" s="329"/>
      <c r="BZ59" s="329"/>
      <c r="CA59" s="329"/>
      <c r="CB59" s="329"/>
      <c r="CC59" s="329"/>
      <c r="CD59" s="329"/>
      <c r="CE59" s="329"/>
      <c r="CF59" s="329"/>
      <c r="CG59" s="329"/>
      <c r="CH59" s="329"/>
      <c r="CI59" s="329"/>
      <c r="CJ59" s="329"/>
      <c r="CK59" s="329"/>
      <c r="CL59" s="329"/>
      <c r="CM59" s="329"/>
      <c r="CN59" s="329"/>
      <c r="CO59" s="329"/>
      <c r="CP59" s="329"/>
    </row>
    <row r="60" spans="1:94" x14ac:dyDescent="0.2">
      <c r="A60" s="329"/>
      <c r="B60" s="329"/>
      <c r="C60" s="329"/>
      <c r="D60" s="329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29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329"/>
      <c r="AB60" s="329"/>
      <c r="AC60" s="329"/>
      <c r="AD60" s="329"/>
      <c r="AE60" s="329"/>
      <c r="AF60" s="329"/>
      <c r="AG60" s="329"/>
      <c r="AH60" s="329"/>
      <c r="AI60" s="329"/>
      <c r="AJ60" s="329"/>
      <c r="AK60" s="329"/>
      <c r="AL60" s="329"/>
      <c r="AM60" s="329"/>
      <c r="AN60" s="329"/>
      <c r="AO60" s="329"/>
      <c r="AP60" s="329"/>
      <c r="AQ60" s="329"/>
      <c r="AR60" s="329"/>
      <c r="AS60" s="329"/>
      <c r="AT60" s="329"/>
      <c r="AU60" s="329"/>
      <c r="AV60" s="329"/>
      <c r="AW60" s="329"/>
      <c r="AX60" s="329"/>
      <c r="AY60" s="329"/>
      <c r="AZ60" s="329"/>
      <c r="BA60" s="329"/>
      <c r="BB60" s="329"/>
      <c r="BC60" s="329"/>
      <c r="BD60" s="329"/>
      <c r="BE60" s="329"/>
      <c r="BF60" s="329"/>
      <c r="BG60" s="329"/>
      <c r="BH60" s="329"/>
      <c r="BI60" s="329"/>
      <c r="BJ60" s="329"/>
      <c r="BK60" s="329"/>
      <c r="BL60" s="329"/>
      <c r="BM60" s="329"/>
      <c r="BN60" s="329"/>
      <c r="BO60" s="329"/>
      <c r="BP60" s="329"/>
      <c r="BQ60" s="329"/>
      <c r="BR60" s="329"/>
      <c r="BS60" s="329"/>
      <c r="BT60" s="329"/>
      <c r="BU60" s="329"/>
      <c r="BV60" s="329"/>
      <c r="BW60" s="329"/>
      <c r="BX60" s="329"/>
      <c r="BY60" s="329"/>
      <c r="BZ60" s="329"/>
      <c r="CA60" s="329"/>
      <c r="CB60" s="329"/>
      <c r="CC60" s="329"/>
      <c r="CD60" s="329"/>
      <c r="CE60" s="329"/>
      <c r="CF60" s="329"/>
      <c r="CG60" s="329"/>
      <c r="CH60" s="329"/>
      <c r="CI60" s="329"/>
      <c r="CJ60" s="329"/>
      <c r="CK60" s="329"/>
      <c r="CL60" s="329"/>
      <c r="CM60" s="329"/>
      <c r="CN60" s="329"/>
      <c r="CO60" s="329"/>
      <c r="CP60" s="329"/>
    </row>
    <row r="61" spans="1:94" x14ac:dyDescent="0.2">
      <c r="A61" s="329"/>
      <c r="B61" s="329"/>
      <c r="C61" s="329"/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329"/>
      <c r="S61" s="329"/>
      <c r="T61" s="329"/>
      <c r="U61" s="329"/>
      <c r="V61" s="329"/>
      <c r="W61" s="329"/>
      <c r="X61" s="329"/>
      <c r="Y61" s="329"/>
      <c r="Z61" s="329"/>
      <c r="AA61" s="329"/>
      <c r="AB61" s="329"/>
      <c r="AC61" s="329"/>
      <c r="AD61" s="329"/>
      <c r="AE61" s="329"/>
      <c r="AF61" s="329"/>
      <c r="AG61" s="329"/>
      <c r="AH61" s="329"/>
      <c r="AI61" s="329"/>
      <c r="AJ61" s="329"/>
      <c r="AK61" s="329"/>
      <c r="AL61" s="329"/>
      <c r="AM61" s="329"/>
      <c r="AN61" s="329"/>
      <c r="AO61" s="329"/>
      <c r="AP61" s="329"/>
      <c r="AQ61" s="329"/>
      <c r="AR61" s="329"/>
      <c r="AS61" s="329"/>
      <c r="AT61" s="329"/>
      <c r="AU61" s="329"/>
      <c r="AV61" s="329"/>
      <c r="AW61" s="329"/>
      <c r="AX61" s="329"/>
      <c r="AY61" s="329"/>
      <c r="AZ61" s="329"/>
      <c r="BA61" s="329"/>
      <c r="BB61" s="329"/>
      <c r="BC61" s="329"/>
      <c r="BD61" s="329"/>
      <c r="BE61" s="329"/>
      <c r="BF61" s="329"/>
      <c r="BG61" s="329"/>
      <c r="BH61" s="329"/>
      <c r="BI61" s="329"/>
      <c r="BJ61" s="329"/>
      <c r="BK61" s="329"/>
      <c r="BL61" s="329"/>
      <c r="BM61" s="329"/>
      <c r="BN61" s="329"/>
      <c r="BO61" s="329"/>
      <c r="BP61" s="329"/>
      <c r="BQ61" s="329"/>
      <c r="BR61" s="329"/>
      <c r="BS61" s="329"/>
      <c r="BT61" s="329"/>
      <c r="BU61" s="329"/>
      <c r="BV61" s="329"/>
      <c r="BW61" s="329"/>
      <c r="BX61" s="329"/>
      <c r="BY61" s="329"/>
      <c r="BZ61" s="329"/>
      <c r="CA61" s="329"/>
      <c r="CB61" s="329"/>
      <c r="CC61" s="329"/>
      <c r="CD61" s="329"/>
      <c r="CE61" s="329"/>
      <c r="CF61" s="329"/>
      <c r="CG61" s="329"/>
      <c r="CH61" s="329"/>
      <c r="CI61" s="329"/>
      <c r="CJ61" s="329"/>
      <c r="CK61" s="329"/>
      <c r="CL61" s="329"/>
      <c r="CM61" s="329"/>
      <c r="CN61" s="329"/>
      <c r="CO61" s="329"/>
      <c r="CP61" s="329"/>
    </row>
    <row r="62" spans="1:94" x14ac:dyDescent="0.2">
      <c r="A62" s="329"/>
      <c r="B62" s="329"/>
      <c r="C62" s="329"/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29"/>
      <c r="P62" s="329"/>
      <c r="Q62" s="329"/>
      <c r="R62" s="329"/>
      <c r="S62" s="329"/>
      <c r="T62" s="329"/>
      <c r="U62" s="329"/>
      <c r="V62" s="329"/>
      <c r="W62" s="329"/>
      <c r="X62" s="329"/>
      <c r="Y62" s="329"/>
      <c r="Z62" s="329"/>
      <c r="AA62" s="329"/>
      <c r="AB62" s="329"/>
      <c r="AC62" s="329"/>
      <c r="AD62" s="329"/>
      <c r="AE62" s="329"/>
      <c r="AF62" s="329"/>
      <c r="AG62" s="329"/>
      <c r="AH62" s="329"/>
      <c r="AI62" s="329"/>
      <c r="AJ62" s="329"/>
      <c r="AK62" s="329"/>
      <c r="AL62" s="329"/>
      <c r="AM62" s="329"/>
      <c r="AN62" s="329"/>
      <c r="AO62" s="329"/>
      <c r="AP62" s="329"/>
      <c r="AQ62" s="329"/>
      <c r="AR62" s="329"/>
      <c r="AS62" s="329"/>
      <c r="AT62" s="329"/>
      <c r="AU62" s="329"/>
      <c r="AV62" s="329"/>
      <c r="AW62" s="329"/>
      <c r="AX62" s="329"/>
      <c r="AY62" s="329"/>
      <c r="AZ62" s="329"/>
      <c r="BA62" s="329"/>
      <c r="BB62" s="329"/>
      <c r="BC62" s="329"/>
      <c r="BD62" s="329"/>
      <c r="BE62" s="329"/>
      <c r="BF62" s="329"/>
      <c r="BG62" s="329"/>
      <c r="BH62" s="329"/>
      <c r="BI62" s="329"/>
      <c r="BJ62" s="329"/>
      <c r="BK62" s="329"/>
      <c r="BL62" s="329"/>
      <c r="BM62" s="329"/>
      <c r="BN62" s="329"/>
      <c r="BO62" s="329"/>
      <c r="BP62" s="329"/>
      <c r="BQ62" s="329"/>
      <c r="BR62" s="329"/>
      <c r="BS62" s="329"/>
      <c r="BT62" s="329"/>
      <c r="BU62" s="329"/>
      <c r="BV62" s="329"/>
      <c r="BW62" s="329"/>
      <c r="BX62" s="329"/>
      <c r="BY62" s="329"/>
      <c r="BZ62" s="329"/>
      <c r="CA62" s="329"/>
      <c r="CB62" s="329"/>
      <c r="CC62" s="329"/>
      <c r="CD62" s="329"/>
      <c r="CE62" s="329"/>
      <c r="CF62" s="329"/>
      <c r="CG62" s="329"/>
      <c r="CH62" s="329"/>
      <c r="CI62" s="329"/>
      <c r="CJ62" s="329"/>
      <c r="CK62" s="329"/>
      <c r="CL62" s="329"/>
      <c r="CM62" s="329"/>
      <c r="CN62" s="329"/>
      <c r="CO62" s="329"/>
      <c r="CP62" s="329"/>
    </row>
    <row r="63" spans="1:94" x14ac:dyDescent="0.2">
      <c r="A63" s="329"/>
      <c r="B63" s="329"/>
      <c r="C63" s="329"/>
      <c r="D63" s="329"/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29"/>
      <c r="P63" s="329"/>
      <c r="Q63" s="329"/>
      <c r="R63" s="329"/>
      <c r="S63" s="329"/>
      <c r="T63" s="329"/>
      <c r="U63" s="329"/>
      <c r="V63" s="329"/>
      <c r="W63" s="329"/>
      <c r="X63" s="329"/>
      <c r="Y63" s="329"/>
      <c r="Z63" s="329"/>
      <c r="AA63" s="329"/>
      <c r="AB63" s="329"/>
      <c r="AC63" s="329"/>
      <c r="AD63" s="329"/>
      <c r="AE63" s="329"/>
      <c r="AF63" s="329"/>
      <c r="AG63" s="329"/>
      <c r="AH63" s="329"/>
      <c r="AI63" s="329"/>
      <c r="AJ63" s="329"/>
      <c r="AK63" s="329"/>
      <c r="AL63" s="329"/>
      <c r="AM63" s="329"/>
      <c r="AN63" s="329"/>
      <c r="AO63" s="329"/>
      <c r="AP63" s="329"/>
      <c r="AQ63" s="329"/>
      <c r="AR63" s="329"/>
      <c r="AS63" s="329"/>
      <c r="AT63" s="329"/>
      <c r="AU63" s="329"/>
      <c r="AV63" s="329"/>
      <c r="AW63" s="329"/>
      <c r="AX63" s="329"/>
      <c r="AY63" s="329"/>
      <c r="AZ63" s="329"/>
      <c r="BA63" s="329"/>
      <c r="BB63" s="329"/>
      <c r="BC63" s="329"/>
      <c r="BD63" s="329"/>
      <c r="BE63" s="329"/>
      <c r="BF63" s="329"/>
      <c r="BG63" s="329"/>
      <c r="BH63" s="329"/>
      <c r="BI63" s="329"/>
      <c r="BJ63" s="329"/>
      <c r="BK63" s="329"/>
      <c r="BL63" s="329"/>
      <c r="BM63" s="329"/>
      <c r="BN63" s="329"/>
      <c r="BO63" s="329"/>
      <c r="BP63" s="329"/>
      <c r="BQ63" s="329"/>
      <c r="BR63" s="329"/>
      <c r="BS63" s="329"/>
      <c r="BT63" s="329"/>
      <c r="BU63" s="329"/>
      <c r="BV63" s="329"/>
      <c r="BW63" s="329"/>
      <c r="BX63" s="329"/>
      <c r="BY63" s="329"/>
      <c r="BZ63" s="329"/>
      <c r="CA63" s="329"/>
      <c r="CB63" s="329"/>
      <c r="CC63" s="329"/>
      <c r="CD63" s="329"/>
      <c r="CE63" s="329"/>
      <c r="CF63" s="329"/>
      <c r="CG63" s="329"/>
      <c r="CH63" s="329"/>
      <c r="CI63" s="329"/>
      <c r="CJ63" s="329"/>
      <c r="CK63" s="329"/>
      <c r="CL63" s="329"/>
      <c r="CM63" s="329"/>
      <c r="CN63" s="329"/>
      <c r="CO63" s="329"/>
      <c r="CP63" s="329"/>
    </row>
    <row r="64" spans="1:94" x14ac:dyDescent="0.2">
      <c r="A64" s="329"/>
      <c r="B64" s="329"/>
      <c r="C64" s="329"/>
      <c r="D64" s="329"/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29"/>
      <c r="P64" s="329"/>
      <c r="Q64" s="329"/>
      <c r="R64" s="329"/>
      <c r="S64" s="329"/>
      <c r="T64" s="329"/>
      <c r="U64" s="329"/>
      <c r="V64" s="329"/>
      <c r="W64" s="329"/>
      <c r="X64" s="329"/>
      <c r="Y64" s="329"/>
      <c r="Z64" s="329"/>
      <c r="AA64" s="329"/>
      <c r="AB64" s="329"/>
      <c r="AC64" s="329"/>
      <c r="AD64" s="329"/>
      <c r="AE64" s="329"/>
      <c r="AF64" s="329"/>
      <c r="AG64" s="329"/>
      <c r="AH64" s="329"/>
      <c r="AI64" s="329"/>
      <c r="AJ64" s="329"/>
      <c r="AK64" s="329"/>
      <c r="AL64" s="329"/>
      <c r="AM64" s="329"/>
      <c r="AN64" s="329"/>
      <c r="AO64" s="329"/>
      <c r="AP64" s="329"/>
      <c r="AQ64" s="329"/>
      <c r="AR64" s="329"/>
      <c r="AS64" s="329"/>
      <c r="AT64" s="329"/>
      <c r="AU64" s="329"/>
      <c r="AV64" s="329"/>
      <c r="AW64" s="329"/>
      <c r="AX64" s="329"/>
      <c r="AY64" s="329"/>
      <c r="AZ64" s="329"/>
      <c r="BA64" s="329"/>
      <c r="BB64" s="329"/>
      <c r="BC64" s="329"/>
      <c r="BD64" s="329"/>
      <c r="BE64" s="329"/>
      <c r="BF64" s="329"/>
      <c r="BG64" s="329"/>
      <c r="BH64" s="329"/>
      <c r="BI64" s="329"/>
      <c r="BJ64" s="329"/>
      <c r="BK64" s="329"/>
      <c r="BL64" s="329"/>
      <c r="BM64" s="329"/>
      <c r="BN64" s="329"/>
      <c r="BO64" s="329"/>
      <c r="BP64" s="329"/>
      <c r="BQ64" s="329"/>
      <c r="BR64" s="329"/>
      <c r="BS64" s="329"/>
      <c r="BT64" s="329"/>
      <c r="BU64" s="329"/>
      <c r="BV64" s="329"/>
      <c r="BW64" s="329"/>
      <c r="BX64" s="329"/>
      <c r="BY64" s="329"/>
      <c r="BZ64" s="329"/>
      <c r="CA64" s="329"/>
      <c r="CB64" s="329"/>
      <c r="CC64" s="329"/>
      <c r="CD64" s="329"/>
      <c r="CE64" s="329"/>
      <c r="CF64" s="329"/>
      <c r="CG64" s="329"/>
      <c r="CH64" s="329"/>
      <c r="CI64" s="329"/>
      <c r="CJ64" s="329"/>
      <c r="CK64" s="329"/>
      <c r="CL64" s="329"/>
      <c r="CM64" s="329"/>
      <c r="CN64" s="329"/>
      <c r="CO64" s="329"/>
      <c r="CP64" s="329"/>
    </row>
    <row r="65" spans="1:94" x14ac:dyDescent="0.2">
      <c r="A65" s="329"/>
      <c r="B65" s="329"/>
      <c r="C65" s="329"/>
      <c r="D65" s="329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  <c r="AA65" s="329"/>
      <c r="AB65" s="329"/>
      <c r="AC65" s="329"/>
      <c r="AD65" s="329"/>
      <c r="AE65" s="329"/>
      <c r="AF65" s="329"/>
      <c r="AG65" s="329"/>
      <c r="AH65" s="329"/>
      <c r="AI65" s="329"/>
      <c r="AJ65" s="329"/>
      <c r="AK65" s="329"/>
      <c r="AL65" s="329"/>
      <c r="AM65" s="329"/>
      <c r="AN65" s="329"/>
      <c r="AO65" s="329"/>
      <c r="AP65" s="329"/>
      <c r="AQ65" s="329"/>
      <c r="AR65" s="329"/>
      <c r="AS65" s="329"/>
      <c r="AT65" s="329"/>
      <c r="AU65" s="329"/>
      <c r="AV65" s="329"/>
      <c r="AW65" s="329"/>
      <c r="AX65" s="329"/>
      <c r="AY65" s="329"/>
      <c r="AZ65" s="329"/>
      <c r="BA65" s="329"/>
      <c r="BB65" s="329"/>
      <c r="BC65" s="329"/>
      <c r="BD65" s="329"/>
      <c r="BE65" s="329"/>
      <c r="BF65" s="329"/>
      <c r="BG65" s="329"/>
      <c r="BH65" s="329"/>
      <c r="BI65" s="329"/>
      <c r="BJ65" s="329"/>
      <c r="BK65" s="329"/>
      <c r="BL65" s="329"/>
      <c r="BM65" s="329"/>
      <c r="BN65" s="329"/>
      <c r="BO65" s="329"/>
      <c r="BP65" s="329"/>
      <c r="BQ65" s="329"/>
      <c r="BR65" s="329"/>
      <c r="BS65" s="329"/>
      <c r="BT65" s="329"/>
      <c r="BU65" s="329"/>
      <c r="BV65" s="329"/>
      <c r="BW65" s="329"/>
      <c r="BX65" s="329"/>
      <c r="BY65" s="329"/>
      <c r="BZ65" s="329"/>
      <c r="CA65" s="329"/>
      <c r="CB65" s="329"/>
      <c r="CC65" s="329"/>
      <c r="CD65" s="329"/>
      <c r="CE65" s="329"/>
      <c r="CF65" s="329"/>
      <c r="CG65" s="329"/>
      <c r="CH65" s="329"/>
      <c r="CI65" s="329"/>
      <c r="CJ65" s="329"/>
      <c r="CK65" s="329"/>
      <c r="CL65" s="329"/>
      <c r="CM65" s="329"/>
      <c r="CN65" s="329"/>
      <c r="CO65" s="329"/>
      <c r="CP65" s="329"/>
    </row>
    <row r="66" spans="1:94" x14ac:dyDescent="0.2">
      <c r="A66" s="329"/>
      <c r="B66" s="329"/>
      <c r="C66" s="329"/>
      <c r="D66" s="329"/>
      <c r="E66" s="329"/>
      <c r="F66" s="329"/>
      <c r="G66" s="329"/>
      <c r="H66" s="329"/>
      <c r="I66" s="329"/>
      <c r="J66" s="329"/>
      <c r="K66" s="329"/>
      <c r="L66" s="329"/>
      <c r="M66" s="329"/>
      <c r="N66" s="329"/>
      <c r="O66" s="329"/>
      <c r="P66" s="329"/>
      <c r="Q66" s="329"/>
      <c r="R66" s="329"/>
      <c r="S66" s="329"/>
      <c r="T66" s="329"/>
      <c r="U66" s="329"/>
      <c r="V66" s="329"/>
      <c r="W66" s="329"/>
      <c r="X66" s="329"/>
      <c r="Y66" s="329"/>
      <c r="Z66" s="329"/>
      <c r="AA66" s="329"/>
      <c r="AB66" s="329"/>
      <c r="AC66" s="329"/>
      <c r="AD66" s="329"/>
      <c r="AE66" s="329"/>
      <c r="AF66" s="329"/>
      <c r="AG66" s="329"/>
      <c r="AH66" s="329"/>
      <c r="AI66" s="329"/>
      <c r="AJ66" s="329"/>
      <c r="AK66" s="329"/>
      <c r="AL66" s="329"/>
      <c r="AM66" s="329"/>
      <c r="AN66" s="329"/>
      <c r="AO66" s="329"/>
      <c r="AP66" s="329"/>
      <c r="AQ66" s="329"/>
      <c r="AR66" s="329"/>
      <c r="AS66" s="329"/>
      <c r="AT66" s="329"/>
      <c r="AU66" s="329"/>
      <c r="AV66" s="329"/>
      <c r="AW66" s="329"/>
      <c r="AX66" s="329"/>
      <c r="AY66" s="329"/>
      <c r="AZ66" s="329"/>
      <c r="BA66" s="329"/>
      <c r="BB66" s="329"/>
      <c r="BC66" s="329"/>
      <c r="BD66" s="329"/>
      <c r="BE66" s="329"/>
      <c r="BF66" s="329"/>
      <c r="BG66" s="329"/>
      <c r="BH66" s="329"/>
      <c r="BI66" s="329"/>
      <c r="BJ66" s="329"/>
      <c r="BK66" s="329"/>
      <c r="BL66" s="329"/>
      <c r="BM66" s="329"/>
      <c r="BN66" s="329"/>
      <c r="BO66" s="329"/>
      <c r="BP66" s="329"/>
      <c r="BQ66" s="329"/>
      <c r="BR66" s="329"/>
      <c r="BS66" s="329"/>
      <c r="BT66" s="329"/>
      <c r="BU66" s="329"/>
      <c r="BV66" s="329"/>
      <c r="BW66" s="329"/>
      <c r="BX66" s="329"/>
      <c r="BY66" s="329"/>
      <c r="BZ66" s="329"/>
      <c r="CA66" s="329"/>
      <c r="CB66" s="329"/>
      <c r="CC66" s="329"/>
      <c r="CD66" s="329"/>
      <c r="CE66" s="329"/>
      <c r="CF66" s="329"/>
      <c r="CG66" s="329"/>
      <c r="CH66" s="329"/>
      <c r="CI66" s="329"/>
      <c r="CJ66" s="329"/>
      <c r="CK66" s="329"/>
      <c r="CL66" s="329"/>
      <c r="CM66" s="329"/>
      <c r="CN66" s="329"/>
      <c r="CO66" s="329"/>
      <c r="CP66" s="329"/>
    </row>
    <row r="67" spans="1:94" x14ac:dyDescent="0.2">
      <c r="A67" s="329"/>
      <c r="B67" s="329"/>
      <c r="C67" s="329"/>
      <c r="D67" s="329"/>
      <c r="E67" s="329"/>
      <c r="F67" s="329"/>
      <c r="G67" s="329"/>
      <c r="H67" s="329"/>
      <c r="I67" s="329"/>
      <c r="J67" s="329"/>
      <c r="K67" s="329"/>
      <c r="L67" s="329"/>
      <c r="M67" s="329"/>
      <c r="N67" s="329"/>
      <c r="O67" s="329"/>
      <c r="P67" s="329"/>
      <c r="Q67" s="329"/>
      <c r="R67" s="329"/>
      <c r="S67" s="329"/>
      <c r="T67" s="329"/>
      <c r="U67" s="329"/>
      <c r="V67" s="329"/>
      <c r="W67" s="329"/>
      <c r="X67" s="329"/>
      <c r="Y67" s="329"/>
      <c r="Z67" s="329"/>
      <c r="AA67" s="329"/>
      <c r="AB67" s="329"/>
      <c r="AC67" s="329"/>
      <c r="AD67" s="329"/>
      <c r="AE67" s="329"/>
      <c r="AF67" s="329"/>
      <c r="AG67" s="329"/>
      <c r="AH67" s="329"/>
      <c r="AI67" s="329"/>
      <c r="AJ67" s="329"/>
      <c r="AK67" s="329"/>
      <c r="AL67" s="329"/>
      <c r="AM67" s="329"/>
      <c r="AN67" s="329"/>
      <c r="AO67" s="329"/>
      <c r="AP67" s="329"/>
      <c r="AQ67" s="329"/>
      <c r="AR67" s="329"/>
      <c r="AS67" s="329"/>
      <c r="AT67" s="329"/>
      <c r="AU67" s="329"/>
      <c r="AV67" s="329"/>
      <c r="AW67" s="329"/>
      <c r="AX67" s="329"/>
      <c r="AY67" s="329"/>
      <c r="AZ67" s="329"/>
      <c r="BA67" s="329"/>
      <c r="BB67" s="329"/>
      <c r="BC67" s="329"/>
      <c r="BD67" s="329"/>
      <c r="BE67" s="329"/>
      <c r="BF67" s="329"/>
      <c r="BG67" s="329"/>
      <c r="BH67" s="329"/>
      <c r="BI67" s="329"/>
      <c r="BJ67" s="329"/>
      <c r="BK67" s="329"/>
      <c r="BL67" s="329"/>
      <c r="BM67" s="329"/>
      <c r="BN67" s="329"/>
      <c r="BO67" s="329"/>
      <c r="BP67" s="329"/>
      <c r="BQ67" s="329"/>
      <c r="BR67" s="329"/>
      <c r="BS67" s="329"/>
      <c r="BT67" s="329"/>
      <c r="BU67" s="329"/>
      <c r="BV67" s="329"/>
      <c r="BW67" s="329"/>
      <c r="BX67" s="329"/>
      <c r="BY67" s="329"/>
      <c r="BZ67" s="329"/>
      <c r="CA67" s="329"/>
      <c r="CB67" s="329"/>
      <c r="CC67" s="329"/>
      <c r="CD67" s="329"/>
      <c r="CE67" s="329"/>
      <c r="CF67" s="329"/>
      <c r="CG67" s="329"/>
      <c r="CH67" s="329"/>
      <c r="CI67" s="329"/>
      <c r="CJ67" s="329"/>
      <c r="CK67" s="329"/>
      <c r="CL67" s="329"/>
      <c r="CM67" s="329"/>
      <c r="CN67" s="329"/>
      <c r="CO67" s="329"/>
      <c r="CP67" s="329"/>
    </row>
    <row r="68" spans="1:94" x14ac:dyDescent="0.2">
      <c r="A68" s="329"/>
      <c r="B68" s="329"/>
      <c r="C68" s="329"/>
      <c r="D68" s="329"/>
      <c r="E68" s="329"/>
      <c r="F68" s="329"/>
      <c r="G68" s="329"/>
      <c r="H68" s="329"/>
      <c r="I68" s="329"/>
      <c r="J68" s="329"/>
      <c r="K68" s="329"/>
      <c r="L68" s="329"/>
      <c r="M68" s="329"/>
      <c r="N68" s="329"/>
      <c r="O68" s="329"/>
      <c r="P68" s="329"/>
      <c r="Q68" s="329"/>
      <c r="R68" s="329"/>
      <c r="S68" s="329"/>
      <c r="T68" s="329"/>
      <c r="U68" s="329"/>
      <c r="V68" s="329"/>
      <c r="W68" s="329"/>
      <c r="X68" s="329"/>
      <c r="Y68" s="329"/>
      <c r="Z68" s="329"/>
      <c r="AA68" s="329"/>
      <c r="AB68" s="329"/>
      <c r="AC68" s="329"/>
      <c r="AD68" s="329"/>
      <c r="AE68" s="329"/>
      <c r="AF68" s="329"/>
      <c r="AG68" s="329"/>
      <c r="AH68" s="329"/>
      <c r="AI68" s="329"/>
      <c r="AJ68" s="329"/>
      <c r="AK68" s="329"/>
      <c r="AL68" s="329"/>
      <c r="AM68" s="329"/>
      <c r="AN68" s="329"/>
      <c r="AO68" s="329"/>
      <c r="AP68" s="329"/>
      <c r="AQ68" s="329"/>
      <c r="AR68" s="329"/>
      <c r="AS68" s="329"/>
      <c r="AT68" s="329"/>
      <c r="AU68" s="329"/>
      <c r="AV68" s="329"/>
      <c r="AW68" s="329"/>
      <c r="AX68" s="329"/>
      <c r="AY68" s="329"/>
      <c r="AZ68" s="329"/>
      <c r="BA68" s="329"/>
      <c r="BB68" s="329"/>
      <c r="BC68" s="329"/>
      <c r="BD68" s="329"/>
      <c r="BE68" s="329"/>
      <c r="BF68" s="329"/>
      <c r="BG68" s="329"/>
      <c r="BH68" s="329"/>
      <c r="BI68" s="329"/>
      <c r="BJ68" s="329"/>
      <c r="BK68" s="329"/>
      <c r="BL68" s="329"/>
      <c r="BM68" s="329"/>
      <c r="BN68" s="329"/>
      <c r="BO68" s="329"/>
      <c r="BP68" s="329"/>
      <c r="BQ68" s="329"/>
      <c r="BR68" s="329"/>
      <c r="BS68" s="329"/>
      <c r="BT68" s="329"/>
      <c r="BU68" s="329"/>
      <c r="BV68" s="329"/>
      <c r="BW68" s="329"/>
      <c r="BX68" s="329"/>
      <c r="BY68" s="329"/>
      <c r="BZ68" s="329"/>
      <c r="CA68" s="329"/>
      <c r="CB68" s="329"/>
      <c r="CC68" s="329"/>
      <c r="CD68" s="329"/>
      <c r="CE68" s="329"/>
      <c r="CF68" s="329"/>
      <c r="CG68" s="329"/>
      <c r="CH68" s="329"/>
      <c r="CI68" s="329"/>
      <c r="CJ68" s="329"/>
      <c r="CK68" s="329"/>
      <c r="CL68" s="329"/>
      <c r="CM68" s="329"/>
      <c r="CN68" s="329"/>
      <c r="CO68" s="329"/>
      <c r="CP68" s="329"/>
    </row>
    <row r="69" spans="1:94" x14ac:dyDescent="0.2">
      <c r="A69" s="329"/>
      <c r="B69" s="329"/>
      <c r="C69" s="329"/>
      <c r="D69" s="329"/>
      <c r="E69" s="329"/>
      <c r="F69" s="329"/>
      <c r="G69" s="329"/>
      <c r="H69" s="329"/>
      <c r="I69" s="329"/>
      <c r="J69" s="329"/>
      <c r="K69" s="329"/>
      <c r="L69" s="329"/>
      <c r="M69" s="329"/>
      <c r="N69" s="329"/>
      <c r="O69" s="329"/>
      <c r="P69" s="329"/>
      <c r="Q69" s="329"/>
      <c r="R69" s="329"/>
      <c r="S69" s="329"/>
      <c r="T69" s="329"/>
      <c r="U69" s="329"/>
      <c r="V69" s="329"/>
      <c r="W69" s="329"/>
      <c r="X69" s="329"/>
      <c r="Y69" s="329"/>
      <c r="Z69" s="329"/>
      <c r="AA69" s="329"/>
      <c r="AB69" s="329"/>
      <c r="AC69" s="329"/>
      <c r="AD69" s="329"/>
      <c r="AE69" s="329"/>
      <c r="AF69" s="329"/>
      <c r="AG69" s="329"/>
      <c r="AH69" s="329"/>
      <c r="AI69" s="329"/>
      <c r="AJ69" s="329"/>
      <c r="AK69" s="329"/>
      <c r="AL69" s="329"/>
      <c r="AM69" s="329"/>
      <c r="AN69" s="329"/>
      <c r="AO69" s="329"/>
      <c r="AP69" s="329"/>
      <c r="AQ69" s="329"/>
      <c r="AR69" s="329"/>
      <c r="AS69" s="329"/>
      <c r="AT69" s="329"/>
      <c r="AU69" s="329"/>
      <c r="AV69" s="329"/>
      <c r="AW69" s="329"/>
      <c r="AX69" s="329"/>
      <c r="AY69" s="329"/>
      <c r="AZ69" s="329"/>
      <c r="BA69" s="329"/>
      <c r="BB69" s="329"/>
      <c r="BC69" s="329"/>
      <c r="BD69" s="329"/>
      <c r="BE69" s="329"/>
      <c r="BF69" s="329"/>
      <c r="BG69" s="329"/>
      <c r="BH69" s="329"/>
      <c r="BI69" s="329"/>
      <c r="BJ69" s="329"/>
      <c r="BK69" s="329"/>
      <c r="BL69" s="329"/>
      <c r="BM69" s="329"/>
      <c r="BN69" s="329"/>
      <c r="BO69" s="329"/>
      <c r="BP69" s="329"/>
      <c r="BQ69" s="329"/>
      <c r="BR69" s="329"/>
      <c r="BS69" s="329"/>
      <c r="BT69" s="329"/>
      <c r="BU69" s="329"/>
      <c r="BV69" s="329"/>
      <c r="BW69" s="329"/>
      <c r="BX69" s="329"/>
      <c r="BY69" s="329"/>
      <c r="BZ69" s="329"/>
      <c r="CA69" s="329"/>
      <c r="CB69" s="329"/>
      <c r="CC69" s="329"/>
      <c r="CD69" s="329"/>
      <c r="CE69" s="329"/>
      <c r="CF69" s="329"/>
      <c r="CG69" s="329"/>
      <c r="CH69" s="329"/>
      <c r="CI69" s="329"/>
      <c r="CJ69" s="329"/>
      <c r="CK69" s="329"/>
      <c r="CL69" s="329"/>
      <c r="CM69" s="329"/>
      <c r="CN69" s="329"/>
      <c r="CO69" s="329"/>
      <c r="CP69" s="329"/>
    </row>
    <row r="70" spans="1:94" x14ac:dyDescent="0.2">
      <c r="A70" s="329"/>
      <c r="B70" s="329"/>
      <c r="C70" s="329"/>
      <c r="D70" s="329"/>
      <c r="E70" s="329"/>
      <c r="F70" s="329"/>
      <c r="G70" s="329"/>
      <c r="H70" s="329"/>
      <c r="I70" s="329"/>
      <c r="J70" s="329"/>
      <c r="K70" s="329"/>
      <c r="L70" s="329"/>
      <c r="M70" s="329"/>
      <c r="N70" s="329"/>
      <c r="O70" s="329"/>
      <c r="P70" s="329"/>
      <c r="Q70" s="329"/>
      <c r="R70" s="329"/>
      <c r="S70" s="329"/>
      <c r="T70" s="329"/>
      <c r="U70" s="329"/>
      <c r="V70" s="329"/>
      <c r="W70" s="329"/>
      <c r="X70" s="329"/>
      <c r="Y70" s="329"/>
      <c r="Z70" s="329"/>
      <c r="AA70" s="329"/>
      <c r="AB70" s="329"/>
      <c r="AC70" s="329"/>
      <c r="AD70" s="329"/>
      <c r="AE70" s="329"/>
      <c r="AF70" s="329"/>
      <c r="AG70" s="329"/>
      <c r="AH70" s="329"/>
      <c r="AI70" s="329"/>
      <c r="AJ70" s="329"/>
      <c r="AK70" s="329"/>
      <c r="AL70" s="329"/>
      <c r="AM70" s="329"/>
      <c r="AN70" s="329"/>
      <c r="AO70" s="329"/>
      <c r="AP70" s="329"/>
      <c r="AQ70" s="329"/>
      <c r="AR70" s="329"/>
      <c r="AS70" s="329"/>
      <c r="AT70" s="329"/>
      <c r="AU70" s="329"/>
      <c r="AV70" s="329"/>
      <c r="AW70" s="329"/>
      <c r="AX70" s="329"/>
      <c r="AY70" s="329"/>
      <c r="AZ70" s="329"/>
      <c r="BA70" s="329"/>
      <c r="BB70" s="329"/>
      <c r="BC70" s="329"/>
      <c r="BD70" s="329"/>
      <c r="BE70" s="329"/>
      <c r="BF70" s="329"/>
      <c r="BG70" s="329"/>
      <c r="BH70" s="329"/>
      <c r="BI70" s="329"/>
      <c r="BJ70" s="329"/>
      <c r="BK70" s="329"/>
      <c r="BL70" s="329"/>
      <c r="BM70" s="329"/>
      <c r="BN70" s="329"/>
      <c r="BO70" s="329"/>
      <c r="BP70" s="329"/>
      <c r="BQ70" s="329"/>
      <c r="BR70" s="329"/>
      <c r="BS70" s="329"/>
      <c r="BT70" s="329"/>
      <c r="BU70" s="329"/>
      <c r="BV70" s="329"/>
      <c r="BW70" s="329"/>
      <c r="BX70" s="329"/>
      <c r="BY70" s="329"/>
      <c r="BZ70" s="329"/>
      <c r="CA70" s="329"/>
      <c r="CB70" s="329"/>
      <c r="CC70" s="329"/>
      <c r="CD70" s="329"/>
      <c r="CE70" s="329"/>
      <c r="CF70" s="329"/>
      <c r="CG70" s="329"/>
      <c r="CH70" s="329"/>
      <c r="CI70" s="329"/>
      <c r="CJ70" s="329"/>
      <c r="CK70" s="329"/>
      <c r="CL70" s="329"/>
      <c r="CM70" s="329"/>
      <c r="CN70" s="329"/>
      <c r="CO70" s="329"/>
      <c r="CP70" s="329"/>
    </row>
    <row r="71" spans="1:94" x14ac:dyDescent="0.2">
      <c r="A71" s="329"/>
      <c r="B71" s="329"/>
      <c r="C71" s="329"/>
      <c r="D71" s="329"/>
      <c r="E71" s="329"/>
      <c r="F71" s="329"/>
      <c r="G71" s="329"/>
      <c r="H71" s="329"/>
      <c r="I71" s="329"/>
      <c r="J71" s="329"/>
      <c r="K71" s="329"/>
      <c r="L71" s="329"/>
      <c r="M71" s="329"/>
      <c r="N71" s="329"/>
      <c r="O71" s="329"/>
      <c r="P71" s="329"/>
      <c r="Q71" s="329"/>
      <c r="R71" s="329"/>
      <c r="S71" s="329"/>
      <c r="T71" s="329"/>
      <c r="U71" s="329"/>
      <c r="V71" s="329"/>
      <c r="W71" s="329"/>
      <c r="X71" s="329"/>
      <c r="Y71" s="329"/>
      <c r="Z71" s="329"/>
      <c r="AA71" s="329"/>
      <c r="AB71" s="329"/>
      <c r="AC71" s="329"/>
      <c r="AD71" s="329"/>
      <c r="AE71" s="329"/>
      <c r="AF71" s="329"/>
      <c r="AG71" s="329"/>
      <c r="AH71" s="329"/>
      <c r="AI71" s="329"/>
      <c r="AJ71" s="329"/>
      <c r="AK71" s="329"/>
      <c r="AL71" s="329"/>
      <c r="AM71" s="329"/>
      <c r="AN71" s="329"/>
      <c r="AO71" s="329"/>
      <c r="AP71" s="329"/>
      <c r="AQ71" s="329"/>
      <c r="AR71" s="329"/>
      <c r="AS71" s="329"/>
      <c r="AT71" s="329"/>
      <c r="AU71" s="329"/>
      <c r="AV71" s="329"/>
      <c r="AW71" s="329"/>
      <c r="AX71" s="329"/>
      <c r="AY71" s="329"/>
      <c r="AZ71" s="329"/>
      <c r="BA71" s="329"/>
      <c r="BB71" s="329"/>
      <c r="BC71" s="329"/>
      <c r="BD71" s="329"/>
      <c r="BE71" s="329"/>
      <c r="BF71" s="329"/>
      <c r="BG71" s="329"/>
      <c r="BH71" s="329"/>
      <c r="BI71" s="329"/>
      <c r="BJ71" s="329"/>
      <c r="BK71" s="329"/>
      <c r="BL71" s="329"/>
      <c r="BM71" s="329"/>
      <c r="BN71" s="329"/>
      <c r="BO71" s="329"/>
      <c r="BP71" s="329"/>
      <c r="BQ71" s="329"/>
      <c r="BR71" s="329"/>
      <c r="BS71" s="329"/>
      <c r="BT71" s="329"/>
      <c r="BU71" s="329"/>
      <c r="BV71" s="329"/>
      <c r="BW71" s="329"/>
      <c r="BX71" s="329"/>
      <c r="BY71" s="329"/>
      <c r="BZ71" s="329"/>
      <c r="CA71" s="329"/>
      <c r="CB71" s="329"/>
      <c r="CC71" s="329"/>
      <c r="CD71" s="329"/>
      <c r="CE71" s="329"/>
      <c r="CF71" s="329"/>
      <c r="CG71" s="329"/>
      <c r="CH71" s="329"/>
      <c r="CI71" s="329"/>
      <c r="CJ71" s="329"/>
      <c r="CK71" s="329"/>
      <c r="CL71" s="329"/>
      <c r="CM71" s="329"/>
      <c r="CN71" s="329"/>
      <c r="CO71" s="329"/>
      <c r="CP71" s="329"/>
    </row>
    <row r="72" spans="1:94" x14ac:dyDescent="0.2">
      <c r="A72" s="329"/>
      <c r="B72" s="329"/>
      <c r="C72" s="329"/>
      <c r="D72" s="329"/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P72" s="329"/>
      <c r="Q72" s="329"/>
      <c r="R72" s="329"/>
      <c r="S72" s="329"/>
      <c r="T72" s="329"/>
      <c r="U72" s="329"/>
      <c r="V72" s="329"/>
      <c r="W72" s="329"/>
      <c r="X72" s="329"/>
      <c r="Y72" s="329"/>
      <c r="Z72" s="329"/>
      <c r="AA72" s="329"/>
      <c r="AB72" s="329"/>
      <c r="AC72" s="329"/>
      <c r="AD72" s="329"/>
      <c r="AE72" s="329"/>
      <c r="AF72" s="329"/>
      <c r="AG72" s="329"/>
      <c r="AH72" s="329"/>
      <c r="AI72" s="329"/>
      <c r="AJ72" s="329"/>
      <c r="AK72" s="329"/>
      <c r="AL72" s="329"/>
      <c r="AM72" s="329"/>
      <c r="AN72" s="329"/>
      <c r="AO72" s="329"/>
      <c r="AP72" s="329"/>
      <c r="AQ72" s="329"/>
      <c r="AR72" s="329"/>
      <c r="AS72" s="329"/>
      <c r="AT72" s="329"/>
      <c r="AU72" s="329"/>
      <c r="AV72" s="329"/>
      <c r="AW72" s="329"/>
      <c r="AX72" s="329"/>
      <c r="AY72" s="329"/>
      <c r="AZ72" s="329"/>
      <c r="BA72" s="329"/>
      <c r="BB72" s="329"/>
      <c r="BC72" s="329"/>
      <c r="BD72" s="329"/>
      <c r="BE72" s="329"/>
      <c r="BF72" s="329"/>
      <c r="BG72" s="329"/>
      <c r="BH72" s="329"/>
      <c r="BI72" s="329"/>
      <c r="BJ72" s="329"/>
      <c r="BK72" s="329"/>
      <c r="BL72" s="329"/>
      <c r="BM72" s="329"/>
      <c r="BN72" s="329"/>
      <c r="BO72" s="329"/>
      <c r="BP72" s="329"/>
      <c r="BQ72" s="329"/>
      <c r="BR72" s="329"/>
      <c r="BS72" s="329"/>
      <c r="BT72" s="329"/>
      <c r="BU72" s="329"/>
      <c r="BV72" s="329"/>
      <c r="BW72" s="329"/>
      <c r="BX72" s="329"/>
      <c r="BY72" s="329"/>
      <c r="BZ72" s="329"/>
      <c r="CA72" s="329"/>
      <c r="CB72" s="329"/>
      <c r="CC72" s="329"/>
      <c r="CD72" s="329"/>
      <c r="CE72" s="329"/>
      <c r="CF72" s="329"/>
      <c r="CG72" s="329"/>
      <c r="CH72" s="329"/>
      <c r="CI72" s="329"/>
      <c r="CJ72" s="329"/>
      <c r="CK72" s="329"/>
      <c r="CL72" s="329"/>
      <c r="CM72" s="329"/>
      <c r="CN72" s="329"/>
      <c r="CO72" s="329"/>
      <c r="CP72" s="329"/>
    </row>
    <row r="73" spans="1:94" x14ac:dyDescent="0.2">
      <c r="A73" s="329"/>
      <c r="B73" s="329"/>
      <c r="C73" s="329"/>
      <c r="D73" s="329"/>
      <c r="E73" s="329"/>
      <c r="F73" s="329"/>
      <c r="G73" s="329"/>
      <c r="H73" s="329"/>
      <c r="I73" s="329"/>
      <c r="J73" s="329"/>
      <c r="K73" s="329"/>
      <c r="L73" s="329"/>
      <c r="M73" s="329"/>
      <c r="N73" s="329"/>
      <c r="O73" s="329"/>
      <c r="P73" s="329"/>
      <c r="Q73" s="329"/>
      <c r="R73" s="329"/>
      <c r="S73" s="329"/>
      <c r="T73" s="329"/>
      <c r="U73" s="329"/>
      <c r="V73" s="329"/>
      <c r="W73" s="329"/>
      <c r="X73" s="329"/>
      <c r="Y73" s="329"/>
      <c r="Z73" s="329"/>
      <c r="AA73" s="329"/>
      <c r="AB73" s="329"/>
      <c r="AC73" s="329"/>
      <c r="AD73" s="329"/>
      <c r="AE73" s="329"/>
      <c r="AF73" s="329"/>
      <c r="AG73" s="329"/>
      <c r="AH73" s="329"/>
      <c r="AI73" s="329"/>
      <c r="AJ73" s="329"/>
      <c r="AK73" s="329"/>
      <c r="AL73" s="329"/>
      <c r="AM73" s="329"/>
      <c r="AN73" s="329"/>
      <c r="AO73" s="329"/>
      <c r="AP73" s="329"/>
      <c r="AQ73" s="329"/>
      <c r="AR73" s="329"/>
      <c r="AS73" s="329"/>
      <c r="AT73" s="329"/>
      <c r="AU73" s="329"/>
      <c r="AV73" s="329"/>
      <c r="AW73" s="329"/>
      <c r="AX73" s="329"/>
      <c r="AY73" s="329"/>
      <c r="AZ73" s="329"/>
      <c r="BA73" s="329"/>
      <c r="BB73" s="329"/>
      <c r="BC73" s="329"/>
      <c r="BD73" s="329"/>
      <c r="BE73" s="329"/>
      <c r="BF73" s="329"/>
      <c r="BG73" s="329"/>
      <c r="BH73" s="329"/>
      <c r="BI73" s="329"/>
      <c r="BJ73" s="329"/>
      <c r="BK73" s="329"/>
      <c r="BL73" s="329"/>
      <c r="BM73" s="329"/>
      <c r="BN73" s="329"/>
      <c r="BO73" s="329"/>
      <c r="BP73" s="329"/>
      <c r="BQ73" s="329"/>
      <c r="BR73" s="329"/>
      <c r="BS73" s="329"/>
      <c r="BT73" s="329"/>
      <c r="BU73" s="329"/>
      <c r="BV73" s="329"/>
      <c r="BW73" s="329"/>
      <c r="BX73" s="329"/>
      <c r="BY73" s="329"/>
      <c r="BZ73" s="329"/>
      <c r="CA73" s="329"/>
      <c r="CB73" s="329"/>
      <c r="CC73" s="329"/>
      <c r="CD73" s="329"/>
      <c r="CE73" s="329"/>
      <c r="CF73" s="329"/>
      <c r="CG73" s="329"/>
      <c r="CH73" s="329"/>
      <c r="CI73" s="329"/>
      <c r="CJ73" s="329"/>
      <c r="CK73" s="329"/>
      <c r="CL73" s="329"/>
      <c r="CM73" s="329"/>
      <c r="CN73" s="329"/>
      <c r="CO73" s="329"/>
      <c r="CP73" s="329"/>
    </row>
    <row r="74" spans="1:94" x14ac:dyDescent="0.2">
      <c r="A74" s="329"/>
      <c r="B74" s="329"/>
      <c r="C74" s="329"/>
      <c r="D74" s="329"/>
      <c r="E74" s="329"/>
      <c r="F74" s="329"/>
      <c r="G74" s="329"/>
      <c r="H74" s="329"/>
      <c r="I74" s="329"/>
      <c r="J74" s="329"/>
      <c r="K74" s="329"/>
      <c r="L74" s="329"/>
      <c r="M74" s="329"/>
      <c r="N74" s="329"/>
      <c r="O74" s="329"/>
      <c r="P74" s="329"/>
      <c r="Q74" s="329"/>
      <c r="R74" s="329"/>
      <c r="S74" s="329"/>
      <c r="T74" s="329"/>
      <c r="U74" s="329"/>
      <c r="V74" s="329"/>
      <c r="W74" s="329"/>
      <c r="X74" s="329"/>
      <c r="Y74" s="329"/>
      <c r="Z74" s="329"/>
      <c r="AA74" s="329"/>
      <c r="AB74" s="329"/>
      <c r="AC74" s="329"/>
      <c r="AD74" s="329"/>
      <c r="AE74" s="329"/>
      <c r="AF74" s="329"/>
      <c r="AG74" s="329"/>
      <c r="AH74" s="329"/>
      <c r="AI74" s="329"/>
      <c r="AJ74" s="329"/>
      <c r="AK74" s="329"/>
      <c r="AL74" s="329"/>
      <c r="AM74" s="329"/>
      <c r="AN74" s="329"/>
      <c r="AO74" s="329"/>
      <c r="AP74" s="329"/>
      <c r="AQ74" s="329"/>
      <c r="AR74" s="329"/>
      <c r="AS74" s="329"/>
      <c r="AT74" s="329"/>
      <c r="AU74" s="329"/>
      <c r="AV74" s="329"/>
      <c r="AW74" s="329"/>
      <c r="AX74" s="329"/>
      <c r="AY74" s="329"/>
      <c r="AZ74" s="329"/>
      <c r="BA74" s="329"/>
      <c r="BB74" s="329"/>
      <c r="BC74" s="329"/>
      <c r="BD74" s="329"/>
      <c r="BE74" s="329"/>
      <c r="BF74" s="329"/>
      <c r="BG74" s="329"/>
      <c r="BH74" s="329"/>
      <c r="BI74" s="329"/>
      <c r="BJ74" s="329"/>
      <c r="BK74" s="329"/>
      <c r="BL74" s="329"/>
      <c r="BM74" s="329"/>
      <c r="BN74" s="329"/>
      <c r="BO74" s="329"/>
      <c r="BP74" s="329"/>
      <c r="BQ74" s="329"/>
      <c r="BR74" s="329"/>
      <c r="BS74" s="329"/>
      <c r="BT74" s="329"/>
      <c r="BU74" s="329"/>
      <c r="BV74" s="329"/>
      <c r="BW74" s="329"/>
      <c r="BX74" s="329"/>
      <c r="BY74" s="329"/>
      <c r="BZ74" s="329"/>
      <c r="CA74" s="329"/>
      <c r="CB74" s="329"/>
      <c r="CC74" s="329"/>
      <c r="CD74" s="329"/>
      <c r="CE74" s="329"/>
      <c r="CF74" s="329"/>
      <c r="CG74" s="329"/>
      <c r="CH74" s="329"/>
      <c r="CI74" s="329"/>
      <c r="CJ74" s="329"/>
      <c r="CK74" s="329"/>
      <c r="CL74" s="329"/>
      <c r="CM74" s="329"/>
      <c r="CN74" s="329"/>
      <c r="CO74" s="329"/>
      <c r="CP74" s="329"/>
    </row>
    <row r="75" spans="1:94" x14ac:dyDescent="0.2">
      <c r="A75" s="329"/>
      <c r="B75" s="329"/>
      <c r="C75" s="329"/>
      <c r="D75" s="329"/>
      <c r="E75" s="329"/>
      <c r="F75" s="329"/>
      <c r="G75" s="329"/>
      <c r="H75" s="329"/>
      <c r="I75" s="329"/>
      <c r="J75" s="329"/>
      <c r="K75" s="329"/>
      <c r="L75" s="329"/>
      <c r="M75" s="329"/>
      <c r="N75" s="329"/>
      <c r="O75" s="329"/>
      <c r="P75" s="329"/>
      <c r="Q75" s="329"/>
      <c r="R75" s="329"/>
      <c r="S75" s="329"/>
      <c r="T75" s="329"/>
      <c r="U75" s="329"/>
      <c r="V75" s="329"/>
      <c r="W75" s="329"/>
      <c r="X75" s="329"/>
      <c r="Y75" s="329"/>
      <c r="Z75" s="329"/>
      <c r="AA75" s="329"/>
      <c r="AB75" s="329"/>
      <c r="AC75" s="329"/>
      <c r="AD75" s="329"/>
      <c r="AE75" s="329"/>
      <c r="AF75" s="329"/>
      <c r="AG75" s="329"/>
      <c r="AH75" s="329"/>
      <c r="AI75" s="329"/>
      <c r="AJ75" s="329"/>
      <c r="AK75" s="329"/>
      <c r="AL75" s="329"/>
      <c r="AM75" s="329"/>
      <c r="AN75" s="329"/>
      <c r="AO75" s="329"/>
      <c r="AP75" s="329"/>
      <c r="AQ75" s="329"/>
      <c r="AR75" s="329"/>
      <c r="AS75" s="329"/>
      <c r="AT75" s="329"/>
      <c r="AU75" s="329"/>
      <c r="AV75" s="329"/>
      <c r="AW75" s="329"/>
      <c r="AX75" s="329"/>
      <c r="AY75" s="329"/>
      <c r="AZ75" s="329"/>
      <c r="BA75" s="329"/>
      <c r="BB75" s="329"/>
      <c r="BC75" s="329"/>
      <c r="BD75" s="329"/>
      <c r="BE75" s="329"/>
      <c r="BF75" s="329"/>
      <c r="BG75" s="329"/>
      <c r="BH75" s="329"/>
      <c r="BI75" s="329"/>
      <c r="BJ75" s="329"/>
      <c r="BK75" s="329"/>
      <c r="BL75" s="329"/>
      <c r="BM75" s="329"/>
      <c r="BN75" s="329"/>
      <c r="BO75" s="329"/>
      <c r="BP75" s="329"/>
      <c r="BQ75" s="329"/>
      <c r="BR75" s="329"/>
      <c r="BS75" s="329"/>
      <c r="BT75" s="329"/>
      <c r="BU75" s="329"/>
      <c r="BV75" s="329"/>
      <c r="BW75" s="329"/>
      <c r="BX75" s="329"/>
      <c r="BY75" s="329"/>
      <c r="BZ75" s="329"/>
      <c r="CA75" s="329"/>
      <c r="CB75" s="329"/>
      <c r="CC75" s="329"/>
      <c r="CD75" s="329"/>
      <c r="CE75" s="329"/>
      <c r="CF75" s="329"/>
      <c r="CG75" s="329"/>
      <c r="CH75" s="329"/>
      <c r="CI75" s="329"/>
      <c r="CJ75" s="329"/>
      <c r="CK75" s="329"/>
      <c r="CL75" s="329"/>
      <c r="CM75" s="329"/>
      <c r="CN75" s="329"/>
      <c r="CO75" s="329"/>
      <c r="CP75" s="329"/>
    </row>
    <row r="76" spans="1:94" x14ac:dyDescent="0.2">
      <c r="A76" s="329"/>
      <c r="B76" s="329"/>
      <c r="C76" s="329"/>
      <c r="D76" s="329"/>
      <c r="E76" s="329"/>
      <c r="F76" s="329"/>
      <c r="G76" s="329"/>
      <c r="H76" s="329"/>
      <c r="I76" s="329"/>
      <c r="J76" s="329"/>
      <c r="K76" s="329"/>
      <c r="L76" s="329"/>
      <c r="M76" s="329"/>
      <c r="N76" s="329"/>
      <c r="O76" s="329"/>
      <c r="P76" s="329"/>
      <c r="Q76" s="329"/>
      <c r="R76" s="329"/>
      <c r="S76" s="329"/>
      <c r="T76" s="329"/>
      <c r="U76" s="329"/>
      <c r="V76" s="329"/>
      <c r="W76" s="329"/>
      <c r="X76" s="329"/>
      <c r="Y76" s="329"/>
      <c r="Z76" s="329"/>
      <c r="AA76" s="329"/>
      <c r="AB76" s="329"/>
      <c r="AC76" s="329"/>
      <c r="AD76" s="329"/>
      <c r="AE76" s="329"/>
      <c r="AF76" s="329"/>
      <c r="AG76" s="329"/>
      <c r="AH76" s="329"/>
      <c r="AI76" s="329"/>
      <c r="AJ76" s="329"/>
      <c r="AK76" s="329"/>
      <c r="AL76" s="329"/>
      <c r="AM76" s="329"/>
      <c r="AN76" s="329"/>
      <c r="AO76" s="329"/>
      <c r="AP76" s="329"/>
      <c r="AQ76" s="329"/>
      <c r="AR76" s="329"/>
      <c r="AS76" s="329"/>
      <c r="AT76" s="329"/>
      <c r="AU76" s="329"/>
      <c r="AV76" s="329"/>
      <c r="AW76" s="329"/>
      <c r="AX76" s="329"/>
      <c r="AY76" s="329"/>
      <c r="AZ76" s="329"/>
      <c r="BA76" s="329"/>
      <c r="BB76" s="329"/>
      <c r="BC76" s="329"/>
      <c r="BD76" s="329"/>
      <c r="BE76" s="329"/>
      <c r="BF76" s="329"/>
      <c r="BG76" s="329"/>
      <c r="BH76" s="329"/>
      <c r="BI76" s="329"/>
      <c r="BJ76" s="329"/>
      <c r="BK76" s="329"/>
      <c r="BL76" s="329"/>
      <c r="BM76" s="329"/>
      <c r="BN76" s="329"/>
      <c r="BO76" s="329"/>
      <c r="BP76" s="329"/>
      <c r="BQ76" s="329"/>
      <c r="BR76" s="329"/>
      <c r="BS76" s="329"/>
      <c r="BT76" s="329"/>
      <c r="BU76" s="329"/>
      <c r="BV76" s="329"/>
      <c r="BW76" s="329"/>
      <c r="BX76" s="329"/>
      <c r="BY76" s="329"/>
      <c r="BZ76" s="329"/>
      <c r="CA76" s="329"/>
      <c r="CB76" s="329"/>
      <c r="CC76" s="329"/>
      <c r="CD76" s="329"/>
      <c r="CE76" s="329"/>
      <c r="CF76" s="329"/>
      <c r="CG76" s="329"/>
      <c r="CH76" s="329"/>
      <c r="CI76" s="329"/>
      <c r="CJ76" s="329"/>
      <c r="CK76" s="329"/>
      <c r="CL76" s="329"/>
      <c r="CM76" s="329"/>
      <c r="CN76" s="329"/>
      <c r="CO76" s="329"/>
      <c r="CP76" s="329"/>
    </row>
    <row r="77" spans="1:94" x14ac:dyDescent="0.2">
      <c r="A77" s="329"/>
      <c r="B77" s="329"/>
      <c r="C77" s="329"/>
      <c r="D77" s="329"/>
      <c r="E77" s="329"/>
      <c r="F77" s="329"/>
      <c r="G77" s="329"/>
      <c r="H77" s="329"/>
      <c r="I77" s="329"/>
      <c r="J77" s="329"/>
      <c r="K77" s="329"/>
      <c r="L77" s="329"/>
      <c r="M77" s="329"/>
      <c r="N77" s="329"/>
      <c r="O77" s="329"/>
      <c r="P77" s="329"/>
      <c r="Q77" s="329"/>
      <c r="R77" s="329"/>
      <c r="S77" s="329"/>
      <c r="T77" s="329"/>
      <c r="U77" s="329"/>
      <c r="V77" s="329"/>
      <c r="W77" s="329"/>
      <c r="X77" s="329"/>
      <c r="Y77" s="329"/>
      <c r="Z77" s="329"/>
      <c r="AA77" s="329"/>
      <c r="AB77" s="329"/>
      <c r="AC77" s="329"/>
      <c r="AD77" s="329"/>
      <c r="AE77" s="329"/>
      <c r="AF77" s="329"/>
      <c r="AG77" s="329"/>
      <c r="AH77" s="329"/>
      <c r="AI77" s="329"/>
      <c r="AJ77" s="329"/>
      <c r="AK77" s="329"/>
      <c r="AL77" s="329"/>
      <c r="AM77" s="329"/>
      <c r="AN77" s="329"/>
      <c r="AO77" s="329"/>
      <c r="AP77" s="329"/>
      <c r="AQ77" s="329"/>
      <c r="AR77" s="329"/>
      <c r="AS77" s="329"/>
      <c r="AT77" s="329"/>
      <c r="AU77" s="329"/>
      <c r="AV77" s="329"/>
      <c r="AW77" s="329"/>
      <c r="AX77" s="329"/>
      <c r="AY77" s="329"/>
      <c r="AZ77" s="329"/>
      <c r="BA77" s="329"/>
      <c r="BB77" s="329"/>
      <c r="BC77" s="329"/>
      <c r="BD77" s="329"/>
      <c r="BE77" s="329"/>
      <c r="BF77" s="329"/>
      <c r="BG77" s="329"/>
      <c r="BH77" s="329"/>
      <c r="BI77" s="329"/>
      <c r="BJ77" s="329"/>
      <c r="BK77" s="329"/>
      <c r="BL77" s="329"/>
      <c r="BM77" s="329"/>
      <c r="BN77" s="329"/>
      <c r="BO77" s="329"/>
      <c r="BP77" s="329"/>
      <c r="BQ77" s="329"/>
      <c r="BR77" s="329"/>
      <c r="BS77" s="329"/>
      <c r="BT77" s="329"/>
      <c r="BU77" s="329"/>
      <c r="BV77" s="329"/>
      <c r="BW77" s="329"/>
      <c r="BX77" s="329"/>
      <c r="BY77" s="329"/>
      <c r="BZ77" s="329"/>
      <c r="CA77" s="329"/>
      <c r="CB77" s="329"/>
      <c r="CC77" s="329"/>
      <c r="CD77" s="329"/>
      <c r="CE77" s="329"/>
      <c r="CF77" s="329"/>
      <c r="CG77" s="329"/>
      <c r="CH77" s="329"/>
      <c r="CI77" s="329"/>
      <c r="CJ77" s="329"/>
      <c r="CK77" s="329"/>
      <c r="CL77" s="329"/>
      <c r="CM77" s="329"/>
      <c r="CN77" s="329"/>
      <c r="CO77" s="329"/>
      <c r="CP77" s="329"/>
    </row>
    <row r="78" spans="1:94" x14ac:dyDescent="0.2">
      <c r="A78" s="329"/>
      <c r="B78" s="329"/>
      <c r="C78" s="329"/>
      <c r="D78" s="329"/>
      <c r="E78" s="329"/>
      <c r="F78" s="329"/>
      <c r="G78" s="329"/>
      <c r="H78" s="329"/>
      <c r="I78" s="329"/>
      <c r="J78" s="329"/>
      <c r="K78" s="329"/>
      <c r="L78" s="329"/>
      <c r="M78" s="329"/>
      <c r="N78" s="329"/>
      <c r="O78" s="329"/>
      <c r="P78" s="329"/>
      <c r="Q78" s="329"/>
      <c r="R78" s="329"/>
      <c r="S78" s="329"/>
      <c r="T78" s="329"/>
      <c r="U78" s="329"/>
      <c r="V78" s="329"/>
      <c r="W78" s="329"/>
      <c r="X78" s="329"/>
      <c r="Y78" s="329"/>
      <c r="Z78" s="329"/>
      <c r="AA78" s="329"/>
      <c r="AB78" s="329"/>
      <c r="AC78" s="329"/>
      <c r="AD78" s="329"/>
      <c r="AE78" s="329"/>
      <c r="AF78" s="329"/>
      <c r="AG78" s="329"/>
      <c r="AH78" s="329"/>
      <c r="AI78" s="329"/>
      <c r="AJ78" s="329"/>
      <c r="AK78" s="329"/>
      <c r="AL78" s="329"/>
      <c r="AM78" s="329"/>
      <c r="AN78" s="329"/>
      <c r="AO78" s="329"/>
      <c r="AP78" s="329"/>
      <c r="AQ78" s="329"/>
      <c r="AR78" s="329"/>
      <c r="AS78" s="329"/>
      <c r="AT78" s="329"/>
      <c r="AU78" s="329"/>
      <c r="AV78" s="329"/>
      <c r="AW78" s="329"/>
      <c r="AX78" s="329"/>
      <c r="AY78" s="329"/>
      <c r="AZ78" s="329"/>
      <c r="BA78" s="329"/>
      <c r="BB78" s="329"/>
      <c r="BC78" s="329"/>
      <c r="BD78" s="329"/>
      <c r="BE78" s="329"/>
      <c r="BF78" s="329"/>
      <c r="BG78" s="329"/>
      <c r="BH78" s="329"/>
      <c r="BI78" s="329"/>
      <c r="BJ78" s="329"/>
      <c r="BK78" s="329"/>
      <c r="BL78" s="329"/>
      <c r="BM78" s="329"/>
      <c r="BN78" s="329"/>
      <c r="BO78" s="329"/>
      <c r="BP78" s="329"/>
      <c r="BQ78" s="329"/>
      <c r="BR78" s="329"/>
      <c r="BS78" s="329"/>
      <c r="BT78" s="329"/>
      <c r="BU78" s="329"/>
      <c r="BV78" s="329"/>
      <c r="BW78" s="329"/>
      <c r="BX78" s="329"/>
      <c r="BY78" s="329"/>
      <c r="BZ78" s="329"/>
      <c r="CA78" s="329"/>
      <c r="CB78" s="329"/>
      <c r="CC78" s="329"/>
      <c r="CD78" s="329"/>
      <c r="CE78" s="329"/>
      <c r="CF78" s="329"/>
      <c r="CG78" s="329"/>
      <c r="CH78" s="329"/>
      <c r="CI78" s="329"/>
      <c r="CJ78" s="329"/>
      <c r="CK78" s="329"/>
      <c r="CL78" s="329"/>
      <c r="CM78" s="329"/>
      <c r="CN78" s="329"/>
      <c r="CO78" s="329"/>
      <c r="CP78" s="329"/>
    </row>
    <row r="79" spans="1:94" x14ac:dyDescent="0.2">
      <c r="A79" s="329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29"/>
      <c r="AL79" s="329"/>
      <c r="AM79" s="329"/>
      <c r="AN79" s="329"/>
      <c r="AO79" s="329"/>
      <c r="AP79" s="329"/>
      <c r="AQ79" s="329"/>
      <c r="AR79" s="329"/>
      <c r="AS79" s="329"/>
      <c r="AT79" s="329"/>
      <c r="AU79" s="329"/>
      <c r="AV79" s="329"/>
      <c r="AW79" s="329"/>
      <c r="AX79" s="329"/>
      <c r="AY79" s="329"/>
      <c r="AZ79" s="329"/>
      <c r="BA79" s="329"/>
      <c r="BB79" s="329"/>
      <c r="BC79" s="329"/>
      <c r="BD79" s="329"/>
      <c r="BE79" s="329"/>
      <c r="BF79" s="329"/>
      <c r="BG79" s="329"/>
      <c r="BH79" s="329"/>
      <c r="BI79" s="329"/>
      <c r="BJ79" s="329"/>
      <c r="BK79" s="329"/>
      <c r="BL79" s="329"/>
      <c r="BM79" s="329"/>
      <c r="BN79" s="329"/>
      <c r="BO79" s="329"/>
      <c r="BP79" s="329"/>
      <c r="BQ79" s="329"/>
      <c r="BR79" s="329"/>
      <c r="BS79" s="329"/>
      <c r="BT79" s="329"/>
      <c r="BU79" s="329"/>
      <c r="BV79" s="329"/>
      <c r="BW79" s="329"/>
      <c r="BX79" s="329"/>
      <c r="BY79" s="329"/>
      <c r="BZ79" s="329"/>
      <c r="CA79" s="329"/>
      <c r="CB79" s="329"/>
      <c r="CC79" s="329"/>
      <c r="CD79" s="329"/>
      <c r="CE79" s="329"/>
      <c r="CF79" s="329"/>
      <c r="CG79" s="329"/>
      <c r="CH79" s="329"/>
      <c r="CI79" s="329"/>
      <c r="CJ79" s="329"/>
      <c r="CK79" s="329"/>
      <c r="CL79" s="329"/>
      <c r="CM79" s="329"/>
      <c r="CN79" s="329"/>
      <c r="CO79" s="329"/>
      <c r="CP79" s="329"/>
    </row>
    <row r="80" spans="1:94" x14ac:dyDescent="0.2">
      <c r="A80" s="329"/>
      <c r="B80" s="329"/>
      <c r="C80" s="329"/>
      <c r="D80" s="329"/>
      <c r="E80" s="329"/>
      <c r="F80" s="329"/>
      <c r="G80" s="329"/>
      <c r="H80" s="329"/>
      <c r="I80" s="329"/>
      <c r="J80" s="329"/>
      <c r="K80" s="329"/>
      <c r="L80" s="329"/>
      <c r="M80" s="329"/>
      <c r="N80" s="329"/>
      <c r="O80" s="329"/>
      <c r="P80" s="329"/>
      <c r="Q80" s="329"/>
      <c r="R80" s="329"/>
      <c r="S80" s="329"/>
      <c r="T80" s="329"/>
      <c r="U80" s="329"/>
      <c r="V80" s="329"/>
      <c r="W80" s="329"/>
      <c r="X80" s="329"/>
      <c r="Y80" s="329"/>
      <c r="Z80" s="329"/>
      <c r="AA80" s="329"/>
      <c r="AB80" s="329"/>
      <c r="AC80" s="329"/>
      <c r="AD80" s="329"/>
      <c r="AE80" s="329"/>
      <c r="AF80" s="329"/>
      <c r="AG80" s="329"/>
      <c r="AH80" s="329"/>
      <c r="AI80" s="329"/>
      <c r="AJ80" s="329"/>
      <c r="AK80" s="329"/>
      <c r="AL80" s="329"/>
      <c r="AM80" s="329"/>
      <c r="AN80" s="329"/>
      <c r="AO80" s="329"/>
      <c r="AP80" s="329"/>
      <c r="AQ80" s="329"/>
      <c r="AR80" s="329"/>
      <c r="AS80" s="329"/>
      <c r="AT80" s="329"/>
      <c r="AU80" s="329"/>
      <c r="AV80" s="329"/>
      <c r="AW80" s="329"/>
      <c r="AX80" s="329"/>
      <c r="AY80" s="329"/>
      <c r="AZ80" s="329"/>
      <c r="BA80" s="329"/>
      <c r="BB80" s="329"/>
      <c r="BC80" s="329"/>
      <c r="BD80" s="329"/>
      <c r="BE80" s="329"/>
      <c r="BF80" s="329"/>
      <c r="BG80" s="329"/>
      <c r="BH80" s="329"/>
      <c r="BI80" s="329"/>
      <c r="BJ80" s="329"/>
      <c r="BK80" s="329"/>
      <c r="BL80" s="329"/>
      <c r="BM80" s="329"/>
      <c r="BN80" s="329"/>
      <c r="BO80" s="329"/>
      <c r="BP80" s="329"/>
      <c r="BQ80" s="329"/>
      <c r="BR80" s="329"/>
      <c r="BS80" s="329"/>
      <c r="BT80" s="329"/>
      <c r="BU80" s="329"/>
      <c r="BV80" s="329"/>
      <c r="BW80" s="329"/>
      <c r="BX80" s="329"/>
      <c r="BY80" s="329"/>
      <c r="BZ80" s="329"/>
      <c r="CA80" s="329"/>
      <c r="CB80" s="329"/>
      <c r="CC80" s="329"/>
      <c r="CD80" s="329"/>
      <c r="CE80" s="329"/>
      <c r="CF80" s="329"/>
      <c r="CG80" s="329"/>
      <c r="CH80" s="329"/>
      <c r="CI80" s="329"/>
      <c r="CJ80" s="329"/>
      <c r="CK80" s="329"/>
      <c r="CL80" s="329"/>
      <c r="CM80" s="329"/>
      <c r="CN80" s="329"/>
      <c r="CO80" s="329"/>
      <c r="CP80" s="329"/>
    </row>
    <row r="81" spans="1:94" x14ac:dyDescent="0.2">
      <c r="A81" s="329"/>
      <c r="B81" s="329"/>
      <c r="C81" s="329"/>
      <c r="D81" s="329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  <c r="AE81" s="329"/>
      <c r="AF81" s="329"/>
      <c r="AG81" s="329"/>
      <c r="AH81" s="329"/>
      <c r="AI81" s="329"/>
      <c r="AJ81" s="329"/>
      <c r="AK81" s="329"/>
      <c r="AL81" s="329"/>
      <c r="AM81" s="329"/>
      <c r="AN81" s="329"/>
      <c r="AO81" s="329"/>
      <c r="AP81" s="329"/>
      <c r="AQ81" s="329"/>
      <c r="AR81" s="329"/>
      <c r="AS81" s="329"/>
      <c r="AT81" s="329"/>
      <c r="AU81" s="329"/>
      <c r="AV81" s="329"/>
      <c r="AW81" s="329"/>
      <c r="AX81" s="329"/>
      <c r="AY81" s="329"/>
      <c r="AZ81" s="329"/>
      <c r="BA81" s="329"/>
      <c r="BB81" s="329"/>
      <c r="BC81" s="329"/>
      <c r="BD81" s="329"/>
      <c r="BE81" s="329"/>
      <c r="BF81" s="329"/>
      <c r="BG81" s="329"/>
      <c r="BH81" s="329"/>
      <c r="BI81" s="329"/>
      <c r="BJ81" s="329"/>
      <c r="BK81" s="329"/>
      <c r="BL81" s="329"/>
      <c r="BM81" s="329"/>
      <c r="BN81" s="329"/>
      <c r="BO81" s="329"/>
      <c r="BP81" s="329"/>
      <c r="BQ81" s="329"/>
      <c r="BR81" s="329"/>
      <c r="BS81" s="329"/>
      <c r="BT81" s="329"/>
      <c r="BU81" s="329"/>
      <c r="BV81" s="329"/>
      <c r="BW81" s="329"/>
      <c r="BX81" s="329"/>
      <c r="BY81" s="329"/>
      <c r="BZ81" s="329"/>
      <c r="CA81" s="329"/>
      <c r="CB81" s="329"/>
      <c r="CC81" s="329"/>
      <c r="CD81" s="329"/>
      <c r="CE81" s="329"/>
      <c r="CF81" s="329"/>
      <c r="CG81" s="329"/>
      <c r="CH81" s="329"/>
      <c r="CI81" s="329"/>
      <c r="CJ81" s="329"/>
      <c r="CK81" s="329"/>
      <c r="CL81" s="329"/>
      <c r="CM81" s="329"/>
      <c r="CN81" s="329"/>
      <c r="CO81" s="329"/>
      <c r="CP81" s="329"/>
    </row>
    <row r="82" spans="1:94" x14ac:dyDescent="0.2">
      <c r="A82" s="329"/>
      <c r="B82" s="329"/>
      <c r="C82" s="329"/>
      <c r="D82" s="329"/>
      <c r="E82" s="329"/>
      <c r="F82" s="329"/>
      <c r="G82" s="329"/>
      <c r="H82" s="329"/>
      <c r="I82" s="329"/>
      <c r="J82" s="329"/>
      <c r="K82" s="329"/>
      <c r="L82" s="329"/>
      <c r="M82" s="329"/>
      <c r="N82" s="329"/>
      <c r="O82" s="329"/>
      <c r="P82" s="329"/>
      <c r="Q82" s="329"/>
      <c r="R82" s="329"/>
      <c r="S82" s="329"/>
      <c r="T82" s="329"/>
      <c r="U82" s="329"/>
      <c r="V82" s="329"/>
      <c r="W82" s="329"/>
      <c r="X82" s="329"/>
      <c r="Y82" s="329"/>
      <c r="Z82" s="329"/>
      <c r="AA82" s="329"/>
      <c r="AB82" s="329"/>
      <c r="AC82" s="329"/>
      <c r="AD82" s="329"/>
      <c r="AE82" s="329"/>
      <c r="AF82" s="329"/>
      <c r="AG82" s="329"/>
      <c r="AH82" s="329"/>
      <c r="AI82" s="329"/>
      <c r="AJ82" s="329"/>
      <c r="AK82" s="329"/>
      <c r="AL82" s="329"/>
      <c r="AM82" s="329"/>
      <c r="AN82" s="329"/>
      <c r="AO82" s="329"/>
      <c r="AP82" s="329"/>
      <c r="AQ82" s="329"/>
      <c r="AR82" s="329"/>
      <c r="AS82" s="329"/>
      <c r="AT82" s="329"/>
      <c r="AU82" s="329"/>
      <c r="AV82" s="329"/>
      <c r="AW82" s="329"/>
      <c r="AX82" s="329"/>
      <c r="AY82" s="329"/>
      <c r="AZ82" s="329"/>
      <c r="BA82" s="329"/>
      <c r="BB82" s="329"/>
      <c r="BC82" s="329"/>
      <c r="BD82" s="329"/>
      <c r="BE82" s="329"/>
      <c r="BF82" s="329"/>
      <c r="BG82" s="329"/>
      <c r="BH82" s="329"/>
      <c r="BI82" s="329"/>
      <c r="BJ82" s="329"/>
      <c r="BK82" s="329"/>
      <c r="BL82" s="329"/>
      <c r="BM82" s="329"/>
      <c r="BN82" s="329"/>
      <c r="BO82" s="329"/>
      <c r="BP82" s="329"/>
      <c r="BQ82" s="329"/>
      <c r="BR82" s="329"/>
      <c r="BS82" s="329"/>
      <c r="BT82" s="329"/>
      <c r="BU82" s="329"/>
      <c r="BV82" s="329"/>
      <c r="BW82" s="329"/>
      <c r="BX82" s="329"/>
      <c r="BY82" s="329"/>
      <c r="BZ82" s="329"/>
      <c r="CA82" s="329"/>
      <c r="CB82" s="329"/>
      <c r="CC82" s="329"/>
      <c r="CD82" s="329"/>
      <c r="CE82" s="329"/>
      <c r="CF82" s="329"/>
      <c r="CG82" s="329"/>
      <c r="CH82" s="329"/>
      <c r="CI82" s="329"/>
      <c r="CJ82" s="329"/>
      <c r="CK82" s="329"/>
      <c r="CL82" s="329"/>
      <c r="CM82" s="329"/>
      <c r="CN82" s="329"/>
      <c r="CO82" s="329"/>
      <c r="CP82" s="329"/>
    </row>
    <row r="83" spans="1:94" x14ac:dyDescent="0.2">
      <c r="A83" s="329"/>
      <c r="B83" s="329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29"/>
      <c r="T83" s="329"/>
      <c r="U83" s="329"/>
      <c r="V83" s="329"/>
      <c r="W83" s="329"/>
      <c r="X83" s="329"/>
      <c r="Y83" s="329"/>
      <c r="Z83" s="329"/>
      <c r="AA83" s="329"/>
      <c r="AB83" s="329"/>
      <c r="AC83" s="329"/>
      <c r="AD83" s="329"/>
      <c r="AE83" s="329"/>
      <c r="AF83" s="329"/>
      <c r="AG83" s="329"/>
      <c r="AH83" s="329"/>
      <c r="AI83" s="329"/>
      <c r="AJ83" s="329"/>
      <c r="AK83" s="329"/>
      <c r="AL83" s="329"/>
      <c r="AM83" s="329"/>
      <c r="AN83" s="329"/>
      <c r="AO83" s="329"/>
      <c r="AP83" s="329"/>
      <c r="AQ83" s="329"/>
      <c r="AR83" s="329"/>
      <c r="AS83" s="329"/>
      <c r="AT83" s="329"/>
      <c r="AU83" s="329"/>
      <c r="AV83" s="329"/>
      <c r="AW83" s="329"/>
      <c r="AX83" s="329"/>
      <c r="AY83" s="329"/>
      <c r="AZ83" s="329"/>
      <c r="BA83" s="329"/>
      <c r="BB83" s="329"/>
      <c r="BC83" s="329"/>
      <c r="BD83" s="329"/>
      <c r="BE83" s="329"/>
      <c r="BF83" s="329"/>
      <c r="BG83" s="329"/>
      <c r="BH83" s="329"/>
      <c r="BI83" s="329"/>
      <c r="BJ83" s="329"/>
      <c r="BK83" s="329"/>
      <c r="BL83" s="329"/>
      <c r="BM83" s="329"/>
      <c r="BN83" s="329"/>
      <c r="BO83" s="329"/>
      <c r="BP83" s="329"/>
      <c r="BQ83" s="329"/>
      <c r="BR83" s="329"/>
      <c r="BS83" s="329"/>
      <c r="BT83" s="329"/>
      <c r="BU83" s="329"/>
      <c r="BV83" s="329"/>
      <c r="BW83" s="329"/>
      <c r="BX83" s="329"/>
      <c r="BY83" s="329"/>
      <c r="BZ83" s="329"/>
      <c r="CA83" s="329"/>
      <c r="CB83" s="329"/>
      <c r="CC83" s="329"/>
      <c r="CD83" s="329"/>
      <c r="CE83" s="329"/>
      <c r="CF83" s="329"/>
      <c r="CG83" s="329"/>
      <c r="CH83" s="329"/>
      <c r="CI83" s="329"/>
      <c r="CJ83" s="329"/>
      <c r="CK83" s="329"/>
      <c r="CL83" s="329"/>
      <c r="CM83" s="329"/>
      <c r="CN83" s="329"/>
      <c r="CO83" s="329"/>
      <c r="CP83" s="329"/>
    </row>
    <row r="84" spans="1:94" x14ac:dyDescent="0.2">
      <c r="A84" s="329"/>
      <c r="B84" s="329"/>
      <c r="C84" s="329"/>
      <c r="D84" s="329"/>
      <c r="E84" s="329"/>
      <c r="F84" s="329"/>
      <c r="G84" s="329"/>
      <c r="H84" s="329"/>
      <c r="I84" s="329"/>
      <c r="J84" s="329"/>
      <c r="K84" s="329"/>
      <c r="L84" s="329"/>
      <c r="M84" s="329"/>
      <c r="N84" s="329"/>
      <c r="O84" s="329"/>
      <c r="P84" s="329"/>
      <c r="Q84" s="329"/>
      <c r="R84" s="329"/>
      <c r="S84" s="329"/>
      <c r="T84" s="329"/>
      <c r="U84" s="329"/>
      <c r="V84" s="329"/>
      <c r="W84" s="329"/>
      <c r="X84" s="329"/>
      <c r="Y84" s="329"/>
      <c r="Z84" s="329"/>
      <c r="AA84" s="329"/>
      <c r="AB84" s="329"/>
      <c r="AC84" s="329"/>
      <c r="AD84" s="329"/>
      <c r="AE84" s="329"/>
      <c r="AF84" s="329"/>
      <c r="AG84" s="329"/>
      <c r="AH84" s="329"/>
      <c r="AI84" s="329"/>
      <c r="AJ84" s="329"/>
      <c r="AK84" s="329"/>
      <c r="AL84" s="329"/>
      <c r="AM84" s="329"/>
      <c r="AN84" s="329"/>
      <c r="AO84" s="329"/>
      <c r="AP84" s="329"/>
      <c r="AQ84" s="329"/>
      <c r="AR84" s="329"/>
      <c r="AS84" s="329"/>
      <c r="AT84" s="329"/>
      <c r="AU84" s="329"/>
      <c r="AV84" s="329"/>
      <c r="AW84" s="329"/>
      <c r="AX84" s="329"/>
      <c r="AY84" s="329"/>
      <c r="AZ84" s="329"/>
      <c r="BA84" s="329"/>
      <c r="BB84" s="329"/>
      <c r="BC84" s="329"/>
      <c r="BD84" s="329"/>
      <c r="BE84" s="329"/>
      <c r="BF84" s="329"/>
      <c r="BG84" s="329"/>
      <c r="BH84" s="329"/>
      <c r="BI84" s="329"/>
      <c r="BJ84" s="329"/>
      <c r="BK84" s="329"/>
      <c r="BL84" s="329"/>
      <c r="BM84" s="329"/>
      <c r="BN84" s="329"/>
      <c r="BO84" s="329"/>
      <c r="BP84" s="329"/>
      <c r="BQ84" s="329"/>
      <c r="BR84" s="329"/>
      <c r="BS84" s="329"/>
      <c r="BT84" s="329"/>
      <c r="BU84" s="329"/>
      <c r="BV84" s="329"/>
      <c r="BW84" s="329"/>
      <c r="BX84" s="329"/>
      <c r="BY84" s="329"/>
      <c r="BZ84" s="329"/>
      <c r="CA84" s="329"/>
      <c r="CB84" s="329"/>
      <c r="CC84" s="329"/>
      <c r="CD84" s="329"/>
      <c r="CE84" s="329"/>
      <c r="CF84" s="329"/>
      <c r="CG84" s="329"/>
      <c r="CH84" s="329"/>
      <c r="CI84" s="329"/>
      <c r="CJ84" s="329"/>
      <c r="CK84" s="329"/>
      <c r="CL84" s="329"/>
      <c r="CM84" s="329"/>
      <c r="CN84" s="329"/>
      <c r="CO84" s="329"/>
      <c r="CP84" s="329"/>
    </row>
    <row r="85" spans="1:94" x14ac:dyDescent="0.2">
      <c r="A85" s="329"/>
      <c r="B85" s="329"/>
      <c r="C85" s="329"/>
      <c r="D85" s="329"/>
      <c r="E85" s="329"/>
      <c r="F85" s="329"/>
      <c r="G85" s="329"/>
      <c r="H85" s="329"/>
      <c r="I85" s="329"/>
      <c r="J85" s="329"/>
      <c r="K85" s="329"/>
      <c r="L85" s="329"/>
      <c r="M85" s="329"/>
      <c r="N85" s="329"/>
      <c r="O85" s="329"/>
      <c r="P85" s="329"/>
      <c r="Q85" s="329"/>
      <c r="R85" s="329"/>
      <c r="S85" s="329"/>
      <c r="T85" s="329"/>
      <c r="U85" s="329"/>
      <c r="V85" s="329"/>
      <c r="W85" s="329"/>
      <c r="X85" s="329"/>
      <c r="Y85" s="329"/>
      <c r="Z85" s="329"/>
      <c r="AA85" s="329"/>
      <c r="AB85" s="329"/>
      <c r="AC85" s="329"/>
      <c r="AD85" s="329"/>
      <c r="AE85" s="329"/>
      <c r="AF85" s="329"/>
      <c r="AG85" s="329"/>
      <c r="AH85" s="329"/>
      <c r="AI85" s="329"/>
      <c r="AJ85" s="329"/>
      <c r="AK85" s="329"/>
      <c r="AL85" s="329"/>
      <c r="AM85" s="329"/>
      <c r="AN85" s="329"/>
      <c r="AO85" s="329"/>
      <c r="AP85" s="329"/>
      <c r="AQ85" s="329"/>
      <c r="AR85" s="329"/>
      <c r="AS85" s="329"/>
      <c r="AT85" s="329"/>
      <c r="AU85" s="329"/>
      <c r="AV85" s="329"/>
      <c r="AW85" s="329"/>
      <c r="AX85" s="329"/>
      <c r="AY85" s="329"/>
      <c r="AZ85" s="329"/>
      <c r="BA85" s="329"/>
      <c r="BB85" s="329"/>
      <c r="BC85" s="329"/>
      <c r="BD85" s="329"/>
      <c r="BE85" s="329"/>
      <c r="BF85" s="329"/>
      <c r="BG85" s="329"/>
      <c r="BH85" s="329"/>
      <c r="BI85" s="329"/>
      <c r="BJ85" s="329"/>
      <c r="BK85" s="329"/>
      <c r="BL85" s="329"/>
      <c r="BM85" s="329"/>
      <c r="BN85" s="329"/>
      <c r="BO85" s="329"/>
      <c r="BP85" s="329"/>
      <c r="BQ85" s="329"/>
      <c r="BR85" s="329"/>
      <c r="BS85" s="329"/>
      <c r="BT85" s="329"/>
      <c r="BU85" s="329"/>
      <c r="BV85" s="329"/>
      <c r="BW85" s="329"/>
      <c r="BX85" s="329"/>
      <c r="BY85" s="329"/>
      <c r="BZ85" s="329"/>
      <c r="CA85" s="329"/>
      <c r="CB85" s="329"/>
      <c r="CC85" s="329"/>
      <c r="CD85" s="329"/>
      <c r="CE85" s="329"/>
      <c r="CF85" s="329"/>
      <c r="CG85" s="329"/>
      <c r="CH85" s="329"/>
      <c r="CI85" s="329"/>
      <c r="CJ85" s="329"/>
      <c r="CK85" s="329"/>
      <c r="CL85" s="329"/>
      <c r="CM85" s="329"/>
      <c r="CN85" s="329"/>
      <c r="CO85" s="329"/>
      <c r="CP85" s="329"/>
    </row>
    <row r="86" spans="1:94" x14ac:dyDescent="0.2">
      <c r="A86" s="329"/>
      <c r="B86" s="329"/>
      <c r="C86" s="329"/>
      <c r="D86" s="329"/>
      <c r="E86" s="329"/>
      <c r="F86" s="329"/>
      <c r="G86" s="329"/>
      <c r="H86" s="329"/>
      <c r="I86" s="329"/>
      <c r="J86" s="329"/>
      <c r="K86" s="329"/>
      <c r="L86" s="329"/>
      <c r="M86" s="329"/>
      <c r="N86" s="329"/>
      <c r="O86" s="329"/>
      <c r="P86" s="329"/>
      <c r="Q86" s="329"/>
      <c r="R86" s="329"/>
      <c r="S86" s="329"/>
      <c r="T86" s="329"/>
      <c r="U86" s="329"/>
      <c r="V86" s="329"/>
      <c r="W86" s="329"/>
      <c r="X86" s="329"/>
      <c r="Y86" s="329"/>
      <c r="Z86" s="329"/>
      <c r="AA86" s="329"/>
      <c r="AB86" s="329"/>
      <c r="AC86" s="329"/>
      <c r="AD86" s="329"/>
      <c r="AE86" s="329"/>
      <c r="AF86" s="329"/>
      <c r="AG86" s="329"/>
      <c r="AH86" s="329"/>
      <c r="AI86" s="329"/>
      <c r="AJ86" s="329"/>
      <c r="AK86" s="329"/>
      <c r="AL86" s="329"/>
      <c r="AM86" s="329"/>
      <c r="AN86" s="329"/>
      <c r="AO86" s="329"/>
      <c r="AP86" s="329"/>
      <c r="AQ86" s="329"/>
      <c r="AR86" s="329"/>
      <c r="AS86" s="329"/>
      <c r="AT86" s="329"/>
      <c r="AU86" s="329"/>
      <c r="AV86" s="329"/>
      <c r="AW86" s="329"/>
      <c r="AX86" s="329"/>
      <c r="AY86" s="329"/>
      <c r="AZ86" s="329"/>
      <c r="BA86" s="329"/>
      <c r="BB86" s="329"/>
      <c r="BC86" s="329"/>
      <c r="BD86" s="329"/>
      <c r="BE86" s="329"/>
      <c r="BF86" s="329"/>
      <c r="BG86" s="329"/>
      <c r="BH86" s="329"/>
      <c r="BI86" s="329"/>
      <c r="BJ86" s="329"/>
      <c r="BK86" s="329"/>
      <c r="BL86" s="329"/>
      <c r="BM86" s="329"/>
      <c r="BN86" s="329"/>
      <c r="BO86" s="329"/>
      <c r="BP86" s="329"/>
      <c r="BQ86" s="329"/>
      <c r="BR86" s="329"/>
      <c r="BS86" s="329"/>
      <c r="BT86" s="329"/>
      <c r="BU86" s="329"/>
      <c r="BV86" s="329"/>
      <c r="BW86" s="329"/>
      <c r="BX86" s="329"/>
      <c r="BY86" s="329"/>
      <c r="BZ86" s="329"/>
      <c r="CA86" s="329"/>
      <c r="CB86" s="329"/>
      <c r="CC86" s="329"/>
      <c r="CD86" s="329"/>
      <c r="CE86" s="329"/>
      <c r="CF86" s="329"/>
      <c r="CG86" s="329"/>
      <c r="CH86" s="329"/>
      <c r="CI86" s="329"/>
      <c r="CJ86" s="329"/>
      <c r="CK86" s="329"/>
      <c r="CL86" s="329"/>
      <c r="CM86" s="329"/>
      <c r="CN86" s="329"/>
      <c r="CO86" s="329"/>
      <c r="CP86" s="329"/>
    </row>
    <row r="87" spans="1:94" x14ac:dyDescent="0.2">
      <c r="A87" s="329"/>
      <c r="B87" s="329"/>
      <c r="C87" s="329"/>
      <c r="D87" s="329"/>
      <c r="E87" s="329"/>
      <c r="F87" s="329"/>
      <c r="G87" s="329"/>
      <c r="H87" s="329"/>
      <c r="I87" s="329"/>
      <c r="J87" s="329"/>
      <c r="K87" s="329"/>
      <c r="L87" s="329"/>
      <c r="M87" s="329"/>
      <c r="N87" s="329"/>
      <c r="O87" s="329"/>
      <c r="P87" s="329"/>
      <c r="Q87" s="329"/>
      <c r="R87" s="329"/>
      <c r="S87" s="329"/>
      <c r="T87" s="329"/>
      <c r="U87" s="329"/>
      <c r="V87" s="329"/>
      <c r="W87" s="329"/>
      <c r="X87" s="329"/>
      <c r="Y87" s="329"/>
      <c r="Z87" s="329"/>
      <c r="AA87" s="329"/>
      <c r="AB87" s="329"/>
      <c r="AC87" s="329"/>
      <c r="AD87" s="329"/>
      <c r="AE87" s="329"/>
      <c r="AF87" s="329"/>
      <c r="AG87" s="329"/>
      <c r="AH87" s="329"/>
      <c r="AI87" s="329"/>
      <c r="AJ87" s="329"/>
      <c r="AK87" s="329"/>
      <c r="AL87" s="329"/>
      <c r="AM87" s="329"/>
      <c r="AN87" s="329"/>
      <c r="AO87" s="329"/>
      <c r="AP87" s="329"/>
      <c r="AQ87" s="329"/>
      <c r="AR87" s="329"/>
      <c r="AS87" s="329"/>
      <c r="AT87" s="329"/>
      <c r="AU87" s="329"/>
      <c r="AV87" s="329"/>
      <c r="AW87" s="329"/>
      <c r="AX87" s="329"/>
      <c r="AY87" s="329"/>
      <c r="AZ87" s="329"/>
      <c r="BA87" s="329"/>
      <c r="BB87" s="329"/>
      <c r="BC87" s="329"/>
      <c r="BD87" s="329"/>
      <c r="BE87" s="329"/>
      <c r="BF87" s="329"/>
      <c r="BG87" s="329"/>
      <c r="BH87" s="329"/>
      <c r="BI87" s="329"/>
      <c r="BJ87" s="329"/>
      <c r="BK87" s="329"/>
      <c r="BL87" s="329"/>
      <c r="BM87" s="329"/>
      <c r="BN87" s="329"/>
      <c r="BO87" s="329"/>
      <c r="BP87" s="329"/>
      <c r="BQ87" s="329"/>
      <c r="BR87" s="329"/>
      <c r="BS87" s="329"/>
      <c r="BT87" s="329"/>
      <c r="BU87" s="329"/>
      <c r="BV87" s="329"/>
      <c r="BW87" s="329"/>
      <c r="BX87" s="329"/>
      <c r="BY87" s="329"/>
      <c r="BZ87" s="329"/>
      <c r="CA87" s="329"/>
      <c r="CB87" s="329"/>
      <c r="CC87" s="329"/>
      <c r="CD87" s="329"/>
      <c r="CE87" s="329"/>
      <c r="CF87" s="329"/>
      <c r="CG87" s="329"/>
      <c r="CH87" s="329"/>
      <c r="CI87" s="329"/>
      <c r="CJ87" s="329"/>
      <c r="CK87" s="329"/>
      <c r="CL87" s="329"/>
      <c r="CM87" s="329"/>
      <c r="CN87" s="329"/>
      <c r="CO87" s="329"/>
      <c r="CP87" s="329"/>
    </row>
    <row r="88" spans="1:94" x14ac:dyDescent="0.2">
      <c r="A88" s="329"/>
      <c r="B88" s="329"/>
      <c r="C88" s="329"/>
      <c r="D88" s="329"/>
      <c r="E88" s="329"/>
      <c r="F88" s="329"/>
      <c r="G88" s="329"/>
      <c r="H88" s="329"/>
      <c r="I88" s="329"/>
      <c r="J88" s="329"/>
      <c r="K88" s="329"/>
      <c r="L88" s="329"/>
      <c r="M88" s="329"/>
      <c r="N88" s="329"/>
      <c r="O88" s="329"/>
      <c r="P88" s="329"/>
      <c r="Q88" s="329"/>
      <c r="R88" s="329"/>
      <c r="S88" s="329"/>
      <c r="T88" s="329"/>
      <c r="U88" s="329"/>
      <c r="V88" s="329"/>
      <c r="W88" s="329"/>
      <c r="X88" s="329"/>
      <c r="Y88" s="329"/>
      <c r="Z88" s="329"/>
      <c r="AA88" s="329"/>
      <c r="AB88" s="329"/>
      <c r="AC88" s="329"/>
      <c r="AD88" s="329"/>
      <c r="AE88" s="329"/>
      <c r="AF88" s="329"/>
      <c r="AG88" s="329"/>
      <c r="AH88" s="329"/>
      <c r="AI88" s="329"/>
      <c r="AJ88" s="329"/>
      <c r="AK88" s="329"/>
      <c r="AL88" s="329"/>
      <c r="AM88" s="329"/>
      <c r="AN88" s="329"/>
      <c r="AO88" s="329"/>
      <c r="AP88" s="329"/>
      <c r="AQ88" s="329"/>
      <c r="AR88" s="329"/>
      <c r="AS88" s="329"/>
      <c r="AT88" s="329"/>
      <c r="AU88" s="329"/>
      <c r="AV88" s="329"/>
      <c r="AW88" s="329"/>
      <c r="AX88" s="329"/>
      <c r="AY88" s="329"/>
      <c r="AZ88" s="329"/>
      <c r="BA88" s="329"/>
      <c r="BB88" s="329"/>
      <c r="BC88" s="329"/>
      <c r="BD88" s="329"/>
      <c r="BE88" s="329"/>
      <c r="BF88" s="329"/>
      <c r="BG88" s="329"/>
      <c r="BH88" s="329"/>
      <c r="BI88" s="329"/>
      <c r="BJ88" s="329"/>
      <c r="BK88" s="329"/>
      <c r="BL88" s="329"/>
      <c r="BM88" s="329"/>
      <c r="BN88" s="329"/>
      <c r="BO88" s="329"/>
      <c r="BP88" s="329"/>
      <c r="BQ88" s="329"/>
      <c r="BR88" s="329"/>
      <c r="BS88" s="329"/>
      <c r="BT88" s="329"/>
      <c r="BU88" s="329"/>
      <c r="BV88" s="329"/>
      <c r="BW88" s="329"/>
      <c r="BX88" s="329"/>
      <c r="BY88" s="329"/>
      <c r="BZ88" s="329"/>
      <c r="CA88" s="329"/>
      <c r="CB88" s="329"/>
      <c r="CC88" s="329"/>
      <c r="CD88" s="329"/>
      <c r="CE88" s="329"/>
      <c r="CF88" s="329"/>
      <c r="CG88" s="329"/>
      <c r="CH88" s="329"/>
      <c r="CI88" s="329"/>
      <c r="CJ88" s="329"/>
      <c r="CK88" s="329"/>
      <c r="CL88" s="329"/>
      <c r="CM88" s="329"/>
      <c r="CN88" s="329"/>
      <c r="CO88" s="329"/>
      <c r="CP88" s="329"/>
    </row>
    <row r="89" spans="1:94" x14ac:dyDescent="0.2">
      <c r="A89" s="329"/>
      <c r="B89" s="329"/>
      <c r="C89" s="329"/>
      <c r="D89" s="329"/>
      <c r="E89" s="329"/>
      <c r="F89" s="329"/>
      <c r="G89" s="329"/>
      <c r="H89" s="329"/>
      <c r="I89" s="329"/>
      <c r="J89" s="329"/>
      <c r="K89" s="329"/>
      <c r="L89" s="329"/>
      <c r="M89" s="329"/>
      <c r="N89" s="329"/>
      <c r="O89" s="329"/>
      <c r="P89" s="329"/>
      <c r="Q89" s="329"/>
      <c r="R89" s="329"/>
      <c r="S89" s="329"/>
      <c r="T89" s="329"/>
      <c r="U89" s="329"/>
      <c r="V89" s="329"/>
      <c r="W89" s="329"/>
      <c r="X89" s="329"/>
      <c r="Y89" s="329"/>
      <c r="Z89" s="329"/>
      <c r="AA89" s="329"/>
      <c r="AB89" s="329"/>
      <c r="AC89" s="329"/>
      <c r="AD89" s="329"/>
      <c r="AE89" s="329"/>
      <c r="AF89" s="329"/>
      <c r="AG89" s="329"/>
      <c r="AH89" s="329"/>
      <c r="AI89" s="329"/>
      <c r="AJ89" s="329"/>
      <c r="AK89" s="329"/>
      <c r="AL89" s="329"/>
      <c r="AM89" s="329"/>
      <c r="AN89" s="329"/>
      <c r="AO89" s="329"/>
      <c r="AP89" s="329"/>
      <c r="AQ89" s="329"/>
      <c r="AR89" s="329"/>
      <c r="AS89" s="329"/>
      <c r="AT89" s="329"/>
      <c r="AU89" s="329"/>
      <c r="AV89" s="329"/>
      <c r="AW89" s="329"/>
      <c r="AX89" s="329"/>
      <c r="AY89" s="329"/>
      <c r="AZ89" s="329"/>
      <c r="BA89" s="329"/>
      <c r="BB89" s="329"/>
      <c r="BC89" s="329"/>
      <c r="BD89" s="329"/>
      <c r="BE89" s="329"/>
      <c r="BF89" s="329"/>
      <c r="BG89" s="329"/>
      <c r="BH89" s="329"/>
      <c r="BI89" s="329"/>
      <c r="BJ89" s="329"/>
      <c r="BK89" s="329"/>
      <c r="BL89" s="329"/>
      <c r="BM89" s="329"/>
      <c r="BN89" s="329"/>
      <c r="BO89" s="329"/>
      <c r="BP89" s="329"/>
      <c r="BQ89" s="329"/>
      <c r="BR89" s="329"/>
      <c r="BS89" s="329"/>
      <c r="BT89" s="329"/>
      <c r="BU89" s="329"/>
      <c r="BV89" s="329"/>
      <c r="BW89" s="329"/>
      <c r="BX89" s="329"/>
      <c r="BY89" s="329"/>
      <c r="BZ89" s="329"/>
      <c r="CA89" s="329"/>
      <c r="CB89" s="329"/>
      <c r="CC89" s="329"/>
      <c r="CD89" s="329"/>
      <c r="CE89" s="329"/>
      <c r="CF89" s="329"/>
      <c r="CG89" s="329"/>
      <c r="CH89" s="329"/>
      <c r="CI89" s="329"/>
      <c r="CJ89" s="329"/>
      <c r="CK89" s="329"/>
      <c r="CL89" s="329"/>
      <c r="CM89" s="329"/>
      <c r="CN89" s="329"/>
      <c r="CO89" s="329"/>
      <c r="CP89" s="329"/>
    </row>
    <row r="90" spans="1:94" x14ac:dyDescent="0.2">
      <c r="A90" s="329"/>
      <c r="B90" s="329"/>
      <c r="C90" s="329"/>
      <c r="D90" s="329"/>
      <c r="E90" s="329"/>
      <c r="F90" s="329"/>
      <c r="G90" s="329"/>
      <c r="H90" s="329"/>
      <c r="I90" s="329"/>
      <c r="J90" s="329"/>
      <c r="K90" s="329"/>
      <c r="L90" s="329"/>
      <c r="M90" s="329"/>
      <c r="N90" s="329"/>
      <c r="O90" s="329"/>
      <c r="P90" s="329"/>
      <c r="Q90" s="329"/>
      <c r="R90" s="329"/>
      <c r="S90" s="329"/>
      <c r="T90" s="329"/>
      <c r="U90" s="329"/>
      <c r="V90" s="329"/>
      <c r="W90" s="329"/>
      <c r="X90" s="329"/>
      <c r="Y90" s="329"/>
      <c r="Z90" s="329"/>
      <c r="AA90" s="329"/>
      <c r="AB90" s="329"/>
      <c r="AC90" s="329"/>
      <c r="AD90" s="329"/>
      <c r="AE90" s="329"/>
      <c r="AF90" s="329"/>
      <c r="AG90" s="329"/>
      <c r="AH90" s="329"/>
      <c r="AI90" s="329"/>
      <c r="AJ90" s="329"/>
      <c r="AK90" s="329"/>
      <c r="AL90" s="329"/>
      <c r="AM90" s="329"/>
      <c r="AN90" s="329"/>
      <c r="AO90" s="329"/>
      <c r="AP90" s="329"/>
      <c r="AQ90" s="329"/>
      <c r="AR90" s="329"/>
      <c r="AS90" s="329"/>
      <c r="AT90" s="329"/>
      <c r="AU90" s="329"/>
      <c r="AV90" s="329"/>
      <c r="AW90" s="329"/>
      <c r="AX90" s="329"/>
      <c r="AY90" s="329"/>
      <c r="AZ90" s="329"/>
      <c r="BA90" s="329"/>
      <c r="BB90" s="329"/>
      <c r="BC90" s="329"/>
      <c r="BD90" s="329"/>
      <c r="BE90" s="329"/>
      <c r="BF90" s="329"/>
      <c r="BG90" s="329"/>
      <c r="BH90" s="329"/>
      <c r="BI90" s="329"/>
      <c r="BJ90" s="329"/>
      <c r="BK90" s="329"/>
      <c r="BL90" s="329"/>
      <c r="BM90" s="329"/>
      <c r="BN90" s="329"/>
      <c r="BO90" s="329"/>
      <c r="BP90" s="329"/>
      <c r="BQ90" s="329"/>
      <c r="BR90" s="329"/>
      <c r="BS90" s="329"/>
      <c r="BT90" s="329"/>
      <c r="BU90" s="329"/>
      <c r="BV90" s="329"/>
      <c r="BW90" s="329"/>
      <c r="BX90" s="329"/>
      <c r="BY90" s="329"/>
      <c r="BZ90" s="329"/>
      <c r="CA90" s="329"/>
      <c r="CB90" s="329"/>
      <c r="CC90" s="329"/>
      <c r="CD90" s="329"/>
      <c r="CE90" s="329"/>
      <c r="CF90" s="329"/>
      <c r="CG90" s="329"/>
      <c r="CH90" s="329"/>
      <c r="CI90" s="329"/>
      <c r="CJ90" s="329"/>
      <c r="CK90" s="329"/>
      <c r="CL90" s="329"/>
      <c r="CM90" s="329"/>
      <c r="CN90" s="329"/>
      <c r="CO90" s="329"/>
      <c r="CP90" s="329"/>
    </row>
    <row r="91" spans="1:94" x14ac:dyDescent="0.2">
      <c r="A91" s="329"/>
      <c r="B91" s="329"/>
      <c r="C91" s="329"/>
      <c r="D91" s="329"/>
      <c r="E91" s="329"/>
      <c r="F91" s="329"/>
      <c r="G91" s="329"/>
      <c r="H91" s="329"/>
      <c r="I91" s="329"/>
      <c r="J91" s="329"/>
      <c r="K91" s="329"/>
      <c r="L91" s="329"/>
      <c r="M91" s="329"/>
      <c r="N91" s="329"/>
      <c r="O91" s="329"/>
      <c r="P91" s="329"/>
      <c r="Q91" s="329"/>
      <c r="R91" s="329"/>
      <c r="S91" s="329"/>
      <c r="T91" s="329"/>
      <c r="U91" s="329"/>
      <c r="V91" s="329"/>
      <c r="W91" s="329"/>
      <c r="X91" s="329"/>
      <c r="Y91" s="329"/>
      <c r="Z91" s="329"/>
      <c r="AA91" s="329"/>
      <c r="AB91" s="329"/>
      <c r="AC91" s="329"/>
      <c r="AD91" s="329"/>
      <c r="AE91" s="329"/>
      <c r="AF91" s="329"/>
      <c r="AG91" s="329"/>
      <c r="AH91" s="329"/>
      <c r="AI91" s="329"/>
      <c r="AJ91" s="329"/>
      <c r="AK91" s="329"/>
      <c r="AL91" s="329"/>
      <c r="AM91" s="329"/>
      <c r="AN91" s="329"/>
      <c r="AO91" s="329"/>
      <c r="AP91" s="329"/>
      <c r="AQ91" s="329"/>
      <c r="AR91" s="329"/>
      <c r="AS91" s="329"/>
      <c r="AT91" s="329"/>
      <c r="AU91" s="329"/>
      <c r="AV91" s="329"/>
      <c r="AW91" s="329"/>
      <c r="AX91" s="329"/>
      <c r="AY91" s="329"/>
      <c r="AZ91" s="329"/>
      <c r="BA91" s="329"/>
      <c r="BB91" s="329"/>
      <c r="BC91" s="329"/>
      <c r="BD91" s="329"/>
      <c r="BE91" s="329"/>
      <c r="BF91" s="329"/>
      <c r="BG91" s="329"/>
      <c r="BH91" s="329"/>
      <c r="BI91" s="329"/>
      <c r="BJ91" s="329"/>
      <c r="BK91" s="329"/>
      <c r="BL91" s="329"/>
      <c r="BM91" s="329"/>
      <c r="BN91" s="329"/>
      <c r="BO91" s="329"/>
      <c r="BP91" s="329"/>
      <c r="BQ91" s="329"/>
      <c r="BR91" s="329"/>
      <c r="BS91" s="329"/>
      <c r="BT91" s="329"/>
      <c r="BU91" s="329"/>
      <c r="BV91" s="329"/>
      <c r="BW91" s="329"/>
      <c r="BX91" s="329"/>
      <c r="BY91" s="329"/>
      <c r="BZ91" s="329"/>
      <c r="CA91" s="329"/>
      <c r="CB91" s="329"/>
      <c r="CC91" s="329"/>
      <c r="CD91" s="329"/>
      <c r="CE91" s="329"/>
      <c r="CF91" s="329"/>
      <c r="CG91" s="329"/>
      <c r="CH91" s="329"/>
      <c r="CI91" s="329"/>
      <c r="CJ91" s="329"/>
      <c r="CK91" s="329"/>
      <c r="CL91" s="329"/>
      <c r="CM91" s="329"/>
      <c r="CN91" s="329"/>
      <c r="CO91" s="329"/>
      <c r="CP91" s="329"/>
    </row>
    <row r="92" spans="1:94" x14ac:dyDescent="0.2">
      <c r="A92" s="329"/>
      <c r="B92" s="329"/>
      <c r="C92" s="329"/>
      <c r="D92" s="329"/>
      <c r="E92" s="329"/>
      <c r="F92" s="329"/>
      <c r="G92" s="329"/>
      <c r="H92" s="329"/>
      <c r="I92" s="329"/>
      <c r="J92" s="329"/>
      <c r="K92" s="329"/>
      <c r="L92" s="329"/>
      <c r="M92" s="329"/>
      <c r="N92" s="329"/>
      <c r="O92" s="329"/>
      <c r="P92" s="329"/>
      <c r="Q92" s="329"/>
      <c r="R92" s="329"/>
      <c r="S92" s="329"/>
      <c r="T92" s="329"/>
      <c r="U92" s="329"/>
      <c r="V92" s="329"/>
      <c r="W92" s="329"/>
      <c r="X92" s="329"/>
      <c r="Y92" s="329"/>
      <c r="Z92" s="329"/>
      <c r="AA92" s="329"/>
      <c r="AB92" s="329"/>
      <c r="AC92" s="329"/>
      <c r="AD92" s="329"/>
      <c r="AE92" s="329"/>
      <c r="AF92" s="329"/>
      <c r="AG92" s="329"/>
      <c r="AH92" s="329"/>
      <c r="AI92" s="329"/>
      <c r="AJ92" s="329"/>
      <c r="AK92" s="329"/>
      <c r="AL92" s="329"/>
      <c r="AM92" s="329"/>
      <c r="AN92" s="329"/>
      <c r="AO92" s="329"/>
      <c r="AP92" s="329"/>
      <c r="AQ92" s="329"/>
      <c r="AR92" s="329"/>
      <c r="AS92" s="329"/>
      <c r="AT92" s="329"/>
      <c r="AU92" s="329"/>
      <c r="AV92" s="329"/>
      <c r="AW92" s="329"/>
      <c r="AX92" s="329"/>
      <c r="AY92" s="329"/>
      <c r="AZ92" s="329"/>
      <c r="BA92" s="329"/>
      <c r="BB92" s="329"/>
      <c r="BC92" s="329"/>
      <c r="BD92" s="329"/>
      <c r="BE92" s="329"/>
      <c r="BF92" s="329"/>
      <c r="BG92" s="329"/>
      <c r="BH92" s="329"/>
      <c r="BI92" s="329"/>
      <c r="BJ92" s="329"/>
      <c r="BK92" s="329"/>
      <c r="BL92" s="329"/>
      <c r="BM92" s="329"/>
      <c r="BN92" s="329"/>
      <c r="BO92" s="329"/>
      <c r="BP92" s="329"/>
      <c r="BQ92" s="329"/>
      <c r="BR92" s="329"/>
      <c r="BS92" s="329"/>
      <c r="BT92" s="329"/>
      <c r="BU92" s="329"/>
      <c r="BV92" s="329"/>
      <c r="BW92" s="329"/>
      <c r="BX92" s="329"/>
      <c r="BY92" s="329"/>
      <c r="BZ92" s="329"/>
      <c r="CA92" s="329"/>
      <c r="CB92" s="329"/>
      <c r="CC92" s="329"/>
      <c r="CD92" s="329"/>
      <c r="CE92" s="329"/>
      <c r="CF92" s="329"/>
      <c r="CG92" s="329"/>
      <c r="CH92" s="329"/>
      <c r="CI92" s="329"/>
      <c r="CJ92" s="329"/>
      <c r="CK92" s="329"/>
      <c r="CL92" s="329"/>
      <c r="CM92" s="329"/>
      <c r="CN92" s="329"/>
      <c r="CO92" s="329"/>
      <c r="CP92" s="329"/>
    </row>
    <row r="93" spans="1:94" x14ac:dyDescent="0.2">
      <c r="A93" s="329"/>
      <c r="B93" s="329"/>
      <c r="C93" s="329"/>
      <c r="D93" s="329"/>
      <c r="E93" s="329"/>
      <c r="F93" s="329"/>
      <c r="G93" s="329"/>
      <c r="H93" s="329"/>
      <c r="I93" s="329"/>
      <c r="J93" s="329"/>
      <c r="K93" s="329"/>
      <c r="L93" s="329"/>
      <c r="M93" s="329"/>
      <c r="N93" s="329"/>
      <c r="O93" s="329"/>
      <c r="P93" s="329"/>
      <c r="Q93" s="329"/>
      <c r="R93" s="329"/>
      <c r="S93" s="329"/>
      <c r="T93" s="329"/>
      <c r="U93" s="329"/>
      <c r="V93" s="329"/>
      <c r="W93" s="329"/>
      <c r="X93" s="329"/>
      <c r="Y93" s="329"/>
      <c r="Z93" s="329"/>
      <c r="AA93" s="329"/>
      <c r="AB93" s="329"/>
      <c r="AC93" s="329"/>
      <c r="AD93" s="329"/>
      <c r="AE93" s="329"/>
      <c r="AF93" s="329"/>
      <c r="AG93" s="329"/>
      <c r="AH93" s="329"/>
      <c r="AI93" s="329"/>
      <c r="AJ93" s="329"/>
      <c r="AK93" s="329"/>
      <c r="AL93" s="329"/>
      <c r="AM93" s="329"/>
      <c r="AN93" s="329"/>
      <c r="AO93" s="329"/>
      <c r="AP93" s="329"/>
      <c r="AQ93" s="329"/>
      <c r="AR93" s="329"/>
      <c r="AS93" s="329"/>
      <c r="AT93" s="329"/>
      <c r="AU93" s="329"/>
      <c r="AV93" s="329"/>
      <c r="AW93" s="329"/>
      <c r="AX93" s="329"/>
      <c r="AY93" s="329"/>
      <c r="AZ93" s="329"/>
      <c r="BA93" s="329"/>
      <c r="BB93" s="329"/>
      <c r="BC93" s="329"/>
      <c r="BD93" s="329"/>
      <c r="BE93" s="329"/>
      <c r="BF93" s="329"/>
      <c r="BG93" s="329"/>
      <c r="BH93" s="329"/>
      <c r="BI93" s="329"/>
      <c r="BJ93" s="329"/>
      <c r="BK93" s="329"/>
      <c r="BL93" s="329"/>
      <c r="BM93" s="329"/>
      <c r="BN93" s="329"/>
      <c r="BO93" s="329"/>
      <c r="BP93" s="329"/>
      <c r="BQ93" s="329"/>
      <c r="BR93" s="329"/>
      <c r="BS93" s="329"/>
      <c r="BT93" s="329"/>
      <c r="BU93" s="329"/>
      <c r="BV93" s="329"/>
      <c r="BW93" s="329"/>
      <c r="BX93" s="329"/>
      <c r="BY93" s="329"/>
      <c r="BZ93" s="329"/>
      <c r="CA93" s="329"/>
      <c r="CB93" s="329"/>
      <c r="CC93" s="329"/>
      <c r="CD93" s="329"/>
      <c r="CE93" s="329"/>
      <c r="CF93" s="329"/>
      <c r="CG93" s="329"/>
      <c r="CH93" s="329"/>
      <c r="CI93" s="329"/>
      <c r="CJ93" s="329"/>
      <c r="CK93" s="329"/>
      <c r="CL93" s="329"/>
      <c r="CM93" s="329"/>
      <c r="CN93" s="329"/>
      <c r="CO93" s="329"/>
      <c r="CP93" s="329"/>
    </row>
    <row r="94" spans="1:94" x14ac:dyDescent="0.2">
      <c r="A94" s="329"/>
      <c r="B94" s="329"/>
      <c r="C94" s="329"/>
      <c r="D94" s="329"/>
      <c r="E94" s="329"/>
      <c r="F94" s="329"/>
      <c r="G94" s="329"/>
      <c r="H94" s="329"/>
      <c r="I94" s="329"/>
      <c r="J94" s="329"/>
      <c r="K94" s="329"/>
      <c r="L94" s="329"/>
      <c r="M94" s="329"/>
      <c r="N94" s="329"/>
      <c r="O94" s="329"/>
      <c r="P94" s="329"/>
      <c r="Q94" s="329"/>
      <c r="R94" s="329"/>
      <c r="S94" s="329"/>
      <c r="T94" s="329"/>
      <c r="U94" s="329"/>
      <c r="V94" s="329"/>
      <c r="W94" s="329"/>
      <c r="X94" s="329"/>
      <c r="Y94" s="329"/>
      <c r="Z94" s="329"/>
      <c r="AA94" s="329"/>
      <c r="AB94" s="329"/>
      <c r="AC94" s="329"/>
      <c r="AD94" s="329"/>
      <c r="AE94" s="329"/>
      <c r="AF94" s="329"/>
      <c r="AG94" s="329"/>
      <c r="AH94" s="329"/>
      <c r="AI94" s="329"/>
      <c r="AJ94" s="329"/>
      <c r="AK94" s="329"/>
      <c r="AL94" s="329"/>
      <c r="AM94" s="329"/>
      <c r="AN94" s="329"/>
      <c r="AO94" s="329"/>
      <c r="AP94" s="329"/>
      <c r="AQ94" s="329"/>
      <c r="AR94" s="329"/>
      <c r="AS94" s="329"/>
      <c r="AT94" s="329"/>
      <c r="AU94" s="329"/>
      <c r="AV94" s="329"/>
      <c r="AW94" s="329"/>
      <c r="AX94" s="329"/>
      <c r="AY94" s="329"/>
      <c r="AZ94" s="329"/>
      <c r="BA94" s="329"/>
      <c r="BB94" s="329"/>
      <c r="BC94" s="329"/>
      <c r="BD94" s="329"/>
      <c r="BE94" s="329"/>
      <c r="BF94" s="329"/>
      <c r="BG94" s="329"/>
      <c r="BH94" s="329"/>
      <c r="BI94" s="329"/>
      <c r="BJ94" s="329"/>
      <c r="BK94" s="329"/>
      <c r="BL94" s="329"/>
      <c r="BM94" s="329"/>
      <c r="BN94" s="329"/>
      <c r="BO94" s="329"/>
      <c r="BP94" s="329"/>
      <c r="BQ94" s="329"/>
      <c r="BR94" s="329"/>
      <c r="BS94" s="329"/>
      <c r="BT94" s="329"/>
      <c r="BU94" s="329"/>
      <c r="BV94" s="329"/>
      <c r="BW94" s="329"/>
      <c r="BX94" s="329"/>
      <c r="BY94" s="329"/>
      <c r="BZ94" s="329"/>
      <c r="CA94" s="329"/>
      <c r="CB94" s="329"/>
      <c r="CC94" s="329"/>
      <c r="CD94" s="329"/>
      <c r="CE94" s="329"/>
      <c r="CF94" s="329"/>
      <c r="CG94" s="329"/>
      <c r="CH94" s="329"/>
      <c r="CI94" s="329"/>
      <c r="CJ94" s="329"/>
      <c r="CK94" s="329"/>
      <c r="CL94" s="329"/>
      <c r="CM94" s="329"/>
      <c r="CN94" s="329"/>
      <c r="CO94" s="329"/>
      <c r="CP94" s="329"/>
    </row>
    <row r="95" spans="1:94" x14ac:dyDescent="0.2">
      <c r="A95" s="329"/>
      <c r="B95" s="329"/>
      <c r="C95" s="329"/>
      <c r="D95" s="329"/>
      <c r="E95" s="329"/>
      <c r="F95" s="329"/>
      <c r="G95" s="329"/>
      <c r="H95" s="329"/>
      <c r="I95" s="329"/>
      <c r="J95" s="329"/>
      <c r="K95" s="329"/>
      <c r="L95" s="329"/>
      <c r="M95" s="329"/>
      <c r="N95" s="329"/>
      <c r="O95" s="329"/>
      <c r="P95" s="329"/>
      <c r="Q95" s="329"/>
      <c r="R95" s="329"/>
      <c r="S95" s="329"/>
      <c r="T95" s="329"/>
      <c r="U95" s="329"/>
      <c r="V95" s="329"/>
      <c r="W95" s="329"/>
      <c r="X95" s="329"/>
      <c r="Y95" s="329"/>
      <c r="Z95" s="329"/>
      <c r="AA95" s="329"/>
      <c r="AB95" s="329"/>
      <c r="AC95" s="329"/>
      <c r="AD95" s="329"/>
      <c r="AE95" s="329"/>
      <c r="AF95" s="329"/>
      <c r="AG95" s="329"/>
      <c r="AH95" s="329"/>
      <c r="AI95" s="329"/>
      <c r="AJ95" s="329"/>
      <c r="AK95" s="329"/>
      <c r="AL95" s="329"/>
      <c r="AM95" s="329"/>
      <c r="AN95" s="329"/>
      <c r="AO95" s="329"/>
      <c r="AP95" s="329"/>
      <c r="AQ95" s="329"/>
      <c r="AR95" s="329"/>
      <c r="AS95" s="329"/>
      <c r="AT95" s="329"/>
      <c r="AU95" s="329"/>
      <c r="AV95" s="329"/>
      <c r="AW95" s="329"/>
      <c r="AX95" s="329"/>
      <c r="AY95" s="329"/>
      <c r="AZ95" s="329"/>
      <c r="BA95" s="329"/>
      <c r="BB95" s="329"/>
      <c r="BC95" s="329"/>
      <c r="BD95" s="329"/>
      <c r="BE95" s="329"/>
      <c r="BF95" s="329"/>
      <c r="BG95" s="329"/>
      <c r="BH95" s="329"/>
      <c r="BI95" s="329"/>
      <c r="BJ95" s="329"/>
      <c r="BK95" s="329"/>
      <c r="BL95" s="329"/>
      <c r="BM95" s="329"/>
      <c r="BN95" s="329"/>
      <c r="BO95" s="329"/>
      <c r="BP95" s="329"/>
      <c r="BQ95" s="329"/>
      <c r="BR95" s="329"/>
      <c r="BS95" s="329"/>
      <c r="BT95" s="329"/>
      <c r="BU95" s="329"/>
      <c r="BV95" s="329"/>
      <c r="BW95" s="329"/>
      <c r="BX95" s="329"/>
      <c r="BY95" s="329"/>
      <c r="BZ95" s="329"/>
      <c r="CA95" s="329"/>
      <c r="CB95" s="329"/>
      <c r="CC95" s="329"/>
      <c r="CD95" s="329"/>
      <c r="CE95" s="329"/>
      <c r="CF95" s="329"/>
      <c r="CG95" s="329"/>
      <c r="CH95" s="329"/>
      <c r="CI95" s="329"/>
      <c r="CJ95" s="329"/>
      <c r="CK95" s="329"/>
      <c r="CL95" s="329"/>
      <c r="CM95" s="329"/>
      <c r="CN95" s="329"/>
      <c r="CO95" s="329"/>
      <c r="CP95" s="329"/>
    </row>
    <row r="96" spans="1:94" x14ac:dyDescent="0.2">
      <c r="A96" s="329"/>
      <c r="B96" s="329"/>
      <c r="C96" s="329"/>
      <c r="D96" s="329"/>
      <c r="E96" s="329"/>
      <c r="F96" s="329"/>
      <c r="G96" s="329"/>
      <c r="H96" s="329"/>
      <c r="I96" s="329"/>
      <c r="J96" s="329"/>
      <c r="K96" s="329"/>
      <c r="L96" s="329"/>
      <c r="M96" s="329"/>
      <c r="N96" s="329"/>
      <c r="O96" s="329"/>
      <c r="P96" s="329"/>
      <c r="Q96" s="329"/>
      <c r="R96" s="329"/>
      <c r="S96" s="329"/>
      <c r="T96" s="329"/>
      <c r="U96" s="329"/>
      <c r="V96" s="329"/>
      <c r="W96" s="329"/>
      <c r="X96" s="329"/>
      <c r="Y96" s="329"/>
      <c r="Z96" s="329"/>
      <c r="AA96" s="329"/>
      <c r="AB96" s="329"/>
      <c r="AC96" s="329"/>
      <c r="AD96" s="329"/>
      <c r="AE96" s="329"/>
      <c r="AF96" s="329"/>
      <c r="AG96" s="329"/>
      <c r="AH96" s="329"/>
      <c r="AI96" s="329"/>
      <c r="AJ96" s="329"/>
      <c r="AK96" s="329"/>
      <c r="AL96" s="329"/>
      <c r="AM96" s="329"/>
      <c r="AN96" s="329"/>
      <c r="AO96" s="329"/>
      <c r="AP96" s="329"/>
      <c r="AQ96" s="329"/>
      <c r="AR96" s="329"/>
      <c r="AS96" s="329"/>
      <c r="AT96" s="329"/>
      <c r="AU96" s="329"/>
      <c r="AV96" s="329"/>
      <c r="AW96" s="329"/>
      <c r="AX96" s="329"/>
      <c r="AY96" s="329"/>
      <c r="AZ96" s="329"/>
      <c r="BA96" s="329"/>
      <c r="BB96" s="329"/>
      <c r="BC96" s="329"/>
      <c r="BD96" s="329"/>
      <c r="BE96" s="329"/>
      <c r="BF96" s="329"/>
      <c r="BG96" s="329"/>
      <c r="BH96" s="329"/>
      <c r="BI96" s="329"/>
      <c r="BJ96" s="329"/>
      <c r="BK96" s="329"/>
      <c r="BL96" s="329"/>
      <c r="BM96" s="329"/>
      <c r="BN96" s="329"/>
      <c r="BO96" s="329"/>
      <c r="BP96" s="329"/>
      <c r="BQ96" s="329"/>
      <c r="BR96" s="329"/>
      <c r="BS96" s="329"/>
      <c r="BT96" s="329"/>
      <c r="BU96" s="329"/>
      <c r="BV96" s="329"/>
      <c r="BW96" s="329"/>
      <c r="BX96" s="329"/>
      <c r="BY96" s="329"/>
      <c r="BZ96" s="329"/>
      <c r="CA96" s="329"/>
      <c r="CB96" s="329"/>
      <c r="CC96" s="329"/>
      <c r="CD96" s="329"/>
      <c r="CE96" s="329"/>
      <c r="CF96" s="329"/>
      <c r="CG96" s="329"/>
      <c r="CH96" s="329"/>
      <c r="CI96" s="329"/>
      <c r="CJ96" s="329"/>
      <c r="CK96" s="329"/>
      <c r="CL96" s="329"/>
      <c r="CM96" s="329"/>
      <c r="CN96" s="329"/>
      <c r="CO96" s="329"/>
      <c r="CP96" s="329"/>
    </row>
    <row r="97" spans="1:94" x14ac:dyDescent="0.2">
      <c r="A97" s="329"/>
      <c r="B97" s="329"/>
      <c r="C97" s="329"/>
      <c r="D97" s="329"/>
      <c r="E97" s="329"/>
      <c r="F97" s="329"/>
      <c r="G97" s="329"/>
      <c r="H97" s="329"/>
      <c r="I97" s="329"/>
      <c r="J97" s="329"/>
      <c r="K97" s="329"/>
      <c r="L97" s="329"/>
      <c r="M97" s="329"/>
      <c r="N97" s="329"/>
      <c r="O97" s="329"/>
      <c r="P97" s="329"/>
      <c r="Q97" s="329"/>
      <c r="R97" s="329"/>
      <c r="S97" s="329"/>
      <c r="T97" s="329"/>
      <c r="U97" s="329"/>
      <c r="V97" s="329"/>
      <c r="W97" s="329"/>
      <c r="X97" s="329"/>
      <c r="Y97" s="329"/>
      <c r="Z97" s="329"/>
      <c r="AA97" s="329"/>
      <c r="AB97" s="329"/>
      <c r="AC97" s="329"/>
      <c r="AD97" s="329"/>
      <c r="AE97" s="329"/>
      <c r="AF97" s="329"/>
      <c r="AG97" s="329"/>
      <c r="AH97" s="329"/>
      <c r="AI97" s="329"/>
      <c r="AJ97" s="329"/>
      <c r="AK97" s="329"/>
      <c r="AL97" s="329"/>
      <c r="AM97" s="329"/>
      <c r="AN97" s="329"/>
      <c r="AO97" s="329"/>
      <c r="AP97" s="329"/>
      <c r="AQ97" s="329"/>
      <c r="AR97" s="329"/>
      <c r="AS97" s="329"/>
      <c r="AT97" s="329"/>
      <c r="AU97" s="329"/>
      <c r="AV97" s="329"/>
      <c r="AW97" s="329"/>
      <c r="AX97" s="329"/>
      <c r="AY97" s="329"/>
      <c r="AZ97" s="329"/>
      <c r="BA97" s="329"/>
      <c r="BB97" s="329"/>
      <c r="BC97" s="329"/>
      <c r="BD97" s="329"/>
      <c r="BE97" s="329"/>
      <c r="BF97" s="329"/>
      <c r="BG97" s="329"/>
      <c r="BH97" s="329"/>
      <c r="BI97" s="329"/>
      <c r="BJ97" s="329"/>
      <c r="BK97" s="329"/>
      <c r="BL97" s="329"/>
      <c r="BM97" s="329"/>
      <c r="BN97" s="329"/>
      <c r="BO97" s="329"/>
      <c r="BP97" s="329"/>
      <c r="BQ97" s="329"/>
      <c r="BR97" s="329"/>
      <c r="BS97" s="329"/>
      <c r="BT97" s="329"/>
      <c r="BU97" s="329"/>
      <c r="BV97" s="329"/>
      <c r="BW97" s="329"/>
      <c r="BX97" s="329"/>
      <c r="BY97" s="329"/>
      <c r="BZ97" s="329"/>
      <c r="CA97" s="329"/>
      <c r="CB97" s="329"/>
      <c r="CC97" s="329"/>
      <c r="CD97" s="329"/>
      <c r="CE97" s="329"/>
      <c r="CF97" s="329"/>
      <c r="CG97" s="329"/>
      <c r="CH97" s="329"/>
      <c r="CI97" s="329"/>
      <c r="CJ97" s="329"/>
      <c r="CK97" s="329"/>
      <c r="CL97" s="329"/>
      <c r="CM97" s="329"/>
      <c r="CN97" s="329"/>
      <c r="CO97" s="329"/>
      <c r="CP97" s="329"/>
    </row>
    <row r="98" spans="1:94" x14ac:dyDescent="0.2">
      <c r="A98" s="329"/>
      <c r="B98" s="329"/>
      <c r="C98" s="329"/>
      <c r="D98" s="329"/>
      <c r="E98" s="329"/>
      <c r="F98" s="329"/>
      <c r="G98" s="329"/>
      <c r="H98" s="329"/>
      <c r="I98" s="329"/>
      <c r="J98" s="329"/>
      <c r="K98" s="329"/>
      <c r="L98" s="329"/>
      <c r="M98" s="329"/>
      <c r="N98" s="329"/>
      <c r="O98" s="329"/>
      <c r="P98" s="329"/>
      <c r="Q98" s="329"/>
      <c r="R98" s="329"/>
      <c r="S98" s="329"/>
      <c r="T98" s="329"/>
      <c r="U98" s="329"/>
      <c r="V98" s="329"/>
      <c r="W98" s="329"/>
      <c r="X98" s="329"/>
      <c r="Y98" s="329"/>
      <c r="Z98" s="329"/>
      <c r="AA98" s="329"/>
      <c r="AB98" s="329"/>
      <c r="AC98" s="329"/>
      <c r="AD98" s="329"/>
      <c r="AE98" s="329"/>
      <c r="AF98" s="329"/>
      <c r="AG98" s="329"/>
      <c r="AH98" s="329"/>
      <c r="AI98" s="329"/>
      <c r="AJ98" s="329"/>
      <c r="AK98" s="329"/>
      <c r="AL98" s="329"/>
      <c r="AM98" s="329"/>
      <c r="AN98" s="329"/>
      <c r="AO98" s="329"/>
      <c r="AP98" s="329"/>
      <c r="AQ98" s="329"/>
      <c r="AR98" s="329"/>
      <c r="AS98" s="329"/>
      <c r="AT98" s="329"/>
      <c r="AU98" s="329"/>
      <c r="AV98" s="329"/>
      <c r="AW98" s="329"/>
      <c r="AX98" s="329"/>
      <c r="AY98" s="329"/>
      <c r="AZ98" s="329"/>
      <c r="BA98" s="329"/>
      <c r="BB98" s="329"/>
      <c r="BC98" s="329"/>
      <c r="BD98" s="329"/>
      <c r="BE98" s="329"/>
      <c r="BF98" s="329"/>
      <c r="BG98" s="329"/>
      <c r="BH98" s="329"/>
      <c r="BI98" s="329"/>
      <c r="BJ98" s="329"/>
      <c r="BK98" s="329"/>
      <c r="BL98" s="329"/>
      <c r="BM98" s="329"/>
      <c r="BN98" s="329"/>
      <c r="BO98" s="329"/>
      <c r="BP98" s="329"/>
      <c r="BQ98" s="329"/>
      <c r="BR98" s="329"/>
      <c r="BS98" s="329"/>
      <c r="BT98" s="329"/>
      <c r="BU98" s="329"/>
      <c r="BV98" s="329"/>
      <c r="BW98" s="329"/>
      <c r="BX98" s="329"/>
      <c r="BY98" s="329"/>
      <c r="BZ98" s="329"/>
      <c r="CA98" s="329"/>
      <c r="CB98" s="329"/>
      <c r="CC98" s="329"/>
      <c r="CD98" s="329"/>
      <c r="CE98" s="329"/>
      <c r="CF98" s="329"/>
      <c r="CG98" s="329"/>
      <c r="CH98" s="329"/>
      <c r="CI98" s="329"/>
      <c r="CJ98" s="329"/>
      <c r="CK98" s="329"/>
      <c r="CL98" s="329"/>
      <c r="CM98" s="329"/>
      <c r="CN98" s="329"/>
      <c r="CO98" s="329"/>
      <c r="CP98" s="329"/>
    </row>
    <row r="99" spans="1:94" x14ac:dyDescent="0.2">
      <c r="A99" s="329"/>
      <c r="B99" s="329"/>
      <c r="C99" s="329"/>
      <c r="D99" s="329"/>
      <c r="E99" s="329"/>
      <c r="F99" s="329"/>
      <c r="G99" s="329"/>
      <c r="H99" s="329"/>
      <c r="I99" s="329"/>
      <c r="J99" s="329"/>
      <c r="K99" s="329"/>
      <c r="L99" s="329"/>
      <c r="M99" s="329"/>
      <c r="N99" s="329"/>
      <c r="O99" s="329"/>
      <c r="P99" s="329"/>
      <c r="Q99" s="329"/>
      <c r="R99" s="329"/>
      <c r="S99" s="329"/>
      <c r="T99" s="329"/>
      <c r="U99" s="329"/>
      <c r="V99" s="329"/>
      <c r="W99" s="329"/>
      <c r="X99" s="329"/>
      <c r="Y99" s="329"/>
      <c r="Z99" s="329"/>
      <c r="AA99" s="329"/>
      <c r="AB99" s="329"/>
      <c r="AC99" s="329"/>
      <c r="AD99" s="329"/>
      <c r="AE99" s="329"/>
      <c r="AF99" s="329"/>
      <c r="AG99" s="329"/>
      <c r="AH99" s="329"/>
      <c r="AI99" s="329"/>
      <c r="AJ99" s="329"/>
      <c r="AK99" s="329"/>
      <c r="AL99" s="329"/>
      <c r="AM99" s="329"/>
      <c r="AN99" s="329"/>
      <c r="AO99" s="329"/>
      <c r="AP99" s="329"/>
      <c r="AQ99" s="329"/>
      <c r="AR99" s="329"/>
      <c r="AS99" s="329"/>
      <c r="AT99" s="329"/>
      <c r="AU99" s="329"/>
      <c r="AV99" s="329"/>
      <c r="AW99" s="329"/>
      <c r="AX99" s="329"/>
      <c r="AY99" s="329"/>
      <c r="AZ99" s="329"/>
      <c r="BA99" s="329"/>
      <c r="BB99" s="329"/>
      <c r="BC99" s="329"/>
      <c r="BD99" s="329"/>
      <c r="BE99" s="329"/>
      <c r="BF99" s="329"/>
      <c r="BG99" s="329"/>
      <c r="BH99" s="329"/>
      <c r="BI99" s="329"/>
      <c r="BJ99" s="329"/>
      <c r="BK99" s="329"/>
      <c r="BL99" s="329"/>
      <c r="BM99" s="329"/>
      <c r="BN99" s="329"/>
      <c r="BO99" s="329"/>
      <c r="BP99" s="329"/>
      <c r="BQ99" s="329"/>
      <c r="BR99" s="329"/>
      <c r="BS99" s="329"/>
      <c r="BT99" s="329"/>
      <c r="BU99" s="329"/>
      <c r="BV99" s="329"/>
      <c r="BW99" s="329"/>
      <c r="BX99" s="329"/>
      <c r="BY99" s="329"/>
      <c r="BZ99" s="329"/>
      <c r="CA99" s="329"/>
      <c r="CB99" s="329"/>
      <c r="CC99" s="329"/>
      <c r="CD99" s="329"/>
      <c r="CE99" s="329"/>
      <c r="CF99" s="329"/>
      <c r="CG99" s="329"/>
      <c r="CH99" s="329"/>
      <c r="CI99" s="329"/>
      <c r="CJ99" s="329"/>
      <c r="CK99" s="329"/>
      <c r="CL99" s="329"/>
      <c r="CM99" s="329"/>
      <c r="CN99" s="329"/>
      <c r="CO99" s="329"/>
      <c r="CP99" s="329"/>
    </row>
    <row r="100" spans="1:94" x14ac:dyDescent="0.2">
      <c r="A100" s="329"/>
      <c r="B100" s="329"/>
      <c r="C100" s="329"/>
      <c r="D100" s="329"/>
      <c r="E100" s="329"/>
      <c r="F100" s="329"/>
      <c r="G100" s="329"/>
      <c r="H100" s="329"/>
      <c r="I100" s="329"/>
      <c r="J100" s="329"/>
      <c r="K100" s="329"/>
      <c r="L100" s="329"/>
      <c r="M100" s="329"/>
      <c r="N100" s="329"/>
      <c r="O100" s="329"/>
      <c r="P100" s="329"/>
      <c r="Q100" s="329"/>
      <c r="R100" s="329"/>
      <c r="S100" s="329"/>
      <c r="T100" s="329"/>
      <c r="U100" s="329"/>
      <c r="V100" s="329"/>
      <c r="W100" s="329"/>
      <c r="X100" s="329"/>
      <c r="Y100" s="329"/>
      <c r="Z100" s="329"/>
      <c r="AA100" s="329"/>
      <c r="AB100" s="329"/>
      <c r="AC100" s="329"/>
      <c r="AD100" s="329"/>
      <c r="AE100" s="329"/>
      <c r="AF100" s="329"/>
      <c r="AG100" s="329"/>
      <c r="AH100" s="329"/>
      <c r="AI100" s="329"/>
      <c r="AJ100" s="329"/>
      <c r="AK100" s="329"/>
      <c r="AL100" s="329"/>
      <c r="AM100" s="329"/>
      <c r="AN100" s="329"/>
      <c r="AO100" s="329"/>
      <c r="AP100" s="329"/>
      <c r="AQ100" s="329"/>
      <c r="AR100" s="329"/>
      <c r="AS100" s="329"/>
      <c r="AT100" s="329"/>
      <c r="AU100" s="329"/>
      <c r="AV100" s="329"/>
      <c r="AW100" s="329"/>
      <c r="AX100" s="329"/>
      <c r="AY100" s="329"/>
      <c r="AZ100" s="329"/>
      <c r="BA100" s="329"/>
      <c r="BB100" s="329"/>
      <c r="BC100" s="329"/>
      <c r="BD100" s="329"/>
      <c r="BE100" s="329"/>
      <c r="BF100" s="329"/>
      <c r="BG100" s="329"/>
      <c r="BH100" s="329"/>
      <c r="BI100" s="329"/>
      <c r="BJ100" s="329"/>
      <c r="BK100" s="329"/>
      <c r="BL100" s="329"/>
      <c r="BM100" s="329"/>
      <c r="BN100" s="329"/>
      <c r="BO100" s="329"/>
      <c r="BP100" s="329"/>
      <c r="BQ100" s="329"/>
      <c r="BR100" s="329"/>
      <c r="BS100" s="329"/>
      <c r="BT100" s="329"/>
      <c r="BU100" s="329"/>
      <c r="BV100" s="329"/>
      <c r="BW100" s="329"/>
      <c r="BX100" s="329"/>
      <c r="BY100" s="329"/>
      <c r="BZ100" s="329"/>
      <c r="CA100" s="329"/>
      <c r="CB100" s="329"/>
      <c r="CC100" s="329"/>
      <c r="CD100" s="329"/>
      <c r="CE100" s="329"/>
      <c r="CF100" s="329"/>
      <c r="CG100" s="329"/>
      <c r="CH100" s="329"/>
      <c r="CI100" s="329"/>
      <c r="CJ100" s="329"/>
      <c r="CK100" s="329"/>
      <c r="CL100" s="329"/>
      <c r="CM100" s="329"/>
      <c r="CN100" s="329"/>
      <c r="CO100" s="329"/>
      <c r="CP100" s="329"/>
    </row>
    <row r="101" spans="1:94" x14ac:dyDescent="0.2">
      <c r="A101" s="329"/>
      <c r="B101" s="329"/>
      <c r="C101" s="329"/>
      <c r="D101" s="329"/>
      <c r="E101" s="329"/>
      <c r="F101" s="329"/>
      <c r="G101" s="329"/>
      <c r="H101" s="329"/>
      <c r="I101" s="329"/>
      <c r="J101" s="329"/>
      <c r="K101" s="329"/>
      <c r="L101" s="329"/>
      <c r="M101" s="329"/>
      <c r="N101" s="329"/>
      <c r="O101" s="329"/>
      <c r="P101" s="329"/>
      <c r="Q101" s="329"/>
      <c r="R101" s="329"/>
      <c r="S101" s="329"/>
      <c r="T101" s="329"/>
      <c r="U101" s="329"/>
      <c r="V101" s="329"/>
      <c r="W101" s="329"/>
      <c r="X101" s="329"/>
      <c r="Y101" s="329"/>
      <c r="Z101" s="329"/>
      <c r="AA101" s="329"/>
      <c r="AB101" s="329"/>
      <c r="AC101" s="329"/>
      <c r="AD101" s="329"/>
      <c r="AE101" s="329"/>
      <c r="AF101" s="329"/>
      <c r="AG101" s="329"/>
      <c r="AH101" s="329"/>
      <c r="AI101" s="329"/>
      <c r="AJ101" s="329"/>
      <c r="AK101" s="329"/>
      <c r="AL101" s="329"/>
      <c r="AM101" s="329"/>
      <c r="AN101" s="329"/>
      <c r="AO101" s="329"/>
      <c r="AP101" s="329"/>
      <c r="AQ101" s="329"/>
      <c r="AR101" s="329"/>
      <c r="AS101" s="329"/>
      <c r="AT101" s="329"/>
      <c r="AU101" s="329"/>
      <c r="AV101" s="329"/>
      <c r="AW101" s="329"/>
      <c r="AX101" s="329"/>
      <c r="AY101" s="329"/>
      <c r="AZ101" s="329"/>
      <c r="BA101" s="329"/>
      <c r="BB101" s="329"/>
      <c r="BC101" s="329"/>
      <c r="BD101" s="329"/>
      <c r="BE101" s="329"/>
      <c r="BF101" s="329"/>
      <c r="BG101" s="329"/>
      <c r="BH101" s="329"/>
      <c r="BI101" s="329"/>
      <c r="BJ101" s="329"/>
      <c r="BK101" s="329"/>
      <c r="BL101" s="329"/>
      <c r="BM101" s="329"/>
      <c r="BN101" s="329"/>
      <c r="BO101" s="329"/>
      <c r="BP101" s="329"/>
      <c r="BQ101" s="329"/>
      <c r="BR101" s="329"/>
      <c r="BS101" s="329"/>
      <c r="BT101" s="329"/>
      <c r="BU101" s="329"/>
      <c r="BV101" s="329"/>
      <c r="BW101" s="329"/>
      <c r="BX101" s="329"/>
      <c r="BY101" s="329"/>
      <c r="BZ101" s="329"/>
      <c r="CA101" s="329"/>
      <c r="CB101" s="329"/>
      <c r="CC101" s="329"/>
      <c r="CD101" s="329"/>
      <c r="CE101" s="329"/>
      <c r="CF101" s="329"/>
      <c r="CG101" s="329"/>
      <c r="CH101" s="329"/>
      <c r="CI101" s="329"/>
      <c r="CJ101" s="329"/>
      <c r="CK101" s="329"/>
      <c r="CL101" s="329"/>
      <c r="CM101" s="329"/>
      <c r="CN101" s="329"/>
      <c r="CO101" s="329"/>
      <c r="CP101" s="329"/>
    </row>
    <row r="102" spans="1:94" x14ac:dyDescent="0.2">
      <c r="A102" s="329"/>
      <c r="B102" s="329"/>
      <c r="C102" s="329"/>
      <c r="D102" s="329"/>
      <c r="E102" s="329"/>
      <c r="F102" s="329"/>
      <c r="G102" s="329"/>
      <c r="H102" s="329"/>
      <c r="I102" s="329"/>
      <c r="J102" s="329"/>
      <c r="K102" s="329"/>
      <c r="L102" s="329"/>
      <c r="M102" s="329"/>
      <c r="N102" s="329"/>
      <c r="O102" s="329"/>
      <c r="P102" s="329"/>
      <c r="Q102" s="329"/>
      <c r="R102" s="329"/>
      <c r="S102" s="329"/>
      <c r="T102" s="329"/>
      <c r="U102" s="329"/>
      <c r="V102" s="329"/>
      <c r="W102" s="329"/>
      <c r="X102" s="329"/>
      <c r="Y102" s="329"/>
      <c r="Z102" s="329"/>
      <c r="AA102" s="329"/>
      <c r="AB102" s="329"/>
      <c r="AC102" s="329"/>
      <c r="AD102" s="329"/>
      <c r="AE102" s="329"/>
      <c r="AF102" s="329"/>
      <c r="AG102" s="329"/>
      <c r="AH102" s="329"/>
      <c r="AI102" s="329"/>
      <c r="AJ102" s="329"/>
      <c r="AK102" s="329"/>
      <c r="AL102" s="329"/>
      <c r="AM102" s="329"/>
      <c r="AN102" s="329"/>
      <c r="AO102" s="329"/>
      <c r="AP102" s="329"/>
      <c r="AQ102" s="329"/>
      <c r="AR102" s="329"/>
      <c r="AS102" s="329"/>
      <c r="AT102" s="329"/>
      <c r="AU102" s="329"/>
      <c r="AV102" s="329"/>
      <c r="AW102" s="329"/>
      <c r="AX102" s="329"/>
      <c r="AY102" s="329"/>
      <c r="AZ102" s="329"/>
      <c r="BA102" s="329"/>
      <c r="BB102" s="329"/>
      <c r="BC102" s="329"/>
      <c r="BD102" s="329"/>
      <c r="BE102" s="329"/>
      <c r="BF102" s="329"/>
      <c r="BG102" s="329"/>
      <c r="BH102" s="329"/>
      <c r="BI102" s="329"/>
      <c r="BJ102" s="329"/>
      <c r="BK102" s="329"/>
      <c r="BL102" s="329"/>
      <c r="BM102" s="329"/>
      <c r="BN102" s="329"/>
      <c r="BO102" s="329"/>
      <c r="BP102" s="329"/>
      <c r="BQ102" s="329"/>
      <c r="BR102" s="329"/>
      <c r="BS102" s="329"/>
      <c r="BT102" s="329"/>
      <c r="BU102" s="329"/>
      <c r="BV102" s="329"/>
      <c r="BW102" s="329"/>
      <c r="BX102" s="329"/>
      <c r="BY102" s="329"/>
      <c r="BZ102" s="329"/>
      <c r="CA102" s="329"/>
      <c r="CB102" s="329"/>
      <c r="CC102" s="329"/>
      <c r="CD102" s="329"/>
      <c r="CE102" s="329"/>
      <c r="CF102" s="329"/>
      <c r="CG102" s="329"/>
      <c r="CH102" s="329"/>
      <c r="CI102" s="329"/>
      <c r="CJ102" s="329"/>
      <c r="CK102" s="329"/>
      <c r="CL102" s="329"/>
      <c r="CM102" s="329"/>
      <c r="CN102" s="329"/>
      <c r="CO102" s="329"/>
      <c r="CP102" s="329"/>
    </row>
    <row r="103" spans="1:94" x14ac:dyDescent="0.2">
      <c r="A103" s="329"/>
      <c r="B103" s="329"/>
      <c r="C103" s="329"/>
      <c r="D103" s="329"/>
      <c r="E103" s="329"/>
      <c r="F103" s="329"/>
      <c r="G103" s="329"/>
      <c r="H103" s="329"/>
      <c r="I103" s="329"/>
      <c r="J103" s="329"/>
      <c r="K103" s="329"/>
      <c r="L103" s="329"/>
      <c r="M103" s="329"/>
      <c r="N103" s="329"/>
      <c r="O103" s="329"/>
      <c r="P103" s="329"/>
      <c r="Q103" s="329"/>
      <c r="R103" s="329"/>
      <c r="S103" s="329"/>
      <c r="T103" s="329"/>
      <c r="U103" s="329"/>
      <c r="V103" s="329"/>
      <c r="W103" s="329"/>
      <c r="X103" s="329"/>
      <c r="Y103" s="329"/>
      <c r="Z103" s="329"/>
      <c r="AA103" s="329"/>
      <c r="AB103" s="329"/>
      <c r="AC103" s="329"/>
      <c r="AD103" s="329"/>
      <c r="AE103" s="329"/>
      <c r="AF103" s="329"/>
      <c r="AG103" s="329"/>
      <c r="AH103" s="329"/>
      <c r="AI103" s="329"/>
      <c r="AJ103" s="329"/>
      <c r="AK103" s="329"/>
      <c r="AL103" s="329"/>
      <c r="AM103" s="329"/>
      <c r="AN103" s="329"/>
      <c r="AO103" s="329"/>
      <c r="AP103" s="329"/>
      <c r="AQ103" s="329"/>
      <c r="AR103" s="329"/>
      <c r="AS103" s="329"/>
      <c r="AT103" s="329"/>
      <c r="AU103" s="329"/>
      <c r="AV103" s="329"/>
      <c r="AW103" s="329"/>
      <c r="AX103" s="329"/>
      <c r="AY103" s="329"/>
      <c r="AZ103" s="329"/>
      <c r="BA103" s="329"/>
      <c r="BB103" s="329"/>
      <c r="BC103" s="329"/>
      <c r="BD103" s="329"/>
      <c r="BE103" s="329"/>
      <c r="BF103" s="329"/>
      <c r="BG103" s="329"/>
      <c r="BH103" s="329"/>
      <c r="BI103" s="329"/>
      <c r="BJ103" s="329"/>
      <c r="BK103" s="329"/>
      <c r="BL103" s="329"/>
      <c r="BM103" s="329"/>
      <c r="BN103" s="329"/>
      <c r="BO103" s="329"/>
      <c r="BP103" s="329"/>
      <c r="BQ103" s="329"/>
      <c r="BR103" s="329"/>
      <c r="BS103" s="329"/>
      <c r="BT103" s="329"/>
      <c r="BU103" s="329"/>
      <c r="BV103" s="329"/>
      <c r="BW103" s="329"/>
      <c r="BX103" s="329"/>
      <c r="BY103" s="329"/>
      <c r="BZ103" s="329"/>
      <c r="CA103" s="329"/>
      <c r="CB103" s="329"/>
      <c r="CC103" s="329"/>
      <c r="CD103" s="329"/>
      <c r="CE103" s="329"/>
      <c r="CF103" s="329"/>
      <c r="CG103" s="329"/>
      <c r="CH103" s="329"/>
      <c r="CI103" s="329"/>
      <c r="CJ103" s="329"/>
      <c r="CK103" s="329"/>
      <c r="CL103" s="329"/>
      <c r="CM103" s="329"/>
      <c r="CN103" s="329"/>
      <c r="CO103" s="329"/>
      <c r="CP103" s="329"/>
    </row>
    <row r="104" spans="1:94" x14ac:dyDescent="0.2">
      <c r="A104" s="329"/>
      <c r="B104" s="329"/>
      <c r="C104" s="329"/>
      <c r="D104" s="329"/>
      <c r="E104" s="329"/>
      <c r="F104" s="329"/>
      <c r="G104" s="329"/>
      <c r="H104" s="329"/>
      <c r="I104" s="329"/>
      <c r="J104" s="329"/>
      <c r="K104" s="329"/>
      <c r="L104" s="329"/>
      <c r="M104" s="329"/>
      <c r="N104" s="329"/>
      <c r="O104" s="329"/>
      <c r="P104" s="329"/>
      <c r="Q104" s="329"/>
      <c r="R104" s="329"/>
      <c r="S104" s="329"/>
      <c r="T104" s="329"/>
      <c r="U104" s="329"/>
      <c r="V104" s="329"/>
      <c r="W104" s="329"/>
      <c r="X104" s="329"/>
      <c r="Y104" s="329"/>
      <c r="Z104" s="329"/>
      <c r="AA104" s="329"/>
      <c r="AB104" s="329"/>
      <c r="AC104" s="329"/>
      <c r="AD104" s="329"/>
      <c r="AE104" s="329"/>
      <c r="AF104" s="329"/>
      <c r="AG104" s="329"/>
      <c r="AH104" s="329"/>
      <c r="AI104" s="329"/>
      <c r="AJ104" s="329"/>
      <c r="AK104" s="329"/>
      <c r="AL104" s="329"/>
      <c r="AM104" s="329"/>
      <c r="AN104" s="329"/>
      <c r="AO104" s="329"/>
      <c r="AP104" s="329"/>
      <c r="AQ104" s="329"/>
      <c r="AR104" s="329"/>
      <c r="AS104" s="329"/>
      <c r="AT104" s="329"/>
      <c r="AU104" s="329"/>
      <c r="AV104" s="329"/>
      <c r="AW104" s="329"/>
      <c r="AX104" s="329"/>
      <c r="AY104" s="329"/>
      <c r="AZ104" s="329"/>
      <c r="BA104" s="329"/>
      <c r="BB104" s="329"/>
      <c r="BC104" s="329"/>
      <c r="BD104" s="329"/>
      <c r="BE104" s="329"/>
      <c r="BF104" s="329"/>
      <c r="BG104" s="329"/>
      <c r="BH104" s="329"/>
      <c r="BI104" s="329"/>
      <c r="BJ104" s="329"/>
      <c r="BK104" s="329"/>
      <c r="BL104" s="329"/>
      <c r="BM104" s="329"/>
      <c r="BN104" s="329"/>
      <c r="BO104" s="329"/>
      <c r="BP104" s="329"/>
      <c r="BQ104" s="329"/>
      <c r="BR104" s="329"/>
      <c r="BS104" s="329"/>
      <c r="BT104" s="329"/>
      <c r="BU104" s="329"/>
      <c r="BV104" s="329"/>
      <c r="BW104" s="329"/>
      <c r="BX104" s="329"/>
      <c r="BY104" s="329"/>
      <c r="BZ104" s="329"/>
      <c r="CA104" s="329"/>
      <c r="CB104" s="329"/>
      <c r="CC104" s="329"/>
      <c r="CD104" s="329"/>
      <c r="CE104" s="329"/>
      <c r="CF104" s="329"/>
      <c r="CG104" s="329"/>
      <c r="CH104" s="329"/>
      <c r="CI104" s="329"/>
      <c r="CJ104" s="329"/>
      <c r="CK104" s="329"/>
      <c r="CL104" s="329"/>
      <c r="CM104" s="329"/>
      <c r="CN104" s="329"/>
      <c r="CO104" s="329"/>
      <c r="CP104" s="329"/>
    </row>
    <row r="105" spans="1:94" x14ac:dyDescent="0.2">
      <c r="A105" s="329"/>
      <c r="B105" s="329"/>
      <c r="C105" s="329"/>
      <c r="D105" s="329"/>
      <c r="E105" s="329"/>
      <c r="F105" s="329"/>
      <c r="G105" s="329"/>
      <c r="H105" s="519"/>
    </row>
    <row r="106" spans="1:94" x14ac:dyDescent="0.2">
      <c r="A106" s="329"/>
      <c r="B106" s="329"/>
      <c r="C106" s="329"/>
      <c r="D106" s="329"/>
      <c r="E106" s="329"/>
      <c r="F106" s="329"/>
      <c r="G106" s="329"/>
      <c r="H106" s="519"/>
    </row>
    <row r="107" spans="1:94" x14ac:dyDescent="0.2">
      <c r="A107" s="329"/>
      <c r="B107" s="329"/>
      <c r="C107" s="329"/>
      <c r="D107" s="329"/>
      <c r="E107" s="329"/>
      <c r="F107" s="329"/>
      <c r="G107" s="329"/>
      <c r="H107" s="519"/>
    </row>
    <row r="108" spans="1:94" x14ac:dyDescent="0.2">
      <c r="A108" s="329"/>
      <c r="B108" s="329"/>
      <c r="C108" s="329"/>
      <c r="D108" s="329"/>
      <c r="E108" s="329"/>
      <c r="F108" s="329"/>
      <c r="G108" s="329"/>
      <c r="H108" s="519"/>
    </row>
    <row r="109" spans="1:94" x14ac:dyDescent="0.2">
      <c r="A109" s="329"/>
      <c r="B109" s="329"/>
      <c r="C109" s="329"/>
      <c r="D109" s="329"/>
      <c r="E109" s="329"/>
      <c r="F109" s="329"/>
      <c r="G109" s="329"/>
      <c r="H109" s="519"/>
    </row>
    <row r="110" spans="1:94" x14ac:dyDescent="0.2">
      <c r="A110" s="329"/>
      <c r="B110" s="329"/>
      <c r="C110" s="329"/>
      <c r="D110" s="329"/>
      <c r="E110" s="329"/>
      <c r="F110" s="329"/>
      <c r="G110" s="329"/>
      <c r="H110" s="519"/>
    </row>
    <row r="111" spans="1:94" x14ac:dyDescent="0.2">
      <c r="A111" s="329"/>
      <c r="B111" s="329"/>
      <c r="C111" s="329"/>
      <c r="D111" s="329"/>
      <c r="E111" s="329"/>
      <c r="F111" s="329"/>
      <c r="G111" s="329"/>
      <c r="H111" s="519"/>
    </row>
    <row r="112" spans="1:94" x14ac:dyDescent="0.2">
      <c r="A112" s="329"/>
      <c r="B112" s="329"/>
      <c r="C112" s="329"/>
      <c r="D112" s="329"/>
      <c r="E112" s="329"/>
      <c r="F112" s="329"/>
      <c r="G112" s="329"/>
      <c r="H112" s="519"/>
    </row>
    <row r="113" spans="1:8" x14ac:dyDescent="0.2">
      <c r="A113" s="329"/>
      <c r="B113" s="329"/>
      <c r="C113" s="329"/>
      <c r="D113" s="329"/>
      <c r="E113" s="329"/>
      <c r="F113" s="329"/>
      <c r="G113" s="329"/>
      <c r="H113" s="519"/>
    </row>
    <row r="114" spans="1:8" x14ac:dyDescent="0.2">
      <c r="A114" s="329"/>
      <c r="B114" s="329"/>
      <c r="C114" s="329"/>
      <c r="D114" s="329"/>
      <c r="E114" s="329"/>
      <c r="F114" s="329"/>
      <c r="G114" s="329"/>
      <c r="H114" s="519"/>
    </row>
    <row r="115" spans="1:8" x14ac:dyDescent="0.2">
      <c r="A115" s="329"/>
      <c r="B115" s="329"/>
      <c r="C115" s="329"/>
      <c r="D115" s="329"/>
      <c r="E115" s="329"/>
      <c r="F115" s="329"/>
      <c r="G115" s="329"/>
      <c r="H115" s="519"/>
    </row>
    <row r="116" spans="1:8" x14ac:dyDescent="0.2">
      <c r="A116" s="329"/>
      <c r="B116" s="329"/>
      <c r="C116" s="329"/>
      <c r="D116" s="329"/>
      <c r="E116" s="329"/>
      <c r="F116" s="329"/>
      <c r="G116" s="329"/>
      <c r="H116" s="519"/>
    </row>
    <row r="117" spans="1:8" x14ac:dyDescent="0.2">
      <c r="A117" s="329"/>
      <c r="B117" s="329"/>
      <c r="C117" s="329"/>
      <c r="D117" s="329"/>
      <c r="E117" s="329"/>
      <c r="F117" s="329"/>
      <c r="G117" s="329"/>
      <c r="H117" s="519"/>
    </row>
    <row r="118" spans="1:8" x14ac:dyDescent="0.2">
      <c r="A118" s="329"/>
      <c r="B118" s="329"/>
      <c r="C118" s="329"/>
      <c r="D118" s="329"/>
      <c r="E118" s="329"/>
      <c r="F118" s="329"/>
      <c r="G118" s="329"/>
      <c r="H118" s="519"/>
    </row>
    <row r="119" spans="1:8" x14ac:dyDescent="0.2">
      <c r="A119" s="329"/>
      <c r="B119" s="329"/>
      <c r="C119" s="329"/>
      <c r="D119" s="329"/>
      <c r="E119" s="329"/>
      <c r="F119" s="329"/>
      <c r="G119" s="329"/>
      <c r="H119" s="519"/>
    </row>
    <row r="120" spans="1:8" x14ac:dyDescent="0.2">
      <c r="A120" s="329"/>
      <c r="B120" s="329"/>
      <c r="C120" s="329"/>
      <c r="D120" s="329"/>
      <c r="E120" s="329"/>
      <c r="F120" s="329"/>
      <c r="G120" s="329"/>
      <c r="H120" s="519"/>
    </row>
    <row r="121" spans="1:8" x14ac:dyDescent="0.2">
      <c r="A121" s="329"/>
      <c r="B121" s="329"/>
      <c r="C121" s="329"/>
      <c r="D121" s="329"/>
      <c r="E121" s="329"/>
      <c r="F121" s="329"/>
      <c r="G121" s="329"/>
      <c r="H121" s="519"/>
    </row>
    <row r="122" spans="1:8" x14ac:dyDescent="0.2">
      <c r="A122" s="329"/>
      <c r="B122" s="329"/>
      <c r="C122" s="329"/>
      <c r="D122" s="329"/>
      <c r="E122" s="329"/>
      <c r="F122" s="329"/>
      <c r="G122" s="329"/>
      <c r="H122" s="519"/>
    </row>
    <row r="123" spans="1:8" x14ac:dyDescent="0.2">
      <c r="A123" s="329"/>
      <c r="B123" s="329"/>
      <c r="C123" s="329"/>
      <c r="D123" s="329"/>
      <c r="E123" s="329"/>
      <c r="F123" s="329"/>
      <c r="G123" s="329"/>
      <c r="H123" s="519"/>
    </row>
    <row r="124" spans="1:8" x14ac:dyDescent="0.2">
      <c r="A124" s="329"/>
      <c r="B124" s="329"/>
      <c r="C124" s="329"/>
      <c r="D124" s="329"/>
      <c r="E124" s="329"/>
      <c r="F124" s="329"/>
      <c r="G124" s="329"/>
      <c r="H124" s="519"/>
    </row>
    <row r="125" spans="1:8" x14ac:dyDescent="0.2">
      <c r="A125" s="329"/>
      <c r="B125" s="329"/>
      <c r="C125" s="329"/>
      <c r="D125" s="329"/>
      <c r="E125" s="329"/>
      <c r="F125" s="329"/>
      <c r="G125" s="329"/>
      <c r="H125" s="519"/>
    </row>
    <row r="126" spans="1:8" x14ac:dyDescent="0.2">
      <c r="A126" s="329"/>
      <c r="B126" s="329"/>
      <c r="C126" s="329"/>
      <c r="D126" s="329"/>
      <c r="E126" s="329"/>
      <c r="F126" s="329"/>
      <c r="G126" s="329"/>
      <c r="H126" s="519"/>
    </row>
    <row r="127" spans="1:8" x14ac:dyDescent="0.2">
      <c r="A127" s="329"/>
      <c r="B127" s="329"/>
      <c r="C127" s="329"/>
      <c r="D127" s="329"/>
      <c r="E127" s="329"/>
      <c r="F127" s="329"/>
      <c r="G127" s="329"/>
      <c r="H127" s="519"/>
    </row>
    <row r="128" spans="1:8" x14ac:dyDescent="0.2">
      <c r="A128" s="329"/>
      <c r="B128" s="329"/>
      <c r="C128" s="329"/>
      <c r="D128" s="329"/>
      <c r="E128" s="329"/>
      <c r="F128" s="329"/>
      <c r="G128" s="329"/>
      <c r="H128" s="519"/>
    </row>
    <row r="129" spans="1:8" x14ac:dyDescent="0.2">
      <c r="A129" s="329"/>
      <c r="B129" s="329"/>
      <c r="C129" s="329"/>
      <c r="D129" s="329"/>
      <c r="E129" s="329"/>
      <c r="F129" s="329"/>
      <c r="G129" s="329"/>
      <c r="H129" s="519"/>
    </row>
    <row r="130" spans="1:8" x14ac:dyDescent="0.2">
      <c r="A130" s="329"/>
      <c r="B130" s="329"/>
      <c r="C130" s="329"/>
      <c r="D130" s="329"/>
      <c r="E130" s="329"/>
      <c r="F130" s="329"/>
      <c r="G130" s="329"/>
      <c r="H130" s="519"/>
    </row>
    <row r="131" spans="1:8" x14ac:dyDescent="0.2">
      <c r="A131" s="329"/>
      <c r="B131" s="329"/>
      <c r="C131" s="329"/>
      <c r="D131" s="329"/>
      <c r="E131" s="329"/>
      <c r="F131" s="329"/>
      <c r="G131" s="329"/>
      <c r="H131" s="519"/>
    </row>
    <row r="132" spans="1:8" x14ac:dyDescent="0.2">
      <c r="A132" s="329"/>
      <c r="B132" s="329"/>
      <c r="C132" s="329"/>
      <c r="D132" s="329"/>
      <c r="E132" s="329"/>
      <c r="F132" s="329"/>
      <c r="G132" s="329"/>
      <c r="H132" s="519"/>
    </row>
    <row r="133" spans="1:8" x14ac:dyDescent="0.2">
      <c r="A133" s="329"/>
      <c r="B133" s="329"/>
      <c r="C133" s="329"/>
      <c r="D133" s="329"/>
      <c r="E133" s="329"/>
      <c r="F133" s="329"/>
      <c r="G133" s="329"/>
      <c r="H133" s="519"/>
    </row>
    <row r="134" spans="1:8" x14ac:dyDescent="0.2">
      <c r="A134" s="329"/>
      <c r="B134" s="329"/>
      <c r="C134" s="329"/>
      <c r="D134" s="329"/>
      <c r="E134" s="329"/>
      <c r="F134" s="329"/>
      <c r="G134" s="329"/>
      <c r="H134" s="519"/>
    </row>
    <row r="135" spans="1:8" x14ac:dyDescent="0.2">
      <c r="A135" s="329"/>
      <c r="B135" s="329"/>
      <c r="C135" s="329"/>
      <c r="D135" s="329"/>
      <c r="E135" s="329"/>
      <c r="F135" s="329"/>
      <c r="G135" s="329"/>
      <c r="H135" s="519"/>
    </row>
    <row r="136" spans="1:8" x14ac:dyDescent="0.2">
      <c r="A136" s="329"/>
      <c r="B136" s="329"/>
      <c r="C136" s="329"/>
      <c r="D136" s="329"/>
      <c r="E136" s="329"/>
      <c r="F136" s="329"/>
      <c r="G136" s="329"/>
      <c r="H136" s="519"/>
    </row>
    <row r="137" spans="1:8" x14ac:dyDescent="0.2">
      <c r="A137" s="329"/>
      <c r="B137" s="329"/>
      <c r="C137" s="329"/>
      <c r="D137" s="329"/>
      <c r="E137" s="329"/>
      <c r="F137" s="329"/>
      <c r="G137" s="329"/>
      <c r="H137" s="519"/>
    </row>
    <row r="138" spans="1:8" x14ac:dyDescent="0.2">
      <c r="A138" s="329"/>
      <c r="B138" s="329"/>
      <c r="C138" s="329"/>
      <c r="D138" s="329"/>
      <c r="E138" s="329"/>
      <c r="F138" s="329"/>
      <c r="G138" s="329"/>
      <c r="H138" s="519"/>
    </row>
    <row r="139" spans="1:8" x14ac:dyDescent="0.2">
      <c r="A139" s="329"/>
      <c r="B139" s="329"/>
      <c r="C139" s="329"/>
      <c r="D139" s="329"/>
      <c r="E139" s="329"/>
      <c r="F139" s="329"/>
      <c r="G139" s="329"/>
      <c r="H139" s="519"/>
    </row>
    <row r="140" spans="1:8" x14ac:dyDescent="0.2">
      <c r="A140" s="329"/>
      <c r="B140" s="329"/>
      <c r="C140" s="329"/>
      <c r="D140" s="329"/>
      <c r="E140" s="329"/>
      <c r="F140" s="329"/>
      <c r="G140" s="329"/>
      <c r="H140" s="519"/>
    </row>
    <row r="141" spans="1:8" x14ac:dyDescent="0.2">
      <c r="A141" s="329"/>
      <c r="B141" s="329"/>
      <c r="C141" s="329"/>
      <c r="D141" s="329"/>
      <c r="E141" s="329"/>
      <c r="F141" s="329"/>
      <c r="G141" s="329"/>
      <c r="H141" s="519"/>
    </row>
    <row r="142" spans="1:8" x14ac:dyDescent="0.2">
      <c r="A142" s="329"/>
      <c r="B142" s="329"/>
      <c r="C142" s="329"/>
      <c r="D142" s="329"/>
      <c r="E142" s="329"/>
      <c r="F142" s="329"/>
      <c r="G142" s="329"/>
      <c r="H142" s="519"/>
    </row>
    <row r="143" spans="1:8" x14ac:dyDescent="0.2">
      <c r="A143" s="329"/>
      <c r="B143" s="329"/>
      <c r="C143" s="329"/>
      <c r="D143" s="329"/>
      <c r="E143" s="329"/>
      <c r="F143" s="329"/>
      <c r="G143" s="329"/>
      <c r="H143" s="519"/>
    </row>
    <row r="144" spans="1:8" x14ac:dyDescent="0.2">
      <c r="A144" s="329"/>
      <c r="B144" s="329"/>
      <c r="C144" s="329"/>
      <c r="D144" s="329"/>
      <c r="E144" s="329"/>
      <c r="F144" s="329"/>
      <c r="G144" s="329"/>
      <c r="H144" s="519"/>
    </row>
    <row r="145" spans="1:8" x14ac:dyDescent="0.2">
      <c r="A145" s="329"/>
      <c r="B145" s="329"/>
      <c r="C145" s="329"/>
      <c r="D145" s="329"/>
      <c r="E145" s="329"/>
      <c r="F145" s="329"/>
      <c r="G145" s="329"/>
      <c r="H145" s="519"/>
    </row>
    <row r="146" spans="1:8" x14ac:dyDescent="0.2">
      <c r="A146" s="329"/>
      <c r="B146" s="329"/>
      <c r="C146" s="329"/>
      <c r="D146" s="329"/>
      <c r="E146" s="329"/>
      <c r="F146" s="329"/>
      <c r="G146" s="329"/>
      <c r="H146" s="519"/>
    </row>
    <row r="147" spans="1:8" x14ac:dyDescent="0.2">
      <c r="A147" s="329"/>
      <c r="B147" s="329"/>
      <c r="C147" s="329"/>
      <c r="D147" s="329"/>
      <c r="E147" s="329"/>
      <c r="F147" s="329"/>
      <c r="G147" s="329"/>
      <c r="H147" s="519"/>
    </row>
    <row r="148" spans="1:8" x14ac:dyDescent="0.2">
      <c r="A148" s="329"/>
      <c r="B148" s="329"/>
      <c r="C148" s="329"/>
      <c r="D148" s="329"/>
      <c r="E148" s="329"/>
      <c r="F148" s="329"/>
      <c r="G148" s="329"/>
      <c r="H148" s="519"/>
    </row>
    <row r="149" spans="1:8" x14ac:dyDescent="0.2">
      <c r="A149" s="329"/>
      <c r="B149" s="329"/>
      <c r="C149" s="329"/>
      <c r="D149" s="329"/>
      <c r="E149" s="329"/>
      <c r="F149" s="329"/>
      <c r="G149" s="329"/>
      <c r="H149" s="519"/>
    </row>
    <row r="150" spans="1:8" x14ac:dyDescent="0.2">
      <c r="A150" s="329"/>
      <c r="B150" s="329"/>
      <c r="C150" s="329"/>
      <c r="D150" s="329"/>
      <c r="E150" s="329"/>
      <c r="F150" s="329"/>
      <c r="G150" s="329"/>
      <c r="H150" s="519"/>
    </row>
    <row r="151" spans="1:8" x14ac:dyDescent="0.2">
      <c r="A151" s="329"/>
      <c r="B151" s="329"/>
      <c r="C151" s="329"/>
      <c r="D151" s="329"/>
      <c r="E151" s="329"/>
      <c r="F151" s="329"/>
      <c r="G151" s="329"/>
      <c r="H151" s="519"/>
    </row>
    <row r="152" spans="1:8" x14ac:dyDescent="0.2">
      <c r="A152" s="329"/>
      <c r="B152" s="329"/>
      <c r="C152" s="329"/>
      <c r="D152" s="329"/>
      <c r="E152" s="329"/>
      <c r="F152" s="329"/>
      <c r="G152" s="329"/>
      <c r="H152" s="519"/>
    </row>
    <row r="153" spans="1:8" x14ac:dyDescent="0.2">
      <c r="A153" s="329"/>
      <c r="B153" s="329"/>
      <c r="C153" s="329"/>
      <c r="D153" s="329"/>
      <c r="E153" s="329"/>
      <c r="F153" s="329"/>
      <c r="G153" s="329"/>
      <c r="H153" s="519"/>
    </row>
    <row r="154" spans="1:8" x14ac:dyDescent="0.2">
      <c r="A154" s="329"/>
      <c r="B154" s="329"/>
      <c r="C154" s="329"/>
      <c r="D154" s="329"/>
      <c r="E154" s="329"/>
      <c r="F154" s="329"/>
      <c r="G154" s="329"/>
      <c r="H154" s="519"/>
    </row>
    <row r="155" spans="1:8" x14ac:dyDescent="0.2">
      <c r="A155" s="329"/>
      <c r="B155" s="329"/>
      <c r="C155" s="329"/>
      <c r="D155" s="329"/>
      <c r="E155" s="329"/>
      <c r="F155" s="329"/>
      <c r="G155" s="329"/>
      <c r="H155" s="519"/>
    </row>
    <row r="156" spans="1:8" x14ac:dyDescent="0.2">
      <c r="A156" s="329"/>
      <c r="B156" s="329"/>
      <c r="C156" s="329"/>
      <c r="D156" s="329"/>
      <c r="E156" s="329"/>
      <c r="F156" s="329"/>
      <c r="G156" s="329"/>
      <c r="H156" s="519"/>
    </row>
    <row r="157" spans="1:8" x14ac:dyDescent="0.2">
      <c r="A157" s="329"/>
      <c r="B157" s="329"/>
      <c r="C157" s="329"/>
      <c r="D157" s="329"/>
      <c r="E157" s="329"/>
      <c r="F157" s="329"/>
      <c r="G157" s="329"/>
      <c r="H157" s="519"/>
    </row>
    <row r="158" spans="1:8" x14ac:dyDescent="0.2">
      <c r="A158" s="329"/>
      <c r="B158" s="329"/>
      <c r="C158" s="329"/>
      <c r="D158" s="329"/>
      <c r="E158" s="329"/>
      <c r="F158" s="329"/>
      <c r="G158" s="329"/>
      <c r="H158" s="519"/>
    </row>
    <row r="159" spans="1:8" x14ac:dyDescent="0.2">
      <c r="A159" s="329"/>
      <c r="B159" s="329"/>
      <c r="C159" s="329"/>
      <c r="D159" s="329"/>
      <c r="E159" s="329"/>
      <c r="F159" s="329"/>
      <c r="G159" s="329"/>
      <c r="H159" s="519"/>
    </row>
    <row r="160" spans="1:8" x14ac:dyDescent="0.2">
      <c r="A160" s="329"/>
      <c r="B160" s="329"/>
      <c r="C160" s="329"/>
      <c r="D160" s="329"/>
      <c r="E160" s="329"/>
      <c r="F160" s="329"/>
      <c r="G160" s="329"/>
      <c r="H160" s="519"/>
    </row>
    <row r="161" spans="1:8" x14ac:dyDescent="0.2">
      <c r="A161" s="329"/>
      <c r="B161" s="329"/>
      <c r="C161" s="329"/>
      <c r="D161" s="329"/>
      <c r="E161" s="329"/>
      <c r="F161" s="329"/>
      <c r="G161" s="329"/>
      <c r="H161" s="519"/>
    </row>
    <row r="162" spans="1:8" x14ac:dyDescent="0.2">
      <c r="A162" s="329"/>
      <c r="B162" s="329"/>
      <c r="C162" s="329"/>
      <c r="D162" s="329"/>
      <c r="E162" s="329"/>
      <c r="F162" s="329"/>
      <c r="G162" s="329"/>
      <c r="H162" s="519"/>
    </row>
    <row r="163" spans="1:8" x14ac:dyDescent="0.2">
      <c r="A163" s="329"/>
      <c r="B163" s="329"/>
      <c r="C163" s="329"/>
      <c r="D163" s="329"/>
      <c r="E163" s="329"/>
      <c r="F163" s="329"/>
      <c r="G163" s="329"/>
      <c r="H163" s="519"/>
    </row>
    <row r="164" spans="1:8" x14ac:dyDescent="0.2">
      <c r="A164" s="329"/>
      <c r="B164" s="329"/>
      <c r="C164" s="329"/>
      <c r="D164" s="329"/>
      <c r="E164" s="329"/>
      <c r="F164" s="329"/>
      <c r="G164" s="329"/>
      <c r="H164" s="519"/>
    </row>
    <row r="165" spans="1:8" x14ac:dyDescent="0.2">
      <c r="A165" s="329"/>
      <c r="B165" s="329"/>
      <c r="C165" s="329"/>
      <c r="D165" s="329"/>
      <c r="E165" s="329"/>
      <c r="F165" s="329"/>
      <c r="G165" s="329"/>
      <c r="H165" s="519"/>
    </row>
    <row r="166" spans="1:8" x14ac:dyDescent="0.2">
      <c r="A166" s="329"/>
      <c r="B166" s="329"/>
      <c r="C166" s="329"/>
      <c r="D166" s="329"/>
      <c r="E166" s="329"/>
      <c r="F166" s="329"/>
      <c r="G166" s="329"/>
      <c r="H166" s="519"/>
    </row>
    <row r="167" spans="1:8" x14ac:dyDescent="0.2">
      <c r="A167" s="329"/>
      <c r="B167" s="329"/>
      <c r="C167" s="329"/>
      <c r="D167" s="329"/>
      <c r="E167" s="329"/>
      <c r="F167" s="329"/>
      <c r="G167" s="329"/>
      <c r="H167" s="519"/>
    </row>
    <row r="168" spans="1:8" x14ac:dyDescent="0.2">
      <c r="A168" s="329"/>
      <c r="B168" s="329"/>
      <c r="C168" s="329"/>
      <c r="D168" s="329"/>
      <c r="E168" s="329"/>
      <c r="F168" s="329"/>
      <c r="G168" s="329"/>
      <c r="H168" s="519"/>
    </row>
    <row r="169" spans="1:8" x14ac:dyDescent="0.2">
      <c r="A169" s="329"/>
      <c r="B169" s="329"/>
      <c r="C169" s="329"/>
      <c r="D169" s="329"/>
      <c r="E169" s="329"/>
      <c r="F169" s="329"/>
      <c r="G169" s="329"/>
      <c r="H169" s="519"/>
    </row>
    <row r="170" spans="1:8" x14ac:dyDescent="0.2">
      <c r="A170" s="329"/>
      <c r="B170" s="329"/>
      <c r="C170" s="329"/>
      <c r="D170" s="329"/>
      <c r="E170" s="329"/>
      <c r="F170" s="329"/>
      <c r="G170" s="329"/>
      <c r="H170" s="519"/>
    </row>
    <row r="171" spans="1:8" x14ac:dyDescent="0.2">
      <c r="A171" s="329"/>
      <c r="B171" s="329"/>
      <c r="C171" s="329"/>
      <c r="D171" s="329"/>
      <c r="E171" s="329"/>
      <c r="F171" s="329"/>
      <c r="G171" s="329"/>
      <c r="H171" s="519"/>
    </row>
    <row r="172" spans="1:8" x14ac:dyDescent="0.2">
      <c r="A172" s="329"/>
      <c r="B172" s="329"/>
      <c r="C172" s="329"/>
      <c r="D172" s="329"/>
      <c r="E172" s="329"/>
      <c r="F172" s="329"/>
      <c r="G172" s="329"/>
      <c r="H172" s="519"/>
    </row>
    <row r="173" spans="1:8" x14ac:dyDescent="0.2">
      <c r="A173" s="329"/>
      <c r="B173" s="329"/>
      <c r="C173" s="329"/>
      <c r="D173" s="329"/>
      <c r="E173" s="329"/>
      <c r="F173" s="329"/>
      <c r="G173" s="329"/>
      <c r="H173" s="519"/>
    </row>
    <row r="174" spans="1:8" x14ac:dyDescent="0.2">
      <c r="A174" s="329"/>
      <c r="B174" s="329"/>
      <c r="C174" s="329"/>
      <c r="D174" s="329"/>
      <c r="E174" s="329"/>
      <c r="F174" s="329"/>
      <c r="G174" s="329"/>
      <c r="H174" s="519"/>
    </row>
    <row r="175" spans="1:8" x14ac:dyDescent="0.2">
      <c r="A175" s="329"/>
      <c r="B175" s="329"/>
      <c r="C175" s="329"/>
      <c r="D175" s="329"/>
      <c r="E175" s="329"/>
      <c r="F175" s="329"/>
      <c r="G175" s="329"/>
      <c r="H175" s="519"/>
    </row>
    <row r="176" spans="1:8" x14ac:dyDescent="0.2">
      <c r="A176" s="329"/>
      <c r="B176" s="329"/>
      <c r="C176" s="329"/>
      <c r="D176" s="329"/>
      <c r="E176" s="329"/>
      <c r="F176" s="329"/>
      <c r="G176" s="329"/>
      <c r="H176" s="519"/>
    </row>
    <row r="177" spans="1:11" x14ac:dyDescent="0.2">
      <c r="A177" s="329"/>
      <c r="B177" s="329"/>
      <c r="C177" s="329"/>
      <c r="D177" s="329"/>
      <c r="E177" s="329"/>
      <c r="F177" s="329"/>
      <c r="G177" s="329"/>
      <c r="H177" s="519"/>
    </row>
    <row r="178" spans="1:11" x14ac:dyDescent="0.2">
      <c r="A178" s="329"/>
      <c r="B178" s="329"/>
      <c r="C178" s="329"/>
      <c r="D178" s="329"/>
      <c r="E178" s="329"/>
      <c r="F178" s="329"/>
      <c r="G178" s="329"/>
      <c r="H178" s="519"/>
    </row>
    <row r="179" spans="1:11" x14ac:dyDescent="0.2">
      <c r="A179" s="329"/>
      <c r="B179" s="329"/>
      <c r="C179" s="329"/>
      <c r="D179" s="329"/>
      <c r="E179" s="329"/>
      <c r="F179" s="329"/>
      <c r="G179" s="329"/>
      <c r="H179" s="519"/>
    </row>
    <row r="180" spans="1:11" x14ac:dyDescent="0.2">
      <c r="A180" s="329"/>
      <c r="B180" s="329"/>
      <c r="C180" s="329"/>
      <c r="D180" s="329"/>
      <c r="E180" s="329"/>
      <c r="F180" s="329"/>
      <c r="G180" s="329"/>
      <c r="H180" s="519"/>
    </row>
    <row r="181" spans="1:11" x14ac:dyDescent="0.2">
      <c r="A181" s="329"/>
      <c r="B181" s="329"/>
      <c r="C181" s="329"/>
      <c r="D181" s="329"/>
      <c r="E181" s="329"/>
      <c r="F181" s="329"/>
      <c r="G181" s="329"/>
      <c r="H181" s="519"/>
    </row>
    <row r="182" spans="1:11" x14ac:dyDescent="0.2">
      <c r="A182" s="329"/>
      <c r="B182" s="329"/>
      <c r="C182" s="329"/>
      <c r="D182" s="329"/>
      <c r="E182" s="329"/>
      <c r="F182" s="329"/>
      <c r="G182" s="329"/>
      <c r="H182" s="519"/>
    </row>
    <row r="183" spans="1:11" x14ac:dyDescent="0.2">
      <c r="A183" s="329"/>
      <c r="B183" s="329"/>
      <c r="C183" s="329"/>
      <c r="D183" s="329"/>
      <c r="E183" s="329"/>
      <c r="F183" s="329"/>
      <c r="G183" s="329"/>
      <c r="H183" s="519"/>
    </row>
    <row r="184" spans="1:11" x14ac:dyDescent="0.2">
      <c r="A184" s="329"/>
      <c r="B184" s="329"/>
      <c r="C184" s="329"/>
      <c r="D184" s="329"/>
      <c r="E184" s="329"/>
      <c r="F184" s="329"/>
      <c r="G184" s="329"/>
      <c r="H184" s="519"/>
    </row>
    <row r="185" spans="1:11" x14ac:dyDescent="0.2">
      <c r="A185" s="329"/>
      <c r="B185" s="329"/>
      <c r="C185" s="329"/>
      <c r="D185" s="329"/>
      <c r="E185" s="329"/>
      <c r="F185" s="329"/>
      <c r="G185" s="329"/>
      <c r="H185" s="519"/>
    </row>
    <row r="186" spans="1:11" x14ac:dyDescent="0.2">
      <c r="A186" s="329"/>
      <c r="B186" s="329"/>
      <c r="C186" s="329"/>
      <c r="D186" s="329"/>
      <c r="E186" s="329"/>
      <c r="F186" s="329"/>
      <c r="G186" s="329"/>
      <c r="H186" s="519"/>
    </row>
    <row r="187" spans="1:11" x14ac:dyDescent="0.2">
      <c r="A187" s="329"/>
      <c r="B187" s="329"/>
      <c r="C187" s="329"/>
      <c r="D187" s="329"/>
      <c r="E187" s="329"/>
      <c r="F187" s="329"/>
      <c r="G187" s="329"/>
      <c r="H187" s="520"/>
      <c r="I187" s="514"/>
      <c r="J187" s="514"/>
    </row>
    <row r="188" spans="1:11" x14ac:dyDescent="0.2">
      <c r="A188" s="329"/>
      <c r="B188" s="329"/>
      <c r="C188" s="329"/>
      <c r="D188" s="329"/>
      <c r="E188" s="329"/>
      <c r="F188" s="329"/>
      <c r="G188" s="329"/>
      <c r="H188" s="329"/>
      <c r="I188" s="329"/>
      <c r="J188" s="329"/>
      <c r="K188" s="519"/>
    </row>
    <row r="189" spans="1:11" x14ac:dyDescent="0.2">
      <c r="A189" s="329"/>
      <c r="B189" s="329"/>
      <c r="C189" s="329"/>
      <c r="D189" s="329"/>
      <c r="E189" s="329"/>
      <c r="F189" s="329"/>
      <c r="G189" s="329"/>
      <c r="H189" s="329"/>
      <c r="I189" s="329"/>
      <c r="J189" s="329"/>
      <c r="K189" s="519"/>
    </row>
    <row r="190" spans="1:11" x14ac:dyDescent="0.2">
      <c r="A190" s="329"/>
      <c r="B190" s="329"/>
      <c r="C190" s="329"/>
      <c r="D190" s="329"/>
      <c r="E190" s="329"/>
      <c r="F190" s="329"/>
      <c r="G190" s="329"/>
      <c r="H190" s="329"/>
      <c r="I190" s="329"/>
      <c r="J190" s="329"/>
      <c r="K190" s="519"/>
    </row>
    <row r="191" spans="1:11" x14ac:dyDescent="0.2">
      <c r="A191" s="329"/>
      <c r="B191" s="329"/>
      <c r="C191" s="329"/>
      <c r="D191" s="329"/>
      <c r="E191" s="329"/>
      <c r="F191" s="329"/>
      <c r="G191" s="329"/>
      <c r="H191" s="329"/>
      <c r="I191" s="329"/>
      <c r="J191" s="329"/>
      <c r="K191" s="519"/>
    </row>
    <row r="192" spans="1:11" x14ac:dyDescent="0.2">
      <c r="A192" s="329"/>
      <c r="B192" s="329"/>
      <c r="C192" s="329"/>
      <c r="D192" s="329"/>
      <c r="E192" s="329"/>
      <c r="F192" s="329"/>
      <c r="G192" s="329"/>
      <c r="H192" s="329"/>
      <c r="I192" s="329"/>
      <c r="J192" s="329"/>
      <c r="K192" s="519"/>
    </row>
    <row r="193" spans="1:11" x14ac:dyDescent="0.2">
      <c r="A193" s="329"/>
      <c r="B193" s="329"/>
      <c r="C193" s="329"/>
      <c r="D193" s="329"/>
      <c r="E193" s="329"/>
      <c r="F193" s="329"/>
      <c r="G193" s="329"/>
      <c r="H193" s="329"/>
      <c r="I193" s="329"/>
      <c r="J193" s="329"/>
      <c r="K193" s="519"/>
    </row>
    <row r="194" spans="1:11" x14ac:dyDescent="0.2">
      <c r="A194" s="329"/>
      <c r="B194" s="329"/>
      <c r="C194" s="329"/>
      <c r="D194" s="329"/>
      <c r="E194" s="329"/>
      <c r="F194" s="329"/>
      <c r="G194" s="329"/>
      <c r="H194" s="329"/>
      <c r="I194" s="329"/>
      <c r="J194" s="329"/>
      <c r="K194" s="519"/>
    </row>
    <row r="195" spans="1:11" x14ac:dyDescent="0.2">
      <c r="A195" s="329"/>
      <c r="B195" s="329"/>
      <c r="C195" s="329"/>
      <c r="D195" s="329"/>
      <c r="E195" s="329"/>
      <c r="F195" s="329"/>
      <c r="G195" s="329"/>
      <c r="H195" s="329"/>
      <c r="I195" s="329"/>
      <c r="J195" s="329"/>
      <c r="K195" s="519"/>
    </row>
    <row r="196" spans="1:11" x14ac:dyDescent="0.2">
      <c r="A196" s="329"/>
      <c r="B196" s="329"/>
      <c r="C196" s="329"/>
      <c r="D196" s="329"/>
      <c r="E196" s="329"/>
      <c r="F196" s="329"/>
      <c r="G196" s="329"/>
      <c r="H196" s="329"/>
      <c r="I196" s="329"/>
      <c r="J196" s="329"/>
      <c r="K196" s="519"/>
    </row>
    <row r="197" spans="1:11" x14ac:dyDescent="0.2">
      <c r="A197" s="329"/>
      <c r="B197" s="329"/>
      <c r="C197" s="329"/>
      <c r="D197" s="329"/>
      <c r="E197" s="329"/>
      <c r="F197" s="329"/>
      <c r="G197" s="329"/>
      <c r="H197" s="329"/>
      <c r="I197" s="329"/>
      <c r="J197" s="329"/>
      <c r="K197" s="519"/>
    </row>
    <row r="198" spans="1:11" x14ac:dyDescent="0.2">
      <c r="A198" s="329"/>
      <c r="B198" s="329"/>
      <c r="C198" s="329"/>
      <c r="D198" s="329"/>
      <c r="E198" s="329"/>
      <c r="F198" s="329"/>
      <c r="G198" s="329"/>
      <c r="H198" s="329"/>
      <c r="I198" s="329"/>
      <c r="J198" s="329"/>
      <c r="K198" s="519"/>
    </row>
    <row r="199" spans="1:11" x14ac:dyDescent="0.2">
      <c r="A199" s="329"/>
      <c r="B199" s="329"/>
      <c r="C199" s="329"/>
      <c r="D199" s="329"/>
      <c r="E199" s="329"/>
      <c r="F199" s="329"/>
      <c r="G199" s="329"/>
      <c r="H199" s="329"/>
      <c r="I199" s="329"/>
      <c r="J199" s="329"/>
      <c r="K199" s="519"/>
    </row>
    <row r="200" spans="1:11" x14ac:dyDescent="0.2">
      <c r="A200" s="329"/>
      <c r="B200" s="329"/>
      <c r="C200" s="329"/>
      <c r="D200" s="329"/>
      <c r="E200" s="329"/>
      <c r="F200" s="329"/>
      <c r="G200" s="329"/>
      <c r="H200" s="329"/>
      <c r="I200" s="329"/>
      <c r="J200" s="329"/>
      <c r="K200" s="519"/>
    </row>
    <row r="201" spans="1:11" x14ac:dyDescent="0.2">
      <c r="A201" s="329"/>
      <c r="B201" s="329"/>
      <c r="C201" s="329"/>
      <c r="D201" s="329"/>
      <c r="E201" s="329"/>
      <c r="F201" s="329"/>
      <c r="G201" s="329"/>
      <c r="H201" s="329"/>
      <c r="I201" s="329"/>
      <c r="J201" s="329"/>
      <c r="K201" s="519"/>
    </row>
    <row r="202" spans="1:11" x14ac:dyDescent="0.2">
      <c r="A202" s="329"/>
      <c r="B202" s="329"/>
      <c r="C202" s="329"/>
      <c r="D202" s="329"/>
      <c r="E202" s="329"/>
      <c r="F202" s="329"/>
      <c r="G202" s="329"/>
      <c r="H202" s="329"/>
      <c r="I202" s="329"/>
      <c r="J202" s="329"/>
      <c r="K202" s="519"/>
    </row>
    <row r="203" spans="1:11" x14ac:dyDescent="0.2">
      <c r="A203" s="329"/>
      <c r="B203" s="329"/>
      <c r="C203" s="329"/>
      <c r="D203" s="329"/>
      <c r="E203" s="329"/>
      <c r="F203" s="329"/>
      <c r="G203" s="329"/>
      <c r="H203" s="329"/>
      <c r="I203" s="329"/>
      <c r="J203" s="329"/>
      <c r="K203" s="519"/>
    </row>
    <row r="204" spans="1:11" x14ac:dyDescent="0.2">
      <c r="A204" s="329"/>
      <c r="B204" s="329"/>
      <c r="C204" s="329"/>
      <c r="D204" s="329"/>
      <c r="E204" s="329"/>
      <c r="F204" s="329"/>
      <c r="G204" s="329"/>
      <c r="H204" s="329"/>
      <c r="I204" s="329"/>
      <c r="J204" s="329"/>
      <c r="K204" s="519"/>
    </row>
    <row r="205" spans="1:11" x14ac:dyDescent="0.2">
      <c r="A205" s="329"/>
      <c r="B205" s="329"/>
      <c r="C205" s="329"/>
      <c r="D205" s="329"/>
      <c r="E205" s="329"/>
      <c r="F205" s="329"/>
      <c r="G205" s="329"/>
      <c r="H205" s="329"/>
      <c r="I205" s="329"/>
      <c r="J205" s="329"/>
      <c r="K205" s="519"/>
    </row>
    <row r="206" spans="1:11" x14ac:dyDescent="0.2">
      <c r="A206" s="329"/>
      <c r="B206" s="329"/>
      <c r="C206" s="329"/>
      <c r="D206" s="329"/>
      <c r="E206" s="329"/>
      <c r="F206" s="329"/>
      <c r="G206" s="329"/>
      <c r="H206" s="329"/>
      <c r="I206" s="329"/>
      <c r="J206" s="329"/>
      <c r="K206" s="519"/>
    </row>
    <row r="207" spans="1:11" x14ac:dyDescent="0.2">
      <c r="A207" s="329"/>
      <c r="B207" s="329"/>
      <c r="C207" s="329"/>
      <c r="D207" s="329"/>
      <c r="E207" s="329"/>
      <c r="F207" s="329"/>
      <c r="G207" s="329"/>
      <c r="H207" s="329"/>
      <c r="I207" s="329"/>
      <c r="J207" s="329"/>
      <c r="K207" s="519"/>
    </row>
    <row r="208" spans="1:11" x14ac:dyDescent="0.2">
      <c r="A208" s="329"/>
      <c r="B208" s="329"/>
      <c r="C208" s="329"/>
      <c r="D208" s="329"/>
      <c r="E208" s="329"/>
      <c r="F208" s="329"/>
      <c r="G208" s="329"/>
      <c r="H208" s="329"/>
      <c r="I208" s="329"/>
      <c r="J208" s="329"/>
      <c r="K208" s="519"/>
    </row>
    <row r="209" spans="1:11" x14ac:dyDescent="0.2">
      <c r="A209" s="329"/>
      <c r="B209" s="329"/>
      <c r="C209" s="329"/>
      <c r="D209" s="329"/>
      <c r="E209" s="329"/>
      <c r="F209" s="329"/>
      <c r="G209" s="329"/>
      <c r="H209" s="329"/>
      <c r="I209" s="329"/>
      <c r="J209" s="329"/>
      <c r="K209" s="519"/>
    </row>
    <row r="210" spans="1:11" x14ac:dyDescent="0.2">
      <c r="A210" s="329"/>
      <c r="B210" s="329"/>
      <c r="C210" s="329"/>
      <c r="D210" s="329"/>
      <c r="E210" s="329"/>
      <c r="F210" s="329"/>
      <c r="G210" s="329"/>
      <c r="H210" s="329"/>
      <c r="I210" s="329"/>
      <c r="J210" s="329"/>
      <c r="K210" s="519"/>
    </row>
    <row r="211" spans="1:11" x14ac:dyDescent="0.2">
      <c r="A211" s="329"/>
      <c r="B211" s="329"/>
      <c r="C211" s="329"/>
      <c r="D211" s="329"/>
      <c r="E211" s="329"/>
      <c r="F211" s="329"/>
      <c r="G211" s="329"/>
      <c r="H211" s="329"/>
      <c r="I211" s="329"/>
      <c r="J211" s="329"/>
      <c r="K211" s="519"/>
    </row>
    <row r="212" spans="1:11" x14ac:dyDescent="0.2">
      <c r="A212" s="329"/>
      <c r="B212" s="329"/>
      <c r="C212" s="329"/>
      <c r="D212" s="329"/>
      <c r="E212" s="329"/>
      <c r="F212" s="329"/>
      <c r="G212" s="329"/>
      <c r="H212" s="329"/>
      <c r="I212" s="329"/>
      <c r="J212" s="329"/>
      <c r="K212" s="519"/>
    </row>
    <row r="213" spans="1:11" x14ac:dyDescent="0.2">
      <c r="A213" s="329"/>
      <c r="B213" s="329"/>
      <c r="C213" s="329"/>
      <c r="D213" s="329"/>
      <c r="E213" s="329"/>
      <c r="F213" s="329"/>
      <c r="G213" s="329"/>
      <c r="H213" s="329"/>
      <c r="I213" s="329"/>
      <c r="J213" s="329"/>
      <c r="K213" s="519"/>
    </row>
    <row r="214" spans="1:11" x14ac:dyDescent="0.2">
      <c r="A214" s="329"/>
      <c r="B214" s="329"/>
      <c r="C214" s="329"/>
      <c r="D214" s="329"/>
      <c r="E214" s="329"/>
      <c r="F214" s="329"/>
      <c r="G214" s="329"/>
      <c r="H214" s="329"/>
      <c r="I214" s="329"/>
      <c r="J214" s="329"/>
      <c r="K214" s="519"/>
    </row>
    <row r="215" spans="1:11" x14ac:dyDescent="0.2">
      <c r="A215" s="329"/>
      <c r="B215" s="329"/>
      <c r="C215" s="329"/>
      <c r="D215" s="329"/>
      <c r="E215" s="329"/>
      <c r="F215" s="329"/>
      <c r="G215" s="329"/>
      <c r="H215" s="329"/>
      <c r="I215" s="329"/>
      <c r="J215" s="329"/>
      <c r="K215" s="519"/>
    </row>
    <row r="216" spans="1:11" x14ac:dyDescent="0.2">
      <c r="A216" s="329"/>
      <c r="B216" s="329"/>
      <c r="C216" s="329"/>
      <c r="D216" s="329"/>
      <c r="E216" s="329"/>
      <c r="F216" s="329"/>
      <c r="G216" s="329"/>
      <c r="H216" s="329"/>
      <c r="I216" s="329"/>
      <c r="J216" s="329"/>
      <c r="K216" s="519"/>
    </row>
    <row r="217" spans="1:11" x14ac:dyDescent="0.2">
      <c r="A217" s="329"/>
      <c r="B217" s="329"/>
      <c r="C217" s="329"/>
      <c r="D217" s="329"/>
      <c r="E217" s="329"/>
      <c r="F217" s="329"/>
      <c r="G217" s="329"/>
      <c r="H217" s="329"/>
      <c r="I217" s="329"/>
      <c r="J217" s="329"/>
      <c r="K217" s="519"/>
    </row>
    <row r="218" spans="1:11" x14ac:dyDescent="0.2">
      <c r="A218" s="329"/>
      <c r="B218" s="329"/>
      <c r="C218" s="329"/>
      <c r="D218" s="329"/>
      <c r="E218" s="329"/>
      <c r="F218" s="329"/>
      <c r="G218" s="329"/>
      <c r="H218" s="329"/>
      <c r="I218" s="329"/>
      <c r="J218" s="329"/>
      <c r="K218" s="519"/>
    </row>
    <row r="219" spans="1:11" x14ac:dyDescent="0.2">
      <c r="A219" s="329"/>
      <c r="B219" s="329"/>
      <c r="C219" s="329"/>
      <c r="D219" s="329"/>
      <c r="E219" s="329"/>
      <c r="F219" s="329"/>
      <c r="G219" s="329"/>
      <c r="H219" s="329"/>
      <c r="I219" s="329"/>
      <c r="J219" s="329"/>
      <c r="K219" s="519"/>
    </row>
    <row r="220" spans="1:11" x14ac:dyDescent="0.2">
      <c r="A220" s="329"/>
      <c r="B220" s="329"/>
      <c r="C220" s="329"/>
      <c r="D220" s="329"/>
      <c r="E220" s="329"/>
      <c r="F220" s="329"/>
      <c r="G220" s="329"/>
      <c r="H220" s="329"/>
      <c r="I220" s="329"/>
      <c r="J220" s="329"/>
      <c r="K220" s="519"/>
    </row>
    <row r="221" spans="1:11" x14ac:dyDescent="0.2">
      <c r="A221" s="329"/>
      <c r="B221" s="329"/>
      <c r="C221" s="329"/>
      <c r="D221" s="329"/>
      <c r="E221" s="329"/>
      <c r="F221" s="329"/>
      <c r="G221" s="329"/>
      <c r="H221" s="329"/>
      <c r="I221" s="329"/>
      <c r="J221" s="329"/>
      <c r="K221" s="519"/>
    </row>
    <row r="222" spans="1:11" x14ac:dyDescent="0.2">
      <c r="A222" s="329"/>
      <c r="B222" s="329"/>
      <c r="C222" s="329"/>
      <c r="D222" s="329"/>
      <c r="E222" s="329"/>
      <c r="F222" s="329"/>
      <c r="G222" s="329"/>
      <c r="H222" s="329"/>
      <c r="I222" s="329"/>
      <c r="J222" s="329"/>
      <c r="K222" s="519"/>
    </row>
    <row r="223" spans="1:11" x14ac:dyDescent="0.2">
      <c r="A223" s="329"/>
      <c r="B223" s="329"/>
      <c r="C223" s="329"/>
      <c r="D223" s="329"/>
      <c r="E223" s="329"/>
      <c r="F223" s="329"/>
      <c r="G223" s="329"/>
      <c r="H223" s="329"/>
      <c r="I223" s="329"/>
      <c r="J223" s="329"/>
      <c r="K223" s="519"/>
    </row>
    <row r="224" spans="1:11" x14ac:dyDescent="0.2">
      <c r="A224" s="329"/>
      <c r="B224" s="329"/>
      <c r="C224" s="329"/>
      <c r="D224" s="329"/>
      <c r="E224" s="329"/>
      <c r="F224" s="329"/>
      <c r="G224" s="329"/>
      <c r="H224" s="329"/>
      <c r="I224" s="329"/>
      <c r="J224" s="329"/>
      <c r="K224" s="519"/>
    </row>
    <row r="225" spans="1:11" x14ac:dyDescent="0.2">
      <c r="A225" s="329"/>
      <c r="B225" s="329"/>
      <c r="C225" s="329"/>
      <c r="D225" s="329"/>
      <c r="E225" s="329"/>
      <c r="F225" s="329"/>
      <c r="G225" s="329"/>
      <c r="H225" s="329"/>
      <c r="I225" s="329"/>
      <c r="J225" s="329"/>
      <c r="K225" s="519"/>
    </row>
    <row r="226" spans="1:11" x14ac:dyDescent="0.2">
      <c r="A226" s="329"/>
      <c r="B226" s="329"/>
      <c r="C226" s="329"/>
      <c r="D226" s="329"/>
      <c r="E226" s="329"/>
      <c r="F226" s="329"/>
      <c r="G226" s="329"/>
      <c r="H226" s="329"/>
      <c r="I226" s="329"/>
      <c r="J226" s="329"/>
      <c r="K226" s="519"/>
    </row>
    <row r="227" spans="1:11" x14ac:dyDescent="0.2">
      <c r="A227" s="329"/>
      <c r="B227" s="329"/>
      <c r="C227" s="329"/>
      <c r="D227" s="329"/>
      <c r="E227" s="329"/>
      <c r="F227" s="329"/>
      <c r="G227" s="329"/>
      <c r="H227" s="329"/>
      <c r="I227" s="329"/>
      <c r="J227" s="329"/>
      <c r="K227" s="519"/>
    </row>
    <row r="228" spans="1:11" x14ac:dyDescent="0.2">
      <c r="A228" s="329"/>
      <c r="B228" s="329"/>
      <c r="C228" s="329"/>
      <c r="D228" s="329"/>
      <c r="E228" s="329"/>
      <c r="F228" s="329"/>
      <c r="G228" s="329"/>
      <c r="H228" s="329"/>
      <c r="I228" s="329"/>
      <c r="J228" s="329"/>
      <c r="K228" s="519"/>
    </row>
    <row r="229" spans="1:11" x14ac:dyDescent="0.2">
      <c r="A229" s="329"/>
      <c r="B229" s="329"/>
      <c r="C229" s="329"/>
      <c r="D229" s="329"/>
      <c r="E229" s="329"/>
      <c r="F229" s="329"/>
      <c r="G229" s="329"/>
      <c r="H229" s="329"/>
      <c r="I229" s="329"/>
      <c r="J229" s="329"/>
      <c r="K229" s="519"/>
    </row>
    <row r="230" spans="1:11" x14ac:dyDescent="0.2">
      <c r="A230" s="329"/>
      <c r="B230" s="329"/>
      <c r="C230" s="329"/>
      <c r="D230" s="329"/>
      <c r="E230" s="329"/>
      <c r="F230" s="329"/>
      <c r="G230" s="329"/>
      <c r="H230" s="329"/>
      <c r="I230" s="329"/>
      <c r="J230" s="329"/>
      <c r="K230" s="519"/>
    </row>
    <row r="231" spans="1:11" x14ac:dyDescent="0.2">
      <c r="A231" s="329"/>
      <c r="B231" s="329"/>
      <c r="C231" s="329"/>
      <c r="D231" s="329"/>
      <c r="E231" s="329"/>
      <c r="F231" s="329"/>
      <c r="G231" s="329"/>
      <c r="H231" s="329"/>
      <c r="I231" s="329"/>
      <c r="J231" s="329"/>
      <c r="K231" s="519"/>
    </row>
    <row r="232" spans="1:11" x14ac:dyDescent="0.2">
      <c r="A232" s="329"/>
      <c r="B232" s="329"/>
      <c r="C232" s="329"/>
      <c r="D232" s="329"/>
      <c r="E232" s="329"/>
      <c r="F232" s="329"/>
      <c r="G232" s="329"/>
      <c r="H232" s="329"/>
      <c r="I232" s="329"/>
      <c r="J232" s="329"/>
      <c r="K232" s="519"/>
    </row>
    <row r="233" spans="1:11" x14ac:dyDescent="0.2">
      <c r="A233" s="329"/>
      <c r="B233" s="329"/>
      <c r="C233" s="329"/>
      <c r="D233" s="329"/>
      <c r="E233" s="329"/>
      <c r="F233" s="329"/>
      <c r="G233" s="329"/>
      <c r="H233" s="329"/>
      <c r="I233" s="329"/>
      <c r="J233" s="329"/>
      <c r="K233" s="519"/>
    </row>
    <row r="234" spans="1:11" x14ac:dyDescent="0.2">
      <c r="A234" s="329"/>
      <c r="B234" s="329"/>
      <c r="C234" s="329"/>
      <c r="D234" s="329"/>
      <c r="E234" s="329"/>
      <c r="F234" s="329"/>
      <c r="G234" s="329"/>
      <c r="H234" s="329"/>
      <c r="I234" s="329"/>
      <c r="J234" s="329"/>
      <c r="K234" s="519"/>
    </row>
    <row r="235" spans="1:11" x14ac:dyDescent="0.2">
      <c r="A235" s="329"/>
      <c r="B235" s="329"/>
      <c r="C235" s="329"/>
      <c r="D235" s="329"/>
      <c r="E235" s="329"/>
      <c r="F235" s="329"/>
      <c r="G235" s="329"/>
      <c r="H235" s="329"/>
      <c r="I235" s="329"/>
      <c r="J235" s="329"/>
      <c r="K235" s="519"/>
    </row>
    <row r="236" spans="1:11" x14ac:dyDescent="0.2">
      <c r="A236" s="329"/>
      <c r="B236" s="329"/>
      <c r="C236" s="329"/>
      <c r="D236" s="329"/>
      <c r="E236" s="329"/>
      <c r="F236" s="329"/>
      <c r="G236" s="329"/>
      <c r="H236" s="329"/>
      <c r="I236" s="329"/>
      <c r="J236" s="329"/>
      <c r="K236" s="519"/>
    </row>
    <row r="237" spans="1:11" x14ac:dyDescent="0.2">
      <c r="A237" s="329"/>
      <c r="B237" s="329"/>
      <c r="C237" s="329"/>
      <c r="D237" s="329"/>
      <c r="E237" s="329"/>
      <c r="F237" s="329"/>
      <c r="G237" s="329"/>
      <c r="H237" s="329"/>
      <c r="I237" s="329"/>
      <c r="J237" s="329"/>
      <c r="K237" s="519"/>
    </row>
    <row r="238" spans="1:11" x14ac:dyDescent="0.2">
      <c r="A238" s="329"/>
      <c r="B238" s="329"/>
      <c r="C238" s="329"/>
      <c r="D238" s="329"/>
      <c r="E238" s="329"/>
      <c r="F238" s="329"/>
      <c r="G238" s="329"/>
      <c r="H238" s="329"/>
      <c r="I238" s="329"/>
      <c r="J238" s="329"/>
      <c r="K238" s="519"/>
    </row>
    <row r="239" spans="1:11" x14ac:dyDescent="0.2">
      <c r="A239" s="329"/>
      <c r="B239" s="329"/>
      <c r="C239" s="329"/>
      <c r="D239" s="329"/>
      <c r="E239" s="329"/>
      <c r="F239" s="329"/>
      <c r="G239" s="329"/>
      <c r="H239" s="329"/>
      <c r="I239" s="329"/>
      <c r="J239" s="329"/>
      <c r="K239" s="519"/>
    </row>
    <row r="240" spans="1:11" x14ac:dyDescent="0.2">
      <c r="A240" s="329"/>
      <c r="B240" s="329"/>
      <c r="C240" s="329"/>
      <c r="D240" s="329"/>
      <c r="E240" s="329"/>
      <c r="F240" s="329"/>
      <c r="G240" s="329"/>
      <c r="H240" s="329"/>
      <c r="I240" s="329"/>
      <c r="J240" s="329"/>
      <c r="K240" s="519"/>
    </row>
    <row r="241" spans="1:11" x14ac:dyDescent="0.2">
      <c r="A241" s="329"/>
      <c r="B241" s="329"/>
      <c r="C241" s="329"/>
      <c r="D241" s="329"/>
      <c r="E241" s="329"/>
      <c r="F241" s="329"/>
      <c r="G241" s="329"/>
      <c r="H241" s="329"/>
      <c r="I241" s="329"/>
      <c r="J241" s="329"/>
      <c r="K241" s="519"/>
    </row>
    <row r="242" spans="1:11" x14ac:dyDescent="0.2">
      <c r="A242" s="329"/>
      <c r="B242" s="329"/>
      <c r="C242" s="329"/>
      <c r="D242" s="329"/>
      <c r="E242" s="329"/>
      <c r="F242" s="329"/>
      <c r="G242" s="329"/>
      <c r="H242" s="329"/>
      <c r="I242" s="329"/>
      <c r="J242" s="329"/>
      <c r="K242" s="519"/>
    </row>
    <row r="243" spans="1:11" x14ac:dyDescent="0.2">
      <c r="A243" s="329"/>
      <c r="B243" s="329"/>
      <c r="C243" s="329"/>
      <c r="D243" s="329"/>
      <c r="E243" s="329"/>
      <c r="F243" s="329"/>
      <c r="G243" s="329"/>
      <c r="H243" s="329"/>
      <c r="I243" s="329"/>
      <c r="J243" s="329"/>
      <c r="K243" s="519"/>
    </row>
    <row r="244" spans="1:11" x14ac:dyDescent="0.2">
      <c r="A244" s="329"/>
      <c r="B244" s="329"/>
      <c r="C244" s="329"/>
      <c r="D244" s="329"/>
      <c r="E244" s="329"/>
      <c r="F244" s="329"/>
      <c r="G244" s="329"/>
      <c r="H244" s="329"/>
      <c r="I244" s="329"/>
      <c r="J244" s="329"/>
      <c r="K244" s="519"/>
    </row>
    <row r="245" spans="1:11" x14ac:dyDescent="0.2">
      <c r="A245" s="329"/>
      <c r="B245" s="329"/>
      <c r="C245" s="329"/>
      <c r="D245" s="329"/>
      <c r="E245" s="329"/>
      <c r="F245" s="329"/>
      <c r="G245" s="329"/>
      <c r="H245" s="329"/>
      <c r="I245" s="329"/>
      <c r="J245" s="329"/>
      <c r="K245" s="519"/>
    </row>
    <row r="246" spans="1:11" x14ac:dyDescent="0.2">
      <c r="A246" s="329"/>
      <c r="B246" s="329"/>
      <c r="C246" s="329"/>
      <c r="D246" s="329"/>
      <c r="E246" s="329"/>
      <c r="F246" s="329"/>
      <c r="G246" s="329"/>
      <c r="H246" s="329"/>
      <c r="I246" s="329"/>
      <c r="J246" s="329"/>
      <c r="K246" s="519"/>
    </row>
    <row r="247" spans="1:11" x14ac:dyDescent="0.2">
      <c r="A247" s="329"/>
      <c r="B247" s="329"/>
      <c r="C247" s="329"/>
      <c r="D247" s="329"/>
      <c r="E247" s="329"/>
      <c r="F247" s="329"/>
      <c r="G247" s="329"/>
      <c r="H247" s="329"/>
      <c r="I247" s="329"/>
      <c r="J247" s="329"/>
      <c r="K247" s="519"/>
    </row>
    <row r="248" spans="1:11" x14ac:dyDescent="0.2">
      <c r="A248" s="329"/>
      <c r="B248" s="329"/>
      <c r="C248" s="329"/>
      <c r="D248" s="329"/>
      <c r="E248" s="329"/>
      <c r="F248" s="329"/>
      <c r="G248" s="329"/>
      <c r="H248" s="329"/>
      <c r="I248" s="329"/>
      <c r="J248" s="329"/>
      <c r="K248" s="519"/>
    </row>
    <row r="249" spans="1:11" x14ac:dyDescent="0.2">
      <c r="A249" s="329"/>
      <c r="B249" s="329"/>
      <c r="C249" s="329"/>
      <c r="D249" s="329"/>
      <c r="E249" s="329"/>
      <c r="F249" s="329"/>
      <c r="G249" s="329"/>
      <c r="H249" s="329"/>
      <c r="I249" s="329"/>
      <c r="J249" s="329"/>
      <c r="K249" s="519"/>
    </row>
    <row r="250" spans="1:11" x14ac:dyDescent="0.2">
      <c r="A250" s="329"/>
      <c r="B250" s="329"/>
      <c r="C250" s="329"/>
      <c r="D250" s="329"/>
      <c r="E250" s="329"/>
      <c r="F250" s="329"/>
      <c r="G250" s="329"/>
      <c r="H250" s="329"/>
      <c r="I250" s="329"/>
      <c r="J250" s="329"/>
      <c r="K250" s="519"/>
    </row>
    <row r="251" spans="1:11" x14ac:dyDescent="0.2">
      <c r="A251" s="329"/>
      <c r="B251" s="329"/>
      <c r="C251" s="329"/>
      <c r="D251" s="329"/>
      <c r="E251" s="329"/>
      <c r="F251" s="329"/>
      <c r="G251" s="329"/>
      <c r="H251" s="329"/>
      <c r="I251" s="329"/>
      <c r="J251" s="329"/>
      <c r="K251" s="519"/>
    </row>
    <row r="252" spans="1:11" x14ac:dyDescent="0.2">
      <c r="A252" s="329"/>
      <c r="B252" s="329"/>
      <c r="C252" s="329"/>
      <c r="D252" s="329"/>
      <c r="E252" s="329"/>
      <c r="F252" s="329"/>
      <c r="G252" s="329"/>
      <c r="H252" s="329"/>
      <c r="I252" s="329"/>
      <c r="J252" s="329"/>
      <c r="K252" s="519"/>
    </row>
    <row r="253" spans="1:11" x14ac:dyDescent="0.2">
      <c r="A253" s="329"/>
      <c r="B253" s="329"/>
      <c r="C253" s="329"/>
      <c r="D253" s="329"/>
      <c r="E253" s="329"/>
      <c r="F253" s="329"/>
      <c r="G253" s="329"/>
      <c r="H253" s="329"/>
      <c r="I253" s="329"/>
      <c r="J253" s="329"/>
      <c r="K253" s="519"/>
    </row>
    <row r="254" spans="1:11" x14ac:dyDescent="0.2">
      <c r="A254" s="329"/>
      <c r="B254" s="329"/>
      <c r="C254" s="329"/>
      <c r="D254" s="329"/>
      <c r="E254" s="329"/>
      <c r="F254" s="329"/>
      <c r="G254" s="329"/>
      <c r="H254" s="329"/>
      <c r="I254" s="329"/>
      <c r="J254" s="329"/>
      <c r="K254" s="519"/>
    </row>
    <row r="255" spans="1:11" x14ac:dyDescent="0.2">
      <c r="A255" s="329"/>
      <c r="B255" s="329"/>
      <c r="C255" s="329"/>
      <c r="D255" s="329"/>
      <c r="E255" s="329"/>
      <c r="F255" s="329"/>
      <c r="G255" s="329"/>
      <c r="H255" s="329"/>
      <c r="I255" s="329"/>
      <c r="J255" s="329"/>
      <c r="K255" s="519"/>
    </row>
    <row r="256" spans="1:11" x14ac:dyDescent="0.2">
      <c r="A256" s="329"/>
      <c r="B256" s="329"/>
      <c r="C256" s="329"/>
      <c r="D256" s="329"/>
      <c r="E256" s="329"/>
      <c r="F256" s="329"/>
      <c r="G256" s="329"/>
      <c r="H256" s="329"/>
      <c r="I256" s="329"/>
      <c r="J256" s="329"/>
      <c r="K256" s="519"/>
    </row>
    <row r="257" spans="1:11" x14ac:dyDescent="0.2">
      <c r="A257" s="329"/>
      <c r="B257" s="329"/>
      <c r="C257" s="329"/>
      <c r="D257" s="329"/>
      <c r="E257" s="329"/>
      <c r="F257" s="329"/>
      <c r="G257" s="329"/>
      <c r="H257" s="329"/>
      <c r="I257" s="329"/>
      <c r="J257" s="329"/>
      <c r="K257" s="519"/>
    </row>
    <row r="258" spans="1:11" x14ac:dyDescent="0.2">
      <c r="A258" s="329"/>
      <c r="B258" s="329"/>
      <c r="C258" s="329"/>
      <c r="D258" s="329"/>
      <c r="E258" s="329"/>
      <c r="F258" s="329"/>
      <c r="G258" s="329"/>
      <c r="H258" s="329"/>
      <c r="I258" s="329"/>
      <c r="J258" s="329"/>
      <c r="K258" s="519"/>
    </row>
    <row r="259" spans="1:11" x14ac:dyDescent="0.2">
      <c r="A259" s="329"/>
      <c r="B259" s="329"/>
      <c r="C259" s="329"/>
      <c r="D259" s="329"/>
      <c r="E259" s="329"/>
      <c r="F259" s="329"/>
      <c r="G259" s="329"/>
      <c r="H259" s="329"/>
      <c r="I259" s="329"/>
      <c r="J259" s="329"/>
      <c r="K259" s="519"/>
    </row>
    <row r="260" spans="1:11" x14ac:dyDescent="0.2">
      <c r="A260" s="329"/>
      <c r="B260" s="329"/>
      <c r="C260" s="329"/>
      <c r="D260" s="329"/>
      <c r="E260" s="329"/>
      <c r="F260" s="329"/>
      <c r="G260" s="329"/>
      <c r="H260" s="329"/>
      <c r="I260" s="329"/>
      <c r="J260" s="329"/>
      <c r="K260" s="519"/>
    </row>
    <row r="261" spans="1:11" x14ac:dyDescent="0.2">
      <c r="A261" s="329"/>
      <c r="B261" s="329"/>
      <c r="C261" s="329"/>
      <c r="D261" s="329"/>
      <c r="E261" s="329"/>
      <c r="F261" s="329"/>
      <c r="G261" s="329"/>
      <c r="H261" s="329"/>
      <c r="I261" s="329"/>
      <c r="J261" s="329"/>
      <c r="K261" s="519"/>
    </row>
    <row r="262" spans="1:11" x14ac:dyDescent="0.2">
      <c r="A262" s="329"/>
      <c r="B262" s="329"/>
      <c r="C262" s="329"/>
      <c r="D262" s="329"/>
      <c r="E262" s="329"/>
      <c r="F262" s="329"/>
      <c r="G262" s="329"/>
      <c r="H262" s="329"/>
      <c r="I262" s="329"/>
      <c r="J262" s="329"/>
      <c r="K262" s="519"/>
    </row>
    <row r="263" spans="1:11" x14ac:dyDescent="0.2">
      <c r="A263" s="329"/>
      <c r="B263" s="329"/>
      <c r="C263" s="329"/>
      <c r="D263" s="329"/>
      <c r="E263" s="329"/>
      <c r="F263" s="329"/>
      <c r="G263" s="329"/>
      <c r="H263" s="329"/>
      <c r="I263" s="329"/>
      <c r="J263" s="329"/>
      <c r="K263" s="519"/>
    </row>
    <row r="264" spans="1:11" x14ac:dyDescent="0.2">
      <c r="A264" s="329"/>
      <c r="B264" s="329"/>
      <c r="C264" s="329"/>
      <c r="D264" s="329"/>
      <c r="E264" s="329"/>
      <c r="F264" s="329"/>
      <c r="G264" s="329"/>
      <c r="H264" s="329"/>
      <c r="I264" s="329"/>
      <c r="J264" s="329"/>
      <c r="K264" s="519"/>
    </row>
    <row r="265" spans="1:11" x14ac:dyDescent="0.2">
      <c r="A265" s="329"/>
      <c r="B265" s="329"/>
      <c r="C265" s="329"/>
      <c r="D265" s="329"/>
      <c r="E265" s="329"/>
      <c r="F265" s="329"/>
      <c r="G265" s="329"/>
      <c r="H265" s="329"/>
      <c r="I265" s="329"/>
      <c r="J265" s="329"/>
      <c r="K265" s="519"/>
    </row>
    <row r="266" spans="1:11" x14ac:dyDescent="0.2">
      <c r="A266" s="329"/>
      <c r="B266" s="329"/>
      <c r="C266" s="329"/>
      <c r="D266" s="329"/>
      <c r="E266" s="329"/>
      <c r="F266" s="329"/>
      <c r="G266" s="329"/>
      <c r="H266" s="329"/>
      <c r="I266" s="329"/>
      <c r="J266" s="329"/>
      <c r="K266" s="519"/>
    </row>
    <row r="267" spans="1:11" x14ac:dyDescent="0.2">
      <c r="A267" s="329"/>
      <c r="B267" s="329"/>
      <c r="C267" s="329"/>
      <c r="D267" s="329"/>
      <c r="E267" s="329"/>
      <c r="F267" s="329"/>
      <c r="G267" s="329"/>
      <c r="H267" s="329"/>
      <c r="I267" s="329"/>
      <c r="J267" s="329"/>
      <c r="K267" s="519"/>
    </row>
    <row r="268" spans="1:11" x14ac:dyDescent="0.2">
      <c r="A268" s="329"/>
      <c r="B268" s="329"/>
      <c r="C268" s="329"/>
      <c r="D268" s="329"/>
      <c r="E268" s="329"/>
      <c r="F268" s="329"/>
      <c r="G268" s="329"/>
      <c r="H268" s="329"/>
      <c r="I268" s="329"/>
      <c r="J268" s="329"/>
      <c r="K268" s="519"/>
    </row>
    <row r="269" spans="1:11" x14ac:dyDescent="0.2">
      <c r="A269" s="329"/>
      <c r="B269" s="329"/>
      <c r="C269" s="329"/>
      <c r="D269" s="329"/>
      <c r="E269" s="329"/>
      <c r="F269" s="329"/>
      <c r="G269" s="329"/>
      <c r="H269" s="329"/>
      <c r="I269" s="329"/>
      <c r="J269" s="329"/>
      <c r="K269" s="519"/>
    </row>
    <row r="270" spans="1:11" x14ac:dyDescent="0.2">
      <c r="A270" s="329"/>
      <c r="B270" s="329"/>
      <c r="C270" s="329"/>
      <c r="D270" s="329"/>
      <c r="E270" s="329"/>
      <c r="F270" s="329"/>
      <c r="G270" s="329"/>
      <c r="H270" s="329"/>
      <c r="I270" s="329"/>
      <c r="J270" s="329"/>
      <c r="K270" s="519"/>
    </row>
    <row r="271" spans="1:11" x14ac:dyDescent="0.2">
      <c r="A271" s="329"/>
      <c r="B271" s="329"/>
      <c r="C271" s="329"/>
      <c r="D271" s="329"/>
      <c r="E271" s="329"/>
      <c r="F271" s="329"/>
      <c r="G271" s="329"/>
      <c r="H271" s="329"/>
      <c r="I271" s="329"/>
      <c r="J271" s="329"/>
      <c r="K271" s="519"/>
    </row>
    <row r="272" spans="1:11" x14ac:dyDescent="0.2">
      <c r="A272" s="329"/>
      <c r="B272" s="329"/>
      <c r="C272" s="329"/>
      <c r="D272" s="329"/>
      <c r="E272" s="329"/>
      <c r="F272" s="329"/>
      <c r="G272" s="329"/>
      <c r="H272" s="329"/>
      <c r="I272" s="329"/>
      <c r="J272" s="329"/>
      <c r="K272" s="519"/>
    </row>
    <row r="273" spans="1:11" x14ac:dyDescent="0.2">
      <c r="A273" s="329"/>
      <c r="B273" s="329"/>
      <c r="C273" s="329"/>
      <c r="D273" s="329"/>
      <c r="E273" s="329"/>
      <c r="F273" s="329"/>
      <c r="G273" s="329"/>
      <c r="H273" s="329"/>
      <c r="I273" s="329"/>
      <c r="J273" s="329"/>
      <c r="K273" s="519"/>
    </row>
    <row r="274" spans="1:11" x14ac:dyDescent="0.2">
      <c r="A274" s="329"/>
      <c r="B274" s="329"/>
      <c r="C274" s="329"/>
      <c r="D274" s="329"/>
      <c r="E274" s="329"/>
      <c r="F274" s="329"/>
      <c r="G274" s="329"/>
      <c r="H274" s="329"/>
      <c r="I274" s="329"/>
      <c r="J274" s="329"/>
      <c r="K274" s="519"/>
    </row>
    <row r="275" spans="1:11" x14ac:dyDescent="0.2">
      <c r="A275" s="329"/>
      <c r="B275" s="329"/>
      <c r="C275" s="329"/>
      <c r="D275" s="329"/>
      <c r="E275" s="329"/>
      <c r="F275" s="329"/>
      <c r="G275" s="329"/>
      <c r="H275" s="329"/>
      <c r="I275" s="329"/>
      <c r="J275" s="329"/>
      <c r="K275" s="519"/>
    </row>
    <row r="276" spans="1:11" x14ac:dyDescent="0.2">
      <c r="A276" s="329"/>
      <c r="B276" s="329"/>
      <c r="C276" s="329"/>
      <c r="D276" s="329"/>
      <c r="E276" s="329"/>
      <c r="F276" s="329"/>
      <c r="G276" s="329"/>
      <c r="H276" s="329"/>
      <c r="I276" s="329"/>
      <c r="J276" s="329"/>
      <c r="K276" s="519"/>
    </row>
    <row r="277" spans="1:11" x14ac:dyDescent="0.2">
      <c r="A277" s="329"/>
      <c r="B277" s="329"/>
      <c r="C277" s="329"/>
      <c r="D277" s="329"/>
      <c r="E277" s="329"/>
      <c r="F277" s="329"/>
      <c r="G277" s="329"/>
      <c r="H277" s="329"/>
      <c r="I277" s="329"/>
      <c r="J277" s="329"/>
      <c r="K277" s="519"/>
    </row>
    <row r="278" spans="1:11" x14ac:dyDescent="0.2">
      <c r="A278" s="329"/>
      <c r="B278" s="329"/>
      <c r="C278" s="329"/>
      <c r="D278" s="329"/>
      <c r="E278" s="329"/>
      <c r="F278" s="329"/>
      <c r="G278" s="329"/>
      <c r="H278" s="329"/>
      <c r="I278" s="329"/>
      <c r="J278" s="329"/>
      <c r="K278" s="519"/>
    </row>
    <row r="279" spans="1:11" x14ac:dyDescent="0.2">
      <c r="A279" s="329"/>
      <c r="B279" s="329"/>
      <c r="C279" s="329"/>
      <c r="D279" s="329"/>
      <c r="E279" s="329"/>
      <c r="F279" s="329"/>
      <c r="G279" s="329"/>
      <c r="H279" s="329"/>
      <c r="I279" s="329"/>
      <c r="J279" s="329"/>
      <c r="K279" s="519"/>
    </row>
    <row r="280" spans="1:11" x14ac:dyDescent="0.2">
      <c r="A280" s="329"/>
      <c r="B280" s="329"/>
      <c r="C280" s="329"/>
      <c r="D280" s="329"/>
      <c r="E280" s="329"/>
      <c r="F280" s="329"/>
      <c r="G280" s="329"/>
      <c r="H280" s="329"/>
      <c r="I280" s="329"/>
      <c r="J280" s="329"/>
      <c r="K280" s="519"/>
    </row>
    <row r="281" spans="1:11" x14ac:dyDescent="0.2">
      <c r="A281" s="329"/>
      <c r="B281" s="329"/>
      <c r="C281" s="329"/>
      <c r="D281" s="329"/>
      <c r="E281" s="329"/>
      <c r="F281" s="329"/>
      <c r="G281" s="329"/>
      <c r="H281" s="329"/>
      <c r="I281" s="329"/>
      <c r="J281" s="329"/>
      <c r="K281" s="519"/>
    </row>
    <row r="282" spans="1:11" x14ac:dyDescent="0.2">
      <c r="A282" s="329"/>
      <c r="B282" s="329"/>
      <c r="C282" s="329"/>
      <c r="D282" s="329"/>
      <c r="E282" s="329"/>
      <c r="F282" s="329"/>
      <c r="G282" s="329"/>
      <c r="H282" s="329"/>
      <c r="I282" s="329"/>
      <c r="J282" s="329"/>
      <c r="K282" s="519"/>
    </row>
    <row r="283" spans="1:11" x14ac:dyDescent="0.2">
      <c r="A283" s="329"/>
      <c r="B283" s="329"/>
      <c r="C283" s="329"/>
      <c r="D283" s="329"/>
      <c r="E283" s="329"/>
      <c r="F283" s="329"/>
      <c r="G283" s="329"/>
      <c r="H283" s="329"/>
      <c r="I283" s="329"/>
      <c r="J283" s="329"/>
      <c r="K283" s="519"/>
    </row>
    <row r="284" spans="1:11" x14ac:dyDescent="0.2">
      <c r="A284" s="329"/>
      <c r="B284" s="329"/>
      <c r="C284" s="329"/>
      <c r="D284" s="329"/>
      <c r="E284" s="329"/>
      <c r="F284" s="329"/>
      <c r="G284" s="329"/>
      <c r="H284" s="329"/>
      <c r="I284" s="329"/>
      <c r="J284" s="329"/>
      <c r="K284" s="519"/>
    </row>
    <row r="285" spans="1:11" x14ac:dyDescent="0.2">
      <c r="A285" s="329"/>
      <c r="B285" s="329"/>
      <c r="C285" s="329"/>
      <c r="D285" s="329"/>
      <c r="E285" s="329"/>
      <c r="F285" s="329"/>
      <c r="G285" s="329"/>
      <c r="H285" s="329"/>
      <c r="I285" s="329"/>
      <c r="J285" s="329"/>
      <c r="K285" s="519"/>
    </row>
    <row r="286" spans="1:11" x14ac:dyDescent="0.2">
      <c r="A286" s="329"/>
      <c r="B286" s="329"/>
      <c r="C286" s="329"/>
      <c r="D286" s="329"/>
      <c r="E286" s="329"/>
      <c r="F286" s="329"/>
      <c r="G286" s="329"/>
      <c r="H286" s="329"/>
      <c r="I286" s="329"/>
      <c r="J286" s="329"/>
      <c r="K286" s="519"/>
    </row>
    <row r="287" spans="1:11" x14ac:dyDescent="0.2">
      <c r="A287" s="329"/>
      <c r="B287" s="329"/>
      <c r="C287" s="329"/>
      <c r="D287" s="329"/>
      <c r="E287" s="329"/>
      <c r="F287" s="329"/>
      <c r="G287" s="329"/>
      <c r="H287" s="329"/>
      <c r="I287" s="329"/>
      <c r="J287" s="329"/>
      <c r="K287" s="519"/>
    </row>
    <row r="288" spans="1:11" x14ac:dyDescent="0.2">
      <c r="A288" s="329"/>
      <c r="B288" s="329"/>
      <c r="C288" s="329"/>
      <c r="D288" s="329"/>
      <c r="E288" s="329"/>
      <c r="F288" s="329"/>
      <c r="G288" s="329"/>
      <c r="H288" s="329"/>
      <c r="I288" s="329"/>
      <c r="J288" s="329"/>
      <c r="K288" s="519"/>
    </row>
    <row r="289" spans="1:11" x14ac:dyDescent="0.2">
      <c r="A289" s="329"/>
      <c r="B289" s="329"/>
      <c r="C289" s="329"/>
      <c r="D289" s="329"/>
      <c r="E289" s="329"/>
      <c r="F289" s="329"/>
      <c r="G289" s="329"/>
      <c r="H289" s="329"/>
      <c r="I289" s="329"/>
      <c r="J289" s="329"/>
      <c r="K289" s="519"/>
    </row>
    <row r="290" spans="1:11" x14ac:dyDescent="0.2">
      <c r="A290" s="329"/>
      <c r="B290" s="329"/>
      <c r="C290" s="329"/>
      <c r="D290" s="329"/>
      <c r="E290" s="329"/>
      <c r="F290" s="329"/>
      <c r="G290" s="329"/>
      <c r="H290" s="329"/>
      <c r="I290" s="329"/>
      <c r="J290" s="329"/>
      <c r="K290" s="519"/>
    </row>
    <row r="291" spans="1:11" x14ac:dyDescent="0.2">
      <c r="A291" s="329"/>
      <c r="B291" s="329"/>
      <c r="C291" s="329"/>
      <c r="D291" s="329"/>
      <c r="E291" s="329"/>
      <c r="F291" s="329"/>
      <c r="G291" s="329"/>
      <c r="H291" s="329"/>
      <c r="I291" s="329"/>
      <c r="J291" s="329"/>
      <c r="K291" s="519"/>
    </row>
    <row r="292" spans="1:11" x14ac:dyDescent="0.2">
      <c r="A292" s="329"/>
      <c r="B292" s="329"/>
      <c r="C292" s="329"/>
      <c r="D292" s="329"/>
      <c r="E292" s="329"/>
      <c r="F292" s="329"/>
      <c r="G292" s="329"/>
      <c r="H292" s="329"/>
      <c r="I292" s="329"/>
      <c r="J292" s="329"/>
      <c r="K292" s="519"/>
    </row>
    <row r="293" spans="1:11" x14ac:dyDescent="0.2">
      <c r="A293" s="329"/>
      <c r="B293" s="329"/>
      <c r="C293" s="329"/>
      <c r="D293" s="329"/>
      <c r="E293" s="329"/>
      <c r="F293" s="329"/>
      <c r="G293" s="329"/>
      <c r="H293" s="329"/>
      <c r="I293" s="329"/>
      <c r="J293" s="329"/>
      <c r="K293" s="519"/>
    </row>
    <row r="294" spans="1:11" x14ac:dyDescent="0.2">
      <c r="A294" s="329"/>
      <c r="B294" s="329"/>
      <c r="C294" s="329"/>
      <c r="D294" s="329"/>
      <c r="E294" s="329"/>
      <c r="F294" s="329"/>
      <c r="G294" s="329"/>
      <c r="H294" s="329"/>
      <c r="I294" s="329"/>
      <c r="J294" s="329"/>
      <c r="K294" s="519"/>
    </row>
    <row r="295" spans="1:11" x14ac:dyDescent="0.2">
      <c r="A295" s="329"/>
      <c r="B295" s="329"/>
      <c r="C295" s="329"/>
      <c r="D295" s="329"/>
      <c r="E295" s="329"/>
      <c r="F295" s="329"/>
      <c r="G295" s="329"/>
      <c r="H295" s="329"/>
      <c r="I295" s="329"/>
      <c r="J295" s="329"/>
      <c r="K295" s="519"/>
    </row>
    <row r="296" spans="1:11" x14ac:dyDescent="0.2">
      <c r="A296" s="329"/>
      <c r="B296" s="329"/>
      <c r="C296" s="329"/>
      <c r="D296" s="329"/>
      <c r="E296" s="329"/>
      <c r="F296" s="329"/>
      <c r="G296" s="329"/>
      <c r="H296" s="329"/>
      <c r="I296" s="329"/>
      <c r="J296" s="329"/>
      <c r="K296" s="519"/>
    </row>
    <row r="297" spans="1:11" x14ac:dyDescent="0.2">
      <c r="A297" s="329"/>
      <c r="B297" s="329"/>
      <c r="C297" s="329"/>
      <c r="D297" s="329"/>
      <c r="E297" s="329"/>
      <c r="F297" s="329"/>
      <c r="G297" s="329"/>
      <c r="H297" s="329"/>
      <c r="I297" s="329"/>
      <c r="J297" s="329"/>
      <c r="K297" s="519"/>
    </row>
    <row r="298" spans="1:11" x14ac:dyDescent="0.2">
      <c r="A298" s="329"/>
      <c r="B298" s="329"/>
      <c r="C298" s="329"/>
      <c r="D298" s="329"/>
      <c r="E298" s="329"/>
      <c r="F298" s="329"/>
      <c r="G298" s="329"/>
      <c r="H298" s="329"/>
      <c r="I298" s="329"/>
      <c r="J298" s="329"/>
      <c r="K298" s="519"/>
    </row>
    <row r="299" spans="1:11" x14ac:dyDescent="0.2">
      <c r="A299" s="329"/>
      <c r="B299" s="329"/>
      <c r="C299" s="329"/>
      <c r="D299" s="329"/>
      <c r="E299" s="329"/>
      <c r="F299" s="329"/>
      <c r="G299" s="329"/>
      <c r="H299" s="329"/>
      <c r="I299" s="329"/>
      <c r="J299" s="329"/>
      <c r="K299" s="519"/>
    </row>
    <row r="300" spans="1:11" x14ac:dyDescent="0.2">
      <c r="A300" s="329"/>
      <c r="B300" s="329"/>
      <c r="C300" s="329"/>
      <c r="D300" s="329"/>
      <c r="E300" s="329"/>
      <c r="F300" s="329"/>
      <c r="G300" s="329"/>
      <c r="H300" s="329"/>
      <c r="I300" s="329"/>
      <c r="J300" s="329"/>
      <c r="K300" s="519"/>
    </row>
    <row r="301" spans="1:11" x14ac:dyDescent="0.2">
      <c r="A301" s="329"/>
      <c r="B301" s="329"/>
      <c r="C301" s="329"/>
      <c r="D301" s="329"/>
      <c r="E301" s="329"/>
      <c r="F301" s="329"/>
      <c r="G301" s="329"/>
      <c r="H301" s="329"/>
      <c r="I301" s="329"/>
      <c r="J301" s="329"/>
      <c r="K301" s="519"/>
    </row>
    <row r="302" spans="1:11" x14ac:dyDescent="0.2">
      <c r="A302" s="329"/>
      <c r="B302" s="329"/>
      <c r="C302" s="329"/>
      <c r="D302" s="329"/>
      <c r="E302" s="329"/>
      <c r="F302" s="329"/>
      <c r="G302" s="329"/>
      <c r="H302" s="329"/>
      <c r="I302" s="329"/>
      <c r="J302" s="329"/>
      <c r="K302" s="519"/>
    </row>
    <row r="303" spans="1:11" x14ac:dyDescent="0.2">
      <c r="A303" s="329"/>
      <c r="B303" s="329"/>
      <c r="C303" s="329"/>
      <c r="D303" s="329"/>
      <c r="E303" s="329"/>
      <c r="F303" s="329"/>
      <c r="G303" s="329"/>
      <c r="H303" s="329"/>
      <c r="I303" s="329"/>
      <c r="J303" s="329"/>
      <c r="K303" s="519"/>
    </row>
    <row r="304" spans="1:11" x14ac:dyDescent="0.2">
      <c r="A304" s="329"/>
      <c r="B304" s="329"/>
      <c r="C304" s="329"/>
      <c r="D304" s="329"/>
      <c r="E304" s="329"/>
      <c r="F304" s="329"/>
      <c r="G304" s="329"/>
      <c r="H304" s="329"/>
      <c r="I304" s="329"/>
      <c r="J304" s="329"/>
      <c r="K304" s="519"/>
    </row>
    <row r="305" spans="1:11" x14ac:dyDescent="0.2">
      <c r="A305" s="329"/>
      <c r="B305" s="329"/>
      <c r="C305" s="329"/>
      <c r="D305" s="329"/>
      <c r="E305" s="329"/>
      <c r="F305" s="329"/>
      <c r="G305" s="329"/>
      <c r="H305" s="329"/>
      <c r="I305" s="329"/>
      <c r="J305" s="329"/>
      <c r="K305" s="519"/>
    </row>
    <row r="306" spans="1:11" x14ac:dyDescent="0.2">
      <c r="A306" s="329"/>
      <c r="B306" s="329"/>
      <c r="C306" s="329"/>
      <c r="D306" s="329"/>
      <c r="E306" s="329"/>
      <c r="F306" s="329"/>
      <c r="G306" s="329"/>
      <c r="H306" s="329"/>
      <c r="I306" s="329"/>
      <c r="J306" s="329"/>
      <c r="K306" s="519"/>
    </row>
    <row r="307" spans="1:11" x14ac:dyDescent="0.2">
      <c r="A307" s="329"/>
      <c r="B307" s="329"/>
      <c r="C307" s="329"/>
      <c r="D307" s="329"/>
      <c r="E307" s="329"/>
      <c r="F307" s="329"/>
      <c r="G307" s="329"/>
      <c r="H307" s="329"/>
      <c r="I307" s="329"/>
      <c r="J307" s="329"/>
      <c r="K307" s="519"/>
    </row>
    <row r="308" spans="1:11" x14ac:dyDescent="0.2">
      <c r="A308" s="329"/>
      <c r="B308" s="329"/>
      <c r="C308" s="329"/>
      <c r="D308" s="329"/>
      <c r="E308" s="329"/>
      <c r="F308" s="329"/>
      <c r="G308" s="329"/>
      <c r="H308" s="329"/>
      <c r="I308" s="329"/>
      <c r="J308" s="329"/>
      <c r="K308" s="519"/>
    </row>
    <row r="309" spans="1:11" x14ac:dyDescent="0.2">
      <c r="A309" s="329"/>
      <c r="B309" s="329"/>
      <c r="C309" s="329"/>
      <c r="D309" s="329"/>
      <c r="E309" s="329"/>
      <c r="F309" s="329"/>
      <c r="G309" s="329"/>
      <c r="H309" s="329"/>
      <c r="I309" s="329"/>
      <c r="J309" s="329"/>
      <c r="K309" s="519"/>
    </row>
    <row r="310" spans="1:11" x14ac:dyDescent="0.2">
      <c r="A310" s="329"/>
      <c r="B310" s="329"/>
      <c r="C310" s="329"/>
      <c r="D310" s="329"/>
      <c r="E310" s="329"/>
      <c r="F310" s="329"/>
      <c r="G310" s="329"/>
      <c r="H310" s="329"/>
      <c r="I310" s="329"/>
      <c r="J310" s="329"/>
      <c r="K310" s="519"/>
    </row>
    <row r="311" spans="1:11" x14ac:dyDescent="0.2">
      <c r="A311" s="329"/>
      <c r="B311" s="329"/>
      <c r="C311" s="329"/>
      <c r="D311" s="329"/>
      <c r="E311" s="329"/>
      <c r="F311" s="329"/>
      <c r="G311" s="329"/>
      <c r="H311" s="329"/>
      <c r="I311" s="329"/>
      <c r="J311" s="329"/>
      <c r="K311" s="519"/>
    </row>
    <row r="312" spans="1:11" x14ac:dyDescent="0.2">
      <c r="A312" s="329"/>
      <c r="B312" s="329"/>
      <c r="C312" s="329"/>
      <c r="D312" s="329"/>
      <c r="E312" s="329"/>
      <c r="F312" s="329"/>
      <c r="G312" s="329"/>
      <c r="H312" s="329"/>
      <c r="I312" s="329"/>
      <c r="J312" s="329"/>
      <c r="K312" s="519"/>
    </row>
    <row r="313" spans="1:11" x14ac:dyDescent="0.2">
      <c r="A313" s="329"/>
      <c r="B313" s="329"/>
      <c r="C313" s="329"/>
      <c r="D313" s="329"/>
      <c r="E313" s="329"/>
      <c r="F313" s="329"/>
      <c r="G313" s="329"/>
      <c r="H313" s="329"/>
      <c r="I313" s="329"/>
      <c r="J313" s="329"/>
      <c r="K313" s="519"/>
    </row>
    <row r="314" spans="1:11" x14ac:dyDescent="0.2">
      <c r="A314" s="329"/>
      <c r="B314" s="329"/>
      <c r="C314" s="329"/>
      <c r="D314" s="329"/>
      <c r="E314" s="329"/>
      <c r="F314" s="329"/>
      <c r="G314" s="329"/>
      <c r="H314" s="329"/>
      <c r="I314" s="329"/>
      <c r="J314" s="329"/>
      <c r="K314" s="519"/>
    </row>
    <row r="315" spans="1:11" x14ac:dyDescent="0.2">
      <c r="A315" s="329"/>
      <c r="B315" s="329"/>
      <c r="C315" s="329"/>
      <c r="D315" s="329"/>
      <c r="E315" s="329"/>
      <c r="F315" s="329"/>
      <c r="G315" s="329"/>
      <c r="H315" s="329"/>
      <c r="I315" s="329"/>
      <c r="J315" s="329"/>
      <c r="K315" s="519"/>
    </row>
    <row r="316" spans="1:11" x14ac:dyDescent="0.2">
      <c r="A316" s="329"/>
      <c r="B316" s="329"/>
      <c r="C316" s="329"/>
      <c r="D316" s="329"/>
      <c r="E316" s="329"/>
      <c r="F316" s="329"/>
      <c r="G316" s="329"/>
      <c r="H316" s="329"/>
      <c r="I316" s="329"/>
      <c r="J316" s="329"/>
      <c r="K316" s="519"/>
    </row>
    <row r="317" spans="1:11" x14ac:dyDescent="0.2">
      <c r="A317" s="329"/>
      <c r="B317" s="329"/>
      <c r="C317" s="329"/>
      <c r="D317" s="329"/>
      <c r="E317" s="329"/>
      <c r="F317" s="329"/>
      <c r="G317" s="329"/>
      <c r="H317" s="329"/>
      <c r="I317" s="329"/>
      <c r="J317" s="329"/>
      <c r="K317" s="519"/>
    </row>
    <row r="318" spans="1:11" x14ac:dyDescent="0.2">
      <c r="A318" s="329"/>
      <c r="B318" s="329"/>
      <c r="C318" s="329"/>
      <c r="D318" s="329"/>
      <c r="E318" s="329"/>
      <c r="F318" s="329"/>
      <c r="G318" s="329"/>
      <c r="H318" s="329"/>
      <c r="I318" s="329"/>
      <c r="J318" s="329"/>
      <c r="K318" s="519"/>
    </row>
    <row r="319" spans="1:11" x14ac:dyDescent="0.2">
      <c r="A319" s="329"/>
      <c r="B319" s="329"/>
      <c r="C319" s="329"/>
      <c r="D319" s="329"/>
      <c r="E319" s="329"/>
      <c r="F319" s="329"/>
      <c r="G319" s="329"/>
      <c r="H319" s="329"/>
      <c r="I319" s="329"/>
      <c r="J319" s="329"/>
      <c r="K319" s="519"/>
    </row>
    <row r="320" spans="1:11" x14ac:dyDescent="0.2">
      <c r="A320" s="329"/>
      <c r="B320" s="329"/>
      <c r="C320" s="329"/>
      <c r="D320" s="329"/>
      <c r="E320" s="329"/>
      <c r="F320" s="329"/>
      <c r="G320" s="329"/>
      <c r="H320" s="329"/>
      <c r="I320" s="329"/>
      <c r="J320" s="329"/>
      <c r="K320" s="519"/>
    </row>
    <row r="321" spans="1:11" x14ac:dyDescent="0.2">
      <c r="A321" s="329"/>
      <c r="B321" s="329"/>
      <c r="C321" s="329"/>
      <c r="D321" s="329"/>
      <c r="E321" s="329"/>
      <c r="F321" s="329"/>
      <c r="G321" s="329"/>
      <c r="H321" s="329"/>
      <c r="I321" s="329"/>
      <c r="J321" s="329"/>
      <c r="K321" s="519"/>
    </row>
    <row r="322" spans="1:11" x14ac:dyDescent="0.2">
      <c r="A322" s="329"/>
      <c r="B322" s="329"/>
      <c r="C322" s="329"/>
      <c r="D322" s="329"/>
      <c r="E322" s="329"/>
      <c r="F322" s="329"/>
      <c r="G322" s="329"/>
      <c r="H322" s="329"/>
      <c r="I322" s="329"/>
      <c r="J322" s="329"/>
      <c r="K322" s="519"/>
    </row>
    <row r="323" spans="1:11" x14ac:dyDescent="0.2">
      <c r="A323" s="329"/>
      <c r="B323" s="329"/>
      <c r="C323" s="329"/>
      <c r="D323" s="329"/>
      <c r="E323" s="329"/>
      <c r="F323" s="329"/>
      <c r="G323" s="329"/>
      <c r="H323" s="329"/>
      <c r="I323" s="329"/>
      <c r="J323" s="329"/>
      <c r="K323" s="519"/>
    </row>
    <row r="324" spans="1:11" x14ac:dyDescent="0.2">
      <c r="A324" s="329"/>
      <c r="B324" s="329"/>
      <c r="C324" s="329"/>
      <c r="D324" s="329"/>
      <c r="E324" s="329"/>
      <c r="F324" s="329"/>
      <c r="G324" s="329"/>
      <c r="H324" s="329"/>
      <c r="I324" s="329"/>
      <c r="J324" s="329"/>
      <c r="K324" s="519"/>
    </row>
    <row r="325" spans="1:11" x14ac:dyDescent="0.2">
      <c r="A325" s="329"/>
      <c r="B325" s="329"/>
      <c r="C325" s="329"/>
      <c r="D325" s="329"/>
      <c r="E325" s="329"/>
      <c r="F325" s="329"/>
      <c r="G325" s="329"/>
      <c r="H325" s="329"/>
      <c r="I325" s="329"/>
      <c r="J325" s="329"/>
      <c r="K325" s="519"/>
    </row>
    <row r="326" spans="1:11" x14ac:dyDescent="0.2">
      <c r="A326" s="329"/>
      <c r="B326" s="329"/>
      <c r="C326" s="329"/>
      <c r="D326" s="329"/>
      <c r="E326" s="329"/>
      <c r="F326" s="329"/>
      <c r="G326" s="329"/>
      <c r="H326" s="329"/>
      <c r="I326" s="329"/>
      <c r="J326" s="329"/>
      <c r="K326" s="519"/>
    </row>
    <row r="327" spans="1:11" x14ac:dyDescent="0.2">
      <c r="A327" s="329"/>
      <c r="B327" s="329"/>
      <c r="C327" s="329"/>
      <c r="D327" s="329"/>
      <c r="E327" s="329"/>
      <c r="F327" s="329"/>
      <c r="G327" s="329"/>
      <c r="H327" s="329"/>
      <c r="I327" s="329"/>
      <c r="J327" s="329"/>
      <c r="K327" s="519"/>
    </row>
    <row r="328" spans="1:11" x14ac:dyDescent="0.2">
      <c r="A328" s="329"/>
      <c r="B328" s="329"/>
      <c r="C328" s="329"/>
      <c r="D328" s="329"/>
      <c r="E328" s="329"/>
      <c r="F328" s="329"/>
      <c r="G328" s="329"/>
      <c r="H328" s="329"/>
      <c r="I328" s="329"/>
      <c r="J328" s="329"/>
      <c r="K328" s="519"/>
    </row>
    <row r="329" spans="1:11" x14ac:dyDescent="0.2">
      <c r="A329" s="329"/>
      <c r="B329" s="329"/>
      <c r="C329" s="329"/>
      <c r="D329" s="329"/>
      <c r="E329" s="329"/>
      <c r="F329" s="329"/>
      <c r="G329" s="329"/>
      <c r="H329" s="329"/>
      <c r="I329" s="329"/>
      <c r="J329" s="329"/>
      <c r="K329" s="519"/>
    </row>
    <row r="330" spans="1:11" x14ac:dyDescent="0.2">
      <c r="A330" s="329"/>
      <c r="B330" s="329"/>
      <c r="C330" s="329"/>
      <c r="D330" s="329"/>
      <c r="E330" s="329"/>
      <c r="F330" s="329"/>
      <c r="G330" s="329"/>
      <c r="H330" s="329"/>
      <c r="I330" s="329"/>
      <c r="J330" s="329"/>
      <c r="K330" s="519"/>
    </row>
    <row r="331" spans="1:11" x14ac:dyDescent="0.2">
      <c r="A331" s="329"/>
      <c r="B331" s="329"/>
      <c r="C331" s="329"/>
      <c r="D331" s="329"/>
      <c r="E331" s="329"/>
      <c r="F331" s="329"/>
      <c r="G331" s="329"/>
      <c r="H331" s="329"/>
      <c r="I331" s="329"/>
      <c r="J331" s="329"/>
      <c r="K331" s="519"/>
    </row>
    <row r="332" spans="1:11" x14ac:dyDescent="0.2">
      <c r="A332" s="329"/>
      <c r="B332" s="329"/>
      <c r="C332" s="329"/>
      <c r="D332" s="329"/>
      <c r="E332" s="329"/>
      <c r="F332" s="329"/>
      <c r="G332" s="329"/>
      <c r="H332" s="329"/>
      <c r="I332" s="329"/>
      <c r="J332" s="329"/>
      <c r="K332" s="519"/>
    </row>
    <row r="333" spans="1:11" x14ac:dyDescent="0.2">
      <c r="A333" s="329"/>
      <c r="B333" s="329"/>
      <c r="C333" s="329"/>
      <c r="D333" s="329"/>
      <c r="E333" s="329"/>
      <c r="F333" s="329"/>
      <c r="G333" s="329"/>
      <c r="H333" s="329"/>
      <c r="I333" s="329"/>
      <c r="J333" s="329"/>
      <c r="K333" s="519"/>
    </row>
    <row r="334" spans="1:11" x14ac:dyDescent="0.2">
      <c r="A334" s="329"/>
      <c r="B334" s="329"/>
      <c r="C334" s="329"/>
      <c r="D334" s="329"/>
      <c r="E334" s="329"/>
      <c r="F334" s="329"/>
      <c r="G334" s="329"/>
      <c r="H334" s="329"/>
      <c r="I334" s="329"/>
      <c r="J334" s="329"/>
      <c r="K334" s="519"/>
    </row>
    <row r="335" spans="1:11" x14ac:dyDescent="0.2">
      <c r="A335" s="329"/>
      <c r="B335" s="329"/>
      <c r="C335" s="329"/>
      <c r="D335" s="329"/>
      <c r="E335" s="329"/>
      <c r="F335" s="329"/>
      <c r="G335" s="329"/>
      <c r="H335" s="329"/>
      <c r="I335" s="329"/>
      <c r="J335" s="329"/>
      <c r="K335" s="519"/>
    </row>
    <row r="336" spans="1:11" x14ac:dyDescent="0.2">
      <c r="A336" s="329"/>
      <c r="B336" s="329"/>
      <c r="C336" s="329"/>
      <c r="D336" s="329"/>
      <c r="E336" s="329"/>
      <c r="F336" s="329"/>
      <c r="G336" s="329"/>
      <c r="H336" s="329"/>
      <c r="I336" s="329"/>
      <c r="J336" s="329"/>
      <c r="K336" s="519"/>
    </row>
    <row r="337" spans="1:11" x14ac:dyDescent="0.2">
      <c r="A337" s="329"/>
      <c r="B337" s="329"/>
      <c r="C337" s="329"/>
      <c r="D337" s="329"/>
      <c r="E337" s="329"/>
      <c r="F337" s="329"/>
      <c r="G337" s="329"/>
      <c r="H337" s="329"/>
      <c r="I337" s="329"/>
      <c r="J337" s="329"/>
      <c r="K337" s="519"/>
    </row>
    <row r="338" spans="1:11" x14ac:dyDescent="0.2">
      <c r="A338" s="329"/>
      <c r="B338" s="329"/>
      <c r="C338" s="329"/>
      <c r="D338" s="329"/>
      <c r="E338" s="329"/>
      <c r="F338" s="329"/>
      <c r="G338" s="329"/>
      <c r="H338" s="329"/>
      <c r="I338" s="329"/>
      <c r="J338" s="329"/>
      <c r="K338" s="519"/>
    </row>
    <row r="339" spans="1:11" x14ac:dyDescent="0.2">
      <c r="A339" s="329"/>
      <c r="B339" s="329"/>
      <c r="C339" s="329"/>
      <c r="D339" s="329"/>
      <c r="E339" s="329"/>
      <c r="F339" s="329"/>
      <c r="G339" s="329"/>
      <c r="H339" s="329"/>
      <c r="I339" s="329"/>
      <c r="J339" s="329"/>
      <c r="K339" s="519"/>
    </row>
    <row r="340" spans="1:11" x14ac:dyDescent="0.2">
      <c r="A340" s="329"/>
      <c r="B340" s="329"/>
      <c r="C340" s="329"/>
      <c r="D340" s="329"/>
      <c r="E340" s="329"/>
      <c r="F340" s="329"/>
      <c r="G340" s="329"/>
      <c r="H340" s="329"/>
      <c r="I340" s="329"/>
      <c r="J340" s="329"/>
      <c r="K340" s="519"/>
    </row>
    <row r="341" spans="1:11" x14ac:dyDescent="0.2">
      <c r="A341" s="329"/>
      <c r="B341" s="329"/>
      <c r="C341" s="329"/>
      <c r="D341" s="329"/>
      <c r="E341" s="329"/>
      <c r="F341" s="329"/>
      <c r="G341" s="329"/>
      <c r="H341" s="329"/>
      <c r="I341" s="329"/>
      <c r="J341" s="329"/>
      <c r="K341" s="519"/>
    </row>
    <row r="342" spans="1:11" x14ac:dyDescent="0.2">
      <c r="A342" s="329"/>
      <c r="B342" s="329"/>
      <c r="C342" s="329"/>
      <c r="D342" s="329"/>
      <c r="E342" s="329"/>
      <c r="F342" s="329"/>
      <c r="G342" s="329"/>
      <c r="H342" s="329"/>
      <c r="I342" s="329"/>
      <c r="J342" s="329"/>
      <c r="K342" s="519"/>
    </row>
    <row r="343" spans="1:11" x14ac:dyDescent="0.2">
      <c r="A343" s="329"/>
      <c r="B343" s="329"/>
      <c r="C343" s="329"/>
      <c r="D343" s="329"/>
      <c r="E343" s="329"/>
      <c r="F343" s="329"/>
      <c r="G343" s="329"/>
      <c r="H343" s="329"/>
      <c r="I343" s="329"/>
      <c r="J343" s="329"/>
      <c r="K343" s="519"/>
    </row>
    <row r="344" spans="1:11" x14ac:dyDescent="0.2">
      <c r="A344" s="329"/>
      <c r="B344" s="329"/>
      <c r="C344" s="329"/>
      <c r="D344" s="329"/>
      <c r="E344" s="329"/>
      <c r="F344" s="329"/>
      <c r="G344" s="329"/>
      <c r="H344" s="329"/>
      <c r="I344" s="329"/>
      <c r="J344" s="329"/>
      <c r="K344" s="519"/>
    </row>
    <row r="345" spans="1:11" x14ac:dyDescent="0.2">
      <c r="A345" s="329"/>
      <c r="B345" s="329"/>
      <c r="C345" s="329"/>
      <c r="D345" s="329"/>
      <c r="E345" s="329"/>
      <c r="F345" s="329"/>
      <c r="G345" s="329"/>
      <c r="H345" s="329"/>
      <c r="I345" s="329"/>
      <c r="J345" s="329"/>
      <c r="K345" s="519"/>
    </row>
    <row r="346" spans="1:11" x14ac:dyDescent="0.2">
      <c r="A346" s="329"/>
      <c r="B346" s="329"/>
      <c r="C346" s="329"/>
      <c r="D346" s="329"/>
      <c r="E346" s="329"/>
      <c r="F346" s="329"/>
      <c r="G346" s="329"/>
      <c r="H346" s="329"/>
      <c r="I346" s="329"/>
      <c r="J346" s="329"/>
      <c r="K346" s="519"/>
    </row>
    <row r="347" spans="1:11" x14ac:dyDescent="0.2">
      <c r="A347" s="329"/>
      <c r="B347" s="329"/>
      <c r="C347" s="329"/>
      <c r="D347" s="329"/>
      <c r="E347" s="329"/>
      <c r="F347" s="329"/>
      <c r="G347" s="329"/>
      <c r="H347" s="329"/>
      <c r="I347" s="329"/>
      <c r="J347" s="329"/>
      <c r="K347" s="519"/>
    </row>
    <row r="348" spans="1:11" x14ac:dyDescent="0.2">
      <c r="A348" s="329"/>
      <c r="B348" s="329"/>
      <c r="C348" s="329"/>
      <c r="D348" s="329"/>
      <c r="E348" s="329"/>
      <c r="F348" s="329"/>
      <c r="G348" s="329"/>
      <c r="H348" s="329"/>
      <c r="I348" s="329"/>
      <c r="J348" s="329"/>
      <c r="K348" s="519"/>
    </row>
    <row r="349" spans="1:11" x14ac:dyDescent="0.2">
      <c r="A349" s="329"/>
      <c r="B349" s="329"/>
      <c r="C349" s="329"/>
      <c r="D349" s="329"/>
      <c r="E349" s="329"/>
      <c r="F349" s="329"/>
      <c r="G349" s="329"/>
      <c r="H349" s="329"/>
      <c r="I349" s="329"/>
      <c r="J349" s="329"/>
      <c r="K349" s="519"/>
    </row>
    <row r="350" spans="1:11" x14ac:dyDescent="0.2">
      <c r="A350" s="329"/>
      <c r="B350" s="329"/>
      <c r="C350" s="329"/>
      <c r="D350" s="329"/>
      <c r="E350" s="329"/>
      <c r="F350" s="329"/>
      <c r="G350" s="329"/>
      <c r="H350" s="329"/>
      <c r="I350" s="329"/>
      <c r="J350" s="329"/>
      <c r="K350" s="519"/>
    </row>
    <row r="351" spans="1:11" x14ac:dyDescent="0.2">
      <c r="A351" s="329"/>
      <c r="B351" s="329"/>
      <c r="C351" s="329"/>
      <c r="D351" s="329"/>
      <c r="E351" s="329"/>
      <c r="F351" s="329"/>
      <c r="G351" s="329"/>
      <c r="H351" s="329"/>
      <c r="I351" s="329"/>
      <c r="J351" s="329"/>
      <c r="K351" s="519"/>
    </row>
    <row r="352" spans="1:11" x14ac:dyDescent="0.2">
      <c r="A352" s="329"/>
      <c r="B352" s="329"/>
      <c r="C352" s="329"/>
      <c r="D352" s="329"/>
      <c r="E352" s="329"/>
      <c r="F352" s="329"/>
      <c r="G352" s="329"/>
      <c r="H352" s="329"/>
      <c r="I352" s="329"/>
      <c r="J352" s="329"/>
      <c r="K352" s="519"/>
    </row>
    <row r="353" spans="1:11" x14ac:dyDescent="0.2">
      <c r="A353" s="329"/>
      <c r="B353" s="329"/>
      <c r="C353" s="329"/>
      <c r="D353" s="329"/>
      <c r="E353" s="329"/>
      <c r="F353" s="329"/>
      <c r="G353" s="329"/>
      <c r="H353" s="329"/>
      <c r="I353" s="329"/>
      <c r="J353" s="329"/>
      <c r="K353" s="519"/>
    </row>
    <row r="354" spans="1:11" x14ac:dyDescent="0.2">
      <c r="A354" s="329"/>
      <c r="B354" s="329"/>
      <c r="C354" s="329"/>
      <c r="D354" s="329"/>
      <c r="E354" s="329"/>
      <c r="F354" s="329"/>
      <c r="G354" s="329"/>
      <c r="H354" s="329"/>
      <c r="I354" s="329"/>
      <c r="J354" s="329"/>
      <c r="K354" s="519"/>
    </row>
    <row r="355" spans="1:11" x14ac:dyDescent="0.2">
      <c r="A355" s="329"/>
      <c r="B355" s="329"/>
      <c r="C355" s="329"/>
      <c r="D355" s="329"/>
      <c r="E355" s="329"/>
      <c r="F355" s="329"/>
      <c r="G355" s="329"/>
      <c r="H355" s="329"/>
      <c r="I355" s="329"/>
      <c r="J355" s="329"/>
      <c r="K355" s="519"/>
    </row>
    <row r="356" spans="1:11" x14ac:dyDescent="0.2">
      <c r="A356" s="329"/>
      <c r="B356" s="329"/>
      <c r="C356" s="329"/>
      <c r="D356" s="329"/>
      <c r="E356" s="329"/>
      <c r="F356" s="329"/>
      <c r="G356" s="329"/>
      <c r="H356" s="329"/>
      <c r="I356" s="329"/>
      <c r="J356" s="329"/>
      <c r="K356" s="519"/>
    </row>
    <row r="357" spans="1:11" x14ac:dyDescent="0.2">
      <c r="A357" s="329"/>
      <c r="B357" s="329"/>
      <c r="C357" s="329"/>
      <c r="D357" s="329"/>
      <c r="E357" s="329"/>
      <c r="F357" s="329"/>
      <c r="G357" s="329"/>
      <c r="H357" s="329"/>
      <c r="I357" s="329"/>
      <c r="J357" s="329"/>
      <c r="K357" s="519"/>
    </row>
    <row r="358" spans="1:11" x14ac:dyDescent="0.2">
      <c r="A358" s="329"/>
      <c r="B358" s="329"/>
      <c r="C358" s="329"/>
      <c r="D358" s="329"/>
      <c r="E358" s="329"/>
      <c r="F358" s="329"/>
      <c r="G358" s="329"/>
      <c r="H358" s="329"/>
      <c r="I358" s="329"/>
      <c r="J358" s="329"/>
      <c r="K358" s="519"/>
    </row>
    <row r="359" spans="1:11" x14ac:dyDescent="0.2">
      <c r="A359" s="329"/>
      <c r="B359" s="329"/>
      <c r="C359" s="329"/>
      <c r="D359" s="329"/>
      <c r="E359" s="329"/>
      <c r="F359" s="329"/>
      <c r="G359" s="329"/>
      <c r="H359" s="329"/>
      <c r="I359" s="329"/>
      <c r="J359" s="329"/>
      <c r="K359" s="519"/>
    </row>
    <row r="360" spans="1:11" x14ac:dyDescent="0.2">
      <c r="A360" s="329"/>
      <c r="B360" s="329"/>
      <c r="C360" s="329"/>
      <c r="D360" s="329"/>
      <c r="E360" s="329"/>
      <c r="F360" s="329"/>
      <c r="G360" s="329"/>
      <c r="H360" s="329"/>
      <c r="I360" s="329"/>
      <c r="J360" s="329"/>
      <c r="K360" s="519"/>
    </row>
    <row r="361" spans="1:11" x14ac:dyDescent="0.2">
      <c r="A361" s="329"/>
      <c r="B361" s="329"/>
      <c r="C361" s="329"/>
      <c r="D361" s="329"/>
      <c r="E361" s="329"/>
      <c r="F361" s="329"/>
      <c r="G361" s="329"/>
      <c r="H361" s="329"/>
      <c r="I361" s="329"/>
      <c r="J361" s="329"/>
      <c r="K361" s="519"/>
    </row>
    <row r="362" spans="1:11" x14ac:dyDescent="0.2">
      <c r="A362" s="329"/>
      <c r="B362" s="329"/>
      <c r="C362" s="329"/>
      <c r="D362" s="329"/>
      <c r="E362" s="329"/>
      <c r="F362" s="329"/>
      <c r="G362" s="329"/>
      <c r="H362" s="329"/>
      <c r="I362" s="329"/>
      <c r="J362" s="329"/>
      <c r="K362" s="519"/>
    </row>
    <row r="363" spans="1:11" x14ac:dyDescent="0.2">
      <c r="A363" s="329"/>
      <c r="B363" s="329"/>
      <c r="C363" s="329"/>
      <c r="D363" s="329"/>
      <c r="E363" s="329"/>
      <c r="F363" s="329"/>
      <c r="G363" s="329"/>
      <c r="H363" s="329"/>
      <c r="I363" s="329"/>
      <c r="J363" s="329"/>
      <c r="K363" s="519"/>
    </row>
    <row r="364" spans="1:11" x14ac:dyDescent="0.2">
      <c r="A364" s="329"/>
      <c r="B364" s="329"/>
      <c r="C364" s="329"/>
      <c r="D364" s="329"/>
      <c r="E364" s="329"/>
      <c r="F364" s="329"/>
      <c r="G364" s="329"/>
      <c r="H364" s="329"/>
      <c r="I364" s="329"/>
      <c r="J364" s="329"/>
      <c r="K364" s="519"/>
    </row>
    <row r="365" spans="1:11" x14ac:dyDescent="0.2">
      <c r="A365" s="329"/>
      <c r="B365" s="329"/>
      <c r="C365" s="329"/>
      <c r="D365" s="329"/>
      <c r="E365" s="329"/>
      <c r="F365" s="329"/>
      <c r="G365" s="329"/>
      <c r="H365" s="329"/>
      <c r="I365" s="329"/>
      <c r="J365" s="329"/>
      <c r="K365" s="519"/>
    </row>
    <row r="366" spans="1:11" x14ac:dyDescent="0.2">
      <c r="A366" s="329"/>
      <c r="B366" s="329"/>
      <c r="C366" s="329"/>
      <c r="D366" s="329"/>
      <c r="E366" s="329"/>
      <c r="F366" s="329"/>
      <c r="G366" s="329"/>
      <c r="H366" s="329"/>
      <c r="I366" s="329"/>
      <c r="J366" s="329"/>
      <c r="K366" s="519"/>
    </row>
    <row r="367" spans="1:11" x14ac:dyDescent="0.2">
      <c r="A367" s="329"/>
      <c r="B367" s="329"/>
      <c r="C367" s="329"/>
      <c r="D367" s="329"/>
      <c r="E367" s="329"/>
      <c r="F367" s="329"/>
      <c r="G367" s="329"/>
      <c r="H367" s="329"/>
      <c r="I367" s="329"/>
      <c r="J367" s="329"/>
      <c r="K367" s="519"/>
    </row>
    <row r="368" spans="1:11" x14ac:dyDescent="0.2">
      <c r="A368" s="329"/>
      <c r="B368" s="329"/>
      <c r="C368" s="329"/>
      <c r="D368" s="329"/>
      <c r="E368" s="329"/>
      <c r="F368" s="329"/>
      <c r="G368" s="329"/>
      <c r="H368" s="329"/>
      <c r="I368" s="329"/>
      <c r="J368" s="329"/>
      <c r="K368" s="519"/>
    </row>
    <row r="369" spans="1:11" x14ac:dyDescent="0.2">
      <c r="A369" s="329"/>
      <c r="B369" s="329"/>
      <c r="C369" s="329"/>
      <c r="D369" s="329"/>
      <c r="E369" s="329"/>
      <c r="F369" s="329"/>
      <c r="G369" s="329"/>
      <c r="H369" s="329"/>
      <c r="I369" s="329"/>
      <c r="J369" s="329"/>
      <c r="K369" s="519"/>
    </row>
    <row r="370" spans="1:11" x14ac:dyDescent="0.2">
      <c r="A370" s="329"/>
      <c r="B370" s="329"/>
      <c r="C370" s="329"/>
      <c r="D370" s="329"/>
      <c r="E370" s="329"/>
      <c r="F370" s="329"/>
      <c r="G370" s="329"/>
      <c r="H370" s="329"/>
      <c r="I370" s="329"/>
      <c r="J370" s="329"/>
      <c r="K370" s="519"/>
    </row>
    <row r="371" spans="1:11" x14ac:dyDescent="0.2">
      <c r="A371" s="329"/>
      <c r="B371" s="329"/>
      <c r="C371" s="329"/>
      <c r="D371" s="329"/>
      <c r="E371" s="329"/>
      <c r="F371" s="329"/>
      <c r="G371" s="329"/>
      <c r="H371" s="329"/>
      <c r="I371" s="329"/>
      <c r="J371" s="329"/>
      <c r="K371" s="519"/>
    </row>
    <row r="372" spans="1:11" x14ac:dyDescent="0.2">
      <c r="A372" s="329"/>
      <c r="B372" s="329"/>
      <c r="C372" s="329"/>
      <c r="D372" s="329"/>
      <c r="E372" s="329"/>
      <c r="F372" s="329"/>
      <c r="G372" s="329"/>
      <c r="H372" s="329"/>
      <c r="I372" s="329"/>
      <c r="J372" s="329"/>
      <c r="K372" s="519"/>
    </row>
    <row r="373" spans="1:11" x14ac:dyDescent="0.2">
      <c r="A373" s="329"/>
      <c r="B373" s="329"/>
      <c r="C373" s="329"/>
      <c r="D373" s="329"/>
      <c r="E373" s="329"/>
      <c r="F373" s="329"/>
      <c r="G373" s="329"/>
      <c r="H373" s="329"/>
      <c r="I373" s="329"/>
      <c r="J373" s="329"/>
      <c r="K373" s="519"/>
    </row>
    <row r="374" spans="1:11" x14ac:dyDescent="0.2">
      <c r="A374" s="329"/>
      <c r="B374" s="329"/>
      <c r="C374" s="329"/>
      <c r="D374" s="329"/>
      <c r="E374" s="329"/>
      <c r="F374" s="329"/>
      <c r="G374" s="329"/>
      <c r="H374" s="329"/>
      <c r="I374" s="329"/>
      <c r="J374" s="329"/>
      <c r="K374" s="519"/>
    </row>
    <row r="375" spans="1:11" x14ac:dyDescent="0.2">
      <c r="A375" s="329"/>
      <c r="B375" s="329"/>
      <c r="C375" s="329"/>
      <c r="D375" s="329"/>
      <c r="E375" s="329"/>
      <c r="F375" s="329"/>
      <c r="G375" s="329"/>
      <c r="H375" s="329"/>
      <c r="I375" s="329"/>
      <c r="J375" s="329"/>
      <c r="K375" s="519"/>
    </row>
    <row r="376" spans="1:11" x14ac:dyDescent="0.2">
      <c r="A376" s="329"/>
      <c r="B376" s="329"/>
      <c r="C376" s="329"/>
      <c r="D376" s="329"/>
      <c r="E376" s="329"/>
      <c r="F376" s="329"/>
      <c r="G376" s="329"/>
      <c r="H376" s="329"/>
      <c r="I376" s="329"/>
      <c r="J376" s="329"/>
      <c r="K376" s="519"/>
    </row>
    <row r="377" spans="1:11" x14ac:dyDescent="0.2">
      <c r="A377" s="329"/>
      <c r="B377" s="329"/>
      <c r="C377" s="329"/>
      <c r="D377" s="329"/>
      <c r="E377" s="329"/>
      <c r="F377" s="329"/>
      <c r="G377" s="329"/>
      <c r="H377" s="329"/>
      <c r="I377" s="329"/>
      <c r="J377" s="329"/>
      <c r="K377" s="519"/>
    </row>
    <row r="378" spans="1:11" x14ac:dyDescent="0.2">
      <c r="A378" s="329"/>
      <c r="B378" s="329"/>
      <c r="C378" s="329"/>
      <c r="D378" s="329"/>
      <c r="E378" s="329"/>
      <c r="F378" s="329"/>
      <c r="G378" s="329"/>
      <c r="H378" s="329"/>
      <c r="I378" s="329"/>
      <c r="J378" s="329"/>
      <c r="K378" s="519"/>
    </row>
    <row r="379" spans="1:11" x14ac:dyDescent="0.2">
      <c r="A379" s="329"/>
      <c r="B379" s="329"/>
      <c r="C379" s="329"/>
      <c r="D379" s="329"/>
      <c r="E379" s="329"/>
      <c r="F379" s="329"/>
      <c r="G379" s="329"/>
      <c r="H379" s="329"/>
      <c r="I379" s="329"/>
      <c r="J379" s="329"/>
      <c r="K379" s="519"/>
    </row>
    <row r="380" spans="1:11" x14ac:dyDescent="0.2">
      <c r="A380" s="329"/>
      <c r="B380" s="329"/>
      <c r="C380" s="329"/>
      <c r="D380" s="329"/>
      <c r="E380" s="329"/>
      <c r="F380" s="329"/>
      <c r="G380" s="329"/>
      <c r="H380" s="329"/>
      <c r="I380" s="329"/>
      <c r="J380" s="329"/>
      <c r="K380" s="519"/>
    </row>
    <row r="381" spans="1:11" x14ac:dyDescent="0.2">
      <c r="A381" s="329"/>
      <c r="B381" s="329"/>
      <c r="C381" s="329"/>
      <c r="D381" s="329"/>
      <c r="E381" s="329"/>
      <c r="F381" s="329"/>
      <c r="G381" s="329"/>
      <c r="H381" s="329"/>
      <c r="I381" s="329"/>
      <c r="J381" s="329"/>
      <c r="K381" s="519"/>
    </row>
    <row r="382" spans="1:11" x14ac:dyDescent="0.2">
      <c r="A382" s="329"/>
      <c r="B382" s="329"/>
      <c r="C382" s="329"/>
      <c r="D382" s="329"/>
      <c r="E382" s="329"/>
      <c r="F382" s="329"/>
      <c r="G382" s="329"/>
      <c r="H382" s="329"/>
      <c r="I382" s="329"/>
      <c r="J382" s="329"/>
      <c r="K382" s="519"/>
    </row>
    <row r="383" spans="1:11" x14ac:dyDescent="0.2">
      <c r="A383" s="329"/>
      <c r="B383" s="329"/>
      <c r="C383" s="329"/>
      <c r="D383" s="329"/>
      <c r="E383" s="329"/>
      <c r="F383" s="329"/>
      <c r="G383" s="329"/>
      <c r="H383" s="329"/>
      <c r="I383" s="329"/>
      <c r="J383" s="329"/>
      <c r="K383" s="519"/>
    </row>
    <row r="384" spans="1:11" x14ac:dyDescent="0.2">
      <c r="A384" s="329"/>
      <c r="B384" s="329"/>
      <c r="C384" s="329"/>
      <c r="D384" s="329"/>
      <c r="E384" s="329"/>
      <c r="F384" s="329"/>
      <c r="G384" s="329"/>
      <c r="H384" s="329"/>
      <c r="I384" s="329"/>
      <c r="J384" s="329"/>
      <c r="K384" s="519"/>
    </row>
    <row r="385" spans="1:11" x14ac:dyDescent="0.2">
      <c r="A385" s="329"/>
      <c r="B385" s="329"/>
      <c r="C385" s="329"/>
      <c r="D385" s="329"/>
      <c r="E385" s="329"/>
      <c r="F385" s="329"/>
      <c r="G385" s="329"/>
      <c r="H385" s="329"/>
      <c r="I385" s="329"/>
      <c r="J385" s="329"/>
      <c r="K385" s="519"/>
    </row>
    <row r="386" spans="1:11" x14ac:dyDescent="0.2">
      <c r="A386" s="329"/>
      <c r="B386" s="329"/>
      <c r="C386" s="329"/>
      <c r="D386" s="329"/>
      <c r="E386" s="329"/>
      <c r="F386" s="329"/>
      <c r="G386" s="329"/>
      <c r="H386" s="329"/>
      <c r="I386" s="329"/>
      <c r="J386" s="329"/>
      <c r="K386" s="519"/>
    </row>
    <row r="387" spans="1:11" x14ac:dyDescent="0.2">
      <c r="A387" s="329"/>
      <c r="B387" s="329"/>
      <c r="C387" s="329"/>
      <c r="D387" s="329"/>
      <c r="E387" s="329"/>
      <c r="F387" s="329"/>
      <c r="G387" s="329"/>
      <c r="H387" s="329"/>
      <c r="I387" s="329"/>
      <c r="J387" s="329"/>
      <c r="K387" s="519"/>
    </row>
    <row r="388" spans="1:11" x14ac:dyDescent="0.2">
      <c r="A388" s="329"/>
      <c r="B388" s="329"/>
      <c r="C388" s="329"/>
      <c r="D388" s="329"/>
      <c r="E388" s="329"/>
      <c r="F388" s="329"/>
      <c r="G388" s="329"/>
      <c r="H388" s="329"/>
      <c r="I388" s="329"/>
      <c r="J388" s="329"/>
      <c r="K388" s="519"/>
    </row>
    <row r="389" spans="1:11" x14ac:dyDescent="0.2">
      <c r="A389" s="329"/>
      <c r="B389" s="329"/>
      <c r="C389" s="329"/>
      <c r="D389" s="329"/>
      <c r="E389" s="329"/>
      <c r="F389" s="329"/>
      <c r="G389" s="329"/>
      <c r="H389" s="329"/>
      <c r="I389" s="329"/>
      <c r="J389" s="329"/>
      <c r="K389" s="519"/>
    </row>
    <row r="390" spans="1:11" x14ac:dyDescent="0.2">
      <c r="A390" s="329"/>
      <c r="B390" s="329"/>
      <c r="C390" s="329"/>
      <c r="D390" s="329"/>
      <c r="E390" s="329"/>
      <c r="F390" s="329"/>
      <c r="G390" s="329"/>
      <c r="H390" s="329"/>
      <c r="I390" s="329"/>
      <c r="J390" s="329"/>
      <c r="K390" s="519"/>
    </row>
    <row r="391" spans="1:11" x14ac:dyDescent="0.2">
      <c r="A391" s="329"/>
      <c r="B391" s="329"/>
      <c r="C391" s="329"/>
      <c r="D391" s="329"/>
      <c r="E391" s="329"/>
      <c r="F391" s="329"/>
      <c r="G391" s="329"/>
      <c r="H391" s="329"/>
      <c r="I391" s="329"/>
      <c r="J391" s="329"/>
      <c r="K391" s="519"/>
    </row>
    <row r="392" spans="1:11" x14ac:dyDescent="0.2">
      <c r="A392" s="329"/>
      <c r="B392" s="329"/>
      <c r="C392" s="329"/>
      <c r="D392" s="329"/>
      <c r="E392" s="329"/>
      <c r="F392" s="329"/>
      <c r="G392" s="329"/>
      <c r="H392" s="329"/>
      <c r="I392" s="329"/>
      <c r="J392" s="329"/>
      <c r="K392" s="519"/>
    </row>
    <row r="393" spans="1:11" x14ac:dyDescent="0.2">
      <c r="A393" s="329"/>
      <c r="B393" s="329"/>
      <c r="C393" s="329"/>
      <c r="D393" s="329"/>
      <c r="E393" s="329"/>
      <c r="F393" s="329"/>
      <c r="G393" s="329"/>
      <c r="H393" s="329"/>
      <c r="I393" s="329"/>
      <c r="J393" s="329"/>
      <c r="K393" s="519"/>
    </row>
    <row r="394" spans="1:11" x14ac:dyDescent="0.2">
      <c r="A394" s="329"/>
      <c r="B394" s="329"/>
      <c r="C394" s="329"/>
      <c r="D394" s="329"/>
      <c r="E394" s="329"/>
      <c r="F394" s="329"/>
      <c r="G394" s="329"/>
      <c r="H394" s="329"/>
      <c r="I394" s="329"/>
      <c r="J394" s="329"/>
      <c r="K394" s="519"/>
    </row>
    <row r="395" spans="1:11" x14ac:dyDescent="0.2">
      <c r="A395" s="329"/>
      <c r="B395" s="329"/>
      <c r="C395" s="329"/>
      <c r="D395" s="329"/>
      <c r="E395" s="329"/>
      <c r="F395" s="329"/>
      <c r="G395" s="329"/>
      <c r="H395" s="329"/>
      <c r="I395" s="329"/>
      <c r="J395" s="329"/>
      <c r="K395" s="519"/>
    </row>
    <row r="396" spans="1:11" x14ac:dyDescent="0.2">
      <c r="A396" s="329"/>
      <c r="B396" s="329"/>
      <c r="C396" s="329"/>
      <c r="D396" s="329"/>
      <c r="E396" s="329"/>
      <c r="F396" s="329"/>
      <c r="G396" s="329"/>
      <c r="H396" s="329"/>
      <c r="I396" s="329"/>
      <c r="J396" s="329"/>
      <c r="K396" s="519"/>
    </row>
    <row r="397" spans="1:11" x14ac:dyDescent="0.2">
      <c r="A397" s="329"/>
      <c r="B397" s="329"/>
      <c r="C397" s="329"/>
      <c r="D397" s="329"/>
      <c r="E397" s="329"/>
      <c r="F397" s="329"/>
      <c r="G397" s="329"/>
      <c r="H397" s="329"/>
      <c r="I397" s="329"/>
      <c r="J397" s="329"/>
      <c r="K397" s="519"/>
    </row>
    <row r="398" spans="1:11" x14ac:dyDescent="0.2">
      <c r="A398" s="329"/>
      <c r="B398" s="329"/>
      <c r="C398" s="329"/>
      <c r="D398" s="329"/>
      <c r="E398" s="329"/>
      <c r="F398" s="329"/>
      <c r="G398" s="329"/>
      <c r="H398" s="329"/>
      <c r="I398" s="329"/>
      <c r="J398" s="329"/>
      <c r="K398" s="519"/>
    </row>
    <row r="399" spans="1:11" x14ac:dyDescent="0.2">
      <c r="A399" s="329"/>
      <c r="B399" s="329"/>
      <c r="C399" s="329"/>
      <c r="D399" s="329"/>
      <c r="E399" s="329"/>
      <c r="F399" s="329"/>
      <c r="G399" s="329"/>
      <c r="H399" s="329"/>
      <c r="I399" s="329"/>
      <c r="J399" s="329"/>
      <c r="K399" s="519"/>
    </row>
    <row r="400" spans="1:11" x14ac:dyDescent="0.2">
      <c r="A400" s="329"/>
      <c r="B400" s="329"/>
      <c r="C400" s="329"/>
      <c r="D400" s="329"/>
      <c r="E400" s="329"/>
      <c r="F400" s="329"/>
      <c r="G400" s="329"/>
      <c r="H400" s="329"/>
      <c r="I400" s="329"/>
      <c r="J400" s="329"/>
      <c r="K400" s="519"/>
    </row>
    <row r="401" spans="1:11" x14ac:dyDescent="0.2">
      <c r="A401" s="329"/>
      <c r="B401" s="329"/>
      <c r="C401" s="329"/>
      <c r="D401" s="329"/>
      <c r="E401" s="329"/>
      <c r="F401" s="329"/>
      <c r="G401" s="329"/>
      <c r="H401" s="329"/>
      <c r="I401" s="329"/>
      <c r="J401" s="329"/>
      <c r="K401" s="519"/>
    </row>
    <row r="402" spans="1:11" x14ac:dyDescent="0.2">
      <c r="A402" s="329"/>
      <c r="B402" s="329"/>
      <c r="C402" s="329"/>
      <c r="D402" s="329"/>
      <c r="E402" s="329"/>
      <c r="F402" s="329"/>
      <c r="G402" s="329"/>
      <c r="H402" s="329"/>
      <c r="I402" s="329"/>
      <c r="J402" s="329"/>
      <c r="K402" s="519"/>
    </row>
    <row r="403" spans="1:11" x14ac:dyDescent="0.2">
      <c r="A403" s="329"/>
      <c r="B403" s="329"/>
      <c r="C403" s="329"/>
      <c r="D403" s="329"/>
      <c r="E403" s="329"/>
      <c r="F403" s="329"/>
      <c r="G403" s="329"/>
      <c r="H403" s="329"/>
      <c r="I403" s="329"/>
      <c r="J403" s="329"/>
      <c r="K403" s="519"/>
    </row>
    <row r="404" spans="1:11" x14ac:dyDescent="0.2">
      <c r="A404" s="329"/>
      <c r="B404" s="329"/>
      <c r="C404" s="329"/>
      <c r="D404" s="329"/>
      <c r="E404" s="329"/>
      <c r="F404" s="329"/>
      <c r="G404" s="329"/>
      <c r="H404" s="329"/>
      <c r="I404" s="329"/>
      <c r="J404" s="329"/>
      <c r="K404" s="519"/>
    </row>
    <row r="405" spans="1:11" x14ac:dyDescent="0.2">
      <c r="A405" s="329"/>
      <c r="B405" s="329"/>
      <c r="C405" s="329"/>
      <c r="D405" s="329"/>
      <c r="E405" s="329"/>
      <c r="F405" s="329"/>
      <c r="G405" s="329"/>
      <c r="H405" s="329"/>
      <c r="I405" s="329"/>
      <c r="J405" s="329"/>
      <c r="K405" s="519"/>
    </row>
    <row r="406" spans="1:11" x14ac:dyDescent="0.2">
      <c r="A406" s="329"/>
      <c r="B406" s="329"/>
      <c r="C406" s="329"/>
      <c r="D406" s="329"/>
      <c r="E406" s="329"/>
      <c r="F406" s="329"/>
      <c r="G406" s="329"/>
      <c r="H406" s="329"/>
      <c r="I406" s="329"/>
      <c r="J406" s="329"/>
      <c r="K406" s="519"/>
    </row>
    <row r="407" spans="1:11" x14ac:dyDescent="0.2">
      <c r="A407" s="329"/>
      <c r="B407" s="329"/>
      <c r="C407" s="329"/>
      <c r="D407" s="329"/>
      <c r="E407" s="329"/>
      <c r="F407" s="329"/>
      <c r="G407" s="329"/>
      <c r="H407" s="329"/>
      <c r="I407" s="329"/>
      <c r="J407" s="329"/>
      <c r="K407" s="519"/>
    </row>
    <row r="408" spans="1:11" x14ac:dyDescent="0.2">
      <c r="A408" s="329"/>
      <c r="B408" s="329"/>
      <c r="C408" s="329"/>
      <c r="D408" s="329"/>
      <c r="E408" s="329"/>
      <c r="F408" s="329"/>
      <c r="G408" s="329"/>
      <c r="H408" s="329"/>
      <c r="I408" s="329"/>
      <c r="J408" s="329"/>
      <c r="K408" s="519"/>
    </row>
    <row r="409" spans="1:11" x14ac:dyDescent="0.2">
      <c r="A409" s="329"/>
      <c r="B409" s="329"/>
      <c r="C409" s="329"/>
      <c r="D409" s="329"/>
      <c r="E409" s="329"/>
      <c r="F409" s="329"/>
      <c r="G409" s="329"/>
      <c r="H409" s="329"/>
      <c r="I409" s="329"/>
      <c r="J409" s="329"/>
      <c r="K409" s="519"/>
    </row>
    <row r="410" spans="1:11" x14ac:dyDescent="0.2">
      <c r="A410" s="329"/>
      <c r="B410" s="329"/>
      <c r="C410" s="329"/>
      <c r="D410" s="329"/>
      <c r="E410" s="329"/>
      <c r="F410" s="329"/>
      <c r="G410" s="329"/>
      <c r="H410" s="329"/>
      <c r="I410" s="329"/>
      <c r="J410" s="329"/>
      <c r="K410" s="519"/>
    </row>
    <row r="411" spans="1:11" x14ac:dyDescent="0.2">
      <c r="A411" s="329"/>
      <c r="B411" s="329"/>
      <c r="C411" s="329"/>
      <c r="D411" s="329"/>
      <c r="E411" s="329"/>
      <c r="F411" s="329"/>
      <c r="G411" s="329"/>
      <c r="H411" s="329"/>
      <c r="I411" s="329"/>
      <c r="J411" s="329"/>
      <c r="K411" s="519"/>
    </row>
    <row r="412" spans="1:11" x14ac:dyDescent="0.2">
      <c r="A412" s="329"/>
      <c r="B412" s="329"/>
      <c r="C412" s="329"/>
      <c r="D412" s="329"/>
      <c r="E412" s="329"/>
      <c r="F412" s="329"/>
      <c r="G412" s="329"/>
      <c r="H412" s="329"/>
      <c r="I412" s="329"/>
      <c r="J412" s="329"/>
      <c r="K412" s="519"/>
    </row>
    <row r="413" spans="1:11" x14ac:dyDescent="0.2">
      <c r="A413" s="329"/>
      <c r="B413" s="329"/>
      <c r="C413" s="329"/>
      <c r="D413" s="329"/>
      <c r="E413" s="329"/>
      <c r="F413" s="329"/>
      <c r="G413" s="329"/>
      <c r="H413" s="329"/>
      <c r="I413" s="329"/>
      <c r="J413" s="329"/>
      <c r="K413" s="519"/>
    </row>
    <row r="414" spans="1:11" x14ac:dyDescent="0.2">
      <c r="A414" s="329"/>
      <c r="B414" s="329"/>
      <c r="C414" s="329"/>
      <c r="D414" s="329"/>
      <c r="E414" s="329"/>
      <c r="F414" s="329"/>
      <c r="G414" s="329"/>
      <c r="H414" s="329"/>
      <c r="I414" s="329"/>
      <c r="J414" s="329"/>
      <c r="K414" s="519"/>
    </row>
    <row r="415" spans="1:11" x14ac:dyDescent="0.2">
      <c r="A415" s="329"/>
      <c r="B415" s="329"/>
      <c r="C415" s="329"/>
      <c r="D415" s="329"/>
      <c r="E415" s="329"/>
      <c r="F415" s="329"/>
      <c r="G415" s="329"/>
      <c r="H415" s="329"/>
      <c r="I415" s="329"/>
      <c r="J415" s="329"/>
      <c r="K415" s="519"/>
    </row>
    <row r="416" spans="1:11" x14ac:dyDescent="0.2">
      <c r="A416" s="329"/>
      <c r="B416" s="329"/>
      <c r="C416" s="329"/>
      <c r="D416" s="329"/>
      <c r="E416" s="329"/>
      <c r="F416" s="329"/>
      <c r="G416" s="329"/>
      <c r="H416" s="329"/>
      <c r="I416" s="329"/>
      <c r="J416" s="329"/>
      <c r="K416" s="519"/>
    </row>
    <row r="417" spans="1:11" x14ac:dyDescent="0.2">
      <c r="A417" s="329"/>
      <c r="B417" s="329"/>
      <c r="C417" s="329"/>
      <c r="D417" s="329"/>
      <c r="E417" s="329"/>
      <c r="F417" s="329"/>
      <c r="G417" s="329"/>
      <c r="H417" s="329"/>
      <c r="I417" s="329"/>
      <c r="J417" s="329"/>
      <c r="K417" s="519"/>
    </row>
    <row r="418" spans="1:11" x14ac:dyDescent="0.2">
      <c r="A418" s="329"/>
      <c r="B418" s="329"/>
      <c r="C418" s="329"/>
      <c r="D418" s="329"/>
      <c r="E418" s="329"/>
      <c r="F418" s="329"/>
      <c r="G418" s="329"/>
      <c r="H418" s="329"/>
      <c r="I418" s="329"/>
      <c r="J418" s="329"/>
      <c r="K418" s="519"/>
    </row>
    <row r="419" spans="1:11" x14ac:dyDescent="0.2">
      <c r="A419" s="329"/>
      <c r="B419" s="329"/>
      <c r="C419" s="329"/>
      <c r="D419" s="329"/>
      <c r="E419" s="329"/>
      <c r="F419" s="329"/>
      <c r="G419" s="329"/>
      <c r="H419" s="329"/>
      <c r="I419" s="329"/>
      <c r="J419" s="329"/>
      <c r="K419" s="519"/>
    </row>
    <row r="420" spans="1:11" x14ac:dyDescent="0.2">
      <c r="A420" s="329"/>
      <c r="B420" s="329"/>
      <c r="C420" s="329"/>
      <c r="D420" s="329"/>
      <c r="E420" s="329"/>
      <c r="F420" s="329"/>
      <c r="G420" s="329"/>
      <c r="H420" s="329"/>
      <c r="I420" s="329"/>
      <c r="J420" s="329"/>
      <c r="K420" s="519"/>
    </row>
    <row r="421" spans="1:11" x14ac:dyDescent="0.2">
      <c r="A421" s="329"/>
      <c r="B421" s="329"/>
      <c r="C421" s="329"/>
      <c r="D421" s="329"/>
      <c r="E421" s="329"/>
      <c r="F421" s="329"/>
      <c r="G421" s="329"/>
      <c r="H421" s="329"/>
      <c r="I421" s="329"/>
      <c r="J421" s="329"/>
      <c r="K421" s="519"/>
    </row>
    <row r="422" spans="1:11" x14ac:dyDescent="0.2">
      <c r="A422" s="329"/>
      <c r="B422" s="329"/>
      <c r="C422" s="329"/>
      <c r="D422" s="329"/>
      <c r="E422" s="329"/>
      <c r="F422" s="329"/>
      <c r="G422" s="329"/>
      <c r="H422" s="329"/>
      <c r="I422" s="329"/>
      <c r="J422" s="329"/>
      <c r="K422" s="519"/>
    </row>
    <row r="423" spans="1:11" x14ac:dyDescent="0.2">
      <c r="A423" s="329"/>
      <c r="B423" s="329"/>
      <c r="C423" s="329"/>
      <c r="D423" s="329"/>
      <c r="E423" s="329"/>
      <c r="F423" s="329"/>
      <c r="G423" s="329"/>
      <c r="H423" s="329"/>
      <c r="I423" s="329"/>
      <c r="J423" s="329"/>
      <c r="K423" s="519"/>
    </row>
    <row r="424" spans="1:11" x14ac:dyDescent="0.2">
      <c r="A424" s="329"/>
      <c r="B424" s="329"/>
      <c r="C424" s="329"/>
      <c r="D424" s="329"/>
      <c r="E424" s="329"/>
      <c r="F424" s="329"/>
      <c r="G424" s="329"/>
      <c r="H424" s="329"/>
      <c r="I424" s="329"/>
      <c r="J424" s="329"/>
      <c r="K424" s="519"/>
    </row>
    <row r="425" spans="1:11" x14ac:dyDescent="0.2">
      <c r="A425" s="329"/>
      <c r="B425" s="329"/>
      <c r="C425" s="329"/>
      <c r="D425" s="329"/>
      <c r="E425" s="329"/>
      <c r="F425" s="329"/>
      <c r="G425" s="329"/>
      <c r="H425" s="329"/>
      <c r="I425" s="329"/>
      <c r="J425" s="329"/>
      <c r="K425" s="519"/>
    </row>
    <row r="426" spans="1:11" x14ac:dyDescent="0.2">
      <c r="A426" s="329"/>
      <c r="B426" s="329"/>
      <c r="C426" s="329"/>
      <c r="D426" s="329"/>
      <c r="E426" s="329"/>
      <c r="F426" s="329"/>
      <c r="G426" s="329"/>
      <c r="H426" s="329"/>
      <c r="I426" s="329"/>
      <c r="J426" s="329"/>
      <c r="K426" s="519"/>
    </row>
    <row r="427" spans="1:11" x14ac:dyDescent="0.2">
      <c r="A427" s="329"/>
      <c r="B427" s="329"/>
      <c r="C427" s="329"/>
      <c r="D427" s="329"/>
      <c r="E427" s="329"/>
      <c r="F427" s="329"/>
      <c r="G427" s="329"/>
      <c r="H427" s="329"/>
      <c r="I427" s="329"/>
      <c r="J427" s="329"/>
      <c r="K427" s="519"/>
    </row>
    <row r="428" spans="1:11" x14ac:dyDescent="0.2">
      <c r="A428" s="329"/>
      <c r="B428" s="329"/>
      <c r="C428" s="329"/>
      <c r="D428" s="329"/>
      <c r="E428" s="329"/>
      <c r="F428" s="329"/>
      <c r="G428" s="329"/>
      <c r="H428" s="329"/>
      <c r="I428" s="329"/>
      <c r="J428" s="329"/>
      <c r="K428" s="519"/>
    </row>
    <row r="429" spans="1:11" x14ac:dyDescent="0.2">
      <c r="A429" s="329"/>
      <c r="B429" s="329"/>
      <c r="C429" s="329"/>
      <c r="D429" s="329"/>
      <c r="E429" s="329"/>
      <c r="F429" s="329"/>
      <c r="G429" s="329"/>
      <c r="H429" s="329"/>
      <c r="I429" s="329"/>
      <c r="J429" s="329"/>
      <c r="K429" s="519"/>
    </row>
    <row r="430" spans="1:11" x14ac:dyDescent="0.2">
      <c r="A430" s="329"/>
      <c r="B430" s="329"/>
      <c r="C430" s="329"/>
      <c r="D430" s="329"/>
      <c r="E430" s="329"/>
      <c r="F430" s="329"/>
      <c r="G430" s="329"/>
      <c r="H430" s="329"/>
      <c r="I430" s="329"/>
      <c r="J430" s="329"/>
      <c r="K430" s="519"/>
    </row>
    <row r="431" spans="1:11" x14ac:dyDescent="0.2">
      <c r="A431" s="329"/>
      <c r="B431" s="329"/>
      <c r="C431" s="329"/>
      <c r="D431" s="329"/>
      <c r="E431" s="329"/>
      <c r="F431" s="329"/>
      <c r="G431" s="329"/>
      <c r="H431" s="329"/>
      <c r="I431" s="329"/>
      <c r="J431" s="329"/>
      <c r="K431" s="519"/>
    </row>
    <row r="432" spans="1:11" x14ac:dyDescent="0.2">
      <c r="A432" s="329"/>
      <c r="B432" s="329"/>
      <c r="C432" s="329"/>
      <c r="D432" s="329"/>
      <c r="E432" s="329"/>
      <c r="F432" s="329"/>
      <c r="G432" s="329"/>
      <c r="H432" s="329"/>
      <c r="I432" s="329"/>
      <c r="J432" s="329"/>
      <c r="K432" s="519"/>
    </row>
    <row r="433" spans="1:11" x14ac:dyDescent="0.2">
      <c r="A433" s="329"/>
      <c r="B433" s="329"/>
      <c r="C433" s="329"/>
      <c r="D433" s="329"/>
      <c r="E433" s="329"/>
      <c r="F433" s="329"/>
      <c r="G433" s="329"/>
      <c r="H433" s="329"/>
      <c r="I433" s="329"/>
      <c r="J433" s="329"/>
      <c r="K433" s="519"/>
    </row>
    <row r="434" spans="1:11" x14ac:dyDescent="0.2">
      <c r="A434" s="329"/>
      <c r="B434" s="329"/>
      <c r="C434" s="329"/>
      <c r="D434" s="329"/>
      <c r="E434" s="329"/>
      <c r="F434" s="329"/>
      <c r="G434" s="329"/>
      <c r="H434" s="329"/>
      <c r="I434" s="329"/>
      <c r="J434" s="329"/>
      <c r="K434" s="519"/>
    </row>
    <row r="435" spans="1:11" x14ac:dyDescent="0.2">
      <c r="A435" s="329"/>
      <c r="B435" s="329"/>
      <c r="C435" s="329"/>
      <c r="D435" s="329"/>
      <c r="E435" s="329"/>
      <c r="F435" s="329"/>
      <c r="G435" s="329"/>
      <c r="H435" s="329"/>
      <c r="I435" s="329"/>
      <c r="J435" s="329"/>
      <c r="K435" s="519"/>
    </row>
    <row r="436" spans="1:11" x14ac:dyDescent="0.2">
      <c r="A436" s="329"/>
      <c r="B436" s="329"/>
      <c r="C436" s="329"/>
      <c r="D436" s="329"/>
      <c r="E436" s="329"/>
      <c r="F436" s="329"/>
      <c r="G436" s="329"/>
      <c r="H436" s="329"/>
      <c r="I436" s="329"/>
      <c r="J436" s="329"/>
      <c r="K436" s="519"/>
    </row>
    <row r="437" spans="1:11" x14ac:dyDescent="0.2">
      <c r="A437" s="329"/>
      <c r="B437" s="329"/>
      <c r="C437" s="329"/>
      <c r="D437" s="329"/>
      <c r="E437" s="329"/>
      <c r="F437" s="329"/>
      <c r="G437" s="329"/>
      <c r="H437" s="329"/>
      <c r="I437" s="329"/>
      <c r="J437" s="329"/>
      <c r="K437" s="519"/>
    </row>
    <row r="438" spans="1:11" x14ac:dyDescent="0.2">
      <c r="A438" s="329"/>
      <c r="B438" s="329"/>
      <c r="C438" s="329"/>
      <c r="D438" s="329"/>
      <c r="E438" s="329"/>
      <c r="F438" s="329"/>
      <c r="G438" s="329"/>
      <c r="H438" s="329"/>
      <c r="I438" s="329"/>
      <c r="J438" s="329"/>
      <c r="K438" s="519"/>
    </row>
    <row r="439" spans="1:11" x14ac:dyDescent="0.2">
      <c r="A439" s="329"/>
      <c r="B439" s="329"/>
      <c r="C439" s="329"/>
      <c r="D439" s="329"/>
      <c r="E439" s="329"/>
      <c r="F439" s="329"/>
      <c r="G439" s="329"/>
      <c r="H439" s="329"/>
      <c r="I439" s="329"/>
      <c r="J439" s="329"/>
      <c r="K439" s="519"/>
    </row>
    <row r="440" spans="1:11" x14ac:dyDescent="0.2">
      <c r="A440" s="329"/>
      <c r="B440" s="329"/>
      <c r="C440" s="329"/>
      <c r="D440" s="329"/>
      <c r="E440" s="329"/>
      <c r="F440" s="329"/>
      <c r="G440" s="329"/>
      <c r="H440" s="329"/>
      <c r="I440" s="329"/>
      <c r="J440" s="329"/>
      <c r="K440" s="519"/>
    </row>
    <row r="441" spans="1:11" x14ac:dyDescent="0.2">
      <c r="A441" s="329"/>
      <c r="B441" s="329"/>
      <c r="C441" s="329"/>
      <c r="D441" s="329"/>
      <c r="E441" s="329"/>
      <c r="F441" s="329"/>
      <c r="G441" s="329"/>
      <c r="H441" s="329"/>
      <c r="I441" s="329"/>
      <c r="J441" s="329"/>
      <c r="K441" s="519"/>
    </row>
    <row r="442" spans="1:11" x14ac:dyDescent="0.2">
      <c r="A442" s="329"/>
      <c r="B442" s="329"/>
      <c r="C442" s="329"/>
      <c r="D442" s="329"/>
      <c r="E442" s="329"/>
      <c r="F442" s="329"/>
      <c r="G442" s="329"/>
      <c r="H442" s="329"/>
      <c r="I442" s="329"/>
      <c r="J442" s="329"/>
      <c r="K442" s="519"/>
    </row>
    <row r="443" spans="1:11" x14ac:dyDescent="0.2">
      <c r="A443" s="329"/>
      <c r="B443" s="329"/>
      <c r="C443" s="329"/>
      <c r="D443" s="329"/>
      <c r="E443" s="329"/>
      <c r="F443" s="329"/>
      <c r="G443" s="329"/>
      <c r="H443" s="329"/>
      <c r="I443" s="329"/>
      <c r="J443" s="329"/>
      <c r="K443" s="519"/>
    </row>
    <row r="444" spans="1:11" x14ac:dyDescent="0.2">
      <c r="A444" s="329"/>
      <c r="B444" s="329"/>
      <c r="C444" s="329"/>
      <c r="D444" s="329"/>
      <c r="E444" s="329"/>
      <c r="F444" s="329"/>
      <c r="G444" s="329"/>
      <c r="H444" s="329"/>
      <c r="I444" s="329"/>
      <c r="J444" s="329"/>
      <c r="K444" s="519"/>
    </row>
    <row r="445" spans="1:11" x14ac:dyDescent="0.2">
      <c r="A445" s="329"/>
      <c r="B445" s="329"/>
      <c r="C445" s="329"/>
      <c r="D445" s="329"/>
      <c r="E445" s="329"/>
      <c r="F445" s="329"/>
      <c r="G445" s="329"/>
      <c r="H445" s="329"/>
      <c r="I445" s="329"/>
      <c r="J445" s="329"/>
      <c r="K445" s="519"/>
    </row>
    <row r="446" spans="1:11" x14ac:dyDescent="0.2">
      <c r="A446" s="329"/>
      <c r="B446" s="329"/>
      <c r="C446" s="329"/>
      <c r="D446" s="329"/>
      <c r="E446" s="329"/>
      <c r="F446" s="329"/>
      <c r="G446" s="329"/>
      <c r="H446" s="329"/>
      <c r="I446" s="329"/>
      <c r="J446" s="329"/>
      <c r="K446" s="519"/>
    </row>
    <row r="447" spans="1:11" x14ac:dyDescent="0.2">
      <c r="A447" s="329"/>
      <c r="B447" s="329"/>
      <c r="C447" s="329"/>
      <c r="D447" s="329"/>
      <c r="E447" s="329"/>
      <c r="F447" s="329"/>
      <c r="G447" s="329"/>
      <c r="H447" s="329"/>
      <c r="I447" s="329"/>
      <c r="J447" s="329"/>
      <c r="K447" s="519"/>
    </row>
    <row r="448" spans="1:11" x14ac:dyDescent="0.2">
      <c r="A448" s="329"/>
      <c r="B448" s="329"/>
      <c r="C448" s="329"/>
      <c r="D448" s="329"/>
      <c r="E448" s="329"/>
      <c r="F448" s="329"/>
      <c r="G448" s="329"/>
      <c r="H448" s="329"/>
      <c r="I448" s="329"/>
      <c r="J448" s="329"/>
      <c r="K448" s="519"/>
    </row>
    <row r="449" spans="1:11" x14ac:dyDescent="0.2">
      <c r="A449" s="329"/>
      <c r="B449" s="329"/>
      <c r="C449" s="329"/>
      <c r="D449" s="329"/>
      <c r="E449" s="329"/>
      <c r="F449" s="329"/>
      <c r="G449" s="329"/>
      <c r="H449" s="329"/>
      <c r="I449" s="329"/>
      <c r="J449" s="329"/>
      <c r="K449" s="519"/>
    </row>
    <row r="450" spans="1:11" x14ac:dyDescent="0.2">
      <c r="A450" s="329"/>
      <c r="B450" s="329"/>
      <c r="C450" s="329"/>
      <c r="D450" s="329"/>
      <c r="E450" s="329"/>
      <c r="F450" s="329"/>
      <c r="G450" s="329"/>
      <c r="H450" s="329"/>
      <c r="I450" s="329"/>
      <c r="J450" s="329"/>
      <c r="K450" s="519"/>
    </row>
    <row r="451" spans="1:11" x14ac:dyDescent="0.2">
      <c r="A451" s="329"/>
      <c r="B451" s="329"/>
      <c r="C451" s="329"/>
      <c r="D451" s="329"/>
      <c r="E451" s="329"/>
      <c r="F451" s="329"/>
      <c r="G451" s="329"/>
      <c r="H451" s="329"/>
      <c r="I451" s="329"/>
      <c r="J451" s="329"/>
      <c r="K451" s="519"/>
    </row>
    <row r="452" spans="1:11" x14ac:dyDescent="0.2">
      <c r="A452" s="329"/>
      <c r="B452" s="329"/>
      <c r="C452" s="329"/>
      <c r="D452" s="329"/>
      <c r="E452" s="329"/>
      <c r="F452" s="329"/>
      <c r="G452" s="329"/>
      <c r="H452" s="329"/>
      <c r="I452" s="329"/>
      <c r="J452" s="329"/>
      <c r="K452" s="519"/>
    </row>
    <row r="453" spans="1:11" x14ac:dyDescent="0.2">
      <c r="A453" s="329"/>
      <c r="B453" s="329"/>
      <c r="C453" s="329"/>
      <c r="D453" s="329"/>
      <c r="E453" s="329"/>
      <c r="F453" s="329"/>
      <c r="G453" s="329"/>
      <c r="H453" s="329"/>
      <c r="I453" s="329"/>
      <c r="J453" s="329"/>
      <c r="K453" s="519"/>
    </row>
    <row r="454" spans="1:11" x14ac:dyDescent="0.2">
      <c r="A454" s="329"/>
      <c r="B454" s="329"/>
      <c r="C454" s="329"/>
      <c r="D454" s="329"/>
      <c r="E454" s="329"/>
      <c r="F454" s="329"/>
      <c r="G454" s="329"/>
      <c r="H454" s="329"/>
      <c r="I454" s="329"/>
      <c r="J454" s="329"/>
      <c r="K454" s="519"/>
    </row>
    <row r="455" spans="1:11" x14ac:dyDescent="0.2">
      <c r="A455" s="329"/>
      <c r="B455" s="329"/>
      <c r="C455" s="329"/>
      <c r="D455" s="329"/>
      <c r="E455" s="329"/>
      <c r="F455" s="329"/>
      <c r="G455" s="329"/>
      <c r="H455" s="329"/>
      <c r="I455" s="329"/>
      <c r="J455" s="329"/>
      <c r="K455" s="519"/>
    </row>
    <row r="456" spans="1:11" x14ac:dyDescent="0.2">
      <c r="A456" s="329"/>
      <c r="B456" s="329"/>
      <c r="C456" s="329"/>
      <c r="D456" s="329"/>
      <c r="E456" s="329"/>
      <c r="F456" s="329"/>
      <c r="G456" s="329"/>
      <c r="H456" s="329"/>
      <c r="I456" s="329"/>
      <c r="J456" s="329"/>
      <c r="K456" s="519"/>
    </row>
    <row r="457" spans="1:11" x14ac:dyDescent="0.2">
      <c r="A457" s="329"/>
      <c r="B457" s="329"/>
      <c r="C457" s="329"/>
      <c r="D457" s="329"/>
      <c r="E457" s="329"/>
      <c r="F457" s="329"/>
      <c r="G457" s="329"/>
      <c r="H457" s="329"/>
      <c r="I457" s="329"/>
      <c r="J457" s="329"/>
      <c r="K457" s="519"/>
    </row>
    <row r="458" spans="1:11" x14ac:dyDescent="0.2">
      <c r="A458" s="329"/>
      <c r="B458" s="329"/>
      <c r="C458" s="329"/>
      <c r="D458" s="329"/>
      <c r="E458" s="329"/>
      <c r="F458" s="329"/>
      <c r="G458" s="329"/>
      <c r="H458" s="329"/>
      <c r="I458" s="329"/>
      <c r="J458" s="329"/>
      <c r="K458" s="519"/>
    </row>
    <row r="459" spans="1:11" x14ac:dyDescent="0.2">
      <c r="A459" s="329"/>
      <c r="B459" s="329"/>
      <c r="C459" s="329"/>
      <c r="D459" s="329"/>
      <c r="E459" s="329"/>
      <c r="F459" s="329"/>
      <c r="G459" s="329"/>
      <c r="H459" s="329"/>
      <c r="I459" s="329"/>
      <c r="J459" s="329"/>
      <c r="K459" s="519"/>
    </row>
    <row r="460" spans="1:11" x14ac:dyDescent="0.2">
      <c r="A460" s="329"/>
      <c r="B460" s="329"/>
      <c r="C460" s="329"/>
      <c r="D460" s="329"/>
      <c r="E460" s="329"/>
      <c r="F460" s="329"/>
      <c r="G460" s="329"/>
      <c r="H460" s="329"/>
      <c r="I460" s="329"/>
      <c r="J460" s="329"/>
      <c r="K460" s="519"/>
    </row>
    <row r="461" spans="1:11" x14ac:dyDescent="0.2">
      <c r="A461" s="329"/>
      <c r="B461" s="329"/>
      <c r="C461" s="329"/>
      <c r="D461" s="329"/>
      <c r="E461" s="329"/>
      <c r="F461" s="329"/>
      <c r="G461" s="329"/>
      <c r="H461" s="329"/>
      <c r="I461" s="329"/>
      <c r="J461" s="329"/>
      <c r="K461" s="519"/>
    </row>
    <row r="462" spans="1:11" x14ac:dyDescent="0.2">
      <c r="A462" s="329"/>
      <c r="B462" s="329"/>
      <c r="C462" s="329"/>
      <c r="D462" s="329"/>
      <c r="E462" s="329"/>
      <c r="F462" s="329"/>
      <c r="G462" s="329"/>
      <c r="H462" s="329"/>
      <c r="I462" s="329"/>
      <c r="J462" s="329"/>
      <c r="K462" s="519"/>
    </row>
    <row r="463" spans="1:11" x14ac:dyDescent="0.2">
      <c r="A463" s="329"/>
      <c r="B463" s="329"/>
      <c r="C463" s="329"/>
      <c r="D463" s="329"/>
      <c r="E463" s="329"/>
      <c r="F463" s="329"/>
      <c r="G463" s="329"/>
      <c r="H463" s="329"/>
      <c r="I463" s="329"/>
      <c r="J463" s="329"/>
      <c r="K463" s="519"/>
    </row>
    <row r="464" spans="1:11" x14ac:dyDescent="0.2">
      <c r="A464" s="329"/>
      <c r="B464" s="329"/>
      <c r="C464" s="329"/>
      <c r="D464" s="329"/>
      <c r="E464" s="329"/>
      <c r="F464" s="329"/>
      <c r="G464" s="329"/>
      <c r="H464" s="329"/>
      <c r="I464" s="329"/>
      <c r="J464" s="329"/>
      <c r="K464" s="519"/>
    </row>
    <row r="465" spans="1:11" x14ac:dyDescent="0.2">
      <c r="A465" s="329"/>
      <c r="B465" s="329"/>
      <c r="C465" s="329"/>
      <c r="D465" s="329"/>
      <c r="E465" s="329"/>
      <c r="F465" s="329"/>
      <c r="G465" s="329"/>
      <c r="H465" s="329"/>
      <c r="I465" s="329"/>
      <c r="J465" s="329"/>
      <c r="K465" s="519"/>
    </row>
    <row r="466" spans="1:11" x14ac:dyDescent="0.2">
      <c r="A466" s="329"/>
      <c r="B466" s="329"/>
      <c r="C466" s="329"/>
      <c r="D466" s="329"/>
      <c r="E466" s="329"/>
      <c r="F466" s="329"/>
      <c r="G466" s="329"/>
      <c r="H466" s="329"/>
      <c r="I466" s="329"/>
      <c r="J466" s="329"/>
      <c r="K466" s="519"/>
    </row>
    <row r="467" spans="1:11" x14ac:dyDescent="0.2">
      <c r="A467" s="329"/>
      <c r="B467" s="329"/>
      <c r="C467" s="329"/>
      <c r="D467" s="329"/>
      <c r="E467" s="329"/>
      <c r="F467" s="329"/>
      <c r="G467" s="329"/>
      <c r="H467" s="329"/>
      <c r="I467" s="329"/>
      <c r="J467" s="329"/>
      <c r="K467" s="519"/>
    </row>
    <row r="468" spans="1:11" x14ac:dyDescent="0.2">
      <c r="A468" s="329"/>
      <c r="B468" s="329"/>
      <c r="C468" s="329"/>
      <c r="D468" s="329"/>
      <c r="E468" s="329"/>
      <c r="F468" s="329"/>
      <c r="G468" s="329"/>
      <c r="H468" s="329"/>
      <c r="I468" s="329"/>
      <c r="J468" s="329"/>
      <c r="K468" s="519"/>
    </row>
    <row r="469" spans="1:11" x14ac:dyDescent="0.2">
      <c r="A469" s="329"/>
      <c r="B469" s="329"/>
      <c r="C469" s="329"/>
      <c r="D469" s="329"/>
      <c r="E469" s="329"/>
      <c r="F469" s="329"/>
      <c r="G469" s="329"/>
      <c r="H469" s="329"/>
      <c r="I469" s="329"/>
      <c r="J469" s="329"/>
      <c r="K469" s="519"/>
    </row>
    <row r="470" spans="1:11" x14ac:dyDescent="0.2">
      <c r="A470" s="329"/>
      <c r="B470" s="329"/>
      <c r="C470" s="329"/>
      <c r="D470" s="329"/>
      <c r="E470" s="329"/>
      <c r="F470" s="329"/>
      <c r="G470" s="329"/>
      <c r="H470" s="329"/>
      <c r="I470" s="329"/>
      <c r="J470" s="329"/>
      <c r="K470" s="519"/>
    </row>
    <row r="471" spans="1:11" x14ac:dyDescent="0.2">
      <c r="A471" s="329"/>
      <c r="B471" s="329"/>
      <c r="C471" s="329"/>
      <c r="D471" s="329"/>
      <c r="E471" s="329"/>
      <c r="F471" s="329"/>
      <c r="G471" s="329"/>
      <c r="H471" s="329"/>
      <c r="I471" s="329"/>
      <c r="J471" s="329"/>
      <c r="K471" s="519"/>
    </row>
    <row r="472" spans="1:11" x14ac:dyDescent="0.2">
      <c r="A472" s="329"/>
      <c r="B472" s="329"/>
      <c r="C472" s="329"/>
      <c r="D472" s="329"/>
      <c r="E472" s="329"/>
      <c r="F472" s="329"/>
      <c r="G472" s="329"/>
      <c r="H472" s="329"/>
      <c r="I472" s="329"/>
      <c r="J472" s="329"/>
      <c r="K472" s="519"/>
    </row>
    <row r="473" spans="1:11" x14ac:dyDescent="0.2">
      <c r="A473" s="329"/>
      <c r="B473" s="329"/>
      <c r="C473" s="329"/>
      <c r="D473" s="329"/>
      <c r="E473" s="329"/>
      <c r="F473" s="329"/>
      <c r="G473" s="329"/>
      <c r="H473" s="329"/>
      <c r="I473" s="329"/>
      <c r="J473" s="329"/>
      <c r="K473" s="519"/>
    </row>
    <row r="474" spans="1:11" x14ac:dyDescent="0.2">
      <c r="A474" s="329"/>
      <c r="B474" s="329"/>
      <c r="C474" s="329"/>
      <c r="D474" s="329"/>
      <c r="E474" s="329"/>
      <c r="F474" s="329"/>
      <c r="G474" s="329"/>
      <c r="H474" s="329"/>
      <c r="I474" s="329"/>
      <c r="J474" s="329"/>
      <c r="K474" s="519"/>
    </row>
    <row r="475" spans="1:11" x14ac:dyDescent="0.2">
      <c r="A475" s="329"/>
      <c r="B475" s="329"/>
      <c r="C475" s="329"/>
      <c r="D475" s="329"/>
      <c r="E475" s="329"/>
      <c r="F475" s="329"/>
      <c r="G475" s="329"/>
      <c r="H475" s="329"/>
      <c r="I475" s="329"/>
      <c r="J475" s="329"/>
      <c r="K475" s="519"/>
    </row>
    <row r="476" spans="1:11" x14ac:dyDescent="0.2">
      <c r="A476" s="329"/>
      <c r="B476" s="329"/>
      <c r="C476" s="329"/>
      <c r="D476" s="329"/>
      <c r="E476" s="329"/>
      <c r="F476" s="329"/>
      <c r="G476" s="329"/>
      <c r="H476" s="329"/>
      <c r="I476" s="329"/>
      <c r="J476" s="329"/>
      <c r="K476" s="519"/>
    </row>
    <row r="477" spans="1:11" x14ac:dyDescent="0.2">
      <c r="A477" s="329"/>
      <c r="B477" s="329"/>
      <c r="C477" s="329"/>
      <c r="D477" s="329"/>
      <c r="E477" s="329"/>
      <c r="F477" s="329"/>
      <c r="G477" s="329"/>
      <c r="H477" s="329"/>
      <c r="I477" s="329"/>
      <c r="J477" s="329"/>
      <c r="K477" s="519"/>
    </row>
    <row r="478" spans="1:11" x14ac:dyDescent="0.2">
      <c r="A478" s="329"/>
      <c r="B478" s="329"/>
      <c r="C478" s="329"/>
      <c r="D478" s="329"/>
      <c r="E478" s="329"/>
      <c r="F478" s="329"/>
      <c r="G478" s="329"/>
      <c r="H478" s="329"/>
      <c r="I478" s="329"/>
      <c r="J478" s="329"/>
      <c r="K478" s="519"/>
    </row>
    <row r="479" spans="1:11" x14ac:dyDescent="0.2">
      <c r="A479" s="329"/>
      <c r="B479" s="329"/>
      <c r="C479" s="329"/>
      <c r="D479" s="329"/>
      <c r="E479" s="329"/>
      <c r="F479" s="329"/>
      <c r="G479" s="329"/>
      <c r="H479" s="329"/>
      <c r="I479" s="329"/>
      <c r="J479" s="329"/>
      <c r="K479" s="519"/>
    </row>
    <row r="480" spans="1:11" x14ac:dyDescent="0.2">
      <c r="A480" s="329"/>
      <c r="B480" s="329"/>
      <c r="C480" s="329"/>
      <c r="D480" s="329"/>
      <c r="E480" s="329"/>
      <c r="F480" s="329"/>
      <c r="G480" s="329"/>
      <c r="H480" s="329"/>
      <c r="I480" s="329"/>
      <c r="J480" s="329"/>
      <c r="K480" s="519"/>
    </row>
    <row r="481" spans="1:11" x14ac:dyDescent="0.2">
      <c r="A481" s="329"/>
      <c r="B481" s="329"/>
      <c r="C481" s="329"/>
      <c r="D481" s="329"/>
      <c r="E481" s="329"/>
      <c r="F481" s="329"/>
      <c r="G481" s="329"/>
      <c r="H481" s="329"/>
      <c r="I481" s="329"/>
      <c r="J481" s="329"/>
      <c r="K481" s="519"/>
    </row>
    <row r="482" spans="1:11" x14ac:dyDescent="0.2">
      <c r="A482" s="329"/>
      <c r="B482" s="329"/>
      <c r="C482" s="329"/>
      <c r="D482" s="329"/>
      <c r="E482" s="329"/>
      <c r="F482" s="329"/>
      <c r="G482" s="329"/>
      <c r="H482" s="329"/>
      <c r="I482" s="329"/>
      <c r="J482" s="329"/>
      <c r="K482" s="519"/>
    </row>
    <row r="483" spans="1:11" x14ac:dyDescent="0.2">
      <c r="A483" s="329"/>
      <c r="B483" s="329"/>
      <c r="C483" s="329"/>
      <c r="D483" s="329"/>
      <c r="E483" s="329"/>
      <c r="F483" s="329"/>
      <c r="G483" s="329"/>
      <c r="H483" s="329"/>
      <c r="I483" s="329"/>
      <c r="J483" s="329"/>
      <c r="K483" s="519"/>
    </row>
    <row r="484" spans="1:11" x14ac:dyDescent="0.2">
      <c r="A484" s="329"/>
      <c r="B484" s="329"/>
      <c r="C484" s="329"/>
      <c r="D484" s="329"/>
      <c r="E484" s="329"/>
      <c r="F484" s="329"/>
      <c r="G484" s="329"/>
      <c r="H484" s="329"/>
      <c r="I484" s="329"/>
      <c r="J484" s="329"/>
      <c r="K484" s="519"/>
    </row>
    <row r="485" spans="1:11" x14ac:dyDescent="0.2">
      <c r="A485" s="329"/>
      <c r="B485" s="329"/>
      <c r="C485" s="329"/>
      <c r="D485" s="329"/>
      <c r="E485" s="329"/>
      <c r="F485" s="329"/>
      <c r="G485" s="329"/>
      <c r="H485" s="329"/>
      <c r="I485" s="329"/>
      <c r="J485" s="329"/>
      <c r="K485" s="519"/>
    </row>
    <row r="486" spans="1:11" x14ac:dyDescent="0.2">
      <c r="A486" s="329"/>
      <c r="B486" s="329"/>
      <c r="C486" s="329"/>
      <c r="D486" s="329"/>
      <c r="E486" s="329"/>
      <c r="F486" s="329"/>
      <c r="G486" s="329"/>
      <c r="H486" s="329"/>
      <c r="I486" s="329"/>
      <c r="J486" s="329"/>
      <c r="K486" s="519"/>
    </row>
    <row r="487" spans="1:11" x14ac:dyDescent="0.2">
      <c r="A487" s="329"/>
      <c r="B487" s="329"/>
      <c r="C487" s="329"/>
      <c r="D487" s="329"/>
      <c r="E487" s="329"/>
      <c r="F487" s="329"/>
      <c r="G487" s="329"/>
      <c r="H487" s="329"/>
      <c r="I487" s="329"/>
      <c r="J487" s="329"/>
      <c r="K487" s="519"/>
    </row>
    <row r="488" spans="1:11" x14ac:dyDescent="0.2">
      <c r="A488" s="329"/>
      <c r="B488" s="329"/>
      <c r="C488" s="329"/>
      <c r="D488" s="329"/>
      <c r="E488" s="329"/>
      <c r="F488" s="329"/>
      <c r="G488" s="329"/>
      <c r="H488" s="329"/>
      <c r="I488" s="329"/>
      <c r="J488" s="329"/>
      <c r="K488" s="519"/>
    </row>
    <row r="489" spans="1:11" x14ac:dyDescent="0.2">
      <c r="A489" s="329"/>
      <c r="B489" s="329"/>
      <c r="C489" s="329"/>
      <c r="D489" s="329"/>
      <c r="E489" s="329"/>
      <c r="F489" s="329"/>
      <c r="G489" s="329"/>
      <c r="H489" s="329"/>
      <c r="I489" s="329"/>
      <c r="J489" s="329"/>
      <c r="K489" s="519"/>
    </row>
    <row r="490" spans="1:11" x14ac:dyDescent="0.2">
      <c r="A490" s="329"/>
      <c r="B490" s="329"/>
      <c r="C490" s="329"/>
      <c r="D490" s="329"/>
      <c r="E490" s="329"/>
      <c r="F490" s="329"/>
      <c r="G490" s="329"/>
      <c r="H490" s="329"/>
      <c r="I490" s="329"/>
      <c r="J490" s="329"/>
      <c r="K490" s="519"/>
    </row>
    <row r="491" spans="1:11" x14ac:dyDescent="0.2">
      <c r="A491" s="329"/>
      <c r="B491" s="329"/>
      <c r="C491" s="329"/>
      <c r="D491" s="329"/>
      <c r="E491" s="329"/>
      <c r="F491" s="329"/>
      <c r="G491" s="329"/>
      <c r="H491" s="329"/>
      <c r="I491" s="329"/>
      <c r="J491" s="329"/>
      <c r="K491" s="519"/>
    </row>
    <row r="492" spans="1:11" x14ac:dyDescent="0.2">
      <c r="A492" s="329"/>
      <c r="B492" s="329"/>
      <c r="C492" s="329"/>
      <c r="D492" s="329"/>
      <c r="E492" s="329"/>
      <c r="F492" s="329"/>
      <c r="G492" s="329"/>
      <c r="H492" s="329"/>
      <c r="I492" s="329"/>
      <c r="J492" s="329"/>
      <c r="K492" s="519"/>
    </row>
    <row r="493" spans="1:11" x14ac:dyDescent="0.2">
      <c r="A493" s="329"/>
      <c r="B493" s="329"/>
      <c r="C493" s="329"/>
      <c r="D493" s="329"/>
      <c r="E493" s="329"/>
      <c r="F493" s="329"/>
      <c r="G493" s="329"/>
      <c r="H493" s="329"/>
      <c r="I493" s="329"/>
      <c r="J493" s="329"/>
      <c r="K493" s="519"/>
    </row>
    <row r="494" spans="1:11" x14ac:dyDescent="0.2">
      <c r="A494" s="329"/>
      <c r="B494" s="329"/>
      <c r="C494" s="329"/>
      <c r="D494" s="329"/>
      <c r="E494" s="329"/>
      <c r="F494" s="329"/>
      <c r="G494" s="329"/>
      <c r="H494" s="329"/>
      <c r="I494" s="329"/>
      <c r="J494" s="329"/>
      <c r="K494" s="519"/>
    </row>
    <row r="495" spans="1:11" x14ac:dyDescent="0.2">
      <c r="A495" s="329"/>
      <c r="B495" s="329"/>
      <c r="C495" s="329"/>
      <c r="D495" s="329"/>
      <c r="E495" s="329"/>
      <c r="F495" s="329"/>
      <c r="G495" s="329"/>
      <c r="H495" s="329"/>
      <c r="I495" s="329"/>
      <c r="J495" s="329"/>
      <c r="K495" s="519"/>
    </row>
    <row r="496" spans="1:11" x14ac:dyDescent="0.2">
      <c r="A496" s="329"/>
      <c r="B496" s="329"/>
      <c r="C496" s="329"/>
      <c r="D496" s="329"/>
      <c r="E496" s="329"/>
      <c r="F496" s="329"/>
      <c r="G496" s="329"/>
      <c r="H496" s="329"/>
      <c r="I496" s="329"/>
      <c r="J496" s="329"/>
      <c r="K496" s="519"/>
    </row>
    <row r="497" spans="1:11" x14ac:dyDescent="0.2">
      <c r="A497" s="329"/>
      <c r="B497" s="329"/>
      <c r="C497" s="329"/>
      <c r="D497" s="329"/>
      <c r="E497" s="329"/>
      <c r="F497" s="329"/>
      <c r="G497" s="329"/>
      <c r="H497" s="329"/>
      <c r="I497" s="329"/>
      <c r="J497" s="329"/>
      <c r="K497" s="519"/>
    </row>
    <row r="498" spans="1:11" x14ac:dyDescent="0.2">
      <c r="A498" s="329"/>
      <c r="B498" s="329"/>
      <c r="C498" s="329"/>
      <c r="D498" s="329"/>
      <c r="E498" s="329"/>
      <c r="F498" s="329"/>
      <c r="G498" s="329"/>
      <c r="H498" s="329"/>
      <c r="I498" s="329"/>
      <c r="J498" s="329"/>
      <c r="K498" s="519"/>
    </row>
    <row r="499" spans="1:11" x14ac:dyDescent="0.2">
      <c r="A499" s="329"/>
      <c r="B499" s="329"/>
      <c r="C499" s="329"/>
      <c r="D499" s="329"/>
      <c r="E499" s="329"/>
      <c r="F499" s="329"/>
      <c r="G499" s="329"/>
      <c r="H499" s="329"/>
      <c r="I499" s="329"/>
      <c r="J499" s="329"/>
      <c r="K499" s="519"/>
    </row>
    <row r="500" spans="1:11" x14ac:dyDescent="0.2">
      <c r="A500" s="329"/>
      <c r="B500" s="329"/>
      <c r="C500" s="329"/>
      <c r="D500" s="329"/>
      <c r="E500" s="329"/>
      <c r="F500" s="329"/>
      <c r="G500" s="329"/>
      <c r="H500" s="329"/>
      <c r="I500" s="329"/>
      <c r="J500" s="329"/>
      <c r="K500" s="519"/>
    </row>
    <row r="501" spans="1:11" x14ac:dyDescent="0.2">
      <c r="A501" s="329"/>
      <c r="B501" s="329"/>
      <c r="C501" s="329"/>
      <c r="D501" s="329"/>
      <c r="E501" s="329"/>
      <c r="F501" s="329"/>
      <c r="G501" s="329"/>
      <c r="H501" s="329"/>
      <c r="I501" s="329"/>
      <c r="J501" s="329"/>
      <c r="K501" s="519"/>
    </row>
    <row r="502" spans="1:11" x14ac:dyDescent="0.2">
      <c r="A502" s="329"/>
      <c r="B502" s="329"/>
      <c r="C502" s="329"/>
      <c r="D502" s="329"/>
      <c r="E502" s="329"/>
      <c r="F502" s="329"/>
      <c r="G502" s="329"/>
      <c r="H502" s="329"/>
      <c r="I502" s="329"/>
      <c r="J502" s="329"/>
      <c r="K502" s="519"/>
    </row>
    <row r="503" spans="1:11" x14ac:dyDescent="0.2">
      <c r="A503" s="329"/>
      <c r="B503" s="329"/>
      <c r="C503" s="329"/>
      <c r="D503" s="329"/>
      <c r="E503" s="329"/>
      <c r="F503" s="329"/>
      <c r="G503" s="329"/>
      <c r="H503" s="329"/>
      <c r="I503" s="329"/>
      <c r="J503" s="329"/>
      <c r="K503" s="519"/>
    </row>
    <row r="504" spans="1:11" x14ac:dyDescent="0.2">
      <c r="A504" s="329"/>
      <c r="B504" s="329"/>
      <c r="C504" s="329"/>
      <c r="D504" s="329"/>
      <c r="E504" s="329"/>
      <c r="F504" s="329"/>
      <c r="G504" s="329"/>
      <c r="H504" s="329"/>
      <c r="I504" s="329"/>
      <c r="J504" s="329"/>
      <c r="K504" s="519"/>
    </row>
    <row r="505" spans="1:11" x14ac:dyDescent="0.2">
      <c r="A505" s="329"/>
      <c r="B505" s="329"/>
      <c r="C505" s="329"/>
      <c r="D505" s="329"/>
      <c r="E505" s="329"/>
      <c r="F505" s="329"/>
      <c r="G505" s="329"/>
      <c r="H505" s="329"/>
      <c r="I505" s="329"/>
      <c r="J505" s="329"/>
      <c r="K505" s="519"/>
    </row>
    <row r="506" spans="1:11" x14ac:dyDescent="0.2">
      <c r="A506" s="329"/>
      <c r="B506" s="329"/>
      <c r="C506" s="329"/>
      <c r="D506" s="329"/>
      <c r="E506" s="329"/>
      <c r="F506" s="329"/>
      <c r="G506" s="329"/>
      <c r="H506" s="329"/>
      <c r="I506" s="329"/>
      <c r="J506" s="329"/>
      <c r="K506" s="519"/>
    </row>
    <row r="507" spans="1:11" x14ac:dyDescent="0.2">
      <c r="A507" s="329"/>
      <c r="B507" s="329"/>
      <c r="C507" s="329"/>
      <c r="D507" s="329"/>
      <c r="E507" s="329"/>
      <c r="F507" s="329"/>
      <c r="G507" s="329"/>
      <c r="H507" s="329"/>
      <c r="I507" s="329"/>
      <c r="J507" s="329"/>
      <c r="K507" s="519"/>
    </row>
    <row r="508" spans="1:11" x14ac:dyDescent="0.2">
      <c r="A508" s="329"/>
      <c r="B508" s="329"/>
      <c r="C508" s="329"/>
      <c r="D508" s="329"/>
      <c r="E508" s="329"/>
      <c r="F508" s="329"/>
      <c r="G508" s="329"/>
      <c r="H508" s="329"/>
      <c r="I508" s="329"/>
      <c r="J508" s="329"/>
      <c r="K508" s="519"/>
    </row>
    <row r="509" spans="1:11" x14ac:dyDescent="0.2">
      <c r="A509" s="329"/>
      <c r="B509" s="329"/>
      <c r="C509" s="329"/>
      <c r="D509" s="329"/>
      <c r="E509" s="329"/>
      <c r="F509" s="329"/>
      <c r="G509" s="329"/>
      <c r="H509" s="329"/>
      <c r="I509" s="329"/>
      <c r="J509" s="329"/>
      <c r="K509" s="519"/>
    </row>
    <row r="510" spans="1:11" x14ac:dyDescent="0.2">
      <c r="A510" s="329"/>
      <c r="B510" s="329"/>
      <c r="C510" s="329"/>
      <c r="D510" s="329"/>
      <c r="E510" s="329"/>
      <c r="F510" s="329"/>
      <c r="G510" s="329"/>
      <c r="H510" s="329"/>
      <c r="I510" s="329"/>
      <c r="J510" s="329"/>
      <c r="K510" s="519"/>
    </row>
    <row r="511" spans="1:11" x14ac:dyDescent="0.2">
      <c r="A511" s="329"/>
      <c r="B511" s="329"/>
      <c r="C511" s="329"/>
      <c r="D511" s="329"/>
      <c r="E511" s="329"/>
      <c r="F511" s="329"/>
      <c r="G511" s="329"/>
      <c r="H511" s="329"/>
      <c r="I511" s="329"/>
      <c r="J511" s="329"/>
      <c r="K511" s="519"/>
    </row>
    <row r="512" spans="1:11" x14ac:dyDescent="0.2">
      <c r="A512" s="329"/>
      <c r="B512" s="329"/>
      <c r="C512" s="329"/>
      <c r="D512" s="329"/>
      <c r="E512" s="329"/>
      <c r="F512" s="329"/>
      <c r="G512" s="329"/>
      <c r="H512" s="329"/>
      <c r="I512" s="329"/>
      <c r="J512" s="329"/>
      <c r="K512" s="519"/>
    </row>
    <row r="513" spans="1:11" x14ac:dyDescent="0.2">
      <c r="A513" s="329"/>
      <c r="B513" s="329"/>
      <c r="C513" s="329"/>
      <c r="D513" s="329"/>
      <c r="E513" s="329"/>
      <c r="F513" s="329"/>
      <c r="G513" s="329"/>
      <c r="H513" s="329"/>
      <c r="I513" s="329"/>
      <c r="J513" s="329"/>
      <c r="K513" s="519"/>
    </row>
    <row r="514" spans="1:11" x14ac:dyDescent="0.2">
      <c r="A514" s="329"/>
      <c r="B514" s="329"/>
      <c r="C514" s="329"/>
      <c r="D514" s="329"/>
      <c r="E514" s="329"/>
      <c r="F514" s="329"/>
      <c r="G514" s="329"/>
      <c r="H514" s="329"/>
      <c r="I514" s="329"/>
      <c r="J514" s="329"/>
      <c r="K514" s="519"/>
    </row>
    <row r="515" spans="1:11" x14ac:dyDescent="0.2">
      <c r="A515" s="329"/>
      <c r="B515" s="329"/>
      <c r="C515" s="329"/>
      <c r="D515" s="329"/>
      <c r="E515" s="329"/>
      <c r="F515" s="329"/>
      <c r="G515" s="329"/>
      <c r="H515" s="329"/>
      <c r="I515" s="329"/>
      <c r="J515" s="329"/>
      <c r="K515" s="519"/>
    </row>
    <row r="516" spans="1:11" x14ac:dyDescent="0.2">
      <c r="A516" s="329"/>
      <c r="B516" s="329"/>
      <c r="C516" s="329"/>
      <c r="D516" s="329"/>
      <c r="E516" s="329"/>
      <c r="F516" s="329"/>
      <c r="G516" s="329"/>
      <c r="H516" s="329"/>
      <c r="I516" s="329"/>
      <c r="J516" s="329"/>
      <c r="K516" s="519"/>
    </row>
    <row r="517" spans="1:11" x14ac:dyDescent="0.2">
      <c r="A517" s="329"/>
      <c r="B517" s="329"/>
      <c r="C517" s="329"/>
      <c r="D517" s="329"/>
      <c r="E517" s="329"/>
      <c r="F517" s="329"/>
      <c r="G517" s="329"/>
      <c r="H517" s="329"/>
      <c r="I517" s="329"/>
      <c r="J517" s="329"/>
      <c r="K517" s="519"/>
    </row>
    <row r="518" spans="1:11" x14ac:dyDescent="0.2">
      <c r="A518" s="329"/>
      <c r="B518" s="329"/>
      <c r="C518" s="329"/>
      <c r="D518" s="329"/>
      <c r="E518" s="329"/>
      <c r="F518" s="329"/>
      <c r="G518" s="329"/>
      <c r="H518" s="329"/>
      <c r="I518" s="329"/>
      <c r="J518" s="329"/>
      <c r="K518" s="519"/>
    </row>
    <row r="519" spans="1:11" x14ac:dyDescent="0.2">
      <c r="A519" s="329"/>
      <c r="B519" s="329"/>
      <c r="C519" s="329"/>
      <c r="D519" s="329"/>
      <c r="E519" s="329"/>
      <c r="F519" s="329"/>
      <c r="G519" s="329"/>
      <c r="H519" s="329"/>
      <c r="I519" s="329"/>
      <c r="J519" s="329"/>
      <c r="K519" s="519"/>
    </row>
    <row r="520" spans="1:11" x14ac:dyDescent="0.2">
      <c r="A520" s="329"/>
      <c r="B520" s="329"/>
      <c r="C520" s="329"/>
      <c r="D520" s="329"/>
      <c r="E520" s="329"/>
      <c r="F520" s="329"/>
      <c r="G520" s="329"/>
      <c r="H520" s="329"/>
      <c r="I520" s="329"/>
      <c r="J520" s="329"/>
      <c r="K520" s="519"/>
    </row>
    <row r="521" spans="1:11" x14ac:dyDescent="0.2">
      <c r="A521" s="329"/>
      <c r="B521" s="329"/>
      <c r="C521" s="329"/>
      <c r="D521" s="329"/>
      <c r="E521" s="329"/>
      <c r="F521" s="329"/>
      <c r="G521" s="329"/>
      <c r="H521" s="329"/>
      <c r="I521" s="329"/>
      <c r="J521" s="329"/>
      <c r="K521" s="519"/>
    </row>
    <row r="522" spans="1:11" x14ac:dyDescent="0.2">
      <c r="A522" s="329"/>
      <c r="B522" s="329"/>
      <c r="C522" s="329"/>
      <c r="D522" s="329"/>
      <c r="E522" s="329"/>
      <c r="F522" s="329"/>
      <c r="G522" s="329"/>
      <c r="H522" s="329"/>
      <c r="I522" s="329"/>
      <c r="J522" s="329"/>
      <c r="K522" s="519"/>
    </row>
    <row r="523" spans="1:11" x14ac:dyDescent="0.2">
      <c r="A523" s="329"/>
      <c r="B523" s="329"/>
      <c r="C523" s="329"/>
      <c r="D523" s="329"/>
      <c r="E523" s="329"/>
      <c r="F523" s="329"/>
      <c r="G523" s="329"/>
      <c r="H523" s="329"/>
      <c r="I523" s="329"/>
      <c r="J523" s="329"/>
      <c r="K523" s="519"/>
    </row>
    <row r="524" spans="1:11" x14ac:dyDescent="0.2">
      <c r="A524" s="329"/>
      <c r="B524" s="329"/>
      <c r="C524" s="329"/>
      <c r="D524" s="329"/>
      <c r="E524" s="329"/>
      <c r="F524" s="329"/>
      <c r="G524" s="329"/>
      <c r="H524" s="329"/>
      <c r="I524" s="329"/>
      <c r="J524" s="329"/>
      <c r="K524" s="519"/>
    </row>
    <row r="525" spans="1:11" x14ac:dyDescent="0.2">
      <c r="A525" s="329"/>
      <c r="B525" s="329"/>
      <c r="C525" s="329"/>
      <c r="D525" s="329"/>
      <c r="E525" s="329"/>
      <c r="F525" s="329"/>
      <c r="G525" s="329"/>
      <c r="H525" s="329"/>
      <c r="I525" s="329"/>
      <c r="J525" s="329"/>
      <c r="K525" s="519"/>
    </row>
    <row r="526" spans="1:11" x14ac:dyDescent="0.2">
      <c r="A526" s="329"/>
      <c r="B526" s="329"/>
      <c r="C526" s="329"/>
      <c r="D526" s="329"/>
      <c r="E526" s="329"/>
      <c r="F526" s="329"/>
      <c r="G526" s="329"/>
      <c r="H526" s="329"/>
      <c r="I526" s="329"/>
      <c r="J526" s="329"/>
      <c r="K526" s="519"/>
    </row>
    <row r="527" spans="1:11" x14ac:dyDescent="0.2">
      <c r="A527" s="329"/>
      <c r="B527" s="329"/>
      <c r="C527" s="329"/>
      <c r="D527" s="329"/>
      <c r="E527" s="329"/>
      <c r="F527" s="329"/>
      <c r="G527" s="329"/>
      <c r="H527" s="329"/>
      <c r="I527" s="329"/>
      <c r="J527" s="329"/>
      <c r="K527" s="519"/>
    </row>
    <row r="528" spans="1:11" x14ac:dyDescent="0.2">
      <c r="A528" s="329"/>
      <c r="B528" s="329"/>
      <c r="C528" s="329"/>
      <c r="D528" s="329"/>
      <c r="E528" s="329"/>
      <c r="F528" s="329"/>
      <c r="G528" s="329"/>
      <c r="H528" s="329"/>
      <c r="I528" s="329"/>
      <c r="J528" s="329"/>
      <c r="K528" s="519"/>
    </row>
    <row r="529" spans="1:11" x14ac:dyDescent="0.2">
      <c r="A529" s="329"/>
      <c r="B529" s="329"/>
      <c r="C529" s="329"/>
      <c r="D529" s="329"/>
      <c r="E529" s="329"/>
      <c r="F529" s="329"/>
      <c r="G529" s="329"/>
      <c r="H529" s="329"/>
      <c r="I529" s="329"/>
      <c r="J529" s="329"/>
      <c r="K529" s="519"/>
    </row>
    <row r="530" spans="1:11" x14ac:dyDescent="0.2">
      <c r="A530" s="329"/>
      <c r="B530" s="329"/>
      <c r="C530" s="329"/>
      <c r="D530" s="329"/>
      <c r="E530" s="329"/>
      <c r="F530" s="329"/>
      <c r="G530" s="329"/>
      <c r="H530" s="329"/>
      <c r="I530" s="329"/>
      <c r="J530" s="329"/>
      <c r="K530" s="519"/>
    </row>
    <row r="531" spans="1:11" x14ac:dyDescent="0.2">
      <c r="A531" s="329"/>
      <c r="B531" s="329"/>
      <c r="C531" s="329"/>
      <c r="D531" s="329"/>
      <c r="E531" s="329"/>
      <c r="F531" s="329"/>
      <c r="G531" s="329"/>
      <c r="H531" s="329"/>
      <c r="I531" s="329"/>
      <c r="J531" s="329"/>
      <c r="K531" s="519"/>
    </row>
    <row r="532" spans="1:11" x14ac:dyDescent="0.2">
      <c r="A532" s="329"/>
      <c r="B532" s="329"/>
      <c r="C532" s="329"/>
      <c r="D532" s="329"/>
      <c r="E532" s="329"/>
      <c r="F532" s="329"/>
      <c r="G532" s="329"/>
      <c r="H532" s="329"/>
      <c r="I532" s="329"/>
      <c r="J532" s="329"/>
      <c r="K532" s="519"/>
    </row>
    <row r="533" spans="1:11" x14ac:dyDescent="0.2">
      <c r="A533" s="329"/>
      <c r="B533" s="329"/>
      <c r="C533" s="329"/>
      <c r="D533" s="329"/>
      <c r="E533" s="329"/>
      <c r="F533" s="329"/>
      <c r="G533" s="329"/>
      <c r="H533" s="329"/>
      <c r="I533" s="329"/>
      <c r="J533" s="329"/>
      <c r="K533" s="519"/>
    </row>
    <row r="534" spans="1:11" x14ac:dyDescent="0.2">
      <c r="A534" s="329"/>
      <c r="B534" s="329"/>
      <c r="C534" s="329"/>
      <c r="D534" s="329"/>
      <c r="E534" s="329"/>
      <c r="F534" s="329"/>
      <c r="G534" s="329"/>
      <c r="H534" s="329"/>
      <c r="I534" s="329"/>
      <c r="J534" s="329"/>
      <c r="K534" s="519"/>
    </row>
    <row r="535" spans="1:11" x14ac:dyDescent="0.2">
      <c r="A535" s="329"/>
      <c r="B535" s="329"/>
      <c r="C535" s="329"/>
      <c r="D535" s="329"/>
      <c r="E535" s="329"/>
      <c r="F535" s="329"/>
      <c r="G535" s="329"/>
      <c r="H535" s="329"/>
      <c r="I535" s="329"/>
      <c r="J535" s="329"/>
      <c r="K535" s="519"/>
    </row>
    <row r="536" spans="1:11" x14ac:dyDescent="0.2">
      <c r="A536" s="329"/>
      <c r="B536" s="329"/>
      <c r="C536" s="329"/>
      <c r="D536" s="329"/>
      <c r="E536" s="329"/>
      <c r="F536" s="329"/>
      <c r="G536" s="329"/>
      <c r="H536" s="329"/>
      <c r="I536" s="329"/>
      <c r="J536" s="329"/>
      <c r="K536" s="519"/>
    </row>
    <row r="537" spans="1:11" x14ac:dyDescent="0.2">
      <c r="A537" s="329"/>
      <c r="B537" s="329"/>
      <c r="C537" s="329"/>
      <c r="D537" s="329"/>
      <c r="E537" s="329"/>
      <c r="F537" s="329"/>
      <c r="G537" s="329"/>
      <c r="H537" s="329"/>
      <c r="I537" s="329"/>
      <c r="J537" s="329"/>
      <c r="K537" s="519"/>
    </row>
    <row r="538" spans="1:11" x14ac:dyDescent="0.2">
      <c r="A538" s="329"/>
      <c r="B538" s="329"/>
      <c r="C538" s="329"/>
      <c r="D538" s="329"/>
      <c r="E538" s="329"/>
      <c r="F538" s="329"/>
      <c r="G538" s="329"/>
      <c r="H538" s="329"/>
      <c r="I538" s="329"/>
      <c r="J538" s="329"/>
      <c r="K538" s="519"/>
    </row>
    <row r="539" spans="1:11" x14ac:dyDescent="0.2">
      <c r="A539" s="329"/>
      <c r="B539" s="329"/>
      <c r="C539" s="329"/>
      <c r="D539" s="329"/>
      <c r="E539" s="329"/>
      <c r="F539" s="329"/>
      <c r="G539" s="329"/>
      <c r="H539" s="329"/>
      <c r="I539" s="329"/>
      <c r="J539" s="329"/>
      <c r="K539" s="519"/>
    </row>
    <row r="540" spans="1:11" x14ac:dyDescent="0.2">
      <c r="A540" s="329"/>
      <c r="B540" s="329"/>
      <c r="C540" s="329"/>
      <c r="D540" s="329"/>
      <c r="E540" s="329"/>
      <c r="F540" s="329"/>
      <c r="G540" s="329"/>
      <c r="H540" s="329"/>
      <c r="I540" s="329"/>
      <c r="J540" s="329"/>
      <c r="K540" s="519"/>
    </row>
    <row r="541" spans="1:11" x14ac:dyDescent="0.2">
      <c r="A541" s="329"/>
      <c r="B541" s="329"/>
      <c r="C541" s="329"/>
      <c r="D541" s="329"/>
      <c r="E541" s="329"/>
      <c r="F541" s="329"/>
      <c r="G541" s="329"/>
      <c r="H541" s="329"/>
      <c r="I541" s="329"/>
      <c r="J541" s="329"/>
      <c r="K541" s="519"/>
    </row>
    <row r="542" spans="1:11" x14ac:dyDescent="0.2">
      <c r="A542" s="329"/>
      <c r="B542" s="329"/>
      <c r="C542" s="329"/>
      <c r="D542" s="329"/>
      <c r="E542" s="329"/>
      <c r="F542" s="329"/>
      <c r="G542" s="329"/>
      <c r="H542" s="329"/>
      <c r="I542" s="329"/>
      <c r="J542" s="329"/>
      <c r="K542" s="519"/>
    </row>
    <row r="543" spans="1:11" x14ac:dyDescent="0.2">
      <c r="A543" s="329"/>
      <c r="B543" s="329"/>
      <c r="C543" s="329"/>
      <c r="D543" s="329"/>
      <c r="E543" s="329"/>
      <c r="F543" s="329"/>
      <c r="G543" s="329"/>
      <c r="H543" s="329"/>
      <c r="I543" s="329"/>
      <c r="J543" s="329"/>
      <c r="K543" s="519"/>
    </row>
    <row r="544" spans="1:11" x14ac:dyDescent="0.2">
      <c r="A544" s="329"/>
      <c r="B544" s="329"/>
      <c r="C544" s="329"/>
      <c r="D544" s="329"/>
      <c r="E544" s="329"/>
      <c r="F544" s="329"/>
      <c r="G544" s="329"/>
      <c r="H544" s="329"/>
      <c r="I544" s="329"/>
      <c r="J544" s="329"/>
      <c r="K544" s="519"/>
    </row>
    <row r="545" spans="1:11" x14ac:dyDescent="0.2">
      <c r="A545" s="329"/>
      <c r="B545" s="329"/>
      <c r="C545" s="329"/>
      <c r="D545" s="329"/>
      <c r="E545" s="329"/>
      <c r="F545" s="329"/>
      <c r="G545" s="329"/>
      <c r="H545" s="329"/>
      <c r="I545" s="329"/>
      <c r="J545" s="329"/>
      <c r="K545" s="519"/>
    </row>
    <row r="546" spans="1:11" x14ac:dyDescent="0.2">
      <c r="A546" s="329"/>
      <c r="B546" s="329"/>
      <c r="C546" s="329"/>
      <c r="D546" s="329"/>
      <c r="E546" s="329"/>
      <c r="F546" s="329"/>
      <c r="G546" s="329"/>
      <c r="H546" s="329"/>
      <c r="I546" s="329"/>
      <c r="J546" s="329"/>
      <c r="K546" s="519"/>
    </row>
    <row r="547" spans="1:11" x14ac:dyDescent="0.2">
      <c r="A547" s="329"/>
      <c r="B547" s="329"/>
      <c r="C547" s="329"/>
      <c r="D547" s="329"/>
      <c r="E547" s="329"/>
      <c r="F547" s="329"/>
      <c r="G547" s="329"/>
      <c r="H547" s="329"/>
      <c r="I547" s="329"/>
      <c r="J547" s="329"/>
      <c r="K547" s="519"/>
    </row>
    <row r="548" spans="1:11" x14ac:dyDescent="0.2">
      <c r="A548" s="329"/>
      <c r="B548" s="329"/>
      <c r="C548" s="329"/>
      <c r="D548" s="329"/>
      <c r="E548" s="329"/>
      <c r="F548" s="329"/>
      <c r="G548" s="329"/>
      <c r="H548" s="329"/>
      <c r="I548" s="329"/>
      <c r="J548" s="329"/>
      <c r="K548" s="519"/>
    </row>
    <row r="549" spans="1:11" x14ac:dyDescent="0.2">
      <c r="A549" s="329"/>
      <c r="B549" s="329"/>
      <c r="C549" s="329"/>
      <c r="D549" s="329"/>
      <c r="E549" s="329"/>
      <c r="F549" s="329"/>
      <c r="G549" s="329"/>
      <c r="H549" s="329"/>
      <c r="I549" s="329"/>
      <c r="J549" s="329"/>
      <c r="K549" s="519"/>
    </row>
    <row r="550" spans="1:11" x14ac:dyDescent="0.2">
      <c r="A550" s="329"/>
      <c r="B550" s="329"/>
      <c r="C550" s="329"/>
      <c r="D550" s="329"/>
      <c r="E550" s="329"/>
      <c r="F550" s="329"/>
      <c r="G550" s="329"/>
      <c r="H550" s="329"/>
      <c r="I550" s="329"/>
      <c r="J550" s="329"/>
      <c r="K550" s="519"/>
    </row>
    <row r="551" spans="1:11" x14ac:dyDescent="0.2">
      <c r="A551" s="329"/>
      <c r="B551" s="329"/>
      <c r="C551" s="329"/>
      <c r="D551" s="329"/>
      <c r="E551" s="329"/>
      <c r="F551" s="329"/>
      <c r="G551" s="329"/>
      <c r="H551" s="329"/>
      <c r="I551" s="329"/>
      <c r="J551" s="329"/>
      <c r="K551" s="519"/>
    </row>
    <row r="552" spans="1:11" x14ac:dyDescent="0.2">
      <c r="A552" s="329"/>
      <c r="B552" s="329"/>
      <c r="C552" s="329"/>
      <c r="D552" s="329"/>
      <c r="E552" s="329"/>
      <c r="F552" s="329"/>
      <c r="G552" s="329"/>
      <c r="H552" s="329"/>
      <c r="I552" s="329"/>
      <c r="J552" s="329"/>
      <c r="K552" s="519"/>
    </row>
    <row r="553" spans="1:11" x14ac:dyDescent="0.2">
      <c r="A553" s="329"/>
      <c r="B553" s="329"/>
      <c r="C553" s="329"/>
      <c r="D553" s="329"/>
      <c r="E553" s="329"/>
      <c r="F553" s="329"/>
      <c r="G553" s="329"/>
      <c r="H553" s="329"/>
      <c r="I553" s="329"/>
      <c r="J553" s="329"/>
      <c r="K553" s="519"/>
    </row>
    <row r="554" spans="1:11" x14ac:dyDescent="0.2">
      <c r="A554" s="329"/>
      <c r="B554" s="329"/>
      <c r="C554" s="329"/>
      <c r="D554" s="329"/>
      <c r="E554" s="329"/>
      <c r="F554" s="329"/>
      <c r="G554" s="329"/>
      <c r="H554" s="329"/>
      <c r="I554" s="329"/>
      <c r="J554" s="329"/>
      <c r="K554" s="519"/>
    </row>
    <row r="555" spans="1:11" x14ac:dyDescent="0.2">
      <c r="A555" s="329"/>
      <c r="B555" s="329"/>
      <c r="C555" s="329"/>
      <c r="D555" s="329"/>
      <c r="E555" s="329"/>
      <c r="F555" s="329"/>
      <c r="G555" s="329"/>
      <c r="H555" s="329"/>
      <c r="I555" s="329"/>
      <c r="J555" s="329"/>
      <c r="K555" s="519"/>
    </row>
    <row r="556" spans="1:11" x14ac:dyDescent="0.2">
      <c r="A556" s="329"/>
      <c r="B556" s="329"/>
      <c r="C556" s="329"/>
      <c r="D556" s="329"/>
      <c r="E556" s="329"/>
      <c r="F556" s="329"/>
      <c r="G556" s="329"/>
      <c r="H556" s="329"/>
      <c r="I556" s="329"/>
      <c r="J556" s="329"/>
      <c r="K556" s="519"/>
    </row>
    <row r="557" spans="1:11" x14ac:dyDescent="0.2">
      <c r="A557" s="329"/>
      <c r="B557" s="329"/>
      <c r="C557" s="329"/>
      <c r="D557" s="329"/>
      <c r="E557" s="329"/>
      <c r="F557" s="329"/>
      <c r="G557" s="329"/>
      <c r="H557" s="329"/>
      <c r="I557" s="329"/>
      <c r="J557" s="329"/>
      <c r="K557" s="519"/>
    </row>
    <row r="558" spans="1:11" x14ac:dyDescent="0.2">
      <c r="A558" s="329"/>
      <c r="B558" s="329"/>
      <c r="C558" s="329"/>
      <c r="D558" s="329"/>
      <c r="E558" s="329"/>
      <c r="F558" s="329"/>
      <c r="G558" s="329"/>
      <c r="H558" s="329"/>
      <c r="I558" s="329"/>
      <c r="J558" s="329"/>
      <c r="K558" s="519"/>
    </row>
    <row r="559" spans="1:11" x14ac:dyDescent="0.2">
      <c r="A559" s="329"/>
      <c r="B559" s="329"/>
      <c r="C559" s="329"/>
      <c r="D559" s="329"/>
      <c r="E559" s="329"/>
      <c r="F559" s="329"/>
      <c r="G559" s="329"/>
      <c r="H559" s="329"/>
      <c r="I559" s="329"/>
      <c r="J559" s="329"/>
      <c r="K559" s="519"/>
    </row>
    <row r="560" spans="1:11" x14ac:dyDescent="0.2">
      <c r="A560" s="329"/>
      <c r="B560" s="329"/>
      <c r="C560" s="329"/>
      <c r="D560" s="329"/>
      <c r="E560" s="329"/>
      <c r="F560" s="329"/>
      <c r="G560" s="329"/>
      <c r="H560" s="329"/>
      <c r="I560" s="329"/>
      <c r="J560" s="329"/>
      <c r="K560" s="519"/>
    </row>
    <row r="561" spans="1:11" x14ac:dyDescent="0.2">
      <c r="A561" s="329"/>
      <c r="B561" s="329"/>
      <c r="C561" s="329"/>
      <c r="D561" s="329"/>
      <c r="E561" s="329"/>
      <c r="F561" s="329"/>
      <c r="G561" s="329"/>
      <c r="H561" s="329"/>
      <c r="I561" s="329"/>
      <c r="J561" s="329"/>
      <c r="K561" s="519"/>
    </row>
    <row r="562" spans="1:11" x14ac:dyDescent="0.2">
      <c r="A562" s="329"/>
      <c r="B562" s="329"/>
      <c r="C562" s="329"/>
      <c r="D562" s="329"/>
      <c r="E562" s="329"/>
      <c r="F562" s="329"/>
      <c r="G562" s="329"/>
      <c r="H562" s="329"/>
      <c r="I562" s="329"/>
      <c r="J562" s="329"/>
      <c r="K562" s="519"/>
    </row>
    <row r="563" spans="1:11" x14ac:dyDescent="0.2">
      <c r="A563" s="329"/>
      <c r="B563" s="329"/>
      <c r="C563" s="329"/>
      <c r="D563" s="329"/>
      <c r="E563" s="329"/>
      <c r="F563" s="329"/>
      <c r="G563" s="329"/>
      <c r="H563" s="329"/>
      <c r="I563" s="329"/>
      <c r="J563" s="329"/>
      <c r="K563" s="519"/>
    </row>
    <row r="564" spans="1:11" x14ac:dyDescent="0.2">
      <c r="A564" s="329"/>
      <c r="B564" s="329"/>
      <c r="C564" s="329"/>
      <c r="D564" s="329"/>
      <c r="E564" s="329"/>
      <c r="F564" s="329"/>
      <c r="G564" s="329"/>
      <c r="H564" s="329"/>
      <c r="I564" s="329"/>
      <c r="J564" s="329"/>
      <c r="K564" s="519"/>
    </row>
    <row r="565" spans="1:11" x14ac:dyDescent="0.2">
      <c r="A565" s="329"/>
      <c r="B565" s="329"/>
      <c r="C565" s="329"/>
      <c r="D565" s="329"/>
      <c r="E565" s="329"/>
      <c r="F565" s="329"/>
      <c r="G565" s="329"/>
      <c r="H565" s="329"/>
      <c r="I565" s="329"/>
      <c r="J565" s="329"/>
      <c r="K565" s="519"/>
    </row>
    <row r="566" spans="1:11" x14ac:dyDescent="0.2">
      <c r="A566" s="329"/>
      <c r="B566" s="329"/>
      <c r="C566" s="329"/>
      <c r="D566" s="329"/>
      <c r="E566" s="329"/>
      <c r="F566" s="329"/>
      <c r="G566" s="329"/>
      <c r="H566" s="329"/>
      <c r="I566" s="329"/>
      <c r="J566" s="329"/>
      <c r="K566" s="519"/>
    </row>
    <row r="567" spans="1:11" x14ac:dyDescent="0.2">
      <c r="A567" s="329"/>
      <c r="B567" s="329"/>
      <c r="C567" s="329"/>
      <c r="D567" s="329"/>
      <c r="E567" s="329"/>
      <c r="F567" s="329"/>
      <c r="G567" s="329"/>
      <c r="H567" s="329"/>
      <c r="I567" s="329"/>
      <c r="J567" s="329"/>
      <c r="K567" s="519"/>
    </row>
    <row r="568" spans="1:11" x14ac:dyDescent="0.2">
      <c r="A568" s="329"/>
      <c r="B568" s="329"/>
      <c r="C568" s="329"/>
      <c r="D568" s="329"/>
      <c r="E568" s="329"/>
      <c r="F568" s="329"/>
      <c r="G568" s="329"/>
      <c r="H568" s="329"/>
      <c r="I568" s="329"/>
      <c r="J568" s="329"/>
      <c r="K568" s="519"/>
    </row>
    <row r="569" spans="1:11" x14ac:dyDescent="0.2">
      <c r="A569" s="329"/>
      <c r="B569" s="329"/>
      <c r="C569" s="329"/>
      <c r="D569" s="329"/>
      <c r="E569" s="329"/>
      <c r="F569" s="329"/>
      <c r="G569" s="329"/>
      <c r="H569" s="329"/>
      <c r="I569" s="329"/>
      <c r="J569" s="329"/>
      <c r="K569" s="519"/>
    </row>
    <row r="570" spans="1:11" x14ac:dyDescent="0.2">
      <c r="A570" s="329"/>
      <c r="B570" s="329"/>
      <c r="C570" s="329"/>
      <c r="D570" s="329"/>
      <c r="E570" s="329"/>
      <c r="F570" s="329"/>
      <c r="G570" s="329"/>
      <c r="H570" s="329"/>
      <c r="I570" s="329"/>
      <c r="J570" s="329"/>
      <c r="K570" s="519"/>
    </row>
    <row r="571" spans="1:11" x14ac:dyDescent="0.2">
      <c r="A571" s="329"/>
      <c r="B571" s="329"/>
      <c r="C571" s="329"/>
      <c r="D571" s="329"/>
      <c r="E571" s="329"/>
      <c r="F571" s="329"/>
      <c r="G571" s="329"/>
      <c r="H571" s="329"/>
      <c r="I571" s="329"/>
      <c r="J571" s="329"/>
      <c r="K571" s="519"/>
    </row>
    <row r="572" spans="1:11" x14ac:dyDescent="0.2">
      <c r="A572" s="329"/>
      <c r="B572" s="329"/>
      <c r="C572" s="329"/>
      <c r="D572" s="329"/>
      <c r="E572" s="329"/>
      <c r="F572" s="329"/>
      <c r="G572" s="329"/>
      <c r="H572" s="329"/>
      <c r="I572" s="329"/>
      <c r="J572" s="329"/>
      <c r="K572" s="519"/>
    </row>
    <row r="573" spans="1:11" x14ac:dyDescent="0.2">
      <c r="A573" s="329"/>
      <c r="B573" s="329"/>
      <c r="C573" s="329"/>
      <c r="D573" s="329"/>
      <c r="E573" s="329"/>
      <c r="F573" s="329"/>
      <c r="G573" s="329"/>
      <c r="H573" s="329"/>
      <c r="I573" s="329"/>
      <c r="J573" s="329"/>
      <c r="K573" s="519"/>
    </row>
    <row r="574" spans="1:11" x14ac:dyDescent="0.2">
      <c r="A574" s="329"/>
      <c r="B574" s="329"/>
      <c r="C574" s="329"/>
      <c r="D574" s="329"/>
      <c r="E574" s="329"/>
      <c r="F574" s="329"/>
      <c r="G574" s="329"/>
      <c r="H574" s="329"/>
      <c r="I574" s="329"/>
      <c r="J574" s="329"/>
      <c r="K574" s="519"/>
    </row>
    <row r="575" spans="1:11" x14ac:dyDescent="0.2">
      <c r="A575" s="329"/>
      <c r="B575" s="329"/>
      <c r="C575" s="329"/>
      <c r="D575" s="329"/>
      <c r="E575" s="329"/>
      <c r="F575" s="329"/>
      <c r="G575" s="329"/>
      <c r="H575" s="329"/>
      <c r="I575" s="329"/>
      <c r="J575" s="329"/>
      <c r="K575" s="519"/>
    </row>
    <row r="576" spans="1:11" x14ac:dyDescent="0.2">
      <c r="A576" s="329"/>
      <c r="B576" s="329"/>
      <c r="C576" s="329"/>
      <c r="D576" s="329"/>
      <c r="E576" s="329"/>
      <c r="F576" s="329"/>
      <c r="G576" s="329"/>
      <c r="H576" s="329"/>
      <c r="I576" s="329"/>
      <c r="J576" s="329"/>
      <c r="K576" s="519"/>
    </row>
    <row r="577" spans="1:11" x14ac:dyDescent="0.2">
      <c r="A577" s="329"/>
      <c r="B577" s="329"/>
      <c r="C577" s="329"/>
      <c r="D577" s="329"/>
      <c r="E577" s="329"/>
      <c r="F577" s="329"/>
      <c r="G577" s="329"/>
      <c r="H577" s="329"/>
      <c r="I577" s="329"/>
      <c r="J577" s="329"/>
      <c r="K577" s="519"/>
    </row>
    <row r="578" spans="1:11" x14ac:dyDescent="0.2">
      <c r="A578" s="329"/>
      <c r="B578" s="329"/>
      <c r="C578" s="329"/>
      <c r="D578" s="329"/>
      <c r="E578" s="329"/>
      <c r="F578" s="329"/>
      <c r="G578" s="329"/>
      <c r="H578" s="329"/>
      <c r="I578" s="329"/>
      <c r="J578" s="329"/>
      <c r="K578" s="519"/>
    </row>
    <row r="579" spans="1:11" x14ac:dyDescent="0.2">
      <c r="A579" s="329"/>
      <c r="B579" s="329"/>
      <c r="C579" s="329"/>
      <c r="D579" s="329"/>
      <c r="E579" s="329"/>
      <c r="F579" s="329"/>
      <c r="G579" s="329"/>
      <c r="H579" s="329"/>
      <c r="I579" s="329"/>
      <c r="J579" s="329"/>
      <c r="K579" s="519"/>
    </row>
    <row r="580" spans="1:11" x14ac:dyDescent="0.2">
      <c r="A580" s="329"/>
      <c r="B580" s="329"/>
      <c r="C580" s="329"/>
      <c r="D580" s="329"/>
      <c r="E580" s="329"/>
      <c r="F580" s="329"/>
      <c r="G580" s="329"/>
      <c r="H580" s="329"/>
      <c r="I580" s="329"/>
      <c r="J580" s="329"/>
      <c r="K580" s="519"/>
    </row>
    <row r="581" spans="1:11" x14ac:dyDescent="0.2">
      <c r="A581" s="329"/>
      <c r="B581" s="329"/>
      <c r="C581" s="329"/>
      <c r="D581" s="329"/>
      <c r="E581" s="329"/>
      <c r="F581" s="329"/>
      <c r="G581" s="329"/>
      <c r="H581" s="329"/>
      <c r="I581" s="329"/>
      <c r="J581" s="329"/>
      <c r="K581" s="519"/>
    </row>
    <row r="582" spans="1:11" x14ac:dyDescent="0.2">
      <c r="A582" s="329"/>
      <c r="B582" s="329"/>
      <c r="C582" s="329"/>
      <c r="D582" s="329"/>
      <c r="E582" s="329"/>
      <c r="F582" s="329"/>
      <c r="G582" s="329"/>
      <c r="H582" s="329"/>
      <c r="I582" s="329"/>
      <c r="J582" s="329"/>
      <c r="K582" s="519"/>
    </row>
    <row r="583" spans="1:11" x14ac:dyDescent="0.2">
      <c r="A583" s="329"/>
      <c r="B583" s="329"/>
      <c r="C583" s="329"/>
      <c r="D583" s="329"/>
      <c r="E583" s="329"/>
      <c r="F583" s="329"/>
      <c r="G583" s="329"/>
      <c r="H583" s="329"/>
      <c r="I583" s="329"/>
      <c r="J583" s="329"/>
      <c r="K583" s="519"/>
    </row>
    <row r="584" spans="1:11" x14ac:dyDescent="0.2">
      <c r="A584" s="329"/>
      <c r="B584" s="329"/>
      <c r="C584" s="329"/>
      <c r="D584" s="329"/>
      <c r="E584" s="329"/>
      <c r="F584" s="329"/>
      <c r="G584" s="329"/>
      <c r="H584" s="329"/>
      <c r="I584" s="329"/>
      <c r="J584" s="329"/>
      <c r="K584" s="519"/>
    </row>
    <row r="585" spans="1:11" x14ac:dyDescent="0.2">
      <c r="A585" s="329"/>
      <c r="B585" s="329"/>
      <c r="C585" s="329"/>
      <c r="D585" s="329"/>
      <c r="E585" s="329"/>
      <c r="F585" s="329"/>
      <c r="G585" s="329"/>
      <c r="H585" s="329"/>
      <c r="I585" s="329"/>
      <c r="J585" s="329"/>
      <c r="K585" s="519"/>
    </row>
    <row r="586" spans="1:11" x14ac:dyDescent="0.2">
      <c r="A586" s="329"/>
      <c r="B586" s="329"/>
      <c r="C586" s="329"/>
      <c r="D586" s="329"/>
      <c r="E586" s="329"/>
      <c r="F586" s="329"/>
      <c r="G586" s="329"/>
      <c r="H586" s="329"/>
      <c r="I586" s="329"/>
      <c r="J586" s="329"/>
      <c r="K586" s="519"/>
    </row>
    <row r="587" spans="1:11" x14ac:dyDescent="0.2">
      <c r="A587" s="329"/>
      <c r="B587" s="329"/>
      <c r="C587" s="329"/>
      <c r="D587" s="329"/>
      <c r="E587" s="329"/>
      <c r="F587" s="329"/>
      <c r="G587" s="329"/>
      <c r="H587" s="329"/>
      <c r="I587" s="329"/>
      <c r="J587" s="329"/>
      <c r="K587" s="519"/>
    </row>
    <row r="588" spans="1:11" x14ac:dyDescent="0.2">
      <c r="A588" s="329"/>
      <c r="B588" s="329"/>
      <c r="C588" s="329"/>
      <c r="D588" s="329"/>
      <c r="E588" s="329"/>
      <c r="F588" s="329"/>
      <c r="G588" s="329"/>
      <c r="H588" s="329"/>
      <c r="I588" s="329"/>
      <c r="J588" s="329"/>
      <c r="K588" s="519"/>
    </row>
    <row r="589" spans="1:11" x14ac:dyDescent="0.2">
      <c r="A589" s="329"/>
      <c r="B589" s="329"/>
      <c r="C589" s="329"/>
      <c r="D589" s="329"/>
      <c r="E589" s="329"/>
      <c r="F589" s="329"/>
      <c r="G589" s="329"/>
      <c r="H589" s="329"/>
      <c r="I589" s="329"/>
      <c r="J589" s="329"/>
      <c r="K589" s="519"/>
    </row>
    <row r="590" spans="1:11" x14ac:dyDescent="0.2">
      <c r="A590" s="329"/>
      <c r="B590" s="329"/>
      <c r="C590" s="329"/>
      <c r="D590" s="329"/>
      <c r="E590" s="329"/>
      <c r="F590" s="329"/>
      <c r="G590" s="329"/>
      <c r="H590" s="329"/>
      <c r="I590" s="329"/>
      <c r="J590" s="329"/>
      <c r="K590" s="519"/>
    </row>
    <row r="591" spans="1:11" x14ac:dyDescent="0.2">
      <c r="A591" s="329"/>
      <c r="B591" s="329"/>
      <c r="C591" s="329"/>
      <c r="D591" s="329"/>
      <c r="E591" s="329"/>
      <c r="F591" s="329"/>
      <c r="G591" s="329"/>
      <c r="H591" s="329"/>
      <c r="I591" s="329"/>
      <c r="J591" s="329"/>
      <c r="K591" s="519"/>
    </row>
    <row r="592" spans="1:11" x14ac:dyDescent="0.2">
      <c r="A592" s="329"/>
      <c r="B592" s="329"/>
      <c r="C592" s="329"/>
      <c r="D592" s="329"/>
      <c r="E592" s="329"/>
      <c r="F592" s="329"/>
      <c r="G592" s="329"/>
      <c r="H592" s="329"/>
      <c r="I592" s="329"/>
      <c r="J592" s="329"/>
      <c r="K592" s="519"/>
    </row>
    <row r="593" spans="1:11" x14ac:dyDescent="0.2">
      <c r="A593" s="329"/>
      <c r="B593" s="329"/>
      <c r="C593" s="329"/>
      <c r="D593" s="329"/>
      <c r="E593" s="329"/>
      <c r="F593" s="329"/>
      <c r="G593" s="329"/>
      <c r="H593" s="329"/>
      <c r="I593" s="329"/>
      <c r="J593" s="329"/>
      <c r="K593" s="519"/>
    </row>
    <row r="594" spans="1:11" x14ac:dyDescent="0.2">
      <c r="A594" s="329"/>
      <c r="B594" s="329"/>
      <c r="C594" s="329"/>
      <c r="D594" s="329"/>
      <c r="E594" s="329"/>
      <c r="F594" s="329"/>
      <c r="G594" s="329"/>
      <c r="H594" s="329"/>
      <c r="I594" s="329"/>
      <c r="J594" s="329"/>
      <c r="K594" s="519"/>
    </row>
    <row r="595" spans="1:11" x14ac:dyDescent="0.2">
      <c r="A595" s="329"/>
      <c r="B595" s="329"/>
      <c r="C595" s="329"/>
      <c r="D595" s="329"/>
      <c r="E595" s="329"/>
      <c r="F595" s="329"/>
      <c r="G595" s="329"/>
      <c r="H595" s="329"/>
      <c r="I595" s="329"/>
      <c r="J595" s="329"/>
      <c r="K595" s="519"/>
    </row>
    <row r="596" spans="1:11" x14ac:dyDescent="0.2">
      <c r="A596" s="329"/>
      <c r="B596" s="329"/>
      <c r="C596" s="329"/>
      <c r="D596" s="329"/>
      <c r="E596" s="329"/>
      <c r="F596" s="329"/>
      <c r="G596" s="329"/>
      <c r="H596" s="329"/>
      <c r="I596" s="329"/>
      <c r="J596" s="329"/>
      <c r="K596" s="519"/>
    </row>
    <row r="597" spans="1:11" x14ac:dyDescent="0.2">
      <c r="A597" s="329"/>
      <c r="B597" s="329"/>
      <c r="C597" s="329"/>
      <c r="D597" s="329"/>
      <c r="E597" s="329"/>
      <c r="F597" s="329"/>
      <c r="G597" s="329"/>
      <c r="H597" s="329"/>
      <c r="I597" s="329"/>
      <c r="J597" s="329"/>
      <c r="K597" s="519"/>
    </row>
    <row r="598" spans="1:11" x14ac:dyDescent="0.2">
      <c r="A598" s="329"/>
      <c r="B598" s="329"/>
      <c r="C598" s="329"/>
      <c r="D598" s="329"/>
      <c r="E598" s="329"/>
      <c r="F598" s="329"/>
      <c r="G598" s="329"/>
      <c r="H598" s="329"/>
      <c r="I598" s="329"/>
      <c r="J598" s="329"/>
      <c r="K598" s="519"/>
    </row>
    <row r="599" spans="1:11" x14ac:dyDescent="0.2">
      <c r="A599" s="329"/>
      <c r="B599" s="329"/>
      <c r="C599" s="329"/>
      <c r="D599" s="329"/>
      <c r="E599" s="329"/>
      <c r="F599" s="329"/>
      <c r="G599" s="329"/>
      <c r="H599" s="329"/>
      <c r="I599" s="329"/>
      <c r="J599" s="329"/>
      <c r="K599" s="519"/>
    </row>
    <row r="600" spans="1:11" x14ac:dyDescent="0.2">
      <c r="A600" s="329"/>
      <c r="B600" s="329"/>
      <c r="C600" s="329"/>
      <c r="D600" s="329"/>
      <c r="E600" s="329"/>
      <c r="F600" s="329"/>
      <c r="G600" s="329"/>
      <c r="H600" s="329"/>
      <c r="I600" s="329"/>
      <c r="J600" s="329"/>
      <c r="K600" s="519"/>
    </row>
    <row r="601" spans="1:11" x14ac:dyDescent="0.2">
      <c r="A601" s="329"/>
      <c r="B601" s="329"/>
      <c r="C601" s="329"/>
      <c r="D601" s="329"/>
      <c r="E601" s="329"/>
      <c r="F601" s="329"/>
      <c r="G601" s="329"/>
      <c r="H601" s="329"/>
      <c r="I601" s="329"/>
      <c r="J601" s="329"/>
      <c r="K601" s="519"/>
    </row>
    <row r="602" spans="1:11" x14ac:dyDescent="0.2">
      <c r="A602" s="329"/>
      <c r="B602" s="329"/>
      <c r="C602" s="329"/>
      <c r="D602" s="329"/>
      <c r="E602" s="329"/>
      <c r="F602" s="329"/>
      <c r="G602" s="329"/>
      <c r="H602" s="329"/>
      <c r="I602" s="329"/>
      <c r="J602" s="329"/>
      <c r="K602" s="519"/>
    </row>
    <row r="603" spans="1:11" x14ac:dyDescent="0.2">
      <c r="A603" s="329"/>
      <c r="B603" s="329"/>
      <c r="C603" s="329"/>
      <c r="D603" s="329"/>
      <c r="E603" s="329"/>
      <c r="F603" s="329"/>
      <c r="G603" s="329"/>
      <c r="H603" s="329"/>
      <c r="I603" s="329"/>
      <c r="J603" s="329"/>
      <c r="K603" s="519"/>
    </row>
    <row r="604" spans="1:11" x14ac:dyDescent="0.2">
      <c r="A604" s="329"/>
      <c r="B604" s="329"/>
      <c r="C604" s="329"/>
      <c r="D604" s="329"/>
      <c r="E604" s="329"/>
      <c r="F604" s="329"/>
      <c r="G604" s="329"/>
      <c r="H604" s="329"/>
      <c r="I604" s="329"/>
      <c r="J604" s="329"/>
      <c r="K604" s="519"/>
    </row>
    <row r="605" spans="1:11" x14ac:dyDescent="0.2">
      <c r="A605" s="329"/>
      <c r="B605" s="329"/>
      <c r="C605" s="329"/>
      <c r="D605" s="329"/>
      <c r="E605" s="329"/>
      <c r="F605" s="329"/>
      <c r="G605" s="329"/>
      <c r="H605" s="329"/>
      <c r="I605" s="329"/>
      <c r="J605" s="329"/>
      <c r="K605" s="519"/>
    </row>
    <row r="606" spans="1:11" x14ac:dyDescent="0.2">
      <c r="A606" s="329"/>
      <c r="B606" s="329"/>
      <c r="C606" s="329"/>
      <c r="D606" s="329"/>
      <c r="E606" s="329"/>
      <c r="F606" s="329"/>
      <c r="G606" s="329"/>
      <c r="H606" s="329"/>
      <c r="I606" s="329"/>
      <c r="J606" s="329"/>
      <c r="K606" s="519"/>
    </row>
    <row r="607" spans="1:11" x14ac:dyDescent="0.2">
      <c r="A607" s="329"/>
      <c r="B607" s="329"/>
      <c r="C607" s="329"/>
      <c r="D607" s="329"/>
      <c r="E607" s="329"/>
      <c r="F607" s="329"/>
      <c r="G607" s="329"/>
      <c r="H607" s="329"/>
      <c r="I607" s="329"/>
      <c r="J607" s="329"/>
      <c r="K607" s="519"/>
    </row>
    <row r="608" spans="1:11" x14ac:dyDescent="0.2">
      <c r="A608" s="329"/>
      <c r="B608" s="329"/>
      <c r="C608" s="329"/>
      <c r="D608" s="329"/>
      <c r="E608" s="329"/>
      <c r="F608" s="329"/>
      <c r="G608" s="329"/>
      <c r="H608" s="329"/>
      <c r="I608" s="329"/>
      <c r="J608" s="329"/>
      <c r="K608" s="519"/>
    </row>
    <row r="609" spans="1:11" x14ac:dyDescent="0.2">
      <c r="A609" s="329"/>
      <c r="B609" s="329"/>
      <c r="C609" s="329"/>
      <c r="D609" s="329"/>
      <c r="E609" s="329"/>
      <c r="F609" s="329"/>
      <c r="G609" s="329"/>
      <c r="H609" s="329"/>
      <c r="I609" s="329"/>
      <c r="J609" s="329"/>
      <c r="K609" s="519"/>
    </row>
    <row r="610" spans="1:11" x14ac:dyDescent="0.2">
      <c r="A610" s="329"/>
      <c r="B610" s="329"/>
      <c r="C610" s="329"/>
      <c r="D610" s="329"/>
      <c r="E610" s="329"/>
      <c r="F610" s="329"/>
      <c r="G610" s="329"/>
      <c r="H610" s="329"/>
      <c r="I610" s="329"/>
      <c r="J610" s="329"/>
      <c r="K610" s="519"/>
    </row>
    <row r="611" spans="1:11" x14ac:dyDescent="0.2">
      <c r="A611" s="329"/>
      <c r="B611" s="329"/>
      <c r="C611" s="329"/>
      <c r="D611" s="329"/>
      <c r="E611" s="329"/>
      <c r="F611" s="329"/>
      <c r="G611" s="329"/>
      <c r="H611" s="329"/>
      <c r="I611" s="329"/>
      <c r="J611" s="329"/>
      <c r="K611" s="519"/>
    </row>
    <row r="612" spans="1:11" x14ac:dyDescent="0.2">
      <c r="A612" s="329"/>
      <c r="B612" s="329"/>
      <c r="C612" s="329"/>
      <c r="D612" s="329"/>
      <c r="E612" s="329"/>
      <c r="F612" s="329"/>
      <c r="G612" s="329"/>
      <c r="H612" s="329"/>
      <c r="I612" s="329"/>
      <c r="J612" s="329"/>
      <c r="K612" s="519"/>
    </row>
    <row r="613" spans="1:11" x14ac:dyDescent="0.2">
      <c r="A613" s="329"/>
      <c r="B613" s="329"/>
      <c r="C613" s="329"/>
      <c r="D613" s="329"/>
      <c r="E613" s="329"/>
      <c r="F613" s="329"/>
      <c r="G613" s="329"/>
      <c r="H613" s="329"/>
      <c r="I613" s="329"/>
      <c r="J613" s="329"/>
      <c r="K613" s="519"/>
    </row>
    <row r="614" spans="1:11" x14ac:dyDescent="0.2">
      <c r="A614" s="329"/>
      <c r="B614" s="329"/>
      <c r="C614" s="329"/>
      <c r="D614" s="329"/>
      <c r="E614" s="329"/>
      <c r="F614" s="329"/>
      <c r="G614" s="329"/>
      <c r="H614" s="329"/>
      <c r="I614" s="329"/>
      <c r="J614" s="329"/>
      <c r="K614" s="519"/>
    </row>
    <row r="615" spans="1:11" x14ac:dyDescent="0.2">
      <c r="A615" s="329"/>
      <c r="B615" s="329"/>
      <c r="C615" s="329"/>
      <c r="D615" s="329"/>
      <c r="E615" s="329"/>
      <c r="F615" s="329"/>
      <c r="G615" s="329"/>
      <c r="H615" s="329"/>
      <c r="I615" s="329"/>
      <c r="J615" s="329"/>
      <c r="K615" s="519"/>
    </row>
    <row r="616" spans="1:11" x14ac:dyDescent="0.2">
      <c r="A616" s="329"/>
      <c r="B616" s="329"/>
      <c r="C616" s="329"/>
      <c r="D616" s="329"/>
      <c r="E616" s="329"/>
      <c r="F616" s="329"/>
      <c r="G616" s="329"/>
      <c r="H616" s="329"/>
      <c r="I616" s="329"/>
      <c r="J616" s="329"/>
      <c r="K616" s="519"/>
    </row>
    <row r="617" spans="1:11" x14ac:dyDescent="0.2">
      <c r="A617" s="329"/>
      <c r="B617" s="329"/>
      <c r="C617" s="329"/>
      <c r="D617" s="329"/>
      <c r="E617" s="329"/>
      <c r="F617" s="329"/>
      <c r="G617" s="329"/>
      <c r="H617" s="329"/>
      <c r="I617" s="329"/>
      <c r="J617" s="329"/>
      <c r="K617" s="519"/>
    </row>
    <row r="618" spans="1:11" x14ac:dyDescent="0.2">
      <c r="A618" s="329"/>
      <c r="B618" s="329"/>
      <c r="C618" s="329"/>
      <c r="D618" s="329"/>
      <c r="E618" s="329"/>
      <c r="F618" s="329"/>
      <c r="G618" s="329"/>
      <c r="H618" s="329"/>
      <c r="I618" s="329"/>
      <c r="J618" s="329"/>
      <c r="K618" s="519"/>
    </row>
    <row r="619" spans="1:11" x14ac:dyDescent="0.2">
      <c r="A619" s="329"/>
      <c r="B619" s="329"/>
      <c r="C619" s="329"/>
      <c r="D619" s="329"/>
      <c r="E619" s="329"/>
      <c r="F619" s="329"/>
      <c r="G619" s="329"/>
      <c r="H619" s="329"/>
      <c r="I619" s="329"/>
      <c r="J619" s="329"/>
      <c r="K619" s="519"/>
    </row>
    <row r="620" spans="1:11" x14ac:dyDescent="0.2">
      <c r="A620" s="329"/>
      <c r="B620" s="329"/>
      <c r="C620" s="329"/>
      <c r="D620" s="329"/>
      <c r="E620" s="329"/>
      <c r="F620" s="329"/>
      <c r="G620" s="329"/>
      <c r="H620" s="329"/>
      <c r="I620" s="329"/>
      <c r="J620" s="329"/>
      <c r="K620" s="519"/>
    </row>
    <row r="621" spans="1:11" x14ac:dyDescent="0.2">
      <c r="A621" s="329"/>
      <c r="B621" s="329"/>
      <c r="C621" s="329"/>
      <c r="D621" s="329"/>
      <c r="E621" s="329"/>
      <c r="F621" s="329"/>
      <c r="G621" s="329"/>
      <c r="H621" s="329"/>
      <c r="I621" s="329"/>
      <c r="J621" s="329"/>
      <c r="K621" s="519"/>
    </row>
    <row r="622" spans="1:11" x14ac:dyDescent="0.2">
      <c r="A622" s="329"/>
      <c r="B622" s="329"/>
      <c r="C622" s="329"/>
      <c r="D622" s="329"/>
      <c r="E622" s="329"/>
      <c r="F622" s="329"/>
      <c r="G622" s="329"/>
      <c r="H622" s="329"/>
      <c r="I622" s="329"/>
      <c r="J622" s="329"/>
      <c r="K622" s="519"/>
    </row>
    <row r="623" spans="1:11" x14ac:dyDescent="0.2">
      <c r="A623" s="329"/>
      <c r="B623" s="329"/>
      <c r="C623" s="329"/>
      <c r="D623" s="329"/>
      <c r="E623" s="329"/>
      <c r="F623" s="329"/>
      <c r="G623" s="329"/>
      <c r="H623" s="329"/>
      <c r="I623" s="329"/>
      <c r="J623" s="329"/>
      <c r="K623" s="519"/>
    </row>
    <row r="624" spans="1:11" x14ac:dyDescent="0.2">
      <c r="A624" s="329"/>
      <c r="B624" s="329"/>
      <c r="C624" s="329"/>
      <c r="D624" s="329"/>
      <c r="E624" s="329"/>
      <c r="F624" s="329"/>
      <c r="G624" s="329"/>
      <c r="H624" s="329"/>
      <c r="I624" s="329"/>
      <c r="J624" s="329"/>
      <c r="K624" s="519"/>
    </row>
    <row r="625" spans="1:11" x14ac:dyDescent="0.2">
      <c r="A625" s="329"/>
      <c r="B625" s="329"/>
      <c r="C625" s="329"/>
      <c r="D625" s="329"/>
      <c r="E625" s="329"/>
      <c r="F625" s="329"/>
      <c r="G625" s="329"/>
      <c r="H625" s="329"/>
      <c r="I625" s="329"/>
      <c r="J625" s="329"/>
      <c r="K625" s="519"/>
    </row>
    <row r="626" spans="1:11" x14ac:dyDescent="0.2">
      <c r="A626" s="329"/>
      <c r="B626" s="329"/>
      <c r="C626" s="329"/>
      <c r="D626" s="329"/>
      <c r="E626" s="329"/>
      <c r="F626" s="329"/>
      <c r="G626" s="329"/>
      <c r="H626" s="329"/>
      <c r="I626" s="329"/>
      <c r="J626" s="329"/>
      <c r="K626" s="519"/>
    </row>
    <row r="627" spans="1:11" x14ac:dyDescent="0.2">
      <c r="A627" s="329"/>
      <c r="B627" s="329"/>
      <c r="C627" s="329"/>
      <c r="D627" s="329"/>
      <c r="E627" s="329"/>
      <c r="F627" s="329"/>
      <c r="G627" s="329"/>
      <c r="H627" s="329"/>
      <c r="I627" s="329"/>
      <c r="J627" s="329"/>
      <c r="K627" s="519"/>
    </row>
    <row r="628" spans="1:11" x14ac:dyDescent="0.2">
      <c r="A628" s="329"/>
      <c r="B628" s="329"/>
      <c r="C628" s="329"/>
      <c r="D628" s="329"/>
      <c r="E628" s="329"/>
      <c r="F628" s="329"/>
      <c r="G628" s="329"/>
      <c r="H628" s="329"/>
      <c r="I628" s="329"/>
      <c r="J628" s="329"/>
      <c r="K628" s="519"/>
    </row>
    <row r="629" spans="1:11" x14ac:dyDescent="0.2">
      <c r="A629" s="329"/>
      <c r="B629" s="329"/>
      <c r="C629" s="329"/>
      <c r="D629" s="329"/>
      <c r="E629" s="329"/>
      <c r="F629" s="329"/>
      <c r="G629" s="329"/>
      <c r="H629" s="329"/>
      <c r="I629" s="329"/>
      <c r="J629" s="329"/>
      <c r="K629" s="519"/>
    </row>
    <row r="630" spans="1:11" x14ac:dyDescent="0.2">
      <c r="A630" s="329"/>
      <c r="B630" s="329"/>
      <c r="C630" s="329"/>
      <c r="D630" s="329"/>
      <c r="E630" s="329"/>
      <c r="F630" s="329"/>
      <c r="G630" s="329"/>
      <c r="H630" s="329"/>
      <c r="I630" s="329"/>
      <c r="J630" s="329"/>
      <c r="K630" s="519"/>
    </row>
    <row r="631" spans="1:11" x14ac:dyDescent="0.2">
      <c r="A631" s="329"/>
      <c r="B631" s="329"/>
      <c r="C631" s="329"/>
      <c r="D631" s="329"/>
      <c r="E631" s="329"/>
      <c r="F631" s="329"/>
      <c r="G631" s="329"/>
      <c r="H631" s="329"/>
      <c r="I631" s="329"/>
      <c r="J631" s="329"/>
      <c r="K631" s="519"/>
    </row>
    <row r="632" spans="1:11" x14ac:dyDescent="0.2">
      <c r="A632" s="329"/>
      <c r="B632" s="329"/>
      <c r="C632" s="329"/>
      <c r="D632" s="329"/>
      <c r="E632" s="329"/>
      <c r="F632" s="329"/>
      <c r="G632" s="329"/>
      <c r="H632" s="329"/>
      <c r="I632" s="329"/>
      <c r="J632" s="329"/>
      <c r="K632" s="519"/>
    </row>
    <row r="633" spans="1:11" x14ac:dyDescent="0.2">
      <c r="A633" s="329"/>
      <c r="B633" s="329"/>
      <c r="C633" s="329"/>
      <c r="D633" s="329"/>
      <c r="E633" s="329"/>
      <c r="F633" s="329"/>
      <c r="G633" s="329"/>
      <c r="H633" s="329"/>
      <c r="I633" s="329"/>
      <c r="J633" s="329"/>
      <c r="K633" s="519"/>
    </row>
    <row r="634" spans="1:11" x14ac:dyDescent="0.2">
      <c r="A634" s="329"/>
      <c r="B634" s="329"/>
      <c r="C634" s="329"/>
      <c r="D634" s="329"/>
      <c r="E634" s="329"/>
      <c r="F634" s="329"/>
      <c r="G634" s="329"/>
      <c r="H634" s="329"/>
      <c r="I634" s="329"/>
      <c r="J634" s="329"/>
      <c r="K634" s="519"/>
    </row>
    <row r="635" spans="1:11" x14ac:dyDescent="0.2">
      <c r="A635" s="329"/>
      <c r="B635" s="329"/>
      <c r="C635" s="329"/>
      <c r="D635" s="329"/>
      <c r="E635" s="329"/>
      <c r="F635" s="329"/>
      <c r="G635" s="329"/>
      <c r="H635" s="329"/>
      <c r="I635" s="329"/>
      <c r="J635" s="329"/>
      <c r="K635" s="519"/>
    </row>
    <row r="636" spans="1:11" x14ac:dyDescent="0.2">
      <c r="A636" s="329"/>
      <c r="B636" s="329"/>
      <c r="C636" s="329"/>
      <c r="D636" s="329"/>
      <c r="E636" s="329"/>
      <c r="F636" s="329"/>
      <c r="G636" s="329"/>
      <c r="H636" s="329"/>
      <c r="I636" s="329"/>
      <c r="J636" s="329"/>
      <c r="K636" s="519"/>
    </row>
    <row r="637" spans="1:11" x14ac:dyDescent="0.2">
      <c r="A637" s="329"/>
      <c r="B637" s="329"/>
      <c r="C637" s="329"/>
      <c r="D637" s="329"/>
      <c r="E637" s="329"/>
      <c r="F637" s="329"/>
      <c r="G637" s="329"/>
      <c r="H637" s="329"/>
      <c r="I637" s="329"/>
      <c r="J637" s="329"/>
      <c r="K637" s="519"/>
    </row>
    <row r="638" spans="1:11" x14ac:dyDescent="0.2">
      <c r="A638" s="329"/>
      <c r="B638" s="329"/>
      <c r="C638" s="329"/>
      <c r="D638" s="329"/>
      <c r="E638" s="329"/>
      <c r="F638" s="329"/>
      <c r="G638" s="329"/>
      <c r="H638" s="329"/>
      <c r="I638" s="329"/>
      <c r="J638" s="329"/>
      <c r="K638" s="519"/>
    </row>
    <row r="639" spans="1:11" x14ac:dyDescent="0.2">
      <c r="A639" s="329"/>
      <c r="B639" s="329"/>
      <c r="C639" s="329"/>
      <c r="D639" s="329"/>
      <c r="E639" s="329"/>
      <c r="F639" s="329"/>
      <c r="G639" s="329"/>
      <c r="H639" s="329"/>
      <c r="I639" s="329"/>
      <c r="J639" s="329"/>
      <c r="K639" s="519"/>
    </row>
    <row r="640" spans="1:11" x14ac:dyDescent="0.2">
      <c r="A640" s="329"/>
      <c r="B640" s="329"/>
      <c r="C640" s="329"/>
      <c r="D640" s="329"/>
      <c r="E640" s="329"/>
      <c r="F640" s="329"/>
      <c r="G640" s="329"/>
      <c r="H640" s="329"/>
      <c r="I640" s="329"/>
      <c r="J640" s="329"/>
      <c r="K640" s="519"/>
    </row>
    <row r="641" spans="1:11" x14ac:dyDescent="0.2">
      <c r="A641" s="329"/>
      <c r="B641" s="329"/>
      <c r="C641" s="329"/>
      <c r="D641" s="329"/>
      <c r="E641" s="329"/>
      <c r="F641" s="329"/>
      <c r="G641" s="329"/>
      <c r="H641" s="329"/>
      <c r="I641" s="329"/>
      <c r="J641" s="329"/>
      <c r="K641" s="519"/>
    </row>
    <row r="642" spans="1:11" x14ac:dyDescent="0.2">
      <c r="A642" s="329"/>
      <c r="B642" s="329"/>
      <c r="C642" s="329"/>
      <c r="D642" s="329"/>
      <c r="E642" s="329"/>
      <c r="F642" s="329"/>
      <c r="G642" s="329"/>
      <c r="H642" s="329"/>
      <c r="I642" s="329"/>
      <c r="J642" s="329"/>
      <c r="K642" s="519"/>
    </row>
    <row r="643" spans="1:11" x14ac:dyDescent="0.2">
      <c r="A643" s="329"/>
      <c r="B643" s="329"/>
      <c r="C643" s="329"/>
      <c r="D643" s="329"/>
      <c r="E643" s="329"/>
      <c r="F643" s="329"/>
      <c r="G643" s="329"/>
      <c r="H643" s="329"/>
      <c r="I643" s="329"/>
      <c r="J643" s="329"/>
      <c r="K643" s="519"/>
    </row>
    <row r="644" spans="1:11" x14ac:dyDescent="0.2">
      <c r="A644" s="329"/>
      <c r="B644" s="329"/>
      <c r="C644" s="329"/>
      <c r="D644" s="329"/>
      <c r="E644" s="329"/>
      <c r="F644" s="329"/>
      <c r="G644" s="329"/>
      <c r="H644" s="329"/>
      <c r="I644" s="329"/>
      <c r="J644" s="329"/>
      <c r="K644" s="519"/>
    </row>
    <row r="645" spans="1:11" x14ac:dyDescent="0.2">
      <c r="A645" s="329"/>
      <c r="B645" s="329"/>
      <c r="C645" s="329"/>
      <c r="D645" s="329"/>
      <c r="E645" s="329"/>
      <c r="F645" s="329"/>
      <c r="G645" s="329"/>
      <c r="H645" s="329"/>
      <c r="I645" s="329"/>
      <c r="J645" s="329"/>
      <c r="K645" s="519"/>
    </row>
    <row r="646" spans="1:11" x14ac:dyDescent="0.2">
      <c r="A646" s="329"/>
      <c r="B646" s="329"/>
      <c r="C646" s="329"/>
      <c r="D646" s="329"/>
      <c r="E646" s="329"/>
      <c r="F646" s="329"/>
      <c r="G646" s="329"/>
      <c r="H646" s="329"/>
      <c r="I646" s="329"/>
      <c r="J646" s="329"/>
      <c r="K646" s="519"/>
    </row>
    <row r="647" spans="1:11" x14ac:dyDescent="0.2">
      <c r="A647" s="329"/>
      <c r="B647" s="329"/>
      <c r="C647" s="329"/>
      <c r="D647" s="329"/>
      <c r="E647" s="329"/>
      <c r="F647" s="329"/>
      <c r="G647" s="329"/>
      <c r="H647" s="329"/>
      <c r="I647" s="329"/>
      <c r="J647" s="329"/>
      <c r="K647" s="519"/>
    </row>
    <row r="648" spans="1:11" x14ac:dyDescent="0.2">
      <c r="A648" s="329"/>
      <c r="B648" s="329"/>
      <c r="C648" s="329"/>
      <c r="D648" s="329"/>
      <c r="E648" s="329"/>
      <c r="F648" s="329"/>
      <c r="G648" s="329"/>
      <c r="H648" s="329"/>
      <c r="I648" s="329"/>
      <c r="J648" s="329"/>
      <c r="K648" s="519"/>
    </row>
    <row r="649" spans="1:11" x14ac:dyDescent="0.2">
      <c r="A649" s="329"/>
      <c r="B649" s="329"/>
      <c r="C649" s="329"/>
      <c r="D649" s="329"/>
      <c r="E649" s="329"/>
      <c r="F649" s="329"/>
      <c r="G649" s="329"/>
      <c r="H649" s="329"/>
      <c r="I649" s="329"/>
      <c r="J649" s="329"/>
      <c r="K649" s="519"/>
    </row>
    <row r="650" spans="1:11" x14ac:dyDescent="0.2">
      <c r="A650" s="329"/>
      <c r="B650" s="329"/>
      <c r="C650" s="329"/>
      <c r="D650" s="329"/>
      <c r="E650" s="329"/>
      <c r="F650" s="329"/>
      <c r="G650" s="329"/>
      <c r="H650" s="329"/>
      <c r="I650" s="329"/>
      <c r="J650" s="329"/>
      <c r="K650" s="519"/>
    </row>
    <row r="651" spans="1:11" x14ac:dyDescent="0.2">
      <c r="A651" s="329"/>
      <c r="B651" s="329"/>
      <c r="C651" s="329"/>
      <c r="D651" s="329"/>
      <c r="E651" s="329"/>
      <c r="F651" s="329"/>
      <c r="G651" s="329"/>
      <c r="H651" s="329"/>
      <c r="I651" s="329"/>
      <c r="J651" s="329"/>
      <c r="K651" s="519"/>
    </row>
    <row r="652" spans="1:11" x14ac:dyDescent="0.2">
      <c r="A652" s="329"/>
      <c r="B652" s="329"/>
      <c r="C652" s="329"/>
      <c r="D652" s="329"/>
      <c r="E652" s="329"/>
      <c r="F652" s="329"/>
      <c r="G652" s="329"/>
      <c r="H652" s="329"/>
      <c r="I652" s="329"/>
      <c r="J652" s="329"/>
      <c r="K652" s="519"/>
    </row>
    <row r="653" spans="1:11" x14ac:dyDescent="0.2">
      <c r="A653" s="329"/>
      <c r="B653" s="329"/>
      <c r="C653" s="329"/>
      <c r="D653" s="329"/>
      <c r="E653" s="329"/>
      <c r="F653" s="329"/>
      <c r="G653" s="329"/>
      <c r="H653" s="329"/>
      <c r="I653" s="329"/>
      <c r="J653" s="329"/>
      <c r="K653" s="519"/>
    </row>
    <row r="654" spans="1:11" x14ac:dyDescent="0.2">
      <c r="A654" s="329"/>
      <c r="B654" s="329"/>
      <c r="C654" s="329"/>
      <c r="D654" s="329"/>
      <c r="E654" s="329"/>
      <c r="F654" s="329"/>
      <c r="G654" s="329"/>
      <c r="H654" s="329"/>
      <c r="I654" s="329"/>
      <c r="J654" s="329"/>
      <c r="K654" s="519"/>
    </row>
    <row r="655" spans="1:11" x14ac:dyDescent="0.2">
      <c r="A655" s="329"/>
      <c r="B655" s="329"/>
      <c r="C655" s="329"/>
      <c r="D655" s="329"/>
      <c r="E655" s="329"/>
      <c r="F655" s="329"/>
      <c r="G655" s="329"/>
      <c r="H655" s="329"/>
      <c r="I655" s="329"/>
      <c r="J655" s="329"/>
      <c r="K655" s="519"/>
    </row>
    <row r="656" spans="1:11" x14ac:dyDescent="0.2">
      <c r="A656" s="329"/>
      <c r="B656" s="329"/>
      <c r="C656" s="329"/>
      <c r="D656" s="329"/>
      <c r="E656" s="329"/>
      <c r="F656" s="329"/>
      <c r="G656" s="329"/>
      <c r="H656" s="329"/>
      <c r="I656" s="329"/>
      <c r="J656" s="329"/>
      <c r="K656" s="519"/>
    </row>
    <row r="657" spans="1:11" x14ac:dyDescent="0.2">
      <c r="A657" s="329"/>
      <c r="B657" s="329"/>
      <c r="C657" s="329"/>
      <c r="D657" s="329"/>
      <c r="E657" s="329"/>
      <c r="F657" s="329"/>
      <c r="G657" s="329"/>
      <c r="H657" s="329"/>
      <c r="I657" s="329"/>
      <c r="J657" s="329"/>
      <c r="K657" s="519"/>
    </row>
    <row r="658" spans="1:11" x14ac:dyDescent="0.2">
      <c r="A658" s="329"/>
      <c r="B658" s="329"/>
      <c r="C658" s="329"/>
      <c r="D658" s="329"/>
      <c r="E658" s="329"/>
      <c r="F658" s="329"/>
      <c r="G658" s="329"/>
      <c r="H658" s="329"/>
      <c r="I658" s="329"/>
      <c r="J658" s="329"/>
      <c r="K658" s="519"/>
    </row>
    <row r="659" spans="1:11" x14ac:dyDescent="0.2">
      <c r="A659" s="329"/>
      <c r="B659" s="329"/>
      <c r="C659" s="329"/>
      <c r="D659" s="329"/>
      <c r="E659" s="329"/>
      <c r="F659" s="329"/>
      <c r="G659" s="329"/>
      <c r="H659" s="329"/>
      <c r="I659" s="329"/>
      <c r="J659" s="329"/>
      <c r="K659" s="519"/>
    </row>
    <row r="660" spans="1:11" x14ac:dyDescent="0.2">
      <c r="A660" s="329"/>
      <c r="B660" s="329"/>
      <c r="C660" s="329"/>
      <c r="D660" s="329"/>
      <c r="E660" s="329"/>
      <c r="F660" s="329"/>
      <c r="G660" s="329"/>
      <c r="H660" s="329"/>
      <c r="I660" s="329"/>
      <c r="J660" s="329"/>
      <c r="K660" s="519"/>
    </row>
    <row r="661" spans="1:11" x14ac:dyDescent="0.2">
      <c r="A661" s="329"/>
      <c r="B661" s="329"/>
      <c r="C661" s="329"/>
      <c r="D661" s="329"/>
      <c r="E661" s="329"/>
      <c r="F661" s="329"/>
      <c r="G661" s="329"/>
      <c r="H661" s="329"/>
      <c r="I661" s="329"/>
      <c r="J661" s="329"/>
      <c r="K661" s="519"/>
    </row>
    <row r="662" spans="1:11" x14ac:dyDescent="0.2">
      <c r="A662" s="329"/>
      <c r="B662" s="329"/>
      <c r="C662" s="329"/>
      <c r="D662" s="329"/>
      <c r="E662" s="329"/>
      <c r="F662" s="329"/>
      <c r="G662" s="329"/>
      <c r="H662" s="329"/>
      <c r="I662" s="329"/>
      <c r="J662" s="329"/>
      <c r="K662" s="519"/>
    </row>
    <row r="663" spans="1:11" x14ac:dyDescent="0.2">
      <c r="A663" s="329"/>
      <c r="B663" s="329"/>
      <c r="C663" s="329"/>
      <c r="D663" s="329"/>
      <c r="E663" s="329"/>
      <c r="F663" s="329"/>
      <c r="G663" s="329"/>
      <c r="H663" s="329"/>
      <c r="I663" s="329"/>
      <c r="J663" s="329"/>
      <c r="K663" s="519"/>
    </row>
    <row r="664" spans="1:11" x14ac:dyDescent="0.2">
      <c r="A664" s="329"/>
      <c r="B664" s="329"/>
      <c r="C664" s="329"/>
      <c r="D664" s="329"/>
      <c r="E664" s="329"/>
      <c r="F664" s="329"/>
      <c r="G664" s="329"/>
      <c r="H664" s="329"/>
      <c r="I664" s="329"/>
      <c r="J664" s="329"/>
      <c r="K664" s="519"/>
    </row>
    <row r="665" spans="1:11" x14ac:dyDescent="0.2">
      <c r="A665" s="329"/>
      <c r="B665" s="329"/>
      <c r="C665" s="329"/>
      <c r="D665" s="329"/>
      <c r="E665" s="329"/>
      <c r="F665" s="329"/>
      <c r="G665" s="329"/>
      <c r="H665" s="329"/>
      <c r="I665" s="329"/>
      <c r="J665" s="329"/>
      <c r="K665" s="519"/>
    </row>
    <row r="666" spans="1:11" x14ac:dyDescent="0.2">
      <c r="A666" s="329"/>
      <c r="B666" s="329"/>
      <c r="C666" s="329"/>
      <c r="D666" s="329"/>
      <c r="E666" s="329"/>
      <c r="F666" s="329"/>
      <c r="G666" s="329"/>
      <c r="H666" s="329"/>
      <c r="I666" s="329"/>
      <c r="J666" s="329"/>
      <c r="K666" s="519"/>
    </row>
    <row r="667" spans="1:11" x14ac:dyDescent="0.2">
      <c r="A667" s="329"/>
      <c r="B667" s="329"/>
      <c r="C667" s="329"/>
      <c r="D667" s="329"/>
      <c r="E667" s="329"/>
      <c r="F667" s="329"/>
      <c r="G667" s="329"/>
      <c r="H667" s="329"/>
      <c r="I667" s="329"/>
      <c r="J667" s="329"/>
      <c r="K667" s="519"/>
    </row>
    <row r="668" spans="1:11" x14ac:dyDescent="0.2">
      <c r="A668" s="329"/>
      <c r="B668" s="329"/>
      <c r="C668" s="329"/>
      <c r="D668" s="329"/>
      <c r="E668" s="329"/>
      <c r="F668" s="329"/>
      <c r="G668" s="329"/>
      <c r="H668" s="329"/>
      <c r="I668" s="329"/>
      <c r="J668" s="329"/>
      <c r="K668" s="519"/>
    </row>
    <row r="669" spans="1:11" x14ac:dyDescent="0.2">
      <c r="A669" s="329"/>
      <c r="B669" s="329"/>
      <c r="C669" s="329"/>
      <c r="D669" s="329"/>
      <c r="E669" s="329"/>
      <c r="F669" s="329"/>
      <c r="G669" s="329"/>
      <c r="H669" s="329"/>
      <c r="I669" s="329"/>
      <c r="J669" s="329"/>
      <c r="K669" s="519"/>
    </row>
    <row r="670" spans="1:11" x14ac:dyDescent="0.2">
      <c r="A670" s="329"/>
      <c r="B670" s="329"/>
      <c r="C670" s="329"/>
      <c r="D670" s="329"/>
      <c r="E670" s="329"/>
      <c r="F670" s="329"/>
      <c r="G670" s="329"/>
      <c r="H670" s="329"/>
      <c r="I670" s="329"/>
      <c r="J670" s="329"/>
      <c r="K670" s="519"/>
    </row>
    <row r="671" spans="1:11" x14ac:dyDescent="0.2">
      <c r="A671" s="329"/>
      <c r="B671" s="329"/>
      <c r="C671" s="329"/>
      <c r="D671" s="329"/>
      <c r="E671" s="329"/>
      <c r="F671" s="329"/>
      <c r="G671" s="329"/>
      <c r="H671" s="329"/>
      <c r="I671" s="329"/>
      <c r="J671" s="329"/>
      <c r="K671" s="519"/>
    </row>
    <row r="672" spans="1:11" x14ac:dyDescent="0.2">
      <c r="A672" s="329"/>
      <c r="B672" s="329"/>
      <c r="C672" s="329"/>
      <c r="D672" s="329"/>
      <c r="E672" s="329"/>
      <c r="F672" s="329"/>
      <c r="G672" s="329"/>
      <c r="H672" s="329"/>
      <c r="I672" s="329"/>
      <c r="J672" s="329"/>
      <c r="K672" s="519"/>
    </row>
    <row r="673" spans="1:11" x14ac:dyDescent="0.2">
      <c r="A673" s="329"/>
      <c r="B673" s="329"/>
      <c r="C673" s="329"/>
      <c r="D673" s="329"/>
      <c r="E673" s="329"/>
      <c r="F673" s="329"/>
      <c r="G673" s="329"/>
      <c r="H673" s="329"/>
      <c r="I673" s="329"/>
      <c r="J673" s="329"/>
      <c r="K673" s="519"/>
    </row>
    <row r="674" spans="1:11" x14ac:dyDescent="0.2">
      <c r="A674" s="329"/>
      <c r="B674" s="329"/>
      <c r="C674" s="329"/>
      <c r="D674" s="329"/>
      <c r="E674" s="329"/>
      <c r="F674" s="329"/>
      <c r="G674" s="329"/>
      <c r="H674" s="329"/>
      <c r="I674" s="329"/>
      <c r="J674" s="329"/>
      <c r="K674" s="519"/>
    </row>
    <row r="675" spans="1:11" x14ac:dyDescent="0.2">
      <c r="A675" s="329"/>
      <c r="B675" s="329"/>
      <c r="C675" s="329"/>
      <c r="D675" s="329"/>
      <c r="E675" s="329"/>
      <c r="F675" s="329"/>
      <c r="G675" s="329"/>
      <c r="H675" s="329"/>
      <c r="I675" s="329"/>
      <c r="J675" s="329"/>
      <c r="K675" s="519"/>
    </row>
    <row r="676" spans="1:11" x14ac:dyDescent="0.2">
      <c r="A676" s="329"/>
      <c r="B676" s="329"/>
      <c r="C676" s="329"/>
      <c r="D676" s="329"/>
      <c r="E676" s="329"/>
      <c r="F676" s="329"/>
      <c r="G676" s="329"/>
      <c r="H676" s="329"/>
      <c r="I676" s="329"/>
      <c r="J676" s="329"/>
      <c r="K676" s="519"/>
    </row>
    <row r="677" spans="1:11" x14ac:dyDescent="0.2">
      <c r="A677" s="329"/>
      <c r="B677" s="329"/>
      <c r="C677" s="329"/>
      <c r="D677" s="329"/>
      <c r="E677" s="329"/>
      <c r="F677" s="329"/>
      <c r="G677" s="329"/>
      <c r="H677" s="329"/>
      <c r="I677" s="329"/>
      <c r="J677" s="329"/>
      <c r="K677" s="519"/>
    </row>
    <row r="678" spans="1:11" x14ac:dyDescent="0.2">
      <c r="A678" s="329"/>
      <c r="B678" s="329"/>
      <c r="C678" s="329"/>
      <c r="D678" s="329"/>
      <c r="E678" s="329"/>
      <c r="F678" s="329"/>
      <c r="G678" s="329"/>
      <c r="H678" s="329"/>
      <c r="I678" s="329"/>
      <c r="J678" s="329"/>
      <c r="K678" s="519"/>
    </row>
    <row r="679" spans="1:11" x14ac:dyDescent="0.2">
      <c r="A679" s="329"/>
      <c r="B679" s="329"/>
      <c r="C679" s="329"/>
      <c r="D679" s="329"/>
      <c r="E679" s="329"/>
      <c r="F679" s="329"/>
      <c r="G679" s="329"/>
      <c r="H679" s="329"/>
      <c r="I679" s="329"/>
      <c r="J679" s="329"/>
      <c r="K679" s="519"/>
    </row>
    <row r="680" spans="1:11" x14ac:dyDescent="0.2">
      <c r="A680" s="329"/>
      <c r="B680" s="329"/>
      <c r="C680" s="329"/>
      <c r="D680" s="329"/>
      <c r="E680" s="329"/>
      <c r="F680" s="329"/>
      <c r="G680" s="329"/>
      <c r="H680" s="329"/>
      <c r="I680" s="329"/>
      <c r="J680" s="329"/>
      <c r="K680" s="519"/>
    </row>
    <row r="681" spans="1:11" x14ac:dyDescent="0.2">
      <c r="A681" s="329"/>
      <c r="B681" s="329"/>
      <c r="C681" s="329"/>
      <c r="D681" s="329"/>
      <c r="E681" s="329"/>
      <c r="F681" s="329"/>
      <c r="G681" s="329"/>
      <c r="H681" s="329"/>
      <c r="I681" s="329"/>
      <c r="J681" s="329"/>
      <c r="K681" s="519"/>
    </row>
    <row r="682" spans="1:11" x14ac:dyDescent="0.2">
      <c r="A682" s="329"/>
      <c r="B682" s="329"/>
      <c r="C682" s="329"/>
      <c r="D682" s="329"/>
      <c r="E682" s="329"/>
      <c r="F682" s="329"/>
      <c r="G682" s="329"/>
      <c r="H682" s="329"/>
      <c r="I682" s="329"/>
      <c r="J682" s="329"/>
      <c r="K682" s="519"/>
    </row>
    <row r="683" spans="1:11" x14ac:dyDescent="0.2">
      <c r="A683" s="329"/>
      <c r="B683" s="329"/>
      <c r="C683" s="329"/>
      <c r="D683" s="329"/>
      <c r="E683" s="329"/>
      <c r="F683" s="329"/>
      <c r="G683" s="329"/>
      <c r="H683" s="329"/>
      <c r="I683" s="329"/>
      <c r="J683" s="329"/>
      <c r="K683" s="519"/>
    </row>
    <row r="684" spans="1:11" x14ac:dyDescent="0.2">
      <c r="A684" s="329"/>
      <c r="B684" s="329"/>
      <c r="C684" s="329"/>
      <c r="D684" s="329"/>
      <c r="E684" s="329"/>
      <c r="F684" s="329"/>
      <c r="G684" s="329"/>
      <c r="H684" s="329"/>
      <c r="I684" s="329"/>
      <c r="J684" s="329"/>
      <c r="K684" s="519"/>
    </row>
    <row r="685" spans="1:11" x14ac:dyDescent="0.2">
      <c r="A685" s="329"/>
      <c r="B685" s="329"/>
      <c r="C685" s="329"/>
      <c r="D685" s="329"/>
      <c r="E685" s="329"/>
      <c r="F685" s="329"/>
      <c r="G685" s="329"/>
      <c r="H685" s="329"/>
      <c r="I685" s="329"/>
      <c r="J685" s="329"/>
      <c r="K685" s="519"/>
    </row>
    <row r="686" spans="1:11" x14ac:dyDescent="0.2">
      <c r="A686" s="329"/>
      <c r="B686" s="329"/>
      <c r="C686" s="329"/>
      <c r="D686" s="329"/>
      <c r="E686" s="329"/>
      <c r="F686" s="329"/>
      <c r="G686" s="329"/>
      <c r="H686" s="329"/>
      <c r="I686" s="329"/>
      <c r="J686" s="329"/>
      <c r="K686" s="519"/>
    </row>
    <row r="687" spans="1:11" x14ac:dyDescent="0.2">
      <c r="A687" s="329"/>
      <c r="B687" s="329"/>
      <c r="C687" s="329"/>
      <c r="D687" s="329"/>
      <c r="E687" s="329"/>
      <c r="F687" s="329"/>
      <c r="G687" s="329"/>
      <c r="H687" s="329"/>
      <c r="I687" s="329"/>
      <c r="J687" s="329"/>
      <c r="K687" s="519"/>
    </row>
    <row r="688" spans="1:11" x14ac:dyDescent="0.2">
      <c r="A688" s="329"/>
      <c r="B688" s="329"/>
      <c r="C688" s="329"/>
      <c r="D688" s="329"/>
      <c r="E688" s="329"/>
      <c r="F688" s="329"/>
      <c r="G688" s="329"/>
      <c r="H688" s="329"/>
      <c r="I688" s="329"/>
      <c r="J688" s="329"/>
      <c r="K688" s="519"/>
    </row>
    <row r="689" spans="1:11" x14ac:dyDescent="0.2">
      <c r="A689" s="329"/>
      <c r="B689" s="329"/>
      <c r="C689" s="329"/>
      <c r="D689" s="329"/>
      <c r="E689" s="329"/>
      <c r="F689" s="329"/>
      <c r="G689" s="329"/>
      <c r="H689" s="329"/>
      <c r="I689" s="329"/>
      <c r="J689" s="329"/>
      <c r="K689" s="519"/>
    </row>
    <row r="690" spans="1:11" x14ac:dyDescent="0.2">
      <c r="A690" s="329"/>
      <c r="B690" s="329"/>
      <c r="C690" s="329"/>
      <c r="D690" s="329"/>
      <c r="E690" s="329"/>
      <c r="F690" s="329"/>
      <c r="G690" s="329"/>
      <c r="H690" s="329"/>
      <c r="I690" s="329"/>
      <c r="J690" s="329"/>
      <c r="K690" s="519"/>
    </row>
  </sheetData>
  <mergeCells count="7">
    <mergeCell ref="A49:B49"/>
    <mergeCell ref="D1:E1"/>
    <mergeCell ref="A2:E2"/>
    <mergeCell ref="A3:F3"/>
    <mergeCell ref="A6:A7"/>
    <mergeCell ref="B6:D6"/>
    <mergeCell ref="E6:E14"/>
  </mergeCells>
  <printOptions horizontalCentered="1" verticalCentered="1"/>
  <pageMargins left="0.19685039370078741" right="0.19685039370078741" top="0.59055118110236227" bottom="0.47244094488188981" header="0" footer="0.15748031496062992"/>
  <pageSetup paperSize="9" scale="83" firstPageNumber="0" orientation="portrait" horizontalDpi="300" verticalDpi="300" r:id="rId1"/>
  <headerFooter alignWithMargins="0">
    <oddHeader>&amp;C
Dunaharaszti Város Önkormányzat 
2021. évi zárszámadás&amp;R
&amp;A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33</vt:i4>
      </vt:variant>
      <vt:variant>
        <vt:lpstr>Névvel ellátott tartományok</vt:lpstr>
      </vt:variant>
      <vt:variant>
        <vt:i4>23</vt:i4>
      </vt:variant>
    </vt:vector>
  </HeadingPairs>
  <TitlesOfParts>
    <vt:vector size="56" baseType="lpstr">
      <vt:lpstr>II. előlap</vt:lpstr>
      <vt:lpstr>13.a.sz.m.Maradvány - int</vt:lpstr>
      <vt:lpstr>13.b.sz.m.Maradványkim.-Önk</vt:lpstr>
      <vt:lpstr>13.c.sz.m.Kötött maradvány</vt:lpstr>
      <vt:lpstr>13.d.sz.m.Szabad maradvány</vt:lpstr>
      <vt:lpstr>1.sz. tájék.Részesedések</vt:lpstr>
      <vt:lpstr>2.sz.tájék Vagyonkimutatás</vt:lpstr>
      <vt:lpstr>3.sz.tájék.táb. Többéves</vt:lpstr>
      <vt:lpstr>4.sz.tájék.Adósságszolgálat</vt:lpstr>
      <vt:lpstr>5.sz.tájék. Pénzeszközök vált</vt:lpstr>
      <vt:lpstr>6.sz.tájék. Mérleg</vt:lpstr>
      <vt:lpstr>7.sz.táják. Eredménykimutatás</vt:lpstr>
      <vt:lpstr>8.sz.tájék. Mérlegszerű</vt:lpstr>
      <vt:lpstr>9.sz.tájék.tábla Hitelképesség</vt:lpstr>
      <vt:lpstr>10.sz.tájék.tábla Közvetett tám</vt:lpstr>
      <vt:lpstr>1.sz.függ.Eu.pály.Bölcsőde</vt:lpstr>
      <vt:lpstr>2.sz.függ.Orvosi rendelő</vt:lpstr>
      <vt:lpstr>3.sz.függ.A3 csatorna</vt:lpstr>
      <vt:lpstr>4.sz. függ. Százszorszép Óvoda</vt:lpstr>
      <vt:lpstr>5.sz. függ.Temető utca</vt:lpstr>
      <vt:lpstr>6. sz. függ. Energetika</vt:lpstr>
      <vt:lpstr>7. sz. függ. Bölcsőde új tagint</vt:lpstr>
      <vt:lpstr>8. sz. függ. EMMI</vt:lpstr>
      <vt:lpstr>9. sz. függNMI Művház tetőfelúj</vt:lpstr>
      <vt:lpstr>10.sz.függ.BezerédiSportp,tanö</vt:lpstr>
      <vt:lpstr>11. függ.GyermekorvRend tető</vt:lpstr>
      <vt:lpstr>12. függ.Töltőállomás fennt.</vt:lpstr>
      <vt:lpstr>13.függ.Teniszpálya fenntartás</vt:lpstr>
      <vt:lpstr>14.függ Bölcsőde fenntartás</vt:lpstr>
      <vt:lpstr>15.függ A3 fenntartás</vt:lpstr>
      <vt:lpstr>16.függ Temető utca fenntart.</vt:lpstr>
      <vt:lpstr>17.függ SzázszorszépÓv. fennt.</vt:lpstr>
      <vt:lpstr>18.függ Energetika fennt.</vt:lpstr>
      <vt:lpstr>'2.sz.tájék Vagyonkimutatás'!Nyomtatási_cím</vt:lpstr>
      <vt:lpstr>'6.sz.tájék. Mérleg'!Nyomtatási_cím</vt:lpstr>
      <vt:lpstr>'9.sz.tájék.tábla Hitelképesség'!Nyomtatási_cím</vt:lpstr>
      <vt:lpstr>'1.sz. tájék.Részesedések'!Nyomtatási_terület</vt:lpstr>
      <vt:lpstr>'1.sz.függ.Eu.pály.Bölcsőde'!Nyomtatási_terület</vt:lpstr>
      <vt:lpstr>'10.sz.tájék.tábla Közvetett tám'!Nyomtatási_terület</vt:lpstr>
      <vt:lpstr>'13.b.sz.m.Maradványkim.-Önk'!Nyomtatási_terület</vt:lpstr>
      <vt:lpstr>'13.c.sz.m.Kötött maradvány'!Nyomtatási_terület</vt:lpstr>
      <vt:lpstr>'13.d.sz.m.Szabad maradvány'!Nyomtatási_terület</vt:lpstr>
      <vt:lpstr>'18.függ Energetika fennt.'!Nyomtatási_terület</vt:lpstr>
      <vt:lpstr>'2.sz.függ.Orvosi rendelő'!Nyomtatási_terület</vt:lpstr>
      <vt:lpstr>'2.sz.tájék Vagyonkimutatás'!Nyomtatási_terület</vt:lpstr>
      <vt:lpstr>'3.sz.függ.A3 csatorna'!Nyomtatási_terület</vt:lpstr>
      <vt:lpstr>'3.sz.tájék.táb. Többéves'!Nyomtatási_terület</vt:lpstr>
      <vt:lpstr>'4.sz. függ. Százszorszép Óvoda'!Nyomtatási_terület</vt:lpstr>
      <vt:lpstr>'4.sz.tájék.Adósságszolgálat'!Nyomtatási_terület</vt:lpstr>
      <vt:lpstr>'5.sz. függ.Temető utca'!Nyomtatási_terület</vt:lpstr>
      <vt:lpstr>'5.sz.tájék. Pénzeszközök vált'!Nyomtatási_terület</vt:lpstr>
      <vt:lpstr>'6. sz. függ. Energetika'!Nyomtatási_terület</vt:lpstr>
      <vt:lpstr>'7. sz. függ. Bölcsőde új tagint'!Nyomtatási_terület</vt:lpstr>
      <vt:lpstr>'8.sz.tájék. Mérlegszerű'!Nyomtatási_terület</vt:lpstr>
      <vt:lpstr>'9.sz.tájék.tábla Hitelképesség'!Nyomtatási_terület</vt:lpstr>
      <vt:lpstr>'II. előlap'!Nyomtatási_terület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gheni</dc:creator>
  <cp:lastModifiedBy>Gavaldiné Henriett</cp:lastModifiedBy>
  <cp:lastPrinted>2022-05-31T12:59:49Z</cp:lastPrinted>
  <dcterms:created xsi:type="dcterms:W3CDTF">2016-04-05T12:46:30Z</dcterms:created>
  <dcterms:modified xsi:type="dcterms:W3CDTF">2022-05-31T12:59:59Z</dcterms:modified>
</cp:coreProperties>
</file>