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ivatal\Közös\KÉPVISELŐ-TESTÜLET IRATAI\RENDELETEK\"/>
    </mc:Choice>
  </mc:AlternateContent>
  <bookViews>
    <workbookView xWindow="32760" yWindow="32760" windowWidth="15360" windowHeight="6510" firstSheet="10" activeTab="11"/>
  </bookViews>
  <sheets>
    <sheet name="1.a sz. Önkormányzat 2021. " sheetId="23" r:id="rId1"/>
    <sheet name="2.1. sz. PMH" sheetId="34" r:id="rId2"/>
    <sheet name="2.2. sz. Hétszínvirág Óvoda" sheetId="37" r:id="rId3"/>
    <sheet name="2.3. sz. Mese Óvoda" sheetId="38" r:id="rId4"/>
    <sheet name="2.4. sz. Bölcsőde" sheetId="36" r:id="rId5"/>
    <sheet name="2.5. sz. Gyermekjóléti" sheetId="39" r:id="rId6"/>
    <sheet name="2.6 sz. Területi" sheetId="40" r:id="rId7"/>
    <sheet name="2.7. sz. Könyvtár" sheetId="35" r:id="rId8"/>
    <sheet name="2.8. sz. Műv.Ház" sheetId="73" r:id="rId9"/>
    <sheet name="2.9. sz. Szivárvány Ó." sheetId="74" r:id="rId10"/>
    <sheet name="2.10. sz. Intézmények összesen" sheetId="41" r:id="rId11"/>
    <sheet name="3. sz.Városi szintű összesen" sheetId="43" r:id="rId12"/>
    <sheet name="4.sz.Felhalm.c.pe.átadás" sheetId="26" r:id="rId13"/>
    <sheet name="5.sz.Műk.c.pe.átadás" sheetId="27" r:id="rId14"/>
    <sheet name="6.sz. Beruházások" sheetId="31" r:id="rId15"/>
    <sheet name="7. sz. Felújítások" sheetId="24" r:id="rId16"/>
    <sheet name="8.sz.Tartalékok" sheetId="25" r:id="rId17"/>
    <sheet name="9.sz. Szociális" sheetId="28" r:id="rId18"/>
    <sheet name="10.sz.Intézményfinanszírozás" sheetId="29" r:id="rId19"/>
    <sheet name="11.sz. Állami támogatás" sheetId="88" r:id="rId20"/>
    <sheet name="12.sz.mell. Létszámtábla" sheetId="65" r:id="rId21"/>
    <sheet name="1.sz.tájék.tábla Közvetett tám" sheetId="89" r:id="rId22"/>
    <sheet name="2.sz.tájék.tábla Mérlegszerű" sheetId="90" r:id="rId23"/>
    <sheet name="3.sz.tájék.tábla Gördülő" sheetId="91" r:id="rId24"/>
    <sheet name="4.sz.tájék.táb. Többéves" sheetId="92" r:id="rId25"/>
    <sheet name="5.sz.tájék.táb Adósságszolgálat" sheetId="93" r:id="rId26"/>
    <sheet name="6.sz.tájék.tábla Hitelképes " sheetId="94" r:id="rId27"/>
    <sheet name="7.sz.tájék.táb.Likviditási terv" sheetId="95" r:id="rId28"/>
    <sheet name="8.sz.tájék.tábla Ütemterv" sheetId="96" r:id="rId29"/>
    <sheet name="9. sz. tájék.tábla EU-s pály." sheetId="97" r:id="rId30"/>
    <sheet name="10. sz.tájék.Nem EU-s pály. " sheetId="98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felev" localSheetId="0">#REF!</definedName>
    <definedName name="felev" localSheetId="30">#REF!</definedName>
    <definedName name="felev" localSheetId="1">#REF!</definedName>
    <definedName name="felev" localSheetId="10">#REF!</definedName>
    <definedName name="felev" localSheetId="2">#REF!</definedName>
    <definedName name="felev" localSheetId="3">#REF!</definedName>
    <definedName name="felev" localSheetId="4">#REF!</definedName>
    <definedName name="felev" localSheetId="5">#REF!</definedName>
    <definedName name="felev" localSheetId="6">#REF!</definedName>
    <definedName name="felev" localSheetId="7">#REF!</definedName>
    <definedName name="felev" localSheetId="11">#REF!</definedName>
    <definedName name="felev" localSheetId="23">#REF!</definedName>
    <definedName name="felev" localSheetId="14">#REF!</definedName>
    <definedName name="felev">#REF!</definedName>
    <definedName name="funkcio" localSheetId="0">#REF!</definedName>
    <definedName name="funkcio" localSheetId="30">#REF!</definedName>
    <definedName name="funkcio" localSheetId="1">#REF!</definedName>
    <definedName name="funkcio" localSheetId="10">#REF!</definedName>
    <definedName name="funkcio" localSheetId="2">#REF!</definedName>
    <definedName name="funkcio" localSheetId="3">#REF!</definedName>
    <definedName name="funkcio" localSheetId="4">#REF!</definedName>
    <definedName name="funkcio" localSheetId="5">#REF!</definedName>
    <definedName name="funkcio" localSheetId="6">#REF!</definedName>
    <definedName name="funkcio" localSheetId="7">#REF!</definedName>
    <definedName name="funkcio" localSheetId="11">#REF!</definedName>
    <definedName name="funkcio" localSheetId="23">#REF!</definedName>
    <definedName name="funkcio" localSheetId="14">#REF!</definedName>
    <definedName name="funkcio">#REF!</definedName>
    <definedName name="hjkhjh">#REF!</definedName>
    <definedName name="Igenyles_elszamolas_tip" localSheetId="0">#REF!</definedName>
    <definedName name="Igenyles_elszamolas_tip" localSheetId="30">#REF!</definedName>
    <definedName name="Igenyles_elszamolas_tip" localSheetId="1">#REF!</definedName>
    <definedName name="Igenyles_elszamolas_tip" localSheetId="10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5">#REF!</definedName>
    <definedName name="Igenyles_elszamolas_tip" localSheetId="6">#REF!</definedName>
    <definedName name="Igenyles_elszamolas_tip" localSheetId="7">#REF!</definedName>
    <definedName name="Igenyles_elszamolas_tip" localSheetId="11">#REF!</definedName>
    <definedName name="Igenyles_elszamolas_tip" localSheetId="23">#REF!</definedName>
    <definedName name="Igenyles_elszamolas_tip" localSheetId="14">#REF!</definedName>
    <definedName name="Igenyles_elszamolas_tip">#REF!</definedName>
    <definedName name="iiiiii" localSheetId="30">#REF!</definedName>
    <definedName name="iiiiii">#REF!</definedName>
    <definedName name="jjj" localSheetId="30">#REF!</definedName>
    <definedName name="jjj">#REF!</definedName>
    <definedName name="kkkk" localSheetId="30">#REF!</definedName>
    <definedName name="kkkk">#REF!</definedName>
    <definedName name="koltseg_k" localSheetId="0">#REF!</definedName>
    <definedName name="koltseg_k" localSheetId="30">#REF!</definedName>
    <definedName name="koltseg_k" localSheetId="1">#REF!</definedName>
    <definedName name="koltseg_k" localSheetId="10">#REF!</definedName>
    <definedName name="koltseg_k" localSheetId="2">#REF!</definedName>
    <definedName name="koltseg_k" localSheetId="3">#REF!</definedName>
    <definedName name="koltseg_k" localSheetId="4">#REF!</definedName>
    <definedName name="koltseg_k" localSheetId="5">#REF!</definedName>
    <definedName name="koltseg_k" localSheetId="6">#REF!</definedName>
    <definedName name="koltseg_k" localSheetId="7">#REF!</definedName>
    <definedName name="koltseg_k" localSheetId="11">#REF!</definedName>
    <definedName name="koltseg_k" localSheetId="23">#REF!</definedName>
    <definedName name="koltseg_k" localSheetId="14">#REF!</definedName>
    <definedName name="koltseg_k">#REF!</definedName>
    <definedName name="Koltseg_kat" localSheetId="0">#REF!</definedName>
    <definedName name="Koltseg_kat" localSheetId="30">#REF!</definedName>
    <definedName name="Koltseg_kat" localSheetId="1">#REF!</definedName>
    <definedName name="Koltseg_kat" localSheetId="10">#REF!</definedName>
    <definedName name="Koltseg_kat" localSheetId="2">#REF!</definedName>
    <definedName name="Koltseg_kat" localSheetId="3">#REF!</definedName>
    <definedName name="Koltseg_kat" localSheetId="4">#REF!</definedName>
    <definedName name="Koltseg_kat" localSheetId="5">#REF!</definedName>
    <definedName name="Koltseg_kat" localSheetId="6">#REF!</definedName>
    <definedName name="Koltseg_kat" localSheetId="7">#REF!</definedName>
    <definedName name="Koltseg_kat" localSheetId="11">#REF!</definedName>
    <definedName name="Koltseg_kat" localSheetId="23">#REF!</definedName>
    <definedName name="Koltseg_kat" localSheetId="14">#REF!</definedName>
    <definedName name="Koltseg_kat">#REF!</definedName>
    <definedName name="_xlnm.Print_Titles" localSheetId="0">'1.a sz. Önkormányzat 2021. '!$A:$C,'1.a sz. Önkormányzat 2021. '!$1:$6</definedName>
    <definedName name="_xlnm.Print_Titles" localSheetId="20">'12.sz.mell. Létszámtábla'!$2:$2</definedName>
    <definedName name="_xlnm.Print_Titles" localSheetId="1">'2.1. sz. PMH'!$A:$C</definedName>
    <definedName name="_xlnm.Print_Titles" localSheetId="10">'2.10. sz. Intézmények összesen'!$A:$C</definedName>
    <definedName name="_xlnm.Print_Titles" localSheetId="2">'2.2. sz. Hétszínvirág Óvoda'!$A:$C</definedName>
    <definedName name="_xlnm.Print_Titles" localSheetId="3">'2.3. sz. Mese Óvoda'!$A:$C</definedName>
    <definedName name="_xlnm.Print_Titles" localSheetId="4">'2.4. sz. Bölcsőde'!$A:$C</definedName>
    <definedName name="_xlnm.Print_Titles" localSheetId="5">'2.5. sz. Gyermekjóléti'!$A:$C</definedName>
    <definedName name="_xlnm.Print_Titles" localSheetId="6">'2.6 sz. Területi'!$A:$C</definedName>
    <definedName name="_xlnm.Print_Titles" localSheetId="7">'2.7. sz. Könyvtár'!$A:$C</definedName>
    <definedName name="_xlnm.Print_Titles" localSheetId="8">'2.8. sz. Műv.Ház'!$A:$C</definedName>
    <definedName name="_xlnm.Print_Titles" localSheetId="9">'2.9. sz. Szivárvány Ó.'!$A:$C</definedName>
    <definedName name="_xlnm.Print_Titles" localSheetId="11">'3. sz.Városi szintű összesen'!$A:$C,'3. sz.Városi szintű összesen'!$1:$6</definedName>
    <definedName name="_xlnm.Print_Titles" localSheetId="12">'4.sz.Felhalm.c.pe.átadás'!$A:$D</definedName>
    <definedName name="_xlnm.Print_Titles" localSheetId="14">'6.sz. Beruházások'!$A:$D,'6.sz. Beruházások'!$1:$6</definedName>
    <definedName name="_xlnm.Print_Titles" localSheetId="26">'6.sz.tájék.tábla Hitelképes '!$A:$B</definedName>
    <definedName name="_xlnm.Print_Titles" localSheetId="15">'7. sz. Felújítások'!$4:$6</definedName>
    <definedName name="_xlnm.Print_Titles" localSheetId="16">'8.sz.Tartalékok'!$1:$4</definedName>
    <definedName name="_xlnm.Print_Area" localSheetId="0">'1.a sz. Önkormányzat 2021. '!$A$1:$EK$50</definedName>
    <definedName name="_xlnm.Print_Area" localSheetId="21">'1.sz.tájék.tábla Közvetett tám'!$A$1:$H$30</definedName>
    <definedName name="_xlnm.Print_Area" localSheetId="18">'10.sz.Intézményfinanszírozás'!$A$1:$F$16</definedName>
    <definedName name="_xlnm.Print_Area" localSheetId="1">'2.1. sz. PMH'!$A$1:$N$50</definedName>
    <definedName name="_xlnm.Print_Area" localSheetId="10">'2.10. sz. Intézmények összesen'!$A$1:$G$50</definedName>
    <definedName name="_xlnm.Print_Area" localSheetId="2">'2.2. sz. Hétszínvirág Óvoda'!$A$1:$L$50</definedName>
    <definedName name="_xlnm.Print_Area" localSheetId="3">'2.3. sz. Mese Óvoda'!$A$1:$J$50</definedName>
    <definedName name="_xlnm.Print_Area" localSheetId="4">'2.4. sz. Bölcsőde'!$A$1:$I$50</definedName>
    <definedName name="_xlnm.Print_Area" localSheetId="5">'2.5. sz. Gyermekjóléti'!$A$1:$K$50</definedName>
    <definedName name="_xlnm.Print_Area" localSheetId="6">'2.6 sz. Területi'!$A$1:$W$50</definedName>
    <definedName name="_xlnm.Print_Area" localSheetId="7">'2.7. sz. Könyvtár'!$A$1:$K$50</definedName>
    <definedName name="_xlnm.Print_Area" localSheetId="8">'2.8. sz. Műv.Ház'!$A$1:$J$50</definedName>
    <definedName name="_xlnm.Print_Area" localSheetId="9">'2.9. sz. Szivárvány Ó.'!$A$1:$K$50</definedName>
    <definedName name="_xlnm.Print_Area" localSheetId="22">'2.sz.tájék.tábla Mérlegszerű'!$A$1:$H$40</definedName>
    <definedName name="_xlnm.Print_Area" localSheetId="11">'3. sz.Városi szintű összesen'!$A$1:$H$50</definedName>
    <definedName name="_xlnm.Print_Area" localSheetId="23">'3.sz.tájék.tábla Gördülő'!$A$1:$I$70</definedName>
    <definedName name="_xlnm.Print_Area" localSheetId="12">'4.sz.Felhalm.c.pe.átadás'!$A$1:$J$15</definedName>
    <definedName name="_xlnm.Print_Area" localSheetId="24">'4.sz.tájék.táb. Többéves'!$A$1:$I$15</definedName>
    <definedName name="_xlnm.Print_Area" localSheetId="13">'5.sz.Műk.c.pe.átadás'!$A$1:$I$47</definedName>
    <definedName name="_xlnm.Print_Area" localSheetId="25">'5.sz.tájék.táb Adósságszolgálat'!$A$1:$E$47</definedName>
    <definedName name="_xlnm.Print_Area" localSheetId="14">'6.sz. Beruházások'!$A$1:$R$126</definedName>
    <definedName name="_xlnm.Print_Area" localSheetId="26">'6.sz.tájék.tábla Hitelképes '!$A$1:$U$47</definedName>
    <definedName name="_xlnm.Print_Area" localSheetId="15">'7. sz. Felújítások'!$A$1:$O$26</definedName>
    <definedName name="_xlnm.Print_Area" localSheetId="27">'7.sz.tájék.táb.Likviditási terv'!$A$1:$P$29</definedName>
    <definedName name="_xlnm.Print_Area" localSheetId="28">'8.sz.tájék.tábla Ütemterv'!$A$1:$P$29</definedName>
    <definedName name="_xlnm.Print_Area" localSheetId="16">'8.sz.Tartalékok'!$A$1:$F$67</definedName>
    <definedName name="_xlnm.Print_Area" localSheetId="29">'9. sz. tájék.tábla EU-s pály.'!$A$1:$E$21</definedName>
    <definedName name="_xlnm.Print_Area" localSheetId="17">'9.sz. Szociális'!$A$1:$E$20</definedName>
    <definedName name="oooooooooooo" localSheetId="30">#REF!</definedName>
    <definedName name="oooooooooooo">#REF!</definedName>
    <definedName name="pppppp" localSheetId="30">#REF!</definedName>
    <definedName name="pppppp">#REF!</definedName>
    <definedName name="qqqqq" localSheetId="30">#REF!</definedName>
    <definedName name="qqqqq">#REF!</definedName>
    <definedName name="rrrrrrrrrrr" localSheetId="30">#REF!</definedName>
    <definedName name="rrrrrrrrrrr">#REF!</definedName>
    <definedName name="Szamviteli_kat" localSheetId="0">#REF!</definedName>
    <definedName name="Szamviteli_kat" localSheetId="30">#REF!</definedName>
    <definedName name="Szamviteli_kat" localSheetId="1">#REF!</definedName>
    <definedName name="Szamviteli_kat" localSheetId="10">#REF!</definedName>
    <definedName name="Szamviteli_kat" localSheetId="2">#REF!</definedName>
    <definedName name="Szamviteli_kat" localSheetId="3">#REF!</definedName>
    <definedName name="Szamviteli_kat" localSheetId="4">#REF!</definedName>
    <definedName name="Szamviteli_kat" localSheetId="5">#REF!</definedName>
    <definedName name="Szamviteli_kat" localSheetId="6">#REF!</definedName>
    <definedName name="Szamviteli_kat" localSheetId="7">#REF!</definedName>
    <definedName name="Szamviteli_kat" localSheetId="11">#REF!</definedName>
    <definedName name="Szamviteli_kat" localSheetId="23">#REF!</definedName>
    <definedName name="Szamviteli_kat" localSheetId="14">#REF!</definedName>
    <definedName name="Szamviteli_kat">#REF!</definedName>
  </definedNames>
  <calcPr calcId="162913" fullCalcOnLoad="1"/>
</workbook>
</file>

<file path=xl/calcChain.xml><?xml version="1.0" encoding="utf-8"?>
<calcChain xmlns="http://schemas.openxmlformats.org/spreadsheetml/2006/main">
  <c r="G35" i="27" l="1"/>
  <c r="G32" i="27"/>
  <c r="C62" i="25"/>
  <c r="M13" i="31"/>
  <c r="I12" i="91"/>
  <c r="H12" i="91"/>
  <c r="G12" i="91"/>
  <c r="G18" i="91"/>
  <c r="D19" i="91"/>
  <c r="K18" i="94"/>
  <c r="U20" i="94"/>
  <c r="W20" i="94"/>
  <c r="O27" i="96"/>
  <c r="O22" i="96"/>
  <c r="O21" i="96"/>
  <c r="P21" i="96"/>
  <c r="O20" i="96"/>
  <c r="O19" i="96"/>
  <c r="O18" i="96"/>
  <c r="P18" i="96"/>
  <c r="O15" i="96"/>
  <c r="P15" i="96"/>
  <c r="O13" i="96"/>
  <c r="N10" i="96"/>
  <c r="P10" i="96"/>
  <c r="O7" i="96"/>
  <c r="O14" i="96"/>
  <c r="P8" i="96"/>
  <c r="P9" i="96"/>
  <c r="P11" i="96"/>
  <c r="P12" i="96"/>
  <c r="P13" i="96"/>
  <c r="O26" i="95"/>
  <c r="P26" i="95"/>
  <c r="O21" i="95"/>
  <c r="O14" i="95"/>
  <c r="CY46" i="23"/>
  <c r="CZ46" i="23"/>
  <c r="CZ48" i="23"/>
  <c r="CY47" i="23"/>
  <c r="CY48" i="23"/>
  <c r="CZ47" i="23"/>
  <c r="CY37" i="23"/>
  <c r="CZ37" i="23"/>
  <c r="CY38" i="23"/>
  <c r="CZ38" i="23"/>
  <c r="CY21" i="23"/>
  <c r="CZ21" i="23"/>
  <c r="CY18" i="23"/>
  <c r="CY28" i="23"/>
  <c r="CZ18" i="23"/>
  <c r="CZ28" i="23"/>
  <c r="CY12" i="23"/>
  <c r="CZ12" i="23"/>
  <c r="CZ11" i="23"/>
  <c r="CZ27" i="23"/>
  <c r="CY11" i="23"/>
  <c r="CY27" i="23"/>
  <c r="CT11" i="23"/>
  <c r="J8" i="92"/>
  <c r="N41" i="23"/>
  <c r="N47" i="23"/>
  <c r="N40" i="23"/>
  <c r="D40" i="73"/>
  <c r="D40" i="38"/>
  <c r="D40" i="40"/>
  <c r="D40" i="74"/>
  <c r="K40" i="74"/>
  <c r="O19" i="95"/>
  <c r="P19" i="95"/>
  <c r="O18" i="95"/>
  <c r="P18" i="95"/>
  <c r="O17" i="95"/>
  <c r="O12" i="95"/>
  <c r="P12" i="95"/>
  <c r="N9" i="95"/>
  <c r="N13" i="95"/>
  <c r="N15" i="95"/>
  <c r="O6" i="95"/>
  <c r="E6" i="98"/>
  <c r="D6" i="98"/>
  <c r="F5" i="98"/>
  <c r="E16" i="97"/>
  <c r="E17" i="97"/>
  <c r="E18" i="97"/>
  <c r="E15" i="97"/>
  <c r="E7" i="97"/>
  <c r="E8" i="97"/>
  <c r="E9" i="97"/>
  <c r="E10" i="97"/>
  <c r="E11" i="97"/>
  <c r="E6" i="97"/>
  <c r="C80" i="94"/>
  <c r="C76" i="94"/>
  <c r="C75" i="94"/>
  <c r="C74" i="94"/>
  <c r="C67" i="94"/>
  <c r="C71" i="94"/>
  <c r="C69" i="94"/>
  <c r="C68" i="94"/>
  <c r="C72" i="94"/>
  <c r="C60" i="94"/>
  <c r="C63" i="94"/>
  <c r="C54" i="94"/>
  <c r="C53" i="94"/>
  <c r="C52" i="94"/>
  <c r="C51" i="94"/>
  <c r="C50" i="94"/>
  <c r="C49" i="94"/>
  <c r="V17" i="94"/>
  <c r="V16" i="94"/>
  <c r="V15" i="94"/>
  <c r="E7" i="92"/>
  <c r="F7" i="92"/>
  <c r="G7" i="92"/>
  <c r="G15" i="92"/>
  <c r="H7" i="92"/>
  <c r="D7" i="92"/>
  <c r="E12" i="92"/>
  <c r="D12" i="92"/>
  <c r="D11" i="92"/>
  <c r="I14" i="91"/>
  <c r="I13" i="91"/>
  <c r="I18" i="91"/>
  <c r="H13" i="91"/>
  <c r="G13" i="91"/>
  <c r="H14" i="91"/>
  <c r="H18" i="91"/>
  <c r="G14" i="91"/>
  <c r="CC10" i="23"/>
  <c r="M34" i="23"/>
  <c r="C65" i="94"/>
  <c r="C55" i="25"/>
  <c r="C52" i="25"/>
  <c r="G49" i="65"/>
  <c r="F49" i="65"/>
  <c r="E49" i="65"/>
  <c r="D49" i="65"/>
  <c r="C49" i="65"/>
  <c r="G45" i="65"/>
  <c r="F45" i="65"/>
  <c r="E45" i="65"/>
  <c r="D45" i="65"/>
  <c r="C45" i="65"/>
  <c r="G43" i="65"/>
  <c r="F43" i="65"/>
  <c r="E43" i="65"/>
  <c r="D43" i="65"/>
  <c r="C43" i="65"/>
  <c r="G32" i="65"/>
  <c r="F32" i="65"/>
  <c r="E32" i="65"/>
  <c r="D32" i="65"/>
  <c r="C32" i="65"/>
  <c r="G29" i="65"/>
  <c r="F29" i="65"/>
  <c r="E29" i="65"/>
  <c r="D29" i="65"/>
  <c r="C29" i="65"/>
  <c r="G26" i="65"/>
  <c r="F26" i="65"/>
  <c r="E26" i="65"/>
  <c r="D26" i="65"/>
  <c r="C26" i="65"/>
  <c r="G23" i="65"/>
  <c r="F23" i="65"/>
  <c r="E23" i="65"/>
  <c r="E51" i="65"/>
  <c r="D23" i="65"/>
  <c r="C23" i="65"/>
  <c r="G19" i="65"/>
  <c r="F19" i="65"/>
  <c r="E19" i="65"/>
  <c r="D19" i="65"/>
  <c r="C19" i="65"/>
  <c r="G14" i="65"/>
  <c r="F14" i="65"/>
  <c r="E14" i="65"/>
  <c r="D14" i="65"/>
  <c r="C14" i="65"/>
  <c r="G3" i="65"/>
  <c r="G51" i="65"/>
  <c r="F3" i="65"/>
  <c r="F51" i="65"/>
  <c r="E3" i="65"/>
  <c r="D3" i="65"/>
  <c r="C3" i="65"/>
  <c r="D42" i="93"/>
  <c r="D43" i="93"/>
  <c r="C42" i="93"/>
  <c r="C43" i="93"/>
  <c r="B42" i="93"/>
  <c r="B43" i="93"/>
  <c r="E41" i="93"/>
  <c r="E40" i="93"/>
  <c r="E39" i="93"/>
  <c r="E38" i="93"/>
  <c r="E37" i="93"/>
  <c r="E36" i="93"/>
  <c r="E35" i="93"/>
  <c r="E34" i="93"/>
  <c r="E33" i="93"/>
  <c r="E32" i="93"/>
  <c r="E31" i="93"/>
  <c r="E30" i="93"/>
  <c r="E29" i="93"/>
  <c r="E28" i="93"/>
  <c r="E27" i="93"/>
  <c r="E26" i="93"/>
  <c r="E25" i="93"/>
  <c r="E24" i="93"/>
  <c r="E23" i="93"/>
  <c r="E22" i="93"/>
  <c r="E21" i="93"/>
  <c r="D20" i="93"/>
  <c r="E20" i="93"/>
  <c r="C20" i="93"/>
  <c r="E19" i="93"/>
  <c r="E18" i="93"/>
  <c r="E17" i="93"/>
  <c r="E16" i="93"/>
  <c r="B7" i="93"/>
  <c r="W50" i="23"/>
  <c r="W10" i="23"/>
  <c r="AH9" i="23"/>
  <c r="AH8" i="23"/>
  <c r="E9" i="74"/>
  <c r="K9" i="74"/>
  <c r="F9" i="73"/>
  <c r="K9" i="35"/>
  <c r="E9" i="40"/>
  <c r="E9" i="39"/>
  <c r="F9" i="36"/>
  <c r="E9" i="36"/>
  <c r="E8" i="36"/>
  <c r="E9" i="38"/>
  <c r="E9" i="37"/>
  <c r="R9" i="23"/>
  <c r="E9" i="34"/>
  <c r="E8" i="34"/>
  <c r="V10" i="40"/>
  <c r="S10" i="40"/>
  <c r="R10" i="40"/>
  <c r="Q10" i="40"/>
  <c r="P10" i="40"/>
  <c r="O10" i="40"/>
  <c r="N10" i="40"/>
  <c r="M10" i="40"/>
  <c r="L10" i="40"/>
  <c r="K10" i="40"/>
  <c r="J10" i="40"/>
  <c r="I10" i="40"/>
  <c r="F10" i="40"/>
  <c r="E10" i="40"/>
  <c r="W10" i="40"/>
  <c r="F10" i="74"/>
  <c r="E10" i="74"/>
  <c r="K10" i="74"/>
  <c r="M10" i="34"/>
  <c r="J10" i="34"/>
  <c r="G10" i="34"/>
  <c r="F10" i="34"/>
  <c r="E10" i="34"/>
  <c r="F10" i="38"/>
  <c r="E10" i="38"/>
  <c r="E10" i="37"/>
  <c r="L10" i="37"/>
  <c r="F10" i="73"/>
  <c r="E10" i="73"/>
  <c r="J10" i="39"/>
  <c r="H10" i="39"/>
  <c r="E10" i="39"/>
  <c r="E117" i="31"/>
  <c r="M117" i="31"/>
  <c r="G10" i="35"/>
  <c r="G10" i="36"/>
  <c r="F10" i="36"/>
  <c r="E10" i="36"/>
  <c r="E48" i="31"/>
  <c r="M48" i="31"/>
  <c r="R10" i="23"/>
  <c r="AH10" i="23"/>
  <c r="AJ10" i="23"/>
  <c r="I17" i="24"/>
  <c r="F17" i="24"/>
  <c r="I16" i="24"/>
  <c r="F16" i="24"/>
  <c r="G26" i="27"/>
  <c r="CK13" i="23"/>
  <c r="CK27" i="23"/>
  <c r="G84" i="31"/>
  <c r="E84" i="31"/>
  <c r="E38" i="31"/>
  <c r="M38" i="31"/>
  <c r="AE10" i="23"/>
  <c r="AD10" i="23"/>
  <c r="BM10" i="23"/>
  <c r="BM27" i="23"/>
  <c r="BO10" i="23"/>
  <c r="BO27" i="23"/>
  <c r="E18" i="31"/>
  <c r="M18" i="31"/>
  <c r="L11" i="31"/>
  <c r="G11" i="31"/>
  <c r="L14" i="31"/>
  <c r="G14" i="31"/>
  <c r="E58" i="31"/>
  <c r="M58" i="31"/>
  <c r="AK10" i="23"/>
  <c r="AK27" i="23"/>
  <c r="AQ10" i="23"/>
  <c r="AQ27" i="23"/>
  <c r="Z10" i="23"/>
  <c r="L62" i="31"/>
  <c r="L44" i="31"/>
  <c r="H62" i="31"/>
  <c r="AA10" i="23"/>
  <c r="AV10" i="23"/>
  <c r="K10" i="23"/>
  <c r="K27" i="23"/>
  <c r="BP10" i="23"/>
  <c r="CB10" i="23"/>
  <c r="E79" i="31"/>
  <c r="M79" i="31"/>
  <c r="I24" i="25"/>
  <c r="E47" i="31"/>
  <c r="M47" i="31"/>
  <c r="E75" i="31"/>
  <c r="M75" i="31"/>
  <c r="I46" i="74"/>
  <c r="I48" i="74"/>
  <c r="I47" i="74"/>
  <c r="I37" i="74"/>
  <c r="I38" i="74"/>
  <c r="I28" i="74"/>
  <c r="I21" i="74"/>
  <c r="I12" i="74"/>
  <c r="I20" i="74"/>
  <c r="I27" i="74"/>
  <c r="I29" i="74"/>
  <c r="K11" i="74"/>
  <c r="K13" i="74"/>
  <c r="K14" i="74"/>
  <c r="K15" i="74"/>
  <c r="K17" i="74"/>
  <c r="K18" i="74"/>
  <c r="K19" i="74"/>
  <c r="K22" i="74"/>
  <c r="K23" i="74"/>
  <c r="K24" i="74"/>
  <c r="K25" i="74"/>
  <c r="K26" i="74"/>
  <c r="K30" i="74"/>
  <c r="K31" i="74"/>
  <c r="K32" i="74"/>
  <c r="K33" i="74"/>
  <c r="K34" i="74"/>
  <c r="K35" i="74"/>
  <c r="K36" i="74"/>
  <c r="K39" i="74"/>
  <c r="K41" i="74"/>
  <c r="K44" i="74"/>
  <c r="K45" i="74"/>
  <c r="K49" i="74"/>
  <c r="K50" i="74"/>
  <c r="K8" i="74"/>
  <c r="I46" i="37"/>
  <c r="I48" i="37"/>
  <c r="I47" i="37"/>
  <c r="I37" i="37"/>
  <c r="I38" i="37"/>
  <c r="I28" i="37"/>
  <c r="I21" i="37"/>
  <c r="I12" i="37"/>
  <c r="L9" i="37"/>
  <c r="L11" i="37"/>
  <c r="L13" i="37"/>
  <c r="L14" i="37"/>
  <c r="L15" i="37"/>
  <c r="L17" i="37"/>
  <c r="L18" i="37"/>
  <c r="L19" i="37"/>
  <c r="L22" i="37"/>
  <c r="L23" i="37"/>
  <c r="L24" i="37"/>
  <c r="L25" i="37"/>
  <c r="L26" i="37"/>
  <c r="L30" i="37"/>
  <c r="L31" i="37"/>
  <c r="L32" i="37"/>
  <c r="L33" i="37"/>
  <c r="C78" i="94"/>
  <c r="L34" i="37"/>
  <c r="L35" i="37"/>
  <c r="L36" i="37"/>
  <c r="L39" i="37"/>
  <c r="L40" i="37"/>
  <c r="L41" i="37"/>
  <c r="L44" i="37"/>
  <c r="L45" i="37"/>
  <c r="L49" i="37"/>
  <c r="L50" i="37"/>
  <c r="L8" i="37"/>
  <c r="E37" i="31"/>
  <c r="M37" i="31"/>
  <c r="E9" i="31"/>
  <c r="M9" i="31"/>
  <c r="E8" i="31"/>
  <c r="M8" i="31"/>
  <c r="M7" i="31"/>
  <c r="J10" i="31"/>
  <c r="J21" i="31"/>
  <c r="J35" i="31"/>
  <c r="J42" i="31"/>
  <c r="J44" i="31"/>
  <c r="J85" i="31"/>
  <c r="J125" i="31"/>
  <c r="J7" i="31"/>
  <c r="F4" i="98"/>
  <c r="F6" i="98"/>
  <c r="H19" i="97"/>
  <c r="H20" i="97"/>
  <c r="B12" i="97"/>
  <c r="E12" i="97"/>
  <c r="C12" i="97"/>
  <c r="P27" i="96"/>
  <c r="P25" i="96"/>
  <c r="L26" i="96"/>
  <c r="L28" i="96"/>
  <c r="P24" i="96"/>
  <c r="J26" i="96"/>
  <c r="J28" i="96"/>
  <c r="P23" i="96"/>
  <c r="P20" i="96"/>
  <c r="E26" i="96"/>
  <c r="E28" i="96"/>
  <c r="M26" i="96"/>
  <c r="M28" i="96"/>
  <c r="K26" i="96"/>
  <c r="K28" i="96"/>
  <c r="F26" i="96"/>
  <c r="F28" i="96"/>
  <c r="N14" i="96"/>
  <c r="N16" i="96"/>
  <c r="J14" i="96"/>
  <c r="J16" i="96"/>
  <c r="F14" i="96"/>
  <c r="F16" i="96"/>
  <c r="K14" i="96"/>
  <c r="K16" i="96"/>
  <c r="K29" i="96"/>
  <c r="G14" i="96"/>
  <c r="G16" i="96"/>
  <c r="L14" i="96"/>
  <c r="L16" i="96"/>
  <c r="M14" i="96"/>
  <c r="M16" i="96"/>
  <c r="I14" i="96"/>
  <c r="I16" i="96"/>
  <c r="R6" i="96"/>
  <c r="S29" i="95"/>
  <c r="Q29" i="95"/>
  <c r="S28" i="95"/>
  <c r="N25" i="95"/>
  <c r="N27" i="95"/>
  <c r="M25" i="95"/>
  <c r="M27" i="95"/>
  <c r="L25" i="95"/>
  <c r="L27" i="95"/>
  <c r="K25" i="95"/>
  <c r="K32" i="95"/>
  <c r="J25" i="95"/>
  <c r="J27" i="95"/>
  <c r="I25" i="95"/>
  <c r="I27" i="95"/>
  <c r="F25" i="95"/>
  <c r="F27" i="95"/>
  <c r="E25" i="95"/>
  <c r="E27" i="95"/>
  <c r="D25" i="95"/>
  <c r="D27" i="95"/>
  <c r="P24" i="95"/>
  <c r="P23" i="95"/>
  <c r="G25" i="95"/>
  <c r="G27" i="95"/>
  <c r="H25" i="95"/>
  <c r="H27" i="95"/>
  <c r="O20" i="95"/>
  <c r="P17" i="95"/>
  <c r="R16" i="95"/>
  <c r="S16" i="95"/>
  <c r="P14" i="95"/>
  <c r="M13" i="95"/>
  <c r="M15" i="95"/>
  <c r="L13" i="95"/>
  <c r="L15" i="95"/>
  <c r="K13" i="95"/>
  <c r="K15" i="95"/>
  <c r="J13" i="95"/>
  <c r="J15" i="95"/>
  <c r="I13" i="95"/>
  <c r="I15" i="95"/>
  <c r="H13" i="95"/>
  <c r="H15" i="95"/>
  <c r="G13" i="95"/>
  <c r="G15" i="95"/>
  <c r="F13" i="95"/>
  <c r="F15" i="95"/>
  <c r="E13" i="95"/>
  <c r="E15" i="95"/>
  <c r="D13" i="95"/>
  <c r="D15" i="95"/>
  <c r="P11" i="95"/>
  <c r="P10" i="95"/>
  <c r="P7" i="95"/>
  <c r="P6" i="95"/>
  <c r="U45" i="94"/>
  <c r="U44" i="94"/>
  <c r="U43" i="94"/>
  <c r="U42" i="94"/>
  <c r="U41" i="94"/>
  <c r="U40" i="94"/>
  <c r="U39" i="94"/>
  <c r="T35" i="94"/>
  <c r="S35" i="94"/>
  <c r="R35" i="94"/>
  <c r="Q35" i="94"/>
  <c r="P35" i="94"/>
  <c r="O35" i="94"/>
  <c r="N35" i="94"/>
  <c r="M35" i="94"/>
  <c r="L35" i="94"/>
  <c r="K35" i="94"/>
  <c r="J35" i="94"/>
  <c r="I35" i="94"/>
  <c r="H35" i="94"/>
  <c r="H30" i="94"/>
  <c r="H29" i="94"/>
  <c r="G35" i="94"/>
  <c r="F35" i="94"/>
  <c r="E35" i="94"/>
  <c r="D35" i="94"/>
  <c r="C35" i="94"/>
  <c r="T31" i="94"/>
  <c r="T30" i="94"/>
  <c r="T29" i="94"/>
  <c r="S31" i="94"/>
  <c r="R31" i="94"/>
  <c r="R30" i="94"/>
  <c r="R29" i="94"/>
  <c r="Q31" i="94"/>
  <c r="P31" i="94"/>
  <c r="P30" i="94"/>
  <c r="P29" i="94"/>
  <c r="O31" i="94"/>
  <c r="O30" i="94"/>
  <c r="O29" i="94"/>
  <c r="N31" i="94"/>
  <c r="M31" i="94"/>
  <c r="M30" i="94"/>
  <c r="M29" i="94"/>
  <c r="L31" i="94"/>
  <c r="L30" i="94"/>
  <c r="L29" i="94"/>
  <c r="K31" i="94"/>
  <c r="K30" i="94"/>
  <c r="K29" i="94"/>
  <c r="J31" i="94"/>
  <c r="J30" i="94"/>
  <c r="J29" i="94"/>
  <c r="I31" i="94"/>
  <c r="H31" i="94"/>
  <c r="G31" i="94"/>
  <c r="G30" i="94"/>
  <c r="G29" i="94"/>
  <c r="F31" i="94"/>
  <c r="F30" i="94"/>
  <c r="F29" i="94"/>
  <c r="E31" i="94"/>
  <c r="D31" i="94"/>
  <c r="D30" i="94"/>
  <c r="D29" i="94"/>
  <c r="C31" i="94"/>
  <c r="C30" i="94"/>
  <c r="C29" i="94"/>
  <c r="U28" i="94"/>
  <c r="U27" i="94"/>
  <c r="U26" i="94"/>
  <c r="U25" i="94"/>
  <c r="U24" i="94"/>
  <c r="U23" i="94"/>
  <c r="U22" i="94"/>
  <c r="W21" i="94"/>
  <c r="U21" i="94"/>
  <c r="W19" i="94"/>
  <c r="U19" i="94"/>
  <c r="T18" i="94"/>
  <c r="S18" i="94"/>
  <c r="S13" i="94"/>
  <c r="S12" i="94"/>
  <c r="R18" i="94"/>
  <c r="Q18" i="94"/>
  <c r="Q13" i="94"/>
  <c r="Q12" i="94"/>
  <c r="P18" i="94"/>
  <c r="O18" i="94"/>
  <c r="N18" i="94"/>
  <c r="M18" i="94"/>
  <c r="L18" i="94"/>
  <c r="J18" i="94"/>
  <c r="I18" i="94"/>
  <c r="H18" i="94"/>
  <c r="G18" i="94"/>
  <c r="F18" i="94"/>
  <c r="E18" i="94"/>
  <c r="D18" i="94"/>
  <c r="C18" i="94"/>
  <c r="W17" i="94"/>
  <c r="U17" i="94"/>
  <c r="W16" i="94"/>
  <c r="U16" i="94"/>
  <c r="W15" i="94"/>
  <c r="U15" i="94"/>
  <c r="T14" i="94"/>
  <c r="T13" i="94"/>
  <c r="T12" i="94"/>
  <c r="S14" i="94"/>
  <c r="R14" i="94"/>
  <c r="R13" i="94"/>
  <c r="R12" i="94"/>
  <c r="R46" i="94"/>
  <c r="Q14" i="94"/>
  <c r="P14" i="94"/>
  <c r="P13" i="94"/>
  <c r="P12" i="94"/>
  <c r="O14" i="94"/>
  <c r="O13" i="94"/>
  <c r="O12" i="94"/>
  <c r="N14" i="94"/>
  <c r="N13" i="94"/>
  <c r="N12" i="94"/>
  <c r="M14" i="94"/>
  <c r="M13" i="94"/>
  <c r="M12" i="94"/>
  <c r="M46" i="94"/>
  <c r="L14" i="94"/>
  <c r="L13" i="94"/>
  <c r="L12" i="94"/>
  <c r="L46" i="94"/>
  <c r="K14" i="94"/>
  <c r="K13" i="94"/>
  <c r="K12" i="94"/>
  <c r="J14" i="94"/>
  <c r="J13" i="94"/>
  <c r="J12" i="94"/>
  <c r="J46" i="94"/>
  <c r="I14" i="94"/>
  <c r="I13" i="94"/>
  <c r="I12" i="94"/>
  <c r="H14" i="94"/>
  <c r="G14" i="94"/>
  <c r="F14" i="94"/>
  <c r="E14" i="94"/>
  <c r="E13" i="94"/>
  <c r="E12" i="94"/>
  <c r="D14" i="94"/>
  <c r="D13" i="94"/>
  <c r="D12" i="94"/>
  <c r="C14" i="94"/>
  <c r="C13" i="94"/>
  <c r="C12" i="94"/>
  <c r="C46" i="94"/>
  <c r="U9" i="94"/>
  <c r="U8" i="94"/>
  <c r="U7" i="94"/>
  <c r="U4" i="94"/>
  <c r="C15" i="92"/>
  <c r="H11" i="92"/>
  <c r="H15" i="92"/>
  <c r="G11" i="92"/>
  <c r="F11" i="92"/>
  <c r="F15" i="92"/>
  <c r="E11" i="92"/>
  <c r="I9" i="92"/>
  <c r="I8" i="92"/>
  <c r="D38" i="91"/>
  <c r="D37" i="91"/>
  <c r="D47" i="91"/>
  <c r="D36" i="91"/>
  <c r="D46" i="91"/>
  <c r="D35" i="91"/>
  <c r="H10" i="91"/>
  <c r="I10" i="91"/>
  <c r="D17" i="91"/>
  <c r="D25" i="91"/>
  <c r="H7" i="91"/>
  <c r="I7" i="91"/>
  <c r="D24" i="90"/>
  <c r="D23" i="90"/>
  <c r="D22" i="90"/>
  <c r="D17" i="90" s="1"/>
  <c r="D39" i="90" s="1"/>
  <c r="D40" i="90" s="1"/>
  <c r="E74" i="88"/>
  <c r="E73" i="88"/>
  <c r="E72" i="88"/>
  <c r="E70" i="88"/>
  <c r="E69" i="88"/>
  <c r="E68" i="88"/>
  <c r="E64" i="88"/>
  <c r="E63" i="88"/>
  <c r="E60" i="88"/>
  <c r="E59" i="88"/>
  <c r="E58" i="88"/>
  <c r="E57" i="88"/>
  <c r="E55" i="88"/>
  <c r="E53" i="88"/>
  <c r="E51" i="88"/>
  <c r="E48" i="88"/>
  <c r="E46" i="88"/>
  <c r="E45" i="88"/>
  <c r="E44" i="88"/>
  <c r="E41" i="88"/>
  <c r="E43" i="88"/>
  <c r="E40" i="88"/>
  <c r="E39" i="88"/>
  <c r="E36" i="88"/>
  <c r="E35" i="88"/>
  <c r="E34" i="88"/>
  <c r="E29" i="88"/>
  <c r="E28" i="88"/>
  <c r="E27" i="88"/>
  <c r="E26" i="88"/>
  <c r="E25" i="88"/>
  <c r="E24" i="88"/>
  <c r="C20" i="88"/>
  <c r="C10" i="88"/>
  <c r="E9" i="88"/>
  <c r="E7" i="88"/>
  <c r="C6" i="88"/>
  <c r="P8" i="95"/>
  <c r="P22" i="95"/>
  <c r="N49" i="34"/>
  <c r="N50" i="34"/>
  <c r="N11" i="34"/>
  <c r="N13" i="34"/>
  <c r="N14" i="34"/>
  <c r="N15" i="34"/>
  <c r="N17" i="34"/>
  <c r="N22" i="34"/>
  <c r="N23" i="34"/>
  <c r="N24" i="34"/>
  <c r="N25" i="34"/>
  <c r="N26" i="34"/>
  <c r="N30" i="34"/>
  <c r="N31" i="34"/>
  <c r="N32" i="34"/>
  <c r="N33" i="34"/>
  <c r="N34" i="34"/>
  <c r="N35" i="34"/>
  <c r="N36" i="34"/>
  <c r="N39" i="34"/>
  <c r="N40" i="34"/>
  <c r="N41" i="34"/>
  <c r="N44" i="34"/>
  <c r="N45" i="34"/>
  <c r="N8" i="34"/>
  <c r="G36" i="31"/>
  <c r="E80" i="31"/>
  <c r="M80" i="31"/>
  <c r="I50" i="23"/>
  <c r="E50" i="23"/>
  <c r="E51" i="23"/>
  <c r="D50" i="23"/>
  <c r="D51" i="23"/>
  <c r="AB10" i="23"/>
  <c r="AB27" i="23"/>
  <c r="AA27" i="23"/>
  <c r="Z50" i="23"/>
  <c r="Z27" i="23"/>
  <c r="DG19" i="23"/>
  <c r="DG18" i="23"/>
  <c r="J14" i="26"/>
  <c r="J8" i="26"/>
  <c r="J9" i="26"/>
  <c r="J10" i="26"/>
  <c r="J11" i="26"/>
  <c r="J7" i="26"/>
  <c r="H5" i="26"/>
  <c r="G12" i="26"/>
  <c r="H12" i="26"/>
  <c r="CH50" i="23"/>
  <c r="CG50" i="23"/>
  <c r="BZ50" i="23"/>
  <c r="AV50" i="23"/>
  <c r="AU50" i="23"/>
  <c r="AI50" i="23"/>
  <c r="E55" i="31"/>
  <c r="M55" i="31"/>
  <c r="AW50" i="23"/>
  <c r="AQ50" i="23"/>
  <c r="AK50" i="23"/>
  <c r="AC50" i="23"/>
  <c r="CA50" i="23"/>
  <c r="EH50" i="23"/>
  <c r="H50" i="23"/>
  <c r="H51" i="23"/>
  <c r="AE27" i="23"/>
  <c r="AI10" i="23"/>
  <c r="AI27" i="23"/>
  <c r="DJ13" i="23"/>
  <c r="E39" i="31"/>
  <c r="E14" i="24"/>
  <c r="J14" i="24"/>
  <c r="E74" i="31"/>
  <c r="M74" i="31"/>
  <c r="E73" i="31"/>
  <c r="M73" i="31"/>
  <c r="E25" i="24"/>
  <c r="J25" i="24"/>
  <c r="E24" i="24"/>
  <c r="J24" i="24"/>
  <c r="E23" i="24"/>
  <c r="J23" i="24"/>
  <c r="E22" i="24"/>
  <c r="J22" i="24"/>
  <c r="E40" i="31"/>
  <c r="P16" i="23"/>
  <c r="P28" i="23"/>
  <c r="P29" i="23"/>
  <c r="P46" i="23"/>
  <c r="P47" i="23"/>
  <c r="P38" i="23"/>
  <c r="P37" i="23"/>
  <c r="P27" i="23"/>
  <c r="P21" i="23"/>
  <c r="P18" i="23"/>
  <c r="P12" i="23"/>
  <c r="E46" i="31"/>
  <c r="M46" i="31"/>
  <c r="E34" i="31"/>
  <c r="M34" i="31"/>
  <c r="E33" i="31"/>
  <c r="M33" i="31"/>
  <c r="E32" i="31"/>
  <c r="M32" i="31"/>
  <c r="E31" i="31"/>
  <c r="M31" i="31"/>
  <c r="E30" i="31"/>
  <c r="M30" i="31"/>
  <c r="E28" i="31"/>
  <c r="M28" i="31"/>
  <c r="E29" i="31"/>
  <c r="M29" i="31"/>
  <c r="E25" i="31"/>
  <c r="M25" i="31"/>
  <c r="E26" i="31"/>
  <c r="E27" i="31"/>
  <c r="M27" i="31"/>
  <c r="E19" i="31"/>
  <c r="M19" i="31"/>
  <c r="E17" i="31"/>
  <c r="M17" i="31"/>
  <c r="E16" i="31"/>
  <c r="M16" i="31"/>
  <c r="E15" i="31"/>
  <c r="M15" i="31"/>
  <c r="E13" i="31"/>
  <c r="E12" i="31"/>
  <c r="M12" i="31"/>
  <c r="E18" i="24"/>
  <c r="D17" i="23"/>
  <c r="CM46" i="23"/>
  <c r="CM47" i="23"/>
  <c r="CM48" i="23"/>
  <c r="CM37" i="23"/>
  <c r="CM38" i="23"/>
  <c r="CM27" i="23"/>
  <c r="CM21" i="23"/>
  <c r="CM18" i="23"/>
  <c r="CM28" i="23"/>
  <c r="CM12" i="23"/>
  <c r="H25" i="27"/>
  <c r="G25" i="27"/>
  <c r="F25" i="27"/>
  <c r="E25" i="27"/>
  <c r="DQ10" i="23"/>
  <c r="G20" i="27"/>
  <c r="DQ13" i="23"/>
  <c r="DP13" i="23"/>
  <c r="DO19" i="23"/>
  <c r="DO13" i="23"/>
  <c r="BN10" i="23"/>
  <c r="BN27" i="23"/>
  <c r="AG10" i="23"/>
  <c r="AG27" i="23"/>
  <c r="AW10" i="23"/>
  <c r="AW27" i="23"/>
  <c r="DR13" i="23"/>
  <c r="DR12" i="23"/>
  <c r="E15" i="24"/>
  <c r="J15" i="24"/>
  <c r="E13" i="24"/>
  <c r="J13" i="24"/>
  <c r="E11" i="24"/>
  <c r="BI17" i="23"/>
  <c r="E69" i="31"/>
  <c r="M69" i="31"/>
  <c r="E70" i="31"/>
  <c r="E71" i="31"/>
  <c r="M71" i="31"/>
  <c r="E20" i="24"/>
  <c r="AV17" i="23"/>
  <c r="E65" i="31"/>
  <c r="M65" i="31"/>
  <c r="E66" i="31"/>
  <c r="M66" i="31"/>
  <c r="E67" i="31"/>
  <c r="M67" i="31"/>
  <c r="E10" i="24"/>
  <c r="E12" i="24"/>
  <c r="J12" i="24"/>
  <c r="E19" i="24"/>
  <c r="AU17" i="23"/>
  <c r="E21" i="24"/>
  <c r="BZ17" i="23"/>
  <c r="E53" i="31"/>
  <c r="M53" i="31"/>
  <c r="E54" i="31"/>
  <c r="M54" i="31"/>
  <c r="E50" i="31"/>
  <c r="DC11" i="23"/>
  <c r="DC27" i="23"/>
  <c r="I46" i="39"/>
  <c r="I47" i="39"/>
  <c r="I37" i="39"/>
  <c r="I38" i="39"/>
  <c r="I27" i="39"/>
  <c r="I28" i="39"/>
  <c r="I29" i="39"/>
  <c r="I21" i="39"/>
  <c r="I20" i="39"/>
  <c r="D37" i="34"/>
  <c r="D21" i="34"/>
  <c r="E19" i="34"/>
  <c r="N19" i="34"/>
  <c r="H10" i="43"/>
  <c r="EL13" i="23"/>
  <c r="H15" i="43"/>
  <c r="H17" i="43"/>
  <c r="H19" i="43"/>
  <c r="EL24" i="23"/>
  <c r="H25" i="43"/>
  <c r="H26" i="43"/>
  <c r="H31" i="43"/>
  <c r="H32" i="43"/>
  <c r="H33" i="43"/>
  <c r="EL34" i="23"/>
  <c r="H40" i="43"/>
  <c r="H41" i="43"/>
  <c r="H45" i="43"/>
  <c r="H49" i="43"/>
  <c r="H50" i="43"/>
  <c r="EL8" i="23"/>
  <c r="E24" i="31"/>
  <c r="M24" i="31"/>
  <c r="E56" i="31"/>
  <c r="M56" i="31"/>
  <c r="E52" i="31"/>
  <c r="M52" i="31"/>
  <c r="E61" i="31"/>
  <c r="M61" i="31"/>
  <c r="E51" i="31"/>
  <c r="M51" i="31"/>
  <c r="E68" i="31"/>
  <c r="M68" i="31"/>
  <c r="E78" i="31"/>
  <c r="M78" i="31"/>
  <c r="CB16" i="23"/>
  <c r="E72" i="31"/>
  <c r="M72" i="31"/>
  <c r="E64" i="31"/>
  <c r="M64" i="31"/>
  <c r="E57" i="31"/>
  <c r="M57" i="31"/>
  <c r="N7" i="31"/>
  <c r="O7" i="31"/>
  <c r="P7" i="31"/>
  <c r="Q7" i="31"/>
  <c r="J6" i="26"/>
  <c r="J13" i="26"/>
  <c r="DE19" i="23"/>
  <c r="DE18" i="23"/>
  <c r="DE28" i="23"/>
  <c r="EH49" i="23"/>
  <c r="AF27" i="23"/>
  <c r="T27" i="23"/>
  <c r="CC27" i="23"/>
  <c r="J46" i="37"/>
  <c r="J47" i="37"/>
  <c r="J37" i="37"/>
  <c r="J38" i="37"/>
  <c r="J28" i="37"/>
  <c r="J21" i="37"/>
  <c r="J12" i="37"/>
  <c r="J20" i="37"/>
  <c r="K12" i="37"/>
  <c r="K20" i="37"/>
  <c r="K21" i="37"/>
  <c r="K28" i="37"/>
  <c r="K37" i="37"/>
  <c r="K38" i="37"/>
  <c r="K46" i="37"/>
  <c r="K48" i="37"/>
  <c r="K47" i="37"/>
  <c r="CE46" i="23"/>
  <c r="CE47" i="23"/>
  <c r="CE37" i="23"/>
  <c r="CE38" i="23"/>
  <c r="CE27" i="23"/>
  <c r="CE21" i="23"/>
  <c r="CE18" i="23"/>
  <c r="CE12" i="23"/>
  <c r="CE20" i="23"/>
  <c r="C26" i="25"/>
  <c r="E107" i="31"/>
  <c r="K16" i="40"/>
  <c r="E113" i="31"/>
  <c r="Q16" i="40"/>
  <c r="Q28" i="40"/>
  <c r="BK37" i="23"/>
  <c r="AL46" i="23"/>
  <c r="AJ27" i="23"/>
  <c r="E82" i="31"/>
  <c r="E83" i="31"/>
  <c r="M83" i="31"/>
  <c r="H42" i="43"/>
  <c r="E77" i="31"/>
  <c r="M77" i="31"/>
  <c r="BS27" i="23"/>
  <c r="EL16" i="23"/>
  <c r="BA27" i="23"/>
  <c r="G33" i="27"/>
  <c r="DI13" i="23"/>
  <c r="AY27" i="23"/>
  <c r="R27" i="23"/>
  <c r="J9" i="38"/>
  <c r="CP46" i="23"/>
  <c r="CQ46" i="23"/>
  <c r="CR46" i="23"/>
  <c r="CP47" i="23"/>
  <c r="CQ47" i="23"/>
  <c r="CQ48" i="23"/>
  <c r="CR47" i="23"/>
  <c r="CP37" i="23"/>
  <c r="CQ37" i="23"/>
  <c r="CR37" i="23"/>
  <c r="CP38" i="23"/>
  <c r="CQ38" i="23"/>
  <c r="CR38" i="23"/>
  <c r="CP27" i="23"/>
  <c r="CQ27" i="23"/>
  <c r="CR27" i="23"/>
  <c r="CP21" i="23"/>
  <c r="CQ21" i="23"/>
  <c r="CR21" i="23"/>
  <c r="CP18" i="23"/>
  <c r="CQ18" i="23"/>
  <c r="CR18" i="23"/>
  <c r="CP12" i="23"/>
  <c r="CQ12" i="23"/>
  <c r="CR12" i="23"/>
  <c r="D26" i="25"/>
  <c r="Y27" i="23"/>
  <c r="CK46" i="23"/>
  <c r="CK47" i="23"/>
  <c r="CK37" i="23"/>
  <c r="CK38" i="23"/>
  <c r="CK21" i="23"/>
  <c r="CK18" i="23"/>
  <c r="CK28" i="23"/>
  <c r="D64" i="25"/>
  <c r="D67" i="25"/>
  <c r="BX50" i="23"/>
  <c r="D52" i="25"/>
  <c r="D47" i="25"/>
  <c r="D43" i="25"/>
  <c r="D23" i="25"/>
  <c r="D20" i="25"/>
  <c r="D11" i="25"/>
  <c r="D6" i="25"/>
  <c r="E22" i="31"/>
  <c r="M22" i="31"/>
  <c r="H45" i="27"/>
  <c r="H33" i="27"/>
  <c r="H23" i="27"/>
  <c r="H30" i="27"/>
  <c r="F21" i="27"/>
  <c r="H21" i="27"/>
  <c r="H19" i="27"/>
  <c r="H17" i="27"/>
  <c r="H15" i="27"/>
  <c r="H6" i="27"/>
  <c r="E76" i="31"/>
  <c r="M76" i="31"/>
  <c r="L19" i="23"/>
  <c r="L18" i="23"/>
  <c r="BZ46" i="23"/>
  <c r="BZ48" i="23"/>
  <c r="BZ47" i="23"/>
  <c r="BZ37" i="23"/>
  <c r="BZ38" i="23"/>
  <c r="BZ27" i="23"/>
  <c r="BZ21" i="23"/>
  <c r="BZ18" i="23"/>
  <c r="BZ12" i="23"/>
  <c r="E60" i="31"/>
  <c r="M60" i="31"/>
  <c r="J46" i="34"/>
  <c r="J48" i="34"/>
  <c r="J47" i="34"/>
  <c r="J37" i="34"/>
  <c r="J38" i="34"/>
  <c r="J21" i="34"/>
  <c r="J18" i="34"/>
  <c r="J12" i="34"/>
  <c r="CD37" i="23"/>
  <c r="AS46" i="23"/>
  <c r="DT13" i="23"/>
  <c r="DT12" i="23"/>
  <c r="E23" i="31"/>
  <c r="M23" i="31"/>
  <c r="E81" i="31"/>
  <c r="M81" i="31"/>
  <c r="CN46" i="23"/>
  <c r="CO46" i="23"/>
  <c r="CN47" i="23"/>
  <c r="CO47" i="23"/>
  <c r="CO48" i="23"/>
  <c r="CN37" i="23"/>
  <c r="CO37" i="23"/>
  <c r="CN38" i="23"/>
  <c r="CO38" i="23"/>
  <c r="CN27" i="23"/>
  <c r="CO27" i="23"/>
  <c r="CN21" i="23"/>
  <c r="CO21" i="23"/>
  <c r="CN18" i="23"/>
  <c r="CO18" i="23"/>
  <c r="CO28" i="23"/>
  <c r="CO29" i="23"/>
  <c r="CN12" i="23"/>
  <c r="CO12" i="23"/>
  <c r="CJ46" i="23"/>
  <c r="CJ47" i="23"/>
  <c r="CJ48" i="23"/>
  <c r="CJ37" i="23"/>
  <c r="CJ38" i="23"/>
  <c r="CJ27" i="23"/>
  <c r="CJ21" i="23"/>
  <c r="CJ18" i="23"/>
  <c r="CJ28" i="23"/>
  <c r="CJ12" i="23"/>
  <c r="DU13" i="23"/>
  <c r="DU27" i="23"/>
  <c r="DF19" i="23"/>
  <c r="DF18" i="23"/>
  <c r="DF28" i="23"/>
  <c r="DD11" i="23"/>
  <c r="DD27" i="23"/>
  <c r="DB11" i="23"/>
  <c r="DB27" i="23"/>
  <c r="CX11" i="23"/>
  <c r="CX27" i="23"/>
  <c r="CW11" i="23"/>
  <c r="CV11" i="23"/>
  <c r="CU11" i="23"/>
  <c r="CU27" i="23"/>
  <c r="CT27" i="23"/>
  <c r="BF46" i="23"/>
  <c r="BF47" i="23"/>
  <c r="BF37" i="23"/>
  <c r="BF38" i="23"/>
  <c r="BF21" i="23"/>
  <c r="BF18" i="23"/>
  <c r="BF12" i="23"/>
  <c r="BF27" i="23"/>
  <c r="E20" i="31"/>
  <c r="M20" i="31"/>
  <c r="E41" i="31"/>
  <c r="CA16" i="23"/>
  <c r="E122" i="31"/>
  <c r="M122" i="31"/>
  <c r="D50" i="41"/>
  <c r="D11" i="41"/>
  <c r="D13" i="41"/>
  <c r="D14" i="41"/>
  <c r="D15" i="41"/>
  <c r="D17" i="41"/>
  <c r="D22" i="41"/>
  <c r="D23" i="41"/>
  <c r="G23" i="41"/>
  <c r="D24" i="41"/>
  <c r="D25" i="41"/>
  <c r="D26" i="41"/>
  <c r="D30" i="41"/>
  <c r="D31" i="41"/>
  <c r="D32" i="41"/>
  <c r="D33" i="41"/>
  <c r="D34" i="41"/>
  <c r="D35" i="41"/>
  <c r="D36" i="41"/>
  <c r="D39" i="41"/>
  <c r="D41" i="41"/>
  <c r="D44" i="41"/>
  <c r="D45" i="41"/>
  <c r="J50" i="38"/>
  <c r="J11" i="38"/>
  <c r="J13" i="38"/>
  <c r="J14" i="38"/>
  <c r="J15" i="38"/>
  <c r="J17" i="38"/>
  <c r="J18" i="38"/>
  <c r="J19" i="38"/>
  <c r="J22" i="38"/>
  <c r="J23" i="38"/>
  <c r="J24" i="38"/>
  <c r="J25" i="38"/>
  <c r="J26" i="38"/>
  <c r="J30" i="38"/>
  <c r="J31" i="38"/>
  <c r="J32" i="38"/>
  <c r="J33" i="38"/>
  <c r="C79" i="94"/>
  <c r="J34" i="38"/>
  <c r="J35" i="38"/>
  <c r="J36" i="38"/>
  <c r="J39" i="38"/>
  <c r="J41" i="38"/>
  <c r="J44" i="38"/>
  <c r="J45" i="38"/>
  <c r="J8" i="38"/>
  <c r="I46" i="38"/>
  <c r="I48" i="38"/>
  <c r="I47" i="38"/>
  <c r="I37" i="38"/>
  <c r="I38" i="38"/>
  <c r="I28" i="38"/>
  <c r="I21" i="38"/>
  <c r="I12" i="38"/>
  <c r="E100" i="31"/>
  <c r="G16" i="38"/>
  <c r="G46" i="37"/>
  <c r="H46" i="37"/>
  <c r="H48" i="37"/>
  <c r="G47" i="37"/>
  <c r="H47" i="37"/>
  <c r="G37" i="37"/>
  <c r="H37" i="37"/>
  <c r="G38" i="37"/>
  <c r="H38" i="37"/>
  <c r="G28" i="37"/>
  <c r="H28" i="37"/>
  <c r="G21" i="37"/>
  <c r="H21" i="37"/>
  <c r="G12" i="37"/>
  <c r="H12" i="37"/>
  <c r="H20" i="37"/>
  <c r="H12" i="74"/>
  <c r="H28" i="74"/>
  <c r="H37" i="74"/>
  <c r="H38" i="74"/>
  <c r="H46" i="74"/>
  <c r="H47" i="74"/>
  <c r="H21" i="74"/>
  <c r="H22" i="43"/>
  <c r="H39" i="43"/>
  <c r="EI9" i="23"/>
  <c r="EI10" i="23"/>
  <c r="EI11" i="23"/>
  <c r="EI12" i="23"/>
  <c r="EI13" i="23"/>
  <c r="EI14" i="23"/>
  <c r="EI15" i="23"/>
  <c r="EI16" i="23"/>
  <c r="EI17" i="23"/>
  <c r="EI18" i="23"/>
  <c r="EI19" i="23"/>
  <c r="EI20" i="23"/>
  <c r="EI21" i="23"/>
  <c r="EI22" i="23"/>
  <c r="EI23" i="23"/>
  <c r="EI24" i="23"/>
  <c r="EI25" i="23"/>
  <c r="EI26" i="23"/>
  <c r="EI27" i="23"/>
  <c r="EI28" i="23"/>
  <c r="EI29" i="23"/>
  <c r="EI30" i="23"/>
  <c r="EI31" i="23"/>
  <c r="EI32" i="23"/>
  <c r="EI33" i="23"/>
  <c r="EI34" i="23"/>
  <c r="EI35" i="23"/>
  <c r="EI36" i="23"/>
  <c r="EI37" i="23"/>
  <c r="EI38" i="23"/>
  <c r="EI39" i="23"/>
  <c r="EI40" i="23"/>
  <c r="EI41" i="23"/>
  <c r="EI42" i="23"/>
  <c r="EI43" i="23"/>
  <c r="EI44" i="23"/>
  <c r="EI45" i="23"/>
  <c r="EI46" i="23"/>
  <c r="EI47" i="23"/>
  <c r="EI48" i="23"/>
  <c r="EI49" i="23"/>
  <c r="EI50" i="23"/>
  <c r="EI8" i="23"/>
  <c r="EH9" i="23"/>
  <c r="EH11" i="23"/>
  <c r="EH14" i="23"/>
  <c r="EH15" i="23"/>
  <c r="EH17" i="23"/>
  <c r="EH22" i="23"/>
  <c r="EH23" i="23"/>
  <c r="EH24" i="23"/>
  <c r="EH25" i="23"/>
  <c r="EH26" i="23"/>
  <c r="EH30" i="23"/>
  <c r="EH31" i="23"/>
  <c r="E31" i="43"/>
  <c r="EH32" i="23"/>
  <c r="EH33" i="23"/>
  <c r="EH34" i="23"/>
  <c r="EJ34" i="23"/>
  <c r="EH35" i="23"/>
  <c r="EH36" i="23"/>
  <c r="EH39" i="23"/>
  <c r="EH40" i="23"/>
  <c r="E40" i="43"/>
  <c r="EH41" i="23"/>
  <c r="EH42" i="23"/>
  <c r="EH43" i="23"/>
  <c r="EH44" i="23"/>
  <c r="E44" i="43"/>
  <c r="EH45" i="23"/>
  <c r="EG15" i="23"/>
  <c r="D15" i="43"/>
  <c r="EG19" i="23"/>
  <c r="EG22" i="23"/>
  <c r="EG25" i="23"/>
  <c r="EG26" i="23"/>
  <c r="EG30" i="23"/>
  <c r="D30" i="43"/>
  <c r="EJ30" i="23"/>
  <c r="EG31" i="23"/>
  <c r="D31" i="43"/>
  <c r="EG32" i="23"/>
  <c r="EG34" i="23"/>
  <c r="EG35" i="23"/>
  <c r="D35" i="43"/>
  <c r="EG36" i="23"/>
  <c r="EG39" i="23"/>
  <c r="EJ39" i="23"/>
  <c r="EG40" i="23"/>
  <c r="EG42" i="23"/>
  <c r="EG43" i="23"/>
  <c r="EJ43" i="23"/>
  <c r="EG44" i="23"/>
  <c r="EG45" i="23"/>
  <c r="D45" i="43"/>
  <c r="H43" i="43"/>
  <c r="F9" i="41"/>
  <c r="F9" i="43"/>
  <c r="F11" i="41"/>
  <c r="F13" i="41"/>
  <c r="F13" i="43"/>
  <c r="F14" i="41"/>
  <c r="F14" i="43"/>
  <c r="F15" i="41"/>
  <c r="F15" i="43"/>
  <c r="F17" i="41"/>
  <c r="F17" i="43"/>
  <c r="F19" i="41"/>
  <c r="F19" i="43"/>
  <c r="F22" i="41"/>
  <c r="F23" i="41"/>
  <c r="F24" i="41"/>
  <c r="F24" i="43"/>
  <c r="F25" i="41"/>
  <c r="F25" i="43"/>
  <c r="F26" i="41"/>
  <c r="F26" i="43"/>
  <c r="F30" i="41"/>
  <c r="F31" i="41"/>
  <c r="F31" i="43"/>
  <c r="F32" i="41"/>
  <c r="F32" i="43"/>
  <c r="F33" i="41"/>
  <c r="F33" i="43"/>
  <c r="F34" i="41"/>
  <c r="F34" i="43"/>
  <c r="F35" i="41"/>
  <c r="F35" i="43"/>
  <c r="F36" i="41"/>
  <c r="F36" i="43"/>
  <c r="F39" i="41"/>
  <c r="F40" i="41"/>
  <c r="F40" i="43"/>
  <c r="F41" i="41"/>
  <c r="F41" i="43"/>
  <c r="F42" i="41"/>
  <c r="F42" i="43"/>
  <c r="F43" i="41"/>
  <c r="F43" i="43"/>
  <c r="F44" i="41"/>
  <c r="F44" i="43"/>
  <c r="F45" i="41"/>
  <c r="F50" i="41"/>
  <c r="F50" i="43"/>
  <c r="F8" i="41"/>
  <c r="E9" i="41"/>
  <c r="E9" i="43"/>
  <c r="E11" i="41"/>
  <c r="E11" i="43"/>
  <c r="E13" i="41"/>
  <c r="G13" i="41"/>
  <c r="E14" i="41"/>
  <c r="E14" i="43"/>
  <c r="E15" i="41"/>
  <c r="E17" i="41"/>
  <c r="E17" i="43"/>
  <c r="E18" i="41"/>
  <c r="E19" i="41"/>
  <c r="E22" i="41"/>
  <c r="E22" i="43"/>
  <c r="E23" i="41"/>
  <c r="E23" i="43"/>
  <c r="E24" i="41"/>
  <c r="E25" i="41"/>
  <c r="E25" i="43"/>
  <c r="E26" i="41"/>
  <c r="E26" i="43"/>
  <c r="E30" i="41"/>
  <c r="E31" i="41"/>
  <c r="E32" i="41"/>
  <c r="E32" i="43"/>
  <c r="E33" i="41"/>
  <c r="E33" i="43"/>
  <c r="E34" i="41"/>
  <c r="E35" i="41"/>
  <c r="E36" i="41"/>
  <c r="E36" i="43"/>
  <c r="E39" i="41"/>
  <c r="G39" i="41"/>
  <c r="E40" i="41"/>
  <c r="E41" i="41"/>
  <c r="E41" i="43"/>
  <c r="E42" i="41"/>
  <c r="E42" i="43"/>
  <c r="E43" i="41"/>
  <c r="E43" i="43"/>
  <c r="E44" i="41"/>
  <c r="E45" i="41"/>
  <c r="E45" i="43"/>
  <c r="E50" i="41"/>
  <c r="E50" i="43"/>
  <c r="E8" i="41"/>
  <c r="E46" i="23"/>
  <c r="E53" i="23"/>
  <c r="F46" i="23"/>
  <c r="G46" i="23"/>
  <c r="H46" i="23"/>
  <c r="I46" i="23"/>
  <c r="J46" i="23"/>
  <c r="K46" i="23"/>
  <c r="L46" i="23"/>
  <c r="M46" i="23"/>
  <c r="O46" i="23"/>
  <c r="Q46" i="23"/>
  <c r="R46" i="23"/>
  <c r="R48" i="23"/>
  <c r="S46" i="23"/>
  <c r="T46" i="23"/>
  <c r="U46" i="23"/>
  <c r="V46" i="23"/>
  <c r="W46" i="23"/>
  <c r="X46" i="23"/>
  <c r="Y46" i="23"/>
  <c r="Z46" i="23"/>
  <c r="AA46" i="23"/>
  <c r="AB46" i="23"/>
  <c r="AC46" i="23"/>
  <c r="AD46" i="23"/>
  <c r="AE46" i="23"/>
  <c r="AF46" i="23"/>
  <c r="AG46" i="23"/>
  <c r="AH46" i="23"/>
  <c r="AI46" i="23"/>
  <c r="AJ46" i="23"/>
  <c r="AK46" i="23"/>
  <c r="AM46" i="23"/>
  <c r="AN46" i="23"/>
  <c r="AO46" i="23"/>
  <c r="AP46" i="23"/>
  <c r="AQ46" i="23"/>
  <c r="AR46" i="23"/>
  <c r="AT46" i="23"/>
  <c r="AU46" i="23"/>
  <c r="AV46" i="23"/>
  <c r="AV48" i="23"/>
  <c r="AW46" i="23"/>
  <c r="AX46" i="23"/>
  <c r="AY46" i="23"/>
  <c r="AZ46" i="23"/>
  <c r="BA46" i="23"/>
  <c r="BB46" i="23"/>
  <c r="BB48" i="23"/>
  <c r="BC46" i="23"/>
  <c r="BD46" i="23"/>
  <c r="BD48" i="23"/>
  <c r="BE46" i="23"/>
  <c r="BG46" i="23"/>
  <c r="BH46" i="23"/>
  <c r="BI46" i="23"/>
  <c r="BJ46" i="23"/>
  <c r="BL46" i="23"/>
  <c r="BM46" i="23"/>
  <c r="BN46" i="23"/>
  <c r="BO46" i="23"/>
  <c r="BP46" i="23"/>
  <c r="BQ46" i="23"/>
  <c r="BR46" i="23"/>
  <c r="BS46" i="23"/>
  <c r="BT46" i="23"/>
  <c r="BU46" i="23"/>
  <c r="BV46" i="23"/>
  <c r="BW46" i="23"/>
  <c r="BX46" i="23"/>
  <c r="BY46" i="23"/>
  <c r="CA46" i="23"/>
  <c r="CB46" i="23"/>
  <c r="CC46" i="23"/>
  <c r="CF46" i="23"/>
  <c r="CG46" i="23"/>
  <c r="CH46" i="23"/>
  <c r="CI46" i="23"/>
  <c r="CL46" i="23"/>
  <c r="CS46" i="23"/>
  <c r="CT46" i="23"/>
  <c r="CU46" i="23"/>
  <c r="CV46" i="23"/>
  <c r="CW46" i="23"/>
  <c r="CX46" i="23"/>
  <c r="CX48" i="23"/>
  <c r="DA46" i="23"/>
  <c r="DB46" i="23"/>
  <c r="DC46" i="23"/>
  <c r="DD46" i="23"/>
  <c r="DE46" i="23"/>
  <c r="DF46" i="23"/>
  <c r="DF48" i="23"/>
  <c r="DG46" i="23"/>
  <c r="DH46" i="23"/>
  <c r="DI46" i="23"/>
  <c r="DI48" i="23"/>
  <c r="DJ46" i="23"/>
  <c r="DK46" i="23"/>
  <c r="DL46" i="23"/>
  <c r="DM46" i="23"/>
  <c r="DN46" i="23"/>
  <c r="DN48" i="23"/>
  <c r="DO46" i="23"/>
  <c r="DP46" i="23"/>
  <c r="DQ46" i="23"/>
  <c r="DQ48" i="23"/>
  <c r="DR46" i="23"/>
  <c r="DR48" i="23"/>
  <c r="DS46" i="23"/>
  <c r="DT46" i="23"/>
  <c r="DT48" i="23"/>
  <c r="DU46" i="23"/>
  <c r="DU48" i="23"/>
  <c r="DV46" i="23"/>
  <c r="DW46" i="23"/>
  <c r="DX46" i="23"/>
  <c r="DX48" i="23"/>
  <c r="DY46" i="23"/>
  <c r="DZ46" i="23"/>
  <c r="EA46" i="23"/>
  <c r="EB46" i="23"/>
  <c r="EC46" i="23"/>
  <c r="ED46" i="23"/>
  <c r="ED48" i="23"/>
  <c r="EE46" i="23"/>
  <c r="EF46" i="23"/>
  <c r="E47" i="23"/>
  <c r="F47" i="23"/>
  <c r="F48" i="23"/>
  <c r="G47" i="23"/>
  <c r="H47" i="23"/>
  <c r="I47" i="23"/>
  <c r="J47" i="23"/>
  <c r="J48" i="23"/>
  <c r="K47" i="23"/>
  <c r="L47" i="23"/>
  <c r="M47" i="23"/>
  <c r="M48" i="23"/>
  <c r="O47" i="23"/>
  <c r="Q47" i="23"/>
  <c r="R47" i="23"/>
  <c r="S47" i="23"/>
  <c r="T47" i="23"/>
  <c r="T48" i="23"/>
  <c r="U47" i="23"/>
  <c r="V47" i="23"/>
  <c r="W47" i="23"/>
  <c r="X47" i="23"/>
  <c r="Y47" i="23"/>
  <c r="Z47" i="23"/>
  <c r="Z48" i="23"/>
  <c r="AA47" i="23"/>
  <c r="AB47" i="23"/>
  <c r="AB48" i="23"/>
  <c r="AC47" i="23"/>
  <c r="AD47" i="23"/>
  <c r="AE47" i="23"/>
  <c r="AF47" i="23"/>
  <c r="AG47" i="23"/>
  <c r="AH47" i="23"/>
  <c r="AI47" i="23"/>
  <c r="AJ47" i="23"/>
  <c r="AJ48" i="23"/>
  <c r="AK47" i="23"/>
  <c r="AL47" i="23"/>
  <c r="AM47" i="23"/>
  <c r="AN47" i="23"/>
  <c r="AO47" i="23"/>
  <c r="AP47" i="23"/>
  <c r="AQ47" i="23"/>
  <c r="AR47" i="23"/>
  <c r="AS47" i="23"/>
  <c r="AS48" i="23"/>
  <c r="AT47" i="23"/>
  <c r="AU47" i="23"/>
  <c r="AV47" i="23"/>
  <c r="AW47" i="23"/>
  <c r="AX47" i="23"/>
  <c r="AY47" i="23"/>
  <c r="AZ47" i="23"/>
  <c r="BA47" i="23"/>
  <c r="BB47" i="23"/>
  <c r="BC47" i="23"/>
  <c r="BC48" i="23"/>
  <c r="BD47" i="23"/>
  <c r="BE47" i="23"/>
  <c r="BE48" i="23"/>
  <c r="BG47" i="23"/>
  <c r="BG48" i="23"/>
  <c r="BH47" i="23"/>
  <c r="BI47" i="23"/>
  <c r="BJ47" i="23"/>
  <c r="BK47" i="23"/>
  <c r="BL47" i="23"/>
  <c r="BM47" i="23"/>
  <c r="BN47" i="23"/>
  <c r="BN48" i="23"/>
  <c r="BO47" i="23"/>
  <c r="BP47" i="23"/>
  <c r="BQ47" i="23"/>
  <c r="BR47" i="23"/>
  <c r="BR48" i="23"/>
  <c r="BS47" i="23"/>
  <c r="BT47" i="23"/>
  <c r="BU47" i="23"/>
  <c r="BU48" i="23"/>
  <c r="BV47" i="23"/>
  <c r="BW47" i="23"/>
  <c r="BX47" i="23"/>
  <c r="BY47" i="23"/>
  <c r="BY48" i="23"/>
  <c r="CA47" i="23"/>
  <c r="CB47" i="23"/>
  <c r="CB48" i="23"/>
  <c r="CC47" i="23"/>
  <c r="CC48" i="23"/>
  <c r="CD47" i="23"/>
  <c r="CF47" i="23"/>
  <c r="CG47" i="23"/>
  <c r="CH47" i="23"/>
  <c r="CI47" i="23"/>
  <c r="CL47" i="23"/>
  <c r="CS47" i="23"/>
  <c r="CT47" i="23"/>
  <c r="CT48" i="23"/>
  <c r="CU47" i="23"/>
  <c r="CU48" i="23"/>
  <c r="CV47" i="23"/>
  <c r="CW47" i="23"/>
  <c r="CX47" i="23"/>
  <c r="DA47" i="23"/>
  <c r="DB47" i="23"/>
  <c r="DC47" i="23"/>
  <c r="DD47" i="23"/>
  <c r="DE47" i="23"/>
  <c r="DF47" i="23"/>
  <c r="DG47" i="23"/>
  <c r="DH47" i="23"/>
  <c r="DI47" i="23"/>
  <c r="DJ47" i="23"/>
  <c r="DK47" i="23"/>
  <c r="DL47" i="23"/>
  <c r="DL48" i="23"/>
  <c r="DM47" i="23"/>
  <c r="DM48" i="23"/>
  <c r="DN47" i="23"/>
  <c r="DO47" i="23"/>
  <c r="DO48" i="23"/>
  <c r="DP47" i="23"/>
  <c r="DQ47" i="23"/>
  <c r="DR47" i="23"/>
  <c r="DS47" i="23"/>
  <c r="DT47" i="23"/>
  <c r="DU47" i="23"/>
  <c r="DV47" i="23"/>
  <c r="DV48" i="23"/>
  <c r="DW47" i="23"/>
  <c r="DX47" i="23"/>
  <c r="DY47" i="23"/>
  <c r="DY48" i="23"/>
  <c r="DZ47" i="23"/>
  <c r="EA47" i="23"/>
  <c r="EB47" i="23"/>
  <c r="EC47" i="23"/>
  <c r="EC48" i="23"/>
  <c r="ED47" i="23"/>
  <c r="EE47" i="23"/>
  <c r="EF47" i="23"/>
  <c r="E37" i="23"/>
  <c r="F37" i="23"/>
  <c r="G37" i="23"/>
  <c r="H37" i="23"/>
  <c r="I37" i="23"/>
  <c r="J37" i="23"/>
  <c r="K37" i="23"/>
  <c r="L37" i="23"/>
  <c r="M37" i="23"/>
  <c r="N37" i="23"/>
  <c r="O37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37" i="23"/>
  <c r="AD37" i="23"/>
  <c r="AE37" i="23"/>
  <c r="AF37" i="23"/>
  <c r="AG37" i="23"/>
  <c r="AH37" i="23"/>
  <c r="AI37" i="23"/>
  <c r="AJ37" i="23"/>
  <c r="AK37" i="23"/>
  <c r="AL37" i="23"/>
  <c r="AM37" i="23"/>
  <c r="AN37" i="23"/>
  <c r="AO37" i="23"/>
  <c r="AP37" i="23"/>
  <c r="AQ37" i="23"/>
  <c r="AR37" i="23"/>
  <c r="AT37" i="23"/>
  <c r="AU37" i="23"/>
  <c r="AV37" i="23"/>
  <c r="AW37" i="23"/>
  <c r="AX37" i="23"/>
  <c r="AY37" i="23"/>
  <c r="AZ37" i="23"/>
  <c r="BA37" i="23"/>
  <c r="BB37" i="23"/>
  <c r="BC37" i="23"/>
  <c r="BD37" i="23"/>
  <c r="BE37" i="23"/>
  <c r="BG37" i="23"/>
  <c r="BH37" i="23"/>
  <c r="BI37" i="23"/>
  <c r="BJ37" i="23"/>
  <c r="BL37" i="23"/>
  <c r="BM37" i="23"/>
  <c r="BN37" i="23"/>
  <c r="BO37" i="23"/>
  <c r="BP37" i="23"/>
  <c r="BQ37" i="23"/>
  <c r="BR37" i="23"/>
  <c r="BS37" i="23"/>
  <c r="BT37" i="23"/>
  <c r="BU37" i="23"/>
  <c r="BV37" i="23"/>
  <c r="BW37" i="23"/>
  <c r="BX37" i="23"/>
  <c r="BY37" i="23"/>
  <c r="CA37" i="23"/>
  <c r="CB37" i="23"/>
  <c r="CC37" i="23"/>
  <c r="CF37" i="23"/>
  <c r="CG37" i="23"/>
  <c r="CH37" i="23"/>
  <c r="CI37" i="23"/>
  <c r="CL37" i="23"/>
  <c r="H37" i="43"/>
  <c r="CS37" i="23"/>
  <c r="CT37" i="23"/>
  <c r="CU37" i="23"/>
  <c r="CV37" i="23"/>
  <c r="CW37" i="23"/>
  <c r="CX37" i="23"/>
  <c r="DA37" i="23"/>
  <c r="DB37" i="23"/>
  <c r="DC37" i="23"/>
  <c r="DD37" i="23"/>
  <c r="DE37" i="23"/>
  <c r="DF37" i="23"/>
  <c r="DG37" i="23"/>
  <c r="DH37" i="23"/>
  <c r="DI37" i="23"/>
  <c r="DJ37" i="23"/>
  <c r="DK37" i="23"/>
  <c r="DL37" i="23"/>
  <c r="DM37" i="23"/>
  <c r="DN37" i="23"/>
  <c r="DO37" i="23"/>
  <c r="DP37" i="23"/>
  <c r="DQ37" i="23"/>
  <c r="DR37" i="23"/>
  <c r="DS37" i="23"/>
  <c r="DT37" i="23"/>
  <c r="DU37" i="23"/>
  <c r="DV37" i="23"/>
  <c r="DW37" i="23"/>
  <c r="DX37" i="23"/>
  <c r="DY37" i="23"/>
  <c r="DZ37" i="23"/>
  <c r="EA37" i="23"/>
  <c r="EB37" i="23"/>
  <c r="EC37" i="23"/>
  <c r="ED37" i="23"/>
  <c r="EE37" i="23"/>
  <c r="EF37" i="23"/>
  <c r="E38" i="23"/>
  <c r="F38" i="23"/>
  <c r="G38" i="23"/>
  <c r="H38" i="23"/>
  <c r="H52" i="23"/>
  <c r="I38" i="23"/>
  <c r="I52" i="23"/>
  <c r="J38" i="23"/>
  <c r="J52" i="23"/>
  <c r="K38" i="23"/>
  <c r="L38" i="23"/>
  <c r="M38" i="23"/>
  <c r="O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AN38" i="23"/>
  <c r="AO38" i="23"/>
  <c r="AP38" i="23"/>
  <c r="AQ38" i="23"/>
  <c r="AR38" i="23"/>
  <c r="AS38" i="23"/>
  <c r="AT38" i="23"/>
  <c r="AU38" i="23"/>
  <c r="AV38" i="23"/>
  <c r="AW38" i="23"/>
  <c r="AX38" i="23"/>
  <c r="AY38" i="23"/>
  <c r="AZ38" i="23"/>
  <c r="BA38" i="23"/>
  <c r="BB38" i="23"/>
  <c r="BC38" i="23"/>
  <c r="BD38" i="23"/>
  <c r="BE38" i="23"/>
  <c r="BG38" i="23"/>
  <c r="BH38" i="23"/>
  <c r="BI38" i="23"/>
  <c r="BJ38" i="23"/>
  <c r="BK38" i="23"/>
  <c r="BL38" i="23"/>
  <c r="BM38" i="23"/>
  <c r="BN38" i="23"/>
  <c r="BO38" i="23"/>
  <c r="BP38" i="23"/>
  <c r="BQ38" i="23"/>
  <c r="BR38" i="23"/>
  <c r="BS38" i="23"/>
  <c r="BT38" i="23"/>
  <c r="BU38" i="23"/>
  <c r="BV38" i="23"/>
  <c r="BW38" i="23"/>
  <c r="BX38" i="23"/>
  <c r="BY38" i="23"/>
  <c r="CA38" i="23"/>
  <c r="CB38" i="23"/>
  <c r="CC38" i="23"/>
  <c r="CD38" i="23"/>
  <c r="CF38" i="23"/>
  <c r="CG38" i="23"/>
  <c r="CH38" i="23"/>
  <c r="CI38" i="23"/>
  <c r="CL38" i="23"/>
  <c r="CS38" i="23"/>
  <c r="CT38" i="23"/>
  <c r="CU38" i="23"/>
  <c r="CV38" i="23"/>
  <c r="CW38" i="23"/>
  <c r="CX38" i="23"/>
  <c r="DA38" i="23"/>
  <c r="DB38" i="23"/>
  <c r="DC38" i="23"/>
  <c r="DD38" i="23"/>
  <c r="DE38" i="23"/>
  <c r="DF38" i="23"/>
  <c r="DG38" i="23"/>
  <c r="DH38" i="23"/>
  <c r="DI38" i="23"/>
  <c r="DJ38" i="23"/>
  <c r="DK38" i="23"/>
  <c r="DL38" i="23"/>
  <c r="DM38" i="23"/>
  <c r="DN38" i="23"/>
  <c r="DO38" i="23"/>
  <c r="DP38" i="23"/>
  <c r="DQ38" i="23"/>
  <c r="DR38" i="23"/>
  <c r="DS38" i="23"/>
  <c r="DT38" i="23"/>
  <c r="DU38" i="23"/>
  <c r="DV38" i="23"/>
  <c r="DW38" i="23"/>
  <c r="DX38" i="23"/>
  <c r="DY38" i="23"/>
  <c r="DZ38" i="23"/>
  <c r="EA38" i="23"/>
  <c r="EB38" i="23"/>
  <c r="EC38" i="23"/>
  <c r="ED38" i="23"/>
  <c r="EE38" i="23"/>
  <c r="EF38" i="23"/>
  <c r="E27" i="23"/>
  <c r="F27" i="23"/>
  <c r="G27" i="23"/>
  <c r="H27" i="23"/>
  <c r="I27" i="23"/>
  <c r="J27" i="23"/>
  <c r="L27" i="23"/>
  <c r="M27" i="23"/>
  <c r="N27" i="23"/>
  <c r="O27" i="23"/>
  <c r="S27" i="23"/>
  <c r="U27" i="23"/>
  <c r="V27" i="23"/>
  <c r="W27" i="23"/>
  <c r="X27" i="23"/>
  <c r="AC27" i="23"/>
  <c r="AL27" i="23"/>
  <c r="AM27" i="23"/>
  <c r="AN27" i="23"/>
  <c r="AO27" i="23"/>
  <c r="AP27" i="23"/>
  <c r="AR27" i="23"/>
  <c r="AS27" i="23"/>
  <c r="AT27" i="23"/>
  <c r="AU27" i="23"/>
  <c r="AV27" i="23"/>
  <c r="AX27" i="23"/>
  <c r="AZ27" i="23"/>
  <c r="BB27" i="23"/>
  <c r="BC27" i="23"/>
  <c r="BD27" i="23"/>
  <c r="BE27" i="23"/>
  <c r="BG27" i="23"/>
  <c r="BH27" i="23"/>
  <c r="BI27" i="23"/>
  <c r="BJ27" i="23"/>
  <c r="BK27" i="23"/>
  <c r="BL27" i="23"/>
  <c r="BP27" i="23"/>
  <c r="BP29" i="23"/>
  <c r="BQ27" i="23"/>
  <c r="BQ29" i="23"/>
  <c r="BR27" i="23"/>
  <c r="BT27" i="23"/>
  <c r="BU27" i="23"/>
  <c r="BU29" i="23"/>
  <c r="BV27" i="23"/>
  <c r="BW27" i="23"/>
  <c r="BW29" i="23"/>
  <c r="CA27" i="23"/>
  <c r="CB27" i="23"/>
  <c r="CD27" i="23"/>
  <c r="CF27" i="23"/>
  <c r="CG27" i="23"/>
  <c r="CH27" i="23"/>
  <c r="CI27" i="23"/>
  <c r="CL27" i="23"/>
  <c r="CS27" i="23"/>
  <c r="DA27" i="23"/>
  <c r="DE27" i="23"/>
  <c r="DE29" i="23"/>
  <c r="DF27" i="23"/>
  <c r="DF29" i="23"/>
  <c r="DG27" i="23"/>
  <c r="DK27" i="23"/>
  <c r="DL27" i="23"/>
  <c r="DN27" i="23"/>
  <c r="DO27" i="23"/>
  <c r="DV27" i="23"/>
  <c r="DW27" i="23"/>
  <c r="DX27" i="23"/>
  <c r="DY27" i="23"/>
  <c r="DZ27" i="23"/>
  <c r="EA27" i="23"/>
  <c r="EB27" i="23"/>
  <c r="EC27" i="23"/>
  <c r="EC29" i="23"/>
  <c r="ED27" i="23"/>
  <c r="EE27" i="23"/>
  <c r="EF27" i="23"/>
  <c r="E21" i="23"/>
  <c r="F21" i="23"/>
  <c r="G21" i="23"/>
  <c r="H21" i="23"/>
  <c r="I21" i="23"/>
  <c r="J21" i="23"/>
  <c r="K21" i="23"/>
  <c r="L21" i="23"/>
  <c r="M21" i="23"/>
  <c r="N21" i="23"/>
  <c r="O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AP21" i="23"/>
  <c r="AQ21" i="23"/>
  <c r="AR21" i="23"/>
  <c r="AS21" i="23"/>
  <c r="AT21" i="23"/>
  <c r="AU21" i="23"/>
  <c r="AV21" i="23"/>
  <c r="AW21" i="23"/>
  <c r="AX21" i="23"/>
  <c r="AY21" i="23"/>
  <c r="AZ21" i="23"/>
  <c r="BA21" i="23"/>
  <c r="BB21" i="23"/>
  <c r="BC21" i="23"/>
  <c r="BD21" i="23"/>
  <c r="BE21" i="23"/>
  <c r="BG21" i="23"/>
  <c r="BH21" i="23"/>
  <c r="BI21" i="23"/>
  <c r="BJ21" i="23"/>
  <c r="BK21" i="23"/>
  <c r="BL21" i="23"/>
  <c r="BM21" i="23"/>
  <c r="BN21" i="23"/>
  <c r="BO21" i="23"/>
  <c r="BP21" i="23"/>
  <c r="BQ21" i="23"/>
  <c r="BR21" i="23"/>
  <c r="BS21" i="23"/>
  <c r="BT21" i="23"/>
  <c r="BU21" i="23"/>
  <c r="BV21" i="23"/>
  <c r="BW21" i="23"/>
  <c r="BX21" i="23"/>
  <c r="CA21" i="23"/>
  <c r="CB21" i="23"/>
  <c r="CC21" i="23"/>
  <c r="CD21" i="23"/>
  <c r="CF21" i="23"/>
  <c r="CG21" i="23"/>
  <c r="CH21" i="23"/>
  <c r="CI21" i="23"/>
  <c r="CL21" i="23"/>
  <c r="CS21" i="23"/>
  <c r="CT21" i="23"/>
  <c r="CU21" i="23"/>
  <c r="CV21" i="23"/>
  <c r="CW21" i="23"/>
  <c r="CX21" i="23"/>
  <c r="DA21" i="23"/>
  <c r="DB21" i="23"/>
  <c r="DC21" i="23"/>
  <c r="DD21" i="23"/>
  <c r="DE21" i="23"/>
  <c r="DF21" i="23"/>
  <c r="DG21" i="23"/>
  <c r="DH21" i="23"/>
  <c r="DI21" i="23"/>
  <c r="DJ21" i="23"/>
  <c r="DK21" i="23"/>
  <c r="DL21" i="23"/>
  <c r="DM21" i="23"/>
  <c r="DN21" i="23"/>
  <c r="DO21" i="23"/>
  <c r="DP21" i="23"/>
  <c r="DQ21" i="23"/>
  <c r="DR21" i="23"/>
  <c r="DS21" i="23"/>
  <c r="DT21" i="23"/>
  <c r="DU21" i="23"/>
  <c r="DV21" i="23"/>
  <c r="DW21" i="23"/>
  <c r="DX21" i="23"/>
  <c r="DY21" i="23"/>
  <c r="DZ21" i="23"/>
  <c r="EA21" i="23"/>
  <c r="EB21" i="23"/>
  <c r="EC21" i="23"/>
  <c r="ED21" i="23"/>
  <c r="EE21" i="23"/>
  <c r="EF21" i="23"/>
  <c r="E18" i="23"/>
  <c r="F18" i="23"/>
  <c r="G18" i="23"/>
  <c r="H18" i="23"/>
  <c r="I18" i="23"/>
  <c r="J18" i="23"/>
  <c r="J28" i="23"/>
  <c r="K18" i="23"/>
  <c r="K28" i="23"/>
  <c r="M18" i="23"/>
  <c r="N18" i="23"/>
  <c r="O18" i="23"/>
  <c r="O20" i="23"/>
  <c r="Q18" i="23"/>
  <c r="R18" i="23"/>
  <c r="S18" i="23"/>
  <c r="S28" i="23"/>
  <c r="T18" i="23"/>
  <c r="U18" i="23"/>
  <c r="V18" i="23"/>
  <c r="W18" i="23"/>
  <c r="W28" i="23"/>
  <c r="W29" i="23"/>
  <c r="X18" i="23"/>
  <c r="Y18" i="23"/>
  <c r="Y28" i="23"/>
  <c r="Y29" i="23"/>
  <c r="Z18" i="23"/>
  <c r="AA18" i="23"/>
  <c r="AB18" i="23"/>
  <c r="AB28" i="23"/>
  <c r="AB29" i="23"/>
  <c r="AC18" i="23"/>
  <c r="AD18" i="23"/>
  <c r="AD28" i="23"/>
  <c r="AE18" i="23"/>
  <c r="AF18" i="23"/>
  <c r="AG18" i="23"/>
  <c r="AH18" i="23"/>
  <c r="AI18" i="23"/>
  <c r="AJ18" i="23"/>
  <c r="AK18" i="23"/>
  <c r="AL18" i="23"/>
  <c r="AL28" i="23"/>
  <c r="AM18" i="23"/>
  <c r="AN18" i="23"/>
  <c r="AN20" i="23"/>
  <c r="AO18" i="23"/>
  <c r="AP18" i="23"/>
  <c r="AQ18" i="23"/>
  <c r="AR18" i="23"/>
  <c r="AS18" i="23"/>
  <c r="AT18" i="23"/>
  <c r="AT28" i="23"/>
  <c r="AU18" i="23"/>
  <c r="AV18" i="23"/>
  <c r="AW18" i="23"/>
  <c r="AX18" i="23"/>
  <c r="AY18" i="23"/>
  <c r="AZ18" i="23"/>
  <c r="BA18" i="23"/>
  <c r="BB18" i="23"/>
  <c r="BC18" i="23"/>
  <c r="BD18" i="23"/>
  <c r="BD28" i="23"/>
  <c r="BE18" i="23"/>
  <c r="BG18" i="23"/>
  <c r="BH18" i="23"/>
  <c r="BI18" i="23"/>
  <c r="BJ18" i="23"/>
  <c r="BJ20" i="23"/>
  <c r="BK18" i="23"/>
  <c r="BL18" i="23"/>
  <c r="BL28" i="23"/>
  <c r="BM18" i="23"/>
  <c r="BN18" i="23"/>
  <c r="BN28" i="23"/>
  <c r="BN29" i="23"/>
  <c r="BO18" i="23"/>
  <c r="BO20" i="23"/>
  <c r="BP18" i="23"/>
  <c r="BP28" i="23"/>
  <c r="BQ18" i="23"/>
  <c r="BQ28" i="23"/>
  <c r="BR18" i="23"/>
  <c r="BS18" i="23"/>
  <c r="BT18" i="23"/>
  <c r="BU18" i="23"/>
  <c r="BU28" i="23"/>
  <c r="BV18" i="23"/>
  <c r="BV20" i="23"/>
  <c r="BW18" i="23"/>
  <c r="BW28" i="23"/>
  <c r="BX18" i="23"/>
  <c r="BX28" i="23"/>
  <c r="BY18" i="23"/>
  <c r="BY20" i="23"/>
  <c r="CA18" i="23"/>
  <c r="CA28" i="23"/>
  <c r="CB18" i="23"/>
  <c r="CC18" i="23"/>
  <c r="CC20" i="23"/>
  <c r="CD18" i="23"/>
  <c r="CF18" i="23"/>
  <c r="CG18" i="23"/>
  <c r="CH18" i="23"/>
  <c r="CI18" i="23"/>
  <c r="CI28" i="23"/>
  <c r="CL18" i="23"/>
  <c r="CL28" i="23"/>
  <c r="CS18" i="23"/>
  <c r="CT18" i="23"/>
  <c r="CT28" i="23"/>
  <c r="CT29" i="23"/>
  <c r="CU18" i="23"/>
  <c r="CU28" i="23"/>
  <c r="CU29" i="23"/>
  <c r="CV18" i="23"/>
  <c r="CW18" i="23"/>
  <c r="CW28" i="23"/>
  <c r="CX18" i="23"/>
  <c r="DA18" i="23"/>
  <c r="DB18" i="23"/>
  <c r="DB28" i="23"/>
  <c r="DB29" i="23"/>
  <c r="DC18" i="23"/>
  <c r="DD18" i="23"/>
  <c r="DH18" i="23"/>
  <c r="DI18" i="23"/>
  <c r="DJ18" i="23"/>
  <c r="DJ28" i="23"/>
  <c r="DK18" i="23"/>
  <c r="DK28" i="23"/>
  <c r="DL18" i="23"/>
  <c r="DM18" i="23"/>
  <c r="DN18" i="23"/>
  <c r="DO18" i="23"/>
  <c r="DO28" i="23"/>
  <c r="DP18" i="23"/>
  <c r="DP28" i="23"/>
  <c r="DQ18" i="23"/>
  <c r="DQ28" i="23"/>
  <c r="DR18" i="23"/>
  <c r="DS18" i="23"/>
  <c r="DT18" i="23"/>
  <c r="DU18" i="23"/>
  <c r="DV18" i="23"/>
  <c r="DV20" i="23"/>
  <c r="DV28" i="23"/>
  <c r="DW18" i="23"/>
  <c r="DX18" i="23"/>
  <c r="DX28" i="23"/>
  <c r="DX29" i="23"/>
  <c r="DY18" i="23"/>
  <c r="DZ18" i="23"/>
  <c r="EA18" i="23"/>
  <c r="EB18" i="23"/>
  <c r="EC18" i="23"/>
  <c r="EC28" i="23"/>
  <c r="ED18" i="23"/>
  <c r="EE18" i="23"/>
  <c r="EF18" i="23"/>
  <c r="E12" i="23"/>
  <c r="F12" i="23"/>
  <c r="G12" i="23"/>
  <c r="H12" i="23"/>
  <c r="I12" i="23"/>
  <c r="J12" i="23"/>
  <c r="K12" i="23"/>
  <c r="K20" i="23"/>
  <c r="L12" i="23"/>
  <c r="M12" i="23"/>
  <c r="M20" i="23"/>
  <c r="N12" i="23"/>
  <c r="O12" i="23"/>
  <c r="Q12" i="23"/>
  <c r="R12" i="23"/>
  <c r="S12" i="23"/>
  <c r="S20" i="23"/>
  <c r="T12" i="23"/>
  <c r="U12" i="23"/>
  <c r="U20" i="23"/>
  <c r="V12" i="23"/>
  <c r="W12" i="23"/>
  <c r="X12" i="23"/>
  <c r="Y12" i="23"/>
  <c r="Y20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O20" i="23"/>
  <c r="AP12" i="23"/>
  <c r="AQ12" i="23"/>
  <c r="AR12" i="23"/>
  <c r="AS12" i="23"/>
  <c r="AT12" i="23"/>
  <c r="AU12" i="23"/>
  <c r="AV12" i="23"/>
  <c r="AW12" i="23"/>
  <c r="AX12" i="23"/>
  <c r="AY12" i="23"/>
  <c r="AY20" i="23"/>
  <c r="AZ12" i="23"/>
  <c r="BA12" i="23"/>
  <c r="BB12" i="23"/>
  <c r="BC12" i="23"/>
  <c r="BD12" i="23"/>
  <c r="BE12" i="23"/>
  <c r="BG12" i="23"/>
  <c r="BH12" i="23"/>
  <c r="BI12" i="23"/>
  <c r="BJ12" i="23"/>
  <c r="BK12" i="23"/>
  <c r="BL12" i="23"/>
  <c r="BM12" i="23"/>
  <c r="BN12" i="23"/>
  <c r="BO12" i="23"/>
  <c r="BP12" i="23"/>
  <c r="BP20" i="23"/>
  <c r="BQ12" i="23"/>
  <c r="BR12" i="23"/>
  <c r="BS12" i="23"/>
  <c r="BT12" i="23"/>
  <c r="BU12" i="23"/>
  <c r="BV12" i="23"/>
  <c r="BW12" i="23"/>
  <c r="BY12" i="23"/>
  <c r="CA12" i="23"/>
  <c r="CB12" i="23"/>
  <c r="CB20" i="23"/>
  <c r="CC12" i="23"/>
  <c r="CD12" i="23"/>
  <c r="CF12" i="23"/>
  <c r="CG12" i="23"/>
  <c r="CH12" i="23"/>
  <c r="CI12" i="23"/>
  <c r="CL12" i="23"/>
  <c r="CS12" i="23"/>
  <c r="CS20" i="23"/>
  <c r="CT12" i="23"/>
  <c r="CU12" i="23"/>
  <c r="CV12" i="23"/>
  <c r="CW12" i="23"/>
  <c r="CX12" i="23"/>
  <c r="DA12" i="23"/>
  <c r="DB12" i="23"/>
  <c r="DB20" i="23"/>
  <c r="DC12" i="23"/>
  <c r="DC20" i="23"/>
  <c r="DD12" i="23"/>
  <c r="DE12" i="23"/>
  <c r="DF12" i="23"/>
  <c r="DG12" i="23"/>
  <c r="DG20" i="23"/>
  <c r="DK12" i="23"/>
  <c r="DL12" i="23"/>
  <c r="DN12" i="23"/>
  <c r="DO12" i="23"/>
  <c r="DO20" i="23"/>
  <c r="DV12" i="23"/>
  <c r="DW12" i="23"/>
  <c r="DX12" i="23"/>
  <c r="DY12" i="23"/>
  <c r="DZ12" i="23"/>
  <c r="EA12" i="23"/>
  <c r="EB12" i="23"/>
  <c r="EC12" i="23"/>
  <c r="ED12" i="23"/>
  <c r="EE12" i="23"/>
  <c r="EF12" i="23"/>
  <c r="D12" i="23"/>
  <c r="H46" i="34"/>
  <c r="H48" i="34"/>
  <c r="I46" i="34"/>
  <c r="I48" i="34"/>
  <c r="H47" i="34"/>
  <c r="I47" i="34"/>
  <c r="H37" i="34"/>
  <c r="I37" i="34"/>
  <c r="H38" i="34"/>
  <c r="I38" i="34"/>
  <c r="H21" i="34"/>
  <c r="I21" i="34"/>
  <c r="H18" i="34"/>
  <c r="I18" i="34"/>
  <c r="I28" i="34"/>
  <c r="H12" i="34"/>
  <c r="H27" i="34"/>
  <c r="I12" i="34"/>
  <c r="I27" i="34"/>
  <c r="K12" i="34"/>
  <c r="K18" i="34"/>
  <c r="K21" i="34"/>
  <c r="K37" i="34"/>
  <c r="K38" i="34"/>
  <c r="K46" i="34"/>
  <c r="K47" i="34"/>
  <c r="K9" i="39"/>
  <c r="K10" i="39"/>
  <c r="K11" i="39"/>
  <c r="K13" i="39"/>
  <c r="K14" i="39"/>
  <c r="K15" i="39"/>
  <c r="K17" i="39"/>
  <c r="K18" i="39"/>
  <c r="K19" i="39"/>
  <c r="K22" i="39"/>
  <c r="K23" i="39"/>
  <c r="K24" i="39"/>
  <c r="K25" i="39"/>
  <c r="K26" i="39"/>
  <c r="K30" i="39"/>
  <c r="K31" i="39"/>
  <c r="K32" i="39"/>
  <c r="K33" i="39"/>
  <c r="K34" i="39"/>
  <c r="K35" i="39"/>
  <c r="K36" i="39"/>
  <c r="K39" i="39"/>
  <c r="K40" i="39"/>
  <c r="K41" i="39"/>
  <c r="K44" i="39"/>
  <c r="K45" i="39"/>
  <c r="K50" i="39"/>
  <c r="K8" i="39"/>
  <c r="W8" i="40"/>
  <c r="F7" i="31"/>
  <c r="H7" i="31"/>
  <c r="I7" i="31"/>
  <c r="K7" i="31"/>
  <c r="L7" i="31"/>
  <c r="E123" i="31"/>
  <c r="M123" i="31"/>
  <c r="E95" i="31"/>
  <c r="F23" i="27"/>
  <c r="G23" i="27"/>
  <c r="DM13" i="23"/>
  <c r="E23" i="27"/>
  <c r="F17" i="27"/>
  <c r="G17" i="27"/>
  <c r="E17" i="27"/>
  <c r="K86" i="31"/>
  <c r="K125" i="31"/>
  <c r="K44" i="31"/>
  <c r="K42" i="31"/>
  <c r="K35" i="31"/>
  <c r="K21" i="31"/>
  <c r="K10" i="31"/>
  <c r="F45" i="27"/>
  <c r="F33" i="27"/>
  <c r="F30" i="27"/>
  <c r="F19" i="27"/>
  <c r="F15" i="27"/>
  <c r="F6" i="27"/>
  <c r="G5" i="26"/>
  <c r="EH53" i="23"/>
  <c r="CT52" i="23"/>
  <c r="CX52" i="23"/>
  <c r="DB52" i="23"/>
  <c r="DE52" i="23"/>
  <c r="DF52" i="23"/>
  <c r="DF54" i="23"/>
  <c r="DG52" i="23"/>
  <c r="DH52" i="23"/>
  <c r="DH54" i="23"/>
  <c r="DI52" i="23"/>
  <c r="DJ52" i="23"/>
  <c r="DK52" i="23"/>
  <c r="DL52" i="23"/>
  <c r="DM52" i="23"/>
  <c r="DN52" i="23"/>
  <c r="DO52" i="23"/>
  <c r="DP52" i="23"/>
  <c r="DQ52" i="23"/>
  <c r="DR52" i="23"/>
  <c r="DS52" i="23"/>
  <c r="DT52" i="23"/>
  <c r="DU52" i="23"/>
  <c r="DU54" i="23"/>
  <c r="DW52" i="23"/>
  <c r="DY52" i="23"/>
  <c r="DZ52" i="23"/>
  <c r="DZ54" i="23"/>
  <c r="EA52" i="23"/>
  <c r="EC52" i="23"/>
  <c r="ED52" i="23"/>
  <c r="ED54" i="23"/>
  <c r="CT53" i="23"/>
  <c r="CX53" i="23"/>
  <c r="CX54" i="23"/>
  <c r="DE53" i="23"/>
  <c r="DF53" i="23"/>
  <c r="DH53" i="23"/>
  <c r="DJ53" i="23"/>
  <c r="DJ54" i="23"/>
  <c r="DK53" i="23"/>
  <c r="DM53" i="23"/>
  <c r="DM54" i="23"/>
  <c r="DR53" i="23"/>
  <c r="DT53" i="23"/>
  <c r="DT54" i="23"/>
  <c r="DZ53" i="23"/>
  <c r="EA53" i="23"/>
  <c r="EC53" i="23"/>
  <c r="ED53" i="23"/>
  <c r="W11" i="40"/>
  <c r="W13" i="40"/>
  <c r="W14" i="40"/>
  <c r="W15" i="40"/>
  <c r="W17" i="40"/>
  <c r="W18" i="40"/>
  <c r="W19" i="40"/>
  <c r="W22" i="40"/>
  <c r="W23" i="40"/>
  <c r="W24" i="40"/>
  <c r="W25" i="40"/>
  <c r="W26" i="40"/>
  <c r="W30" i="40"/>
  <c r="W31" i="40"/>
  <c r="W32" i="40"/>
  <c r="W33" i="40"/>
  <c r="W34" i="40"/>
  <c r="W35" i="40"/>
  <c r="W36" i="40"/>
  <c r="X37" i="40"/>
  <c r="W39" i="40"/>
  <c r="W40" i="40"/>
  <c r="W41" i="40"/>
  <c r="W44" i="40"/>
  <c r="W45" i="40"/>
  <c r="E46" i="40"/>
  <c r="F46" i="40"/>
  <c r="G46" i="40"/>
  <c r="H46" i="40"/>
  <c r="I46" i="40"/>
  <c r="J46" i="40"/>
  <c r="K46" i="40"/>
  <c r="L46" i="40"/>
  <c r="M46" i="40"/>
  <c r="N46" i="40"/>
  <c r="O46" i="40"/>
  <c r="O48" i="40"/>
  <c r="P46" i="40"/>
  <c r="Q46" i="40"/>
  <c r="R46" i="40"/>
  <c r="S46" i="40"/>
  <c r="S48" i="40"/>
  <c r="T46" i="40"/>
  <c r="U46" i="40"/>
  <c r="V46" i="40"/>
  <c r="E47" i="40"/>
  <c r="E48" i="40"/>
  <c r="F47" i="40"/>
  <c r="G47" i="40"/>
  <c r="H47" i="40"/>
  <c r="E47" i="41"/>
  <c r="E47" i="43"/>
  <c r="I47" i="40"/>
  <c r="I48" i="40"/>
  <c r="J47" i="40"/>
  <c r="K47" i="40"/>
  <c r="L47" i="40"/>
  <c r="M47" i="40"/>
  <c r="N47" i="40"/>
  <c r="O47" i="40"/>
  <c r="P47" i="40"/>
  <c r="P48" i="40"/>
  <c r="Q47" i="40"/>
  <c r="R47" i="40"/>
  <c r="S47" i="40"/>
  <c r="T47" i="40"/>
  <c r="U47" i="40"/>
  <c r="V47" i="40"/>
  <c r="V48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T37" i="40"/>
  <c r="U37" i="40"/>
  <c r="V37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T38" i="40"/>
  <c r="U38" i="40"/>
  <c r="V38" i="40"/>
  <c r="P28" i="40"/>
  <c r="R28" i="40"/>
  <c r="S28" i="40"/>
  <c r="T28" i="40"/>
  <c r="U28" i="40"/>
  <c r="V28" i="40"/>
  <c r="E21" i="40"/>
  <c r="F21" i="40"/>
  <c r="G21" i="40"/>
  <c r="H21" i="40"/>
  <c r="E21" i="41"/>
  <c r="E21" i="43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E12" i="40"/>
  <c r="F12" i="40"/>
  <c r="F27" i="40"/>
  <c r="G12" i="40"/>
  <c r="G27" i="40"/>
  <c r="H12" i="40"/>
  <c r="H27" i="40"/>
  <c r="I12" i="40"/>
  <c r="I27" i="40"/>
  <c r="J12" i="40"/>
  <c r="J27" i="40"/>
  <c r="K12" i="40"/>
  <c r="L12" i="40"/>
  <c r="M12" i="40"/>
  <c r="M27" i="40"/>
  <c r="N12" i="40"/>
  <c r="O12" i="40"/>
  <c r="O27" i="40"/>
  <c r="O29" i="40"/>
  <c r="P12" i="40"/>
  <c r="P20" i="40"/>
  <c r="Q12" i="40"/>
  <c r="Q27" i="40"/>
  <c r="Q29" i="40"/>
  <c r="R12" i="40"/>
  <c r="R20" i="40"/>
  <c r="S12" i="40"/>
  <c r="T12" i="40"/>
  <c r="T27" i="40"/>
  <c r="T29" i="40"/>
  <c r="U12" i="40"/>
  <c r="U27" i="40"/>
  <c r="U29" i="40"/>
  <c r="V12" i="40"/>
  <c r="D12" i="40"/>
  <c r="D27" i="40"/>
  <c r="D29" i="40"/>
  <c r="F86" i="31"/>
  <c r="F125" i="31"/>
  <c r="G86" i="31"/>
  <c r="G125" i="31"/>
  <c r="H86" i="31"/>
  <c r="H125" i="31"/>
  <c r="E88" i="31"/>
  <c r="F16" i="34"/>
  <c r="E89" i="31"/>
  <c r="E94" i="31"/>
  <c r="M94" i="31"/>
  <c r="E96" i="31"/>
  <c r="M96" i="31"/>
  <c r="S96" i="31"/>
  <c r="E97" i="31"/>
  <c r="M97" i="31"/>
  <c r="T97" i="31"/>
  <c r="U97" i="31"/>
  <c r="E98" i="31"/>
  <c r="M98" i="31"/>
  <c r="E99" i="31"/>
  <c r="F16" i="38"/>
  <c r="F28" i="38"/>
  <c r="E102" i="31"/>
  <c r="E103" i="31"/>
  <c r="G16" i="40"/>
  <c r="E104" i="31"/>
  <c r="H16" i="40"/>
  <c r="E105" i="31"/>
  <c r="E106" i="31"/>
  <c r="E108" i="31"/>
  <c r="M108" i="31"/>
  <c r="T108" i="31"/>
  <c r="U108" i="31"/>
  <c r="E110" i="31"/>
  <c r="E111" i="31"/>
  <c r="O16" i="40"/>
  <c r="O28" i="40"/>
  <c r="E112" i="31"/>
  <c r="M112" i="31"/>
  <c r="E114" i="31"/>
  <c r="M114" i="31"/>
  <c r="T114" i="31"/>
  <c r="U114" i="31"/>
  <c r="E115" i="31"/>
  <c r="M115" i="31"/>
  <c r="S115" i="31"/>
  <c r="E116" i="31"/>
  <c r="G16" i="35"/>
  <c r="G28" i="35"/>
  <c r="E118" i="31"/>
  <c r="E16" i="73"/>
  <c r="E120" i="31"/>
  <c r="G16" i="73"/>
  <c r="G20" i="73"/>
  <c r="E121" i="31"/>
  <c r="E124" i="31"/>
  <c r="M124" i="31"/>
  <c r="S124" i="31"/>
  <c r="E87" i="31"/>
  <c r="M87" i="31"/>
  <c r="E45" i="31"/>
  <c r="M45" i="31"/>
  <c r="T45" i="31"/>
  <c r="U45" i="31"/>
  <c r="E59" i="31"/>
  <c r="M59" i="31"/>
  <c r="T59" i="31"/>
  <c r="U59" i="31"/>
  <c r="E63" i="31"/>
  <c r="M63" i="31"/>
  <c r="T63" i="31"/>
  <c r="U63" i="31"/>
  <c r="AU16" i="23"/>
  <c r="F44" i="31"/>
  <c r="F42" i="31"/>
  <c r="F85" i="31"/>
  <c r="F126" i="31"/>
  <c r="G42" i="31"/>
  <c r="H42" i="31"/>
  <c r="I42" i="31"/>
  <c r="L42" i="31"/>
  <c r="F35" i="31"/>
  <c r="H35" i="31"/>
  <c r="I35" i="31"/>
  <c r="I85" i="31"/>
  <c r="I126" i="31"/>
  <c r="F21" i="31"/>
  <c r="H21" i="31"/>
  <c r="I21" i="31"/>
  <c r="F10" i="31"/>
  <c r="H10" i="31"/>
  <c r="I10" i="31"/>
  <c r="G9" i="24"/>
  <c r="H9" i="24"/>
  <c r="H26" i="24"/>
  <c r="F7" i="24"/>
  <c r="G7" i="24"/>
  <c r="H7" i="24"/>
  <c r="I7" i="24"/>
  <c r="F27" i="89"/>
  <c r="G45" i="27"/>
  <c r="G21" i="27"/>
  <c r="G15" i="27"/>
  <c r="F12" i="26"/>
  <c r="I12" i="26"/>
  <c r="F5" i="26"/>
  <c r="I5" i="26"/>
  <c r="E46" i="74"/>
  <c r="F46" i="74"/>
  <c r="G46" i="74"/>
  <c r="J46" i="74"/>
  <c r="E47" i="74"/>
  <c r="F47" i="74"/>
  <c r="F48" i="74"/>
  <c r="G47" i="74"/>
  <c r="J47" i="74"/>
  <c r="E37" i="74"/>
  <c r="F37" i="74"/>
  <c r="G37" i="74"/>
  <c r="J37" i="74"/>
  <c r="E38" i="74"/>
  <c r="F38" i="74"/>
  <c r="G38" i="74"/>
  <c r="J38" i="74"/>
  <c r="G28" i="74"/>
  <c r="J28" i="74"/>
  <c r="E21" i="74"/>
  <c r="F21" i="74"/>
  <c r="G21" i="74"/>
  <c r="J21" i="74"/>
  <c r="E12" i="74"/>
  <c r="F12" i="74"/>
  <c r="F27" i="74"/>
  <c r="G12" i="74"/>
  <c r="J12" i="74"/>
  <c r="J27" i="74"/>
  <c r="J29" i="74"/>
  <c r="J11" i="73"/>
  <c r="J13" i="73"/>
  <c r="J14" i="73"/>
  <c r="J15" i="73"/>
  <c r="J17" i="73"/>
  <c r="J18" i="73"/>
  <c r="J19" i="73"/>
  <c r="J22" i="73"/>
  <c r="J23" i="73"/>
  <c r="J24" i="73"/>
  <c r="J25" i="73"/>
  <c r="J26" i="73"/>
  <c r="J30" i="73"/>
  <c r="J31" i="73"/>
  <c r="J32" i="73"/>
  <c r="J33" i="73"/>
  <c r="J34" i="73"/>
  <c r="J35" i="73"/>
  <c r="J36" i="73"/>
  <c r="J39" i="73"/>
  <c r="J40" i="73"/>
  <c r="J41" i="73"/>
  <c r="J44" i="73"/>
  <c r="J45" i="73"/>
  <c r="E46" i="73"/>
  <c r="F46" i="73"/>
  <c r="F48" i="73"/>
  <c r="G46" i="73"/>
  <c r="H46" i="73"/>
  <c r="H48" i="73"/>
  <c r="I46" i="73"/>
  <c r="E47" i="73"/>
  <c r="F47" i="73"/>
  <c r="G47" i="73"/>
  <c r="G48" i="73"/>
  <c r="H47" i="73"/>
  <c r="I47" i="73"/>
  <c r="I48" i="73"/>
  <c r="E37" i="73"/>
  <c r="F37" i="73"/>
  <c r="G37" i="73"/>
  <c r="H37" i="73"/>
  <c r="I37" i="73"/>
  <c r="E38" i="73"/>
  <c r="F38" i="73"/>
  <c r="G38" i="73"/>
  <c r="H38" i="73"/>
  <c r="I38" i="73"/>
  <c r="H28" i="73"/>
  <c r="I28" i="73"/>
  <c r="E21" i="73"/>
  <c r="F21" i="73"/>
  <c r="G21" i="73"/>
  <c r="H21" i="73"/>
  <c r="I21" i="73"/>
  <c r="E12" i="73"/>
  <c r="E27" i="73"/>
  <c r="E29" i="73"/>
  <c r="F12" i="73"/>
  <c r="F27" i="73"/>
  <c r="G12" i="73"/>
  <c r="H12" i="73"/>
  <c r="H27" i="73"/>
  <c r="I12" i="73"/>
  <c r="I20" i="73"/>
  <c r="K11" i="35"/>
  <c r="K13" i="35"/>
  <c r="K14" i="35"/>
  <c r="K15" i="35"/>
  <c r="K17" i="35"/>
  <c r="K18" i="35"/>
  <c r="K19" i="35"/>
  <c r="H19" i="41"/>
  <c r="K22" i="35"/>
  <c r="H22" i="41"/>
  <c r="K23" i="35"/>
  <c r="H23" i="41"/>
  <c r="K24" i="35"/>
  <c r="K25" i="35"/>
  <c r="K26" i="35"/>
  <c r="K30" i="35"/>
  <c r="H30" i="41"/>
  <c r="K31" i="35"/>
  <c r="K32" i="35"/>
  <c r="H32" i="41"/>
  <c r="I32" i="41"/>
  <c r="K33" i="35"/>
  <c r="H33" i="41"/>
  <c r="K34" i="35"/>
  <c r="K35" i="35"/>
  <c r="K36" i="35"/>
  <c r="K39" i="35"/>
  <c r="K40" i="35"/>
  <c r="K41" i="35"/>
  <c r="K44" i="35"/>
  <c r="K45" i="35"/>
  <c r="K8" i="35"/>
  <c r="E46" i="35"/>
  <c r="F46" i="35"/>
  <c r="G46" i="35"/>
  <c r="H46" i="35"/>
  <c r="I46" i="35"/>
  <c r="J46" i="35"/>
  <c r="E47" i="35"/>
  <c r="E48" i="35"/>
  <c r="F47" i="35"/>
  <c r="F48" i="35"/>
  <c r="G47" i="35"/>
  <c r="H47" i="35"/>
  <c r="H48" i="35"/>
  <c r="I47" i="35"/>
  <c r="I48" i="35"/>
  <c r="J47" i="35"/>
  <c r="J48" i="35"/>
  <c r="E37" i="35"/>
  <c r="F37" i="35"/>
  <c r="G37" i="35"/>
  <c r="H37" i="35"/>
  <c r="I37" i="35"/>
  <c r="J37" i="35"/>
  <c r="E38" i="35"/>
  <c r="F38" i="35"/>
  <c r="G38" i="35"/>
  <c r="H38" i="35"/>
  <c r="I38" i="35"/>
  <c r="J38" i="35"/>
  <c r="E28" i="35"/>
  <c r="F28" i="35"/>
  <c r="H28" i="35"/>
  <c r="J28" i="35"/>
  <c r="E21" i="35"/>
  <c r="K21" i="35"/>
  <c r="F21" i="35"/>
  <c r="G21" i="35"/>
  <c r="H21" i="35"/>
  <c r="I21" i="35"/>
  <c r="J21" i="35"/>
  <c r="E12" i="35"/>
  <c r="E20" i="35"/>
  <c r="F12" i="35"/>
  <c r="F20" i="35"/>
  <c r="G12" i="35"/>
  <c r="H12" i="35"/>
  <c r="I12" i="35"/>
  <c r="I27" i="35"/>
  <c r="J12" i="35"/>
  <c r="J20" i="35"/>
  <c r="E46" i="39"/>
  <c r="F46" i="39"/>
  <c r="G46" i="39"/>
  <c r="H46" i="39"/>
  <c r="J46" i="39"/>
  <c r="E47" i="39"/>
  <c r="F47" i="39"/>
  <c r="G47" i="39"/>
  <c r="H47" i="39"/>
  <c r="J47" i="39"/>
  <c r="J48" i="39"/>
  <c r="E37" i="39"/>
  <c r="F37" i="39"/>
  <c r="G37" i="39"/>
  <c r="H37" i="39"/>
  <c r="K37" i="39"/>
  <c r="J37" i="39"/>
  <c r="E38" i="39"/>
  <c r="F38" i="39"/>
  <c r="G38" i="39"/>
  <c r="H38" i="39"/>
  <c r="J38" i="39"/>
  <c r="F28" i="39"/>
  <c r="H28" i="39"/>
  <c r="J28" i="39"/>
  <c r="E21" i="39"/>
  <c r="F21" i="39"/>
  <c r="G21" i="39"/>
  <c r="H21" i="39"/>
  <c r="J21" i="39"/>
  <c r="E12" i="39"/>
  <c r="E27" i="39"/>
  <c r="F12" i="39"/>
  <c r="F20" i="39"/>
  <c r="G12" i="39"/>
  <c r="H12" i="39"/>
  <c r="J12" i="39"/>
  <c r="J20" i="39"/>
  <c r="I11" i="36"/>
  <c r="H11" i="41"/>
  <c r="I13" i="36"/>
  <c r="I14" i="36"/>
  <c r="I15" i="36"/>
  <c r="I17" i="36"/>
  <c r="I18" i="36"/>
  <c r="I19" i="36"/>
  <c r="I22" i="36"/>
  <c r="I23" i="36"/>
  <c r="I24" i="36"/>
  <c r="H24" i="41"/>
  <c r="I25" i="36"/>
  <c r="I26" i="36"/>
  <c r="I30" i="36"/>
  <c r="I31" i="36"/>
  <c r="I32" i="36"/>
  <c r="I33" i="36"/>
  <c r="I34" i="36"/>
  <c r="I35" i="36"/>
  <c r="H35" i="41"/>
  <c r="I36" i="36"/>
  <c r="I39" i="36"/>
  <c r="I40" i="36"/>
  <c r="I41" i="36"/>
  <c r="H41" i="41"/>
  <c r="I44" i="36"/>
  <c r="I45" i="36"/>
  <c r="E46" i="36"/>
  <c r="F46" i="36"/>
  <c r="F48" i="36"/>
  <c r="G46" i="36"/>
  <c r="H46" i="36"/>
  <c r="E47" i="36"/>
  <c r="F47" i="36"/>
  <c r="G47" i="36"/>
  <c r="H47" i="36"/>
  <c r="H48" i="36"/>
  <c r="E37" i="36"/>
  <c r="F37" i="36"/>
  <c r="G37" i="36"/>
  <c r="H37" i="36"/>
  <c r="E38" i="36"/>
  <c r="F38" i="36"/>
  <c r="G38" i="36"/>
  <c r="H38" i="36"/>
  <c r="H28" i="36"/>
  <c r="E21" i="36"/>
  <c r="F21" i="36"/>
  <c r="G21" i="36"/>
  <c r="H21" i="36"/>
  <c r="E12" i="36"/>
  <c r="F12" i="36"/>
  <c r="F27" i="36"/>
  <c r="G12" i="36"/>
  <c r="G27" i="36"/>
  <c r="H12" i="36"/>
  <c r="E46" i="38"/>
  <c r="E48" i="38"/>
  <c r="F46" i="38"/>
  <c r="G46" i="38"/>
  <c r="H46" i="38"/>
  <c r="H48" i="38"/>
  <c r="E47" i="38"/>
  <c r="F47" i="38"/>
  <c r="F48" i="38"/>
  <c r="G47" i="38"/>
  <c r="H47" i="38"/>
  <c r="E37" i="38"/>
  <c r="F37" i="38"/>
  <c r="G37" i="38"/>
  <c r="H37" i="38"/>
  <c r="E38" i="38"/>
  <c r="F38" i="38"/>
  <c r="G38" i="38"/>
  <c r="H38" i="38"/>
  <c r="H28" i="38"/>
  <c r="E21" i="38"/>
  <c r="F21" i="38"/>
  <c r="G21" i="38"/>
  <c r="H21" i="38"/>
  <c r="E12" i="38"/>
  <c r="E27" i="38"/>
  <c r="F12" i="38"/>
  <c r="G12" i="38"/>
  <c r="G20" i="38"/>
  <c r="H12" i="38"/>
  <c r="H20" i="38"/>
  <c r="E46" i="37"/>
  <c r="E48" i="37"/>
  <c r="F46" i="37"/>
  <c r="F48" i="37"/>
  <c r="E47" i="37"/>
  <c r="F47" i="37"/>
  <c r="E37" i="37"/>
  <c r="F37" i="37"/>
  <c r="E38" i="37"/>
  <c r="F38" i="37"/>
  <c r="E21" i="37"/>
  <c r="F21" i="37"/>
  <c r="E12" i="37"/>
  <c r="E27" i="37"/>
  <c r="F12" i="37"/>
  <c r="E46" i="34"/>
  <c r="F46" i="34"/>
  <c r="F48" i="34"/>
  <c r="F48" i="41"/>
  <c r="F48" i="43"/>
  <c r="G46" i="34"/>
  <c r="M46" i="34"/>
  <c r="E47" i="34"/>
  <c r="E48" i="34"/>
  <c r="F47" i="34"/>
  <c r="G47" i="34"/>
  <c r="M47" i="34"/>
  <c r="E37" i="34"/>
  <c r="D37" i="41"/>
  <c r="F37" i="34"/>
  <c r="G37" i="34"/>
  <c r="M37" i="34"/>
  <c r="E38" i="34"/>
  <c r="F38" i="34"/>
  <c r="G38" i="34"/>
  <c r="M38" i="34"/>
  <c r="E21" i="34"/>
  <c r="F21" i="34"/>
  <c r="G21" i="34"/>
  <c r="F21" i="41"/>
  <c r="F21" i="43"/>
  <c r="M21" i="34"/>
  <c r="F18" i="34"/>
  <c r="G18" i="34"/>
  <c r="M18" i="34"/>
  <c r="M28" i="34"/>
  <c r="E12" i="34"/>
  <c r="F12" i="34"/>
  <c r="F27" i="34"/>
  <c r="G12" i="34"/>
  <c r="G27" i="34"/>
  <c r="M12" i="34"/>
  <c r="J8" i="73"/>
  <c r="Q21" i="31"/>
  <c r="Q35" i="31"/>
  <c r="Q42" i="31"/>
  <c r="Q44" i="31"/>
  <c r="Q86" i="31"/>
  <c r="N9" i="24"/>
  <c r="N7" i="24"/>
  <c r="D21" i="23"/>
  <c r="D46" i="23"/>
  <c r="D27" i="23"/>
  <c r="J16" i="29"/>
  <c r="I16" i="29"/>
  <c r="E21" i="27"/>
  <c r="ED51" i="23"/>
  <c r="C43" i="25"/>
  <c r="EN19" i="23"/>
  <c r="L19" i="43"/>
  <c r="L21" i="31"/>
  <c r="H27" i="89"/>
  <c r="G27" i="89"/>
  <c r="E27" i="89"/>
  <c r="H21" i="89"/>
  <c r="G21" i="89"/>
  <c r="F21" i="89"/>
  <c r="E21" i="89"/>
  <c r="H8" i="89"/>
  <c r="G8" i="89"/>
  <c r="F8" i="89"/>
  <c r="E8" i="89"/>
  <c r="T43" i="31"/>
  <c r="U43" i="31"/>
  <c r="V43" i="31"/>
  <c r="E21" i="29"/>
  <c r="E45" i="27"/>
  <c r="DS13" i="23"/>
  <c r="G19" i="27"/>
  <c r="Q10" i="31"/>
  <c r="C6" i="25"/>
  <c r="N35" i="31"/>
  <c r="O35" i="31"/>
  <c r="P35" i="31"/>
  <c r="D18" i="34"/>
  <c r="C64" i="25"/>
  <c r="K9" i="24"/>
  <c r="L9" i="24"/>
  <c r="M9" i="24"/>
  <c r="J49" i="38"/>
  <c r="K49" i="39"/>
  <c r="K49" i="35"/>
  <c r="J49" i="73"/>
  <c r="C47" i="25"/>
  <c r="N86" i="31"/>
  <c r="N125" i="31"/>
  <c r="O86" i="31"/>
  <c r="O125" i="31"/>
  <c r="P86" i="31"/>
  <c r="P125" i="31"/>
  <c r="P126" i="31"/>
  <c r="DI51" i="23"/>
  <c r="E5" i="26"/>
  <c r="D12" i="74"/>
  <c r="D27" i="74"/>
  <c r="D29" i="74"/>
  <c r="D21" i="74"/>
  <c r="K21" i="74"/>
  <c r="D28" i="74"/>
  <c r="D37" i="74"/>
  <c r="D12" i="73"/>
  <c r="D21" i="73"/>
  <c r="D28" i="73"/>
  <c r="D37" i="73"/>
  <c r="D12" i="35"/>
  <c r="D20" i="35"/>
  <c r="D12" i="39"/>
  <c r="D12" i="36"/>
  <c r="D20" i="36"/>
  <c r="D12" i="38"/>
  <c r="D20" i="38"/>
  <c r="J20" i="38"/>
  <c r="D12" i="37"/>
  <c r="D12" i="34"/>
  <c r="DQ51" i="23"/>
  <c r="DB51" i="23"/>
  <c r="CX51" i="23"/>
  <c r="CT51" i="23"/>
  <c r="DT51" i="23"/>
  <c r="DE51" i="23"/>
  <c r="DF51" i="23"/>
  <c r="DG51" i="23"/>
  <c r="DJ51" i="23"/>
  <c r="DK51" i="23"/>
  <c r="DL51" i="23"/>
  <c r="DM51" i="23"/>
  <c r="DN51" i="23"/>
  <c r="DO51" i="23"/>
  <c r="DP51" i="23"/>
  <c r="DR51" i="23"/>
  <c r="J51" i="23"/>
  <c r="DU51" i="23"/>
  <c r="EE51" i="23"/>
  <c r="DX51" i="23"/>
  <c r="DY51" i="23"/>
  <c r="DZ51" i="23"/>
  <c r="EA51" i="23"/>
  <c r="EB51" i="23"/>
  <c r="EC51" i="23"/>
  <c r="DW51" i="23"/>
  <c r="DS51" i="23"/>
  <c r="P42" i="31"/>
  <c r="N10" i="31"/>
  <c r="O10" i="31"/>
  <c r="P10" i="31"/>
  <c r="C20" i="25"/>
  <c r="N21" i="31"/>
  <c r="O21" i="31"/>
  <c r="P21" i="31"/>
  <c r="N42" i="31"/>
  <c r="O42" i="31"/>
  <c r="N44" i="31"/>
  <c r="P44" i="31"/>
  <c r="R85" i="31"/>
  <c r="E8" i="24"/>
  <c r="E7" i="24"/>
  <c r="M7" i="24"/>
  <c r="L7" i="24"/>
  <c r="K7" i="24"/>
  <c r="D28" i="35"/>
  <c r="D28" i="40"/>
  <c r="D28" i="39"/>
  <c r="D28" i="36"/>
  <c r="D28" i="38"/>
  <c r="D28" i="37"/>
  <c r="C23" i="25"/>
  <c r="D37" i="40"/>
  <c r="D21" i="40"/>
  <c r="W21" i="40"/>
  <c r="D37" i="39"/>
  <c r="D21" i="39"/>
  <c r="K21" i="39"/>
  <c r="D37" i="38"/>
  <c r="J37" i="38"/>
  <c r="D21" i="38"/>
  <c r="D37" i="37"/>
  <c r="D21" i="37"/>
  <c r="L21" i="37"/>
  <c r="D37" i="36"/>
  <c r="I37" i="36"/>
  <c r="J38" i="36"/>
  <c r="D21" i="36"/>
  <c r="D37" i="35"/>
  <c r="K37" i="35"/>
  <c r="D21" i="35"/>
  <c r="D47" i="23"/>
  <c r="D38" i="23"/>
  <c r="D37" i="23"/>
  <c r="EG37" i="23"/>
  <c r="D18" i="23"/>
  <c r="E33" i="27"/>
  <c r="E37" i="27"/>
  <c r="E30" i="27"/>
  <c r="E19" i="27"/>
  <c r="E15" i="27"/>
  <c r="E6" i="27"/>
  <c r="E12" i="26"/>
  <c r="J12" i="26"/>
  <c r="DG61" i="23"/>
  <c r="S43" i="31"/>
  <c r="E42" i="31"/>
  <c r="M42" i="31"/>
  <c r="DH51" i="23"/>
  <c r="O44" i="31"/>
  <c r="EL53" i="23"/>
  <c r="E109" i="31"/>
  <c r="M16" i="40"/>
  <c r="C11" i="25"/>
  <c r="E7" i="28"/>
  <c r="E20" i="28"/>
  <c r="E91" i="31"/>
  <c r="M91" i="31"/>
  <c r="T91" i="31"/>
  <c r="U91" i="31"/>
  <c r="G21" i="31"/>
  <c r="L35" i="31"/>
  <c r="E92" i="31"/>
  <c r="F16" i="36"/>
  <c r="I44" i="31"/>
  <c r="G7" i="31"/>
  <c r="E93" i="31"/>
  <c r="G16" i="36"/>
  <c r="G28" i="36"/>
  <c r="DX52" i="23"/>
  <c r="EE53" i="23"/>
  <c r="DQ53" i="23"/>
  <c r="DQ54" i="23"/>
  <c r="EB53" i="23"/>
  <c r="DY53" i="23"/>
  <c r="EB52" i="23"/>
  <c r="DL53" i="23"/>
  <c r="DP53" i="23"/>
  <c r="DO53" i="23"/>
  <c r="DO54" i="23"/>
  <c r="DU53" i="23"/>
  <c r="DG53" i="23"/>
  <c r="DG54" i="23"/>
  <c r="DS53" i="23"/>
  <c r="DS54" i="23"/>
  <c r="DB53" i="23"/>
  <c r="DW53" i="23"/>
  <c r="DI53" i="23"/>
  <c r="DN53" i="23"/>
  <c r="EH51" i="23"/>
  <c r="EH52" i="23"/>
  <c r="EH54" i="23"/>
  <c r="EG51" i="23"/>
  <c r="EL42" i="23"/>
  <c r="EL43" i="23"/>
  <c r="EL25" i="23"/>
  <c r="EL22" i="23"/>
  <c r="EN17" i="23"/>
  <c r="I10" i="36"/>
  <c r="I9" i="36"/>
  <c r="K10" i="35"/>
  <c r="J9" i="73"/>
  <c r="G6" i="27"/>
  <c r="G30" i="27"/>
  <c r="G37" i="27"/>
  <c r="G47" i="27"/>
  <c r="EE52" i="23"/>
  <c r="EN11" i="23"/>
  <c r="DX53" i="23"/>
  <c r="EF51" i="23"/>
  <c r="EI51" i="23"/>
  <c r="EG53" i="23"/>
  <c r="EN16" i="23"/>
  <c r="EL49" i="23"/>
  <c r="EG52" i="23"/>
  <c r="EF52" i="23"/>
  <c r="EN10" i="23"/>
  <c r="EN18" i="23"/>
  <c r="EN20" i="23"/>
  <c r="K47" i="27"/>
  <c r="EI57" i="23"/>
  <c r="EI52" i="23"/>
  <c r="EI54" i="23"/>
  <c r="EL37" i="23"/>
  <c r="EI53" i="23"/>
  <c r="EF53" i="23"/>
  <c r="EL33" i="23"/>
  <c r="EM21" i="23"/>
  <c r="EK53" i="23"/>
  <c r="EK56" i="23"/>
  <c r="EM30" i="23"/>
  <c r="H27" i="37"/>
  <c r="H29" i="37"/>
  <c r="BK46" i="23"/>
  <c r="BK48" i="23"/>
  <c r="EL30" i="23"/>
  <c r="H30" i="43"/>
  <c r="H23" i="43"/>
  <c r="EL23" i="23"/>
  <c r="EL10" i="23"/>
  <c r="H34" i="43"/>
  <c r="H24" i="43"/>
  <c r="EL17" i="23"/>
  <c r="N46" i="23"/>
  <c r="N48" i="23"/>
  <c r="BF48" i="23"/>
  <c r="E49" i="31"/>
  <c r="M49" i="31"/>
  <c r="H44" i="31"/>
  <c r="H85" i="31"/>
  <c r="H126" i="31"/>
  <c r="E90" i="31"/>
  <c r="M90" i="31"/>
  <c r="T90" i="31"/>
  <c r="U90" i="31"/>
  <c r="E119" i="31"/>
  <c r="E101" i="31"/>
  <c r="E16" i="40"/>
  <c r="L86" i="31"/>
  <c r="L125" i="31"/>
  <c r="I86" i="31"/>
  <c r="I125" i="31"/>
  <c r="F49" i="41"/>
  <c r="F49" i="43"/>
  <c r="E27" i="74"/>
  <c r="J27" i="37"/>
  <c r="J29" i="37"/>
  <c r="EL40" i="23"/>
  <c r="EL32" i="23"/>
  <c r="CK48" i="23"/>
  <c r="CJ20" i="23"/>
  <c r="DR27" i="23"/>
  <c r="BL48" i="23"/>
  <c r="CN48" i="23"/>
  <c r="EG8" i="23"/>
  <c r="EJ8" i="23"/>
  <c r="AS37" i="23"/>
  <c r="CH48" i="23"/>
  <c r="EG33" i="23"/>
  <c r="EJ33" i="23"/>
  <c r="CD46" i="23"/>
  <c r="CD48" i="23"/>
  <c r="DT27" i="23"/>
  <c r="EH10" i="23"/>
  <c r="EJ10" i="23"/>
  <c r="EG41" i="23"/>
  <c r="DP48" i="23"/>
  <c r="Q27" i="23"/>
  <c r="H8" i="43"/>
  <c r="EB28" i="23"/>
  <c r="EB29" i="23"/>
  <c r="G48" i="23"/>
  <c r="H35" i="43"/>
  <c r="EL35" i="23"/>
  <c r="EL31" i="23"/>
  <c r="H13" i="43"/>
  <c r="N38" i="23"/>
  <c r="EL19" i="23"/>
  <c r="DU28" i="23"/>
  <c r="DK48" i="23"/>
  <c r="AO28" i="23"/>
  <c r="AO29" i="23"/>
  <c r="DC48" i="23"/>
  <c r="CR48" i="23"/>
  <c r="DD48" i="23"/>
  <c r="BW48" i="23"/>
  <c r="DS48" i="23"/>
  <c r="AK48" i="23"/>
  <c r="BB28" i="23"/>
  <c r="BB29" i="23"/>
  <c r="BB20" i="23"/>
  <c r="DL28" i="23"/>
  <c r="DL29" i="23"/>
  <c r="EG49" i="23"/>
  <c r="EJ49" i="23"/>
  <c r="CV28" i="23"/>
  <c r="CF28" i="23"/>
  <c r="CF29" i="23"/>
  <c r="K29" i="23"/>
  <c r="DS28" i="23"/>
  <c r="M48" i="34"/>
  <c r="DZ28" i="23"/>
  <c r="U28" i="23"/>
  <c r="U29" i="23"/>
  <c r="W49" i="40"/>
  <c r="E49" i="41"/>
  <c r="E49" i="43"/>
  <c r="F48" i="39"/>
  <c r="P27" i="40"/>
  <c r="I49" i="36"/>
  <c r="H49" i="41"/>
  <c r="DW28" i="23"/>
  <c r="DW29" i="23"/>
  <c r="BJ48" i="23"/>
  <c r="CP48" i="23"/>
  <c r="D49" i="41"/>
  <c r="G49" i="41"/>
  <c r="U48" i="40"/>
  <c r="K27" i="37"/>
  <c r="H36" i="43"/>
  <c r="EL36" i="23"/>
  <c r="H11" i="43"/>
  <c r="EL11" i="23"/>
  <c r="DD28" i="23"/>
  <c r="DD29" i="23"/>
  <c r="AH28" i="23"/>
  <c r="AH29" i="23"/>
  <c r="DI28" i="23"/>
  <c r="ED28" i="23"/>
  <c r="ED20" i="23"/>
  <c r="AR48" i="23"/>
  <c r="F10" i="41"/>
  <c r="EL44" i="23"/>
  <c r="H44" i="43"/>
  <c r="EG9" i="23"/>
  <c r="DJ27" i="23"/>
  <c r="DJ29" i="23"/>
  <c r="DJ12" i="23"/>
  <c r="DJ20" i="23"/>
  <c r="H16" i="43"/>
  <c r="CS28" i="23"/>
  <c r="CS29" i="23"/>
  <c r="BV28" i="23"/>
  <c r="J20" i="23"/>
  <c r="CV27" i="23"/>
  <c r="CV29" i="23"/>
  <c r="AA28" i="23"/>
  <c r="AA29" i="23"/>
  <c r="AA20" i="23"/>
  <c r="D20" i="37"/>
  <c r="H20" i="39"/>
  <c r="H27" i="39"/>
  <c r="H29" i="39"/>
  <c r="I53" i="23"/>
  <c r="I54" i="23"/>
  <c r="AZ48" i="23"/>
  <c r="AP48" i="23"/>
  <c r="T20" i="40"/>
  <c r="F27" i="39"/>
  <c r="F29" i="39"/>
  <c r="V48" i="23"/>
  <c r="CE48" i="23"/>
  <c r="G16" i="39"/>
  <c r="G20" i="39"/>
  <c r="G48" i="40"/>
  <c r="D27" i="73"/>
  <c r="DZ48" i="23"/>
  <c r="F27" i="37"/>
  <c r="E27" i="35"/>
  <c r="J48" i="40"/>
  <c r="U20" i="40"/>
  <c r="M48" i="40"/>
  <c r="R27" i="40"/>
  <c r="R29" i="40"/>
  <c r="L48" i="40"/>
  <c r="DH48" i="23"/>
  <c r="M100" i="31"/>
  <c r="J20" i="74"/>
  <c r="EL20" i="23"/>
  <c r="BH28" i="23"/>
  <c r="BH29" i="23"/>
  <c r="BH20" i="23"/>
  <c r="M27" i="34"/>
  <c r="M20" i="34"/>
  <c r="V20" i="40"/>
  <c r="V27" i="40"/>
  <c r="V29" i="40"/>
  <c r="DR28" i="23"/>
  <c r="DK20" i="23"/>
  <c r="CC28" i="23"/>
  <c r="CC29" i="23"/>
  <c r="G27" i="39"/>
  <c r="EC20" i="23"/>
  <c r="J27" i="35"/>
  <c r="J29" i="35"/>
  <c r="BE28" i="23"/>
  <c r="BE29" i="23"/>
  <c r="BE20" i="23"/>
  <c r="BL29" i="23"/>
  <c r="BQ48" i="23"/>
  <c r="BM48" i="23"/>
  <c r="BH48" i="23"/>
  <c r="AW48" i="23"/>
  <c r="J11" i="24"/>
  <c r="D26" i="43"/>
  <c r="EJ25" i="23"/>
  <c r="EG13" i="23"/>
  <c r="D13" i="43"/>
  <c r="DQ12" i="23"/>
  <c r="DQ20" i="23"/>
  <c r="F37" i="27"/>
  <c r="F47" i="27"/>
  <c r="H37" i="27"/>
  <c r="H47" i="27"/>
  <c r="DU12" i="23"/>
  <c r="DU20" i="23"/>
  <c r="EL38" i="23"/>
  <c r="H38" i="43"/>
  <c r="H46" i="43"/>
  <c r="EL46" i="23"/>
  <c r="BI48" i="23"/>
  <c r="EJ26" i="23"/>
  <c r="DX20" i="23"/>
  <c r="BV48" i="23"/>
  <c r="AU48" i="23"/>
  <c r="CM29" i="23"/>
  <c r="BU20" i="23"/>
  <c r="BA48" i="23"/>
  <c r="EB48" i="23"/>
  <c r="Q48" i="23"/>
  <c r="CM20" i="23"/>
  <c r="CK12" i="23"/>
  <c r="CK20" i="23"/>
  <c r="DR20" i="23"/>
  <c r="AX28" i="23"/>
  <c r="AX29" i="23"/>
  <c r="AX20" i="23"/>
  <c r="AR20" i="23"/>
  <c r="AR28" i="23"/>
  <c r="AR29" i="23"/>
  <c r="CE28" i="23"/>
  <c r="CE29" i="23"/>
  <c r="N27" i="40"/>
  <c r="DC28" i="23"/>
  <c r="CT20" i="23"/>
  <c r="I27" i="73"/>
  <c r="DY28" i="23"/>
  <c r="DY29" i="23"/>
  <c r="DY20" i="23"/>
  <c r="H25" i="41"/>
  <c r="EE28" i="23"/>
  <c r="EE20" i="23"/>
  <c r="BR28" i="23"/>
  <c r="BR29" i="23"/>
  <c r="J27" i="39"/>
  <c r="J29" i="39"/>
  <c r="G48" i="74"/>
  <c r="CF20" i="23"/>
  <c r="AG28" i="23"/>
  <c r="AG29" i="23"/>
  <c r="H48" i="39"/>
  <c r="H14" i="41"/>
  <c r="I14" i="41"/>
  <c r="BL20" i="23"/>
  <c r="EA48" i="23"/>
  <c r="X48" i="23"/>
  <c r="CH17" i="23"/>
  <c r="CH20" i="23"/>
  <c r="G48" i="34"/>
  <c r="H28" i="34"/>
  <c r="I20" i="38"/>
  <c r="I27" i="38"/>
  <c r="I29" i="38"/>
  <c r="CW27" i="23"/>
  <c r="CW29" i="23"/>
  <c r="CW20" i="23"/>
  <c r="EG11" i="23"/>
  <c r="D11" i="43"/>
  <c r="AD27" i="23"/>
  <c r="AD29" i="23"/>
  <c r="EG10" i="23"/>
  <c r="AD20" i="23"/>
  <c r="E52" i="23"/>
  <c r="E54" i="23"/>
  <c r="DH28" i="23"/>
  <c r="AF28" i="23"/>
  <c r="AF29" i="23"/>
  <c r="AF20" i="23"/>
  <c r="AB20" i="23"/>
  <c r="O28" i="23"/>
  <c r="O29" i="23"/>
  <c r="G20" i="23"/>
  <c r="G28" i="23"/>
  <c r="G29" i="23"/>
  <c r="EJ35" i="23"/>
  <c r="E48" i="36"/>
  <c r="H27" i="38"/>
  <c r="H29" i="38"/>
  <c r="DA28" i="23"/>
  <c r="DA20" i="23"/>
  <c r="H27" i="74"/>
  <c r="H29" i="74"/>
  <c r="H20" i="74"/>
  <c r="F48" i="40"/>
  <c r="H20" i="34"/>
  <c r="I48" i="39"/>
  <c r="BQ20" i="23"/>
  <c r="CG48" i="23"/>
  <c r="AD48" i="23"/>
  <c r="DF20" i="23"/>
  <c r="DE20" i="23"/>
  <c r="H29" i="34"/>
  <c r="E18" i="34"/>
  <c r="I20" i="34"/>
  <c r="D19" i="41"/>
  <c r="G19" i="41"/>
  <c r="E48" i="74"/>
  <c r="Q48" i="40"/>
  <c r="AP20" i="23"/>
  <c r="AP28" i="23"/>
  <c r="AP29" i="23"/>
  <c r="BW20" i="23"/>
  <c r="AY28" i="23"/>
  <c r="AY29" i="23"/>
  <c r="U48" i="23"/>
  <c r="K48" i="23"/>
  <c r="H48" i="40"/>
  <c r="AN48" i="23"/>
  <c r="I48" i="23"/>
  <c r="N48" i="40"/>
  <c r="K48" i="34"/>
  <c r="CL20" i="23"/>
  <c r="AM48" i="23"/>
  <c r="G48" i="37"/>
  <c r="DR54" i="23"/>
  <c r="DB54" i="23"/>
  <c r="DY54" i="23"/>
  <c r="DP54" i="23"/>
  <c r="DX54" i="23"/>
  <c r="DK54" i="23"/>
  <c r="EC54" i="23"/>
  <c r="DW54" i="23"/>
  <c r="CT54" i="23"/>
  <c r="G44" i="31"/>
  <c r="G48" i="36"/>
  <c r="DN54" i="23"/>
  <c r="CA48" i="23"/>
  <c r="E48" i="23"/>
  <c r="H44" i="41"/>
  <c r="I44" i="41"/>
  <c r="M40" i="31"/>
  <c r="N12" i="34"/>
  <c r="D27" i="34"/>
  <c r="G48" i="39"/>
  <c r="AM28" i="23"/>
  <c r="AM29" i="23"/>
  <c r="AC48" i="23"/>
  <c r="K48" i="40"/>
  <c r="D20" i="40"/>
  <c r="R48" i="40"/>
  <c r="AL20" i="23"/>
  <c r="AT29" i="23"/>
  <c r="EE48" i="23"/>
  <c r="CV48" i="23"/>
  <c r="BT48" i="23"/>
  <c r="F45" i="43"/>
  <c r="CJ29" i="23"/>
  <c r="EJ36" i="23"/>
  <c r="G27" i="37"/>
  <c r="G29" i="37"/>
  <c r="G20" i="37"/>
  <c r="DQ27" i="23"/>
  <c r="DQ29" i="23"/>
  <c r="U14" i="94"/>
  <c r="F13" i="94"/>
  <c r="F12" i="94"/>
  <c r="F46" i="94"/>
  <c r="C5" i="88"/>
  <c r="E52" i="88"/>
  <c r="D16" i="91"/>
  <c r="P20" i="95"/>
  <c r="O25" i="95"/>
  <c r="O27" i="95"/>
  <c r="D14" i="96"/>
  <c r="D16" i="96"/>
  <c r="G26" i="96"/>
  <c r="G28" i="96"/>
  <c r="G29" i="96"/>
  <c r="U18" i="94"/>
  <c r="G45" i="41"/>
  <c r="G32" i="41"/>
  <c r="F30" i="43"/>
  <c r="L37" i="37"/>
  <c r="H31" i="41"/>
  <c r="I20" i="37"/>
  <c r="I27" i="37"/>
  <c r="E39" i="43"/>
  <c r="E35" i="43"/>
  <c r="G44" i="41"/>
  <c r="G36" i="41"/>
  <c r="G31" i="41"/>
  <c r="I31" i="41"/>
  <c r="G24" i="41"/>
  <c r="G14" i="41"/>
  <c r="D44" i="43"/>
  <c r="G11" i="41"/>
  <c r="CN16" i="23"/>
  <c r="J16" i="34"/>
  <c r="I51" i="23"/>
  <c r="EK51" i="23"/>
  <c r="EK54" i="23"/>
  <c r="DW20" i="23"/>
  <c r="CX28" i="23"/>
  <c r="CX20" i="23"/>
  <c r="L27" i="40"/>
  <c r="J29" i="23"/>
  <c r="DW48" i="23"/>
  <c r="DN20" i="23"/>
  <c r="DN28" i="23"/>
  <c r="CW48" i="23"/>
  <c r="CS48" i="23"/>
  <c r="L12" i="37"/>
  <c r="D27" i="37"/>
  <c r="J48" i="74"/>
  <c r="T48" i="40"/>
  <c r="CU20" i="23"/>
  <c r="BJ28" i="23"/>
  <c r="BJ29" i="23"/>
  <c r="K12" i="74"/>
  <c r="O13" i="95"/>
  <c r="O15" i="95"/>
  <c r="H14" i="96"/>
  <c r="H16" i="96"/>
  <c r="H29" i="96"/>
  <c r="P21" i="95"/>
  <c r="E14" i="96"/>
  <c r="E16" i="96"/>
  <c r="E29" i="96"/>
  <c r="EL21" i="23"/>
  <c r="H21" i="43"/>
  <c r="AM20" i="23"/>
  <c r="AA48" i="23"/>
  <c r="G27" i="73"/>
  <c r="CI48" i="23"/>
  <c r="Q30" i="94"/>
  <c r="Q29" i="94"/>
  <c r="Q46" i="94"/>
  <c r="I26" i="96"/>
  <c r="I28" i="96"/>
  <c r="I10" i="92"/>
  <c r="B19" i="97"/>
  <c r="CD16" i="23"/>
  <c r="CD20" i="23"/>
  <c r="H13" i="41"/>
  <c r="E23" i="88"/>
  <c r="C22" i="88"/>
  <c r="P22" i="96"/>
  <c r="M39" i="31"/>
  <c r="M26" i="31"/>
  <c r="M21" i="31"/>
  <c r="T21" i="31"/>
  <c r="G28" i="73"/>
  <c r="G29" i="73"/>
  <c r="CB28" i="23"/>
  <c r="CB29" i="23"/>
  <c r="AW16" i="23"/>
  <c r="CQ16" i="23"/>
  <c r="CQ20" i="23"/>
  <c r="AJ16" i="23"/>
  <c r="AJ20" i="23"/>
  <c r="G33" i="41"/>
  <c r="F8" i="43"/>
  <c r="M37" i="37"/>
  <c r="J10" i="73"/>
  <c r="F27" i="38"/>
  <c r="F29" i="38"/>
  <c r="J10" i="38"/>
  <c r="J27" i="34"/>
  <c r="N10" i="34"/>
  <c r="H10" i="41"/>
  <c r="E10" i="41"/>
  <c r="E10" i="43"/>
  <c r="K27" i="40"/>
  <c r="S27" i="40"/>
  <c r="S29" i="40"/>
  <c r="S20" i="40"/>
  <c r="N9" i="34"/>
  <c r="E27" i="34"/>
  <c r="D8" i="41"/>
  <c r="D8" i="43"/>
  <c r="E27" i="36"/>
  <c r="I8" i="36"/>
  <c r="EH8" i="23"/>
  <c r="E8" i="43"/>
  <c r="AH27" i="23"/>
  <c r="AH20" i="23"/>
  <c r="F47" i="41"/>
  <c r="F47" i="43"/>
  <c r="E27" i="40"/>
  <c r="W9" i="40"/>
  <c r="H29" i="43"/>
  <c r="EL29" i="23"/>
  <c r="F22" i="43"/>
  <c r="K37" i="38"/>
  <c r="I29" i="37"/>
  <c r="E15" i="26"/>
  <c r="D52" i="23"/>
  <c r="D27" i="35"/>
  <c r="D29" i="35"/>
  <c r="D28" i="34"/>
  <c r="D18" i="41"/>
  <c r="F16" i="37"/>
  <c r="F28" i="37"/>
  <c r="F20" i="37"/>
  <c r="M95" i="31"/>
  <c r="T95" i="31"/>
  <c r="U95" i="31"/>
  <c r="N21" i="34"/>
  <c r="H12" i="43"/>
  <c r="EL12" i="23"/>
  <c r="D20" i="34"/>
  <c r="F12" i="41"/>
  <c r="F12" i="43"/>
  <c r="K27" i="34"/>
  <c r="K20" i="34"/>
  <c r="AG48" i="23"/>
  <c r="J53" i="23"/>
  <c r="J54" i="23"/>
  <c r="G27" i="74"/>
  <c r="G29" i="74"/>
  <c r="G20" i="74"/>
  <c r="E46" i="41"/>
  <c r="V28" i="23"/>
  <c r="V29" i="23"/>
  <c r="N28" i="23"/>
  <c r="N29" i="23"/>
  <c r="N20" i="23"/>
  <c r="D29" i="34"/>
  <c r="H27" i="36"/>
  <c r="H29" i="36"/>
  <c r="H20" i="36"/>
  <c r="I12" i="36"/>
  <c r="J20" i="36"/>
  <c r="T115" i="31"/>
  <c r="U115" i="31"/>
  <c r="Z28" i="23"/>
  <c r="Z29" i="23"/>
  <c r="AL29" i="23"/>
  <c r="D27" i="36"/>
  <c r="I27" i="36"/>
  <c r="D42" i="36"/>
  <c r="I21" i="36"/>
  <c r="EB20" i="23"/>
  <c r="DL20" i="23"/>
  <c r="DG48" i="23"/>
  <c r="AI48" i="23"/>
  <c r="E30" i="43"/>
  <c r="I30" i="43"/>
  <c r="K37" i="74"/>
  <c r="AQ48" i="23"/>
  <c r="F11" i="43"/>
  <c r="U35" i="94"/>
  <c r="E30" i="94"/>
  <c r="DD20" i="23"/>
  <c r="F28" i="23"/>
  <c r="F29" i="23"/>
  <c r="F20" i="23"/>
  <c r="BX48" i="23"/>
  <c r="BP48" i="23"/>
  <c r="AX48" i="23"/>
  <c r="Y48" i="23"/>
  <c r="AL48" i="23"/>
  <c r="D18" i="91"/>
  <c r="D26" i="91"/>
  <c r="D27" i="91"/>
  <c r="I30" i="94"/>
  <c r="I29" i="94"/>
  <c r="H9" i="43"/>
  <c r="EL9" i="23"/>
  <c r="N26" i="96"/>
  <c r="N28" i="96"/>
  <c r="J48" i="37"/>
  <c r="E61" i="88"/>
  <c r="E50" i="88"/>
  <c r="H13" i="94"/>
  <c r="H12" i="94"/>
  <c r="N30" i="94"/>
  <c r="N29" i="94"/>
  <c r="EL47" i="23"/>
  <c r="H47" i="43"/>
  <c r="EJ40" i="23"/>
  <c r="EJ9" i="23"/>
  <c r="D51" i="65"/>
  <c r="EJ32" i="23"/>
  <c r="K27" i="95"/>
  <c r="K28" i="95"/>
  <c r="G28" i="95"/>
  <c r="H28" i="95"/>
  <c r="L28" i="95"/>
  <c r="E28" i="95"/>
  <c r="I28" i="95"/>
  <c r="M28" i="95"/>
  <c r="F28" i="95"/>
  <c r="J28" i="95"/>
  <c r="N28" i="95"/>
  <c r="D29" i="95"/>
  <c r="E5" i="95"/>
  <c r="E29" i="95"/>
  <c r="F5" i="95"/>
  <c r="F29" i="95"/>
  <c r="G5" i="95"/>
  <c r="G29" i="95"/>
  <c r="H5" i="95"/>
  <c r="H29" i="95"/>
  <c r="I5" i="95"/>
  <c r="I29" i="95"/>
  <c r="J5" i="95"/>
  <c r="J29" i="95"/>
  <c r="K5" i="95"/>
  <c r="K29" i="95"/>
  <c r="L5" i="95"/>
  <c r="L29" i="95"/>
  <c r="M5" i="95"/>
  <c r="M29" i="95"/>
  <c r="N5" i="95"/>
  <c r="N29" i="95"/>
  <c r="O5" i="95"/>
  <c r="O29" i="95"/>
  <c r="D28" i="95"/>
  <c r="C19" i="97"/>
  <c r="E19" i="97"/>
  <c r="C5" i="94"/>
  <c r="U5" i="94"/>
  <c r="E15" i="92"/>
  <c r="H26" i="96"/>
  <c r="H28" i="96"/>
  <c r="P19" i="96"/>
  <c r="D26" i="96"/>
  <c r="D28" i="96"/>
  <c r="G8" i="97"/>
  <c r="I11" i="92"/>
  <c r="I12" i="92"/>
  <c r="L28" i="23"/>
  <c r="E17" i="24"/>
  <c r="F9" i="24"/>
  <c r="F26" i="24"/>
  <c r="BT16" i="23"/>
  <c r="CA20" i="23"/>
  <c r="M41" i="31"/>
  <c r="G28" i="39"/>
  <c r="G29" i="39"/>
  <c r="M118" i="31"/>
  <c r="T118" i="31"/>
  <c r="U118" i="31"/>
  <c r="S118" i="31"/>
  <c r="M103" i="31"/>
  <c r="T103" i="31"/>
  <c r="U103" i="31"/>
  <c r="E16" i="38"/>
  <c r="E20" i="38"/>
  <c r="F20" i="38"/>
  <c r="M93" i="31"/>
  <c r="T93" i="31"/>
  <c r="U93" i="31"/>
  <c r="M92" i="31"/>
  <c r="T92" i="31"/>
  <c r="U92" i="31"/>
  <c r="M99" i="31"/>
  <c r="M104" i="31"/>
  <c r="S104" i="31"/>
  <c r="M109" i="31"/>
  <c r="T109" i="31"/>
  <c r="U109" i="31"/>
  <c r="O20" i="40"/>
  <c r="G20" i="35"/>
  <c r="E16" i="37"/>
  <c r="L16" i="37"/>
  <c r="E20" i="37"/>
  <c r="L20" i="37"/>
  <c r="S114" i="31"/>
  <c r="Q20" i="40"/>
  <c r="AJ28" i="23"/>
  <c r="AJ29" i="23"/>
  <c r="E16" i="34"/>
  <c r="L16" i="40"/>
  <c r="P85" i="31"/>
  <c r="H20" i="40"/>
  <c r="S94" i="31"/>
  <c r="T94" i="31"/>
  <c r="U94" i="31"/>
  <c r="G29" i="36"/>
  <c r="G20" i="36"/>
  <c r="T98" i="31"/>
  <c r="U98" i="31"/>
  <c r="S98" i="31"/>
  <c r="I16" i="23"/>
  <c r="E16" i="74"/>
  <c r="CQ28" i="23"/>
  <c r="CQ29" i="23"/>
  <c r="G28" i="38"/>
  <c r="AK16" i="23"/>
  <c r="AK20" i="23"/>
  <c r="T124" i="31"/>
  <c r="U124" i="31"/>
  <c r="M107" i="31"/>
  <c r="T107" i="31"/>
  <c r="U107" i="31"/>
  <c r="F16" i="74"/>
  <c r="F20" i="74"/>
  <c r="K85" i="31"/>
  <c r="K126" i="31"/>
  <c r="E62" i="31"/>
  <c r="AQ16" i="23"/>
  <c r="S91" i="31"/>
  <c r="E16" i="36"/>
  <c r="I16" i="36"/>
  <c r="Q16" i="23"/>
  <c r="M88" i="31"/>
  <c r="O85" i="31"/>
  <c r="O126" i="31"/>
  <c r="Q85" i="31"/>
  <c r="Q126" i="31"/>
  <c r="L53" i="43"/>
  <c r="E16" i="39"/>
  <c r="E28" i="39"/>
  <c r="M121" i="31"/>
  <c r="S112" i="31"/>
  <c r="T112" i="31"/>
  <c r="U112" i="31"/>
  <c r="M102" i="31"/>
  <c r="T102" i="31"/>
  <c r="U102" i="31"/>
  <c r="F16" i="40"/>
  <c r="F28" i="40"/>
  <c r="F29" i="40"/>
  <c r="E16" i="23"/>
  <c r="S97" i="31"/>
  <c r="M20" i="40"/>
  <c r="M28" i="40"/>
  <c r="M29" i="40"/>
  <c r="CP16" i="23"/>
  <c r="CP20" i="23"/>
  <c r="M82" i="31"/>
  <c r="BF16" i="23"/>
  <c r="BF28" i="23"/>
  <c r="BF29" i="23"/>
  <c r="E28" i="73"/>
  <c r="S42" i="31"/>
  <c r="T42" i="31"/>
  <c r="U42" i="31"/>
  <c r="V42" i="31"/>
  <c r="N85" i="31"/>
  <c r="N126" i="31"/>
  <c r="M105" i="31"/>
  <c r="T105" i="31"/>
  <c r="U105" i="31"/>
  <c r="I16" i="40"/>
  <c r="G28" i="40"/>
  <c r="G29" i="40"/>
  <c r="G20" i="40"/>
  <c r="E20" i="41"/>
  <c r="E36" i="31"/>
  <c r="G35" i="31"/>
  <c r="G85" i="31"/>
  <c r="E14" i="31"/>
  <c r="M14" i="31"/>
  <c r="M10" i="31"/>
  <c r="T10" i="31"/>
  <c r="G10" i="31"/>
  <c r="K20" i="40"/>
  <c r="K28" i="40"/>
  <c r="CR16" i="23"/>
  <c r="CR20" i="23"/>
  <c r="CR28" i="23"/>
  <c r="CR29" i="23"/>
  <c r="M84" i="31"/>
  <c r="M101" i="31"/>
  <c r="T101" i="31"/>
  <c r="I16" i="35"/>
  <c r="EG50" i="23"/>
  <c r="H28" i="40"/>
  <c r="H29" i="40"/>
  <c r="M116" i="31"/>
  <c r="T116" i="31"/>
  <c r="U116" i="31"/>
  <c r="S116" i="31"/>
  <c r="E7" i="31"/>
  <c r="CN20" i="23"/>
  <c r="CN28" i="23"/>
  <c r="CN29" i="23"/>
  <c r="M110" i="31"/>
  <c r="S110" i="31"/>
  <c r="N16" i="40"/>
  <c r="G16" i="34"/>
  <c r="M89" i="31"/>
  <c r="T96" i="31"/>
  <c r="U96" i="31"/>
  <c r="M106" i="31"/>
  <c r="J16" i="40"/>
  <c r="J20" i="40"/>
  <c r="M120" i="31"/>
  <c r="T120" i="31"/>
  <c r="U120" i="31"/>
  <c r="M111" i="31"/>
  <c r="AI16" i="23"/>
  <c r="AI20" i="23"/>
  <c r="L10" i="31"/>
  <c r="L85" i="31"/>
  <c r="L126" i="31"/>
  <c r="E11" i="31"/>
  <c r="BZ20" i="23"/>
  <c r="BZ28" i="23"/>
  <c r="BZ29" i="23"/>
  <c r="M26" i="24"/>
  <c r="J21" i="24"/>
  <c r="N26" i="24"/>
  <c r="G26" i="24"/>
  <c r="BK17" i="23"/>
  <c r="BK20" i="23"/>
  <c r="J18" i="24"/>
  <c r="L26" i="24"/>
  <c r="K26" i="24"/>
  <c r="E16" i="24"/>
  <c r="J16" i="24"/>
  <c r="CG17" i="23"/>
  <c r="J10" i="24"/>
  <c r="AU28" i="23"/>
  <c r="AU29" i="23"/>
  <c r="AU20" i="23"/>
  <c r="J8" i="24"/>
  <c r="J7" i="24"/>
  <c r="P7" i="24"/>
  <c r="Q7" i="24"/>
  <c r="P8" i="24"/>
  <c r="Q8" i="24"/>
  <c r="I9" i="24"/>
  <c r="I26" i="24"/>
  <c r="CH28" i="23"/>
  <c r="CH29" i="23"/>
  <c r="J19" i="24"/>
  <c r="M29" i="96"/>
  <c r="L29" i="96"/>
  <c r="I29" i="96"/>
  <c r="J29" i="96"/>
  <c r="D39" i="43"/>
  <c r="G39" i="43"/>
  <c r="E45" i="91"/>
  <c r="EJ45" i="23"/>
  <c r="EJ15" i="23"/>
  <c r="EJ31" i="23"/>
  <c r="EJ11" i="23"/>
  <c r="CD28" i="23"/>
  <c r="CD29" i="23"/>
  <c r="DG28" i="23"/>
  <c r="DG29" i="23"/>
  <c r="DO29" i="23"/>
  <c r="S92" i="31"/>
  <c r="E28" i="37"/>
  <c r="E29" i="37"/>
  <c r="E28" i="74"/>
  <c r="E29" i="74"/>
  <c r="E20" i="74"/>
  <c r="T88" i="31"/>
  <c r="U88" i="31"/>
  <c r="S88" i="31"/>
  <c r="U101" i="31"/>
  <c r="S101" i="31"/>
  <c r="M36" i="31"/>
  <c r="M35" i="31"/>
  <c r="S35" i="31"/>
  <c r="CP28" i="23"/>
  <c r="CP29" i="23"/>
  <c r="S106" i="31"/>
  <c r="T106" i="31"/>
  <c r="U106" i="31"/>
  <c r="T110" i="31"/>
  <c r="U110" i="31"/>
  <c r="T89" i="31"/>
  <c r="U89" i="31"/>
  <c r="E10" i="31"/>
  <c r="M11" i="31"/>
  <c r="G28" i="34"/>
  <c r="G20" i="34"/>
  <c r="J28" i="40"/>
  <c r="J29" i="40"/>
  <c r="BK28" i="23"/>
  <c r="BK29" i="23"/>
  <c r="T35" i="31"/>
  <c r="G29" i="34"/>
  <c r="EA28" i="23"/>
  <c r="EA29" i="23"/>
  <c r="EA20" i="23"/>
  <c r="DT28" i="23"/>
  <c r="DT29" i="23"/>
  <c r="DT20" i="23"/>
  <c r="DM28" i="23"/>
  <c r="EH37" i="23"/>
  <c r="EH46" i="23"/>
  <c r="E46" i="43"/>
  <c r="L48" i="23"/>
  <c r="H53" i="23"/>
  <c r="H54" i="23"/>
  <c r="H48" i="23"/>
  <c r="EJ42" i="23"/>
  <c r="DC29" i="23"/>
  <c r="CI20" i="23"/>
  <c r="H18" i="43"/>
  <c r="EL18" i="23"/>
  <c r="AZ20" i="23"/>
  <c r="AZ28" i="23"/>
  <c r="AZ29" i="23"/>
  <c r="CI29" i="23"/>
  <c r="S29" i="23"/>
  <c r="L29" i="23"/>
  <c r="EH38" i="23"/>
  <c r="EB54" i="23"/>
  <c r="BC28" i="23"/>
  <c r="BC29" i="23"/>
  <c r="BC20" i="23"/>
  <c r="M28" i="23"/>
  <c r="EH18" i="23"/>
  <c r="E18" i="43"/>
  <c r="EH21" i="23"/>
  <c r="ED29" i="23"/>
  <c r="DZ29" i="23"/>
  <c r="DE48" i="23"/>
  <c r="D22" i="43"/>
  <c r="I22" i="43"/>
  <c r="EJ22" i="23"/>
  <c r="EL48" i="23"/>
  <c r="H48" i="43"/>
  <c r="AW20" i="23"/>
  <c r="AW28" i="23"/>
  <c r="AW29" i="23"/>
  <c r="EL28" i="23"/>
  <c r="H28" i="43"/>
  <c r="H27" i="43"/>
  <c r="EL27" i="23"/>
  <c r="W20" i="23"/>
  <c r="D53" i="23"/>
  <c r="D54" i="23"/>
  <c r="D48" i="23"/>
  <c r="EG46" i="23"/>
  <c r="EJ46" i="23"/>
  <c r="BG28" i="23"/>
  <c r="BG29" i="23"/>
  <c r="BG20" i="23"/>
  <c r="AE20" i="23"/>
  <c r="AE28" i="23"/>
  <c r="AE29" i="23"/>
  <c r="T28" i="23"/>
  <c r="T29" i="23"/>
  <c r="T20" i="23"/>
  <c r="EH47" i="23"/>
  <c r="CL48" i="23"/>
  <c r="CF48" i="23"/>
  <c r="F39" i="43"/>
  <c r="H20" i="43"/>
  <c r="EE54" i="23"/>
  <c r="DI54" i="23"/>
  <c r="DZ20" i="23"/>
  <c r="DJ48" i="23"/>
  <c r="AE48" i="23"/>
  <c r="CX29" i="23"/>
  <c r="H14" i="43"/>
  <c r="EL14" i="23"/>
  <c r="CY29" i="23"/>
  <c r="BF20" i="23"/>
  <c r="EH19" i="23"/>
  <c r="EL41" i="23"/>
  <c r="DR29" i="23"/>
  <c r="BN20" i="23"/>
  <c r="AN28" i="23"/>
  <c r="AN29" i="23"/>
  <c r="CA29" i="23"/>
  <c r="EF48" i="23"/>
  <c r="DB48" i="23"/>
  <c r="AT48" i="23"/>
  <c r="O48" i="23"/>
  <c r="CK29" i="23"/>
  <c r="CO20" i="23"/>
  <c r="AT20" i="23"/>
  <c r="BD29" i="23"/>
  <c r="EG38" i="23"/>
  <c r="EJ38" i="23"/>
  <c r="BS48" i="23"/>
  <c r="BO48" i="23"/>
  <c r="S48" i="23"/>
  <c r="CZ20" i="23"/>
  <c r="CY20" i="23"/>
  <c r="D48" i="91"/>
  <c r="W18" i="94"/>
  <c r="D46" i="94"/>
  <c r="M29" i="23"/>
  <c r="E19" i="43"/>
  <c r="EJ19" i="23"/>
  <c r="E20" i="36"/>
  <c r="E28" i="36"/>
  <c r="E28" i="38"/>
  <c r="J16" i="38"/>
  <c r="J17" i="24"/>
  <c r="H17" i="23"/>
  <c r="K16" i="39"/>
  <c r="L20" i="39"/>
  <c r="M62" i="31"/>
  <c r="E44" i="31"/>
  <c r="EJ37" i="23"/>
  <c r="E20" i="23"/>
  <c r="E28" i="23"/>
  <c r="E29" i="23"/>
  <c r="L28" i="40"/>
  <c r="L29" i="40"/>
  <c r="E29" i="41"/>
  <c r="E16" i="41"/>
  <c r="L20" i="40"/>
  <c r="D29" i="73"/>
  <c r="M119" i="31"/>
  <c r="T119" i="31"/>
  <c r="U119" i="31"/>
  <c r="F16" i="73"/>
  <c r="J16" i="73"/>
  <c r="EF54" i="23"/>
  <c r="F20" i="36"/>
  <c r="F28" i="36"/>
  <c r="F29" i="36"/>
  <c r="H20" i="35"/>
  <c r="H27" i="35"/>
  <c r="H29" i="35"/>
  <c r="J37" i="73"/>
  <c r="F15" i="26"/>
  <c r="J5" i="26"/>
  <c r="M70" i="31"/>
  <c r="BA16" i="23"/>
  <c r="E86" i="31"/>
  <c r="E125" i="31"/>
  <c r="H46" i="94"/>
  <c r="M113" i="31"/>
  <c r="P20" i="23"/>
  <c r="I29" i="73"/>
  <c r="D27" i="39"/>
  <c r="D20" i="39"/>
  <c r="K12" i="39"/>
  <c r="E38" i="41"/>
  <c r="E38" i="43"/>
  <c r="W37" i="40"/>
  <c r="DM12" i="23"/>
  <c r="DM20" i="23"/>
  <c r="DM27" i="23"/>
  <c r="DM29" i="23"/>
  <c r="F37" i="41"/>
  <c r="F37" i="43"/>
  <c r="N37" i="34"/>
  <c r="E28" i="41"/>
  <c r="E20" i="34"/>
  <c r="K29" i="40"/>
  <c r="T104" i="31"/>
  <c r="U104" i="31"/>
  <c r="E21" i="31"/>
  <c r="U21" i="31"/>
  <c r="Q28" i="23"/>
  <c r="Q29" i="23"/>
  <c r="Q20" i="23"/>
  <c r="D29" i="36"/>
  <c r="E29" i="94"/>
  <c r="U29" i="94"/>
  <c r="W27" i="40"/>
  <c r="D42" i="40"/>
  <c r="N27" i="34"/>
  <c r="BO28" i="23"/>
  <c r="BO29" i="23"/>
  <c r="P29" i="40"/>
  <c r="E20" i="40"/>
  <c r="E28" i="40"/>
  <c r="DL54" i="23"/>
  <c r="E9" i="24"/>
  <c r="D16" i="23"/>
  <c r="D28" i="23"/>
  <c r="D29" i="23"/>
  <c r="AV16" i="23"/>
  <c r="D8" i="29"/>
  <c r="F27" i="41"/>
  <c r="D29" i="37"/>
  <c r="U31" i="94"/>
  <c r="K29" i="37"/>
  <c r="EG54" i="23"/>
  <c r="F38" i="41"/>
  <c r="F38" i="43"/>
  <c r="Z20" i="23"/>
  <c r="EG47" i="23"/>
  <c r="EJ47" i="23"/>
  <c r="D33" i="43"/>
  <c r="I33" i="43"/>
  <c r="J33" i="43"/>
  <c r="DU29" i="23"/>
  <c r="EJ41" i="23"/>
  <c r="K27" i="74"/>
  <c r="D42" i="74"/>
  <c r="J12" i="38"/>
  <c r="D27" i="38"/>
  <c r="D29" i="38"/>
  <c r="M29" i="34"/>
  <c r="J21" i="73"/>
  <c r="AS28" i="23"/>
  <c r="AS29" i="23"/>
  <c r="AS20" i="23"/>
  <c r="DN29" i="23"/>
  <c r="P25" i="95"/>
  <c r="K28" i="34"/>
  <c r="N18" i="34"/>
  <c r="H18" i="41"/>
  <c r="EF28" i="23"/>
  <c r="EF29" i="23"/>
  <c r="EF20" i="23"/>
  <c r="BM20" i="23"/>
  <c r="BM28" i="23"/>
  <c r="BM29" i="23"/>
  <c r="EG18" i="23"/>
  <c r="EJ18" i="23"/>
  <c r="EE29" i="23"/>
  <c r="AG20" i="23"/>
  <c r="E34" i="43"/>
  <c r="I34" i="43"/>
  <c r="J34" i="43"/>
  <c r="D36" i="43"/>
  <c r="I36" i="43"/>
  <c r="D32" i="43"/>
  <c r="G32" i="43"/>
  <c r="D8" i="90"/>
  <c r="E30" i="91"/>
  <c r="F30" i="91"/>
  <c r="D25" i="43"/>
  <c r="I25" i="43"/>
  <c r="J25" i="43"/>
  <c r="G13" i="94"/>
  <c r="G12" i="94"/>
  <c r="U12" i="94"/>
  <c r="E46" i="94"/>
  <c r="J12" i="73"/>
  <c r="C67" i="25"/>
  <c r="G68" i="25"/>
  <c r="C68" i="25"/>
  <c r="F46" i="41"/>
  <c r="F46" i="43"/>
  <c r="G48" i="38"/>
  <c r="I29" i="34"/>
  <c r="BI28" i="23"/>
  <c r="BI29" i="23"/>
  <c r="BI20" i="23"/>
  <c r="L20" i="23"/>
  <c r="M50" i="31"/>
  <c r="R16" i="23"/>
  <c r="DP27" i="23"/>
  <c r="DP29" i="23"/>
  <c r="DP12" i="23"/>
  <c r="DP20" i="23"/>
  <c r="G15" i="26"/>
  <c r="T46" i="94"/>
  <c r="I46" i="94"/>
  <c r="D20" i="73"/>
  <c r="W12" i="40"/>
  <c r="J21" i="38"/>
  <c r="F18" i="41"/>
  <c r="BR20" i="23"/>
  <c r="BV29" i="23"/>
  <c r="W48" i="23"/>
  <c r="EJ44" i="23"/>
  <c r="O46" i="94"/>
  <c r="N46" i="94"/>
  <c r="N29" i="96"/>
  <c r="D40" i="41"/>
  <c r="D40" i="43"/>
  <c r="I40" i="43"/>
  <c r="J40" i="38"/>
  <c r="H40" i="41"/>
  <c r="O16" i="96"/>
  <c r="O29" i="96"/>
  <c r="O26" i="96"/>
  <c r="O28" i="96"/>
  <c r="P26" i="96"/>
  <c r="P28" i="96"/>
  <c r="C51" i="65"/>
  <c r="CZ29" i="23"/>
  <c r="P9" i="95"/>
  <c r="C81" i="94"/>
  <c r="C6" i="94"/>
  <c r="P48" i="23"/>
  <c r="H15" i="26"/>
  <c r="E33" i="88"/>
  <c r="E31" i="88"/>
  <c r="E30" i="88"/>
  <c r="C21" i="88"/>
  <c r="C75" i="88"/>
  <c r="C79" i="88"/>
  <c r="J7" i="92"/>
  <c r="I7" i="92"/>
  <c r="I15" i="92"/>
  <c r="S30" i="94"/>
  <c r="S29" i="94"/>
  <c r="S46" i="94"/>
  <c r="E42" i="93"/>
  <c r="C56" i="94"/>
  <c r="C3" i="94"/>
  <c r="C10" i="94"/>
  <c r="I32" i="43"/>
  <c r="J32" i="43"/>
  <c r="K8" i="29"/>
  <c r="F20" i="73"/>
  <c r="F28" i="73"/>
  <c r="J28" i="73"/>
  <c r="D43" i="73"/>
  <c r="J43" i="73"/>
  <c r="E14" i="29"/>
  <c r="F18" i="43"/>
  <c r="AV20" i="23"/>
  <c r="AV28" i="23"/>
  <c r="AV29" i="23"/>
  <c r="E29" i="40"/>
  <c r="EG17" i="23"/>
  <c r="D17" i="43"/>
  <c r="I17" i="43"/>
  <c r="E29" i="38"/>
  <c r="J28" i="38"/>
  <c r="D43" i="38"/>
  <c r="E9" i="29"/>
  <c r="P13" i="95"/>
  <c r="R28" i="23"/>
  <c r="R29" i="23"/>
  <c r="R20" i="23"/>
  <c r="U13" i="94"/>
  <c r="P27" i="95"/>
  <c r="D20" i="23"/>
  <c r="AQ28" i="23"/>
  <c r="AQ29" i="23"/>
  <c r="AQ20" i="23"/>
  <c r="I28" i="36"/>
  <c r="D43" i="36"/>
  <c r="E29" i="36"/>
  <c r="I29" i="36"/>
  <c r="D3" i="94"/>
  <c r="K29" i="34"/>
  <c r="E26" i="24"/>
  <c r="D42" i="34"/>
  <c r="D29" i="39"/>
  <c r="K27" i="39"/>
  <c r="D42" i="39"/>
  <c r="S113" i="31"/>
  <c r="T113" i="31"/>
  <c r="U113" i="31"/>
  <c r="U30" i="94"/>
  <c r="BA28" i="23"/>
  <c r="BA20" i="23"/>
  <c r="I20" i="36"/>
  <c r="P15" i="95"/>
  <c r="K42" i="39"/>
  <c r="D46" i="39"/>
  <c r="E30" i="24"/>
  <c r="E8" i="29"/>
  <c r="D47" i="38"/>
  <c r="J47" i="38"/>
  <c r="L9" i="29"/>
  <c r="EJ17" i="23"/>
  <c r="F29" i="73"/>
  <c r="G46" i="94"/>
  <c r="P28" i="95"/>
  <c r="D47" i="73"/>
  <c r="J47" i="73"/>
  <c r="L14" i="29"/>
  <c r="F23" i="43"/>
  <c r="G8" i="43"/>
  <c r="E4" i="91"/>
  <c r="D37" i="43"/>
  <c r="I13" i="41"/>
  <c r="I39" i="43"/>
  <c r="G8" i="41"/>
  <c r="J27" i="41"/>
  <c r="G33" i="43"/>
  <c r="D9" i="90"/>
  <c r="K12" i="35"/>
  <c r="G22" i="41"/>
  <c r="I22" i="41"/>
  <c r="I8" i="43"/>
  <c r="G15" i="41"/>
  <c r="D34" i="43"/>
  <c r="G34" i="43"/>
  <c r="G25" i="43"/>
  <c r="I20" i="35"/>
  <c r="I11" i="43"/>
  <c r="D9" i="41"/>
  <c r="D10" i="41"/>
  <c r="D10" i="43"/>
  <c r="I10" i="43"/>
  <c r="F27" i="35"/>
  <c r="G25" i="41"/>
  <c r="I25" i="41"/>
  <c r="G26" i="41"/>
  <c r="G35" i="41"/>
  <c r="I35" i="41"/>
  <c r="I49" i="41"/>
  <c r="I24" i="41"/>
  <c r="G45" i="43"/>
  <c r="E44" i="91"/>
  <c r="E24" i="43"/>
  <c r="D12" i="41"/>
  <c r="D21" i="41"/>
  <c r="G22" i="43"/>
  <c r="H18" i="90"/>
  <c r="DU10" i="41"/>
  <c r="G30" i="41"/>
  <c r="I30" i="41"/>
  <c r="I23" i="41"/>
  <c r="I11" i="41"/>
  <c r="G21" i="41"/>
  <c r="G17" i="43"/>
  <c r="Q17" i="95"/>
  <c r="J22" i="43"/>
  <c r="J39" i="43"/>
  <c r="E29" i="35"/>
  <c r="E31" i="91"/>
  <c r="Q9" i="95"/>
  <c r="R9" i="95"/>
  <c r="S9" i="95"/>
  <c r="G40" i="41"/>
  <c r="I40" i="41"/>
  <c r="G26" i="43"/>
  <c r="Q8" i="95"/>
  <c r="R8" i="95"/>
  <c r="S8" i="95"/>
  <c r="J8" i="43"/>
  <c r="G18" i="41"/>
  <c r="I18" i="41"/>
  <c r="I19" i="41"/>
  <c r="K20" i="35"/>
  <c r="F10" i="43"/>
  <c r="G10" i="41"/>
  <c r="I10" i="41"/>
  <c r="I31" i="43"/>
  <c r="J31" i="43"/>
  <c r="G31" i="43"/>
  <c r="G36" i="43"/>
  <c r="E34" i="91"/>
  <c r="G34" i="91"/>
  <c r="J36" i="43"/>
  <c r="E20" i="91"/>
  <c r="G20" i="91"/>
  <c r="H20" i="91"/>
  <c r="L37" i="35"/>
  <c r="H8" i="41"/>
  <c r="I8" i="41"/>
  <c r="D49" i="43"/>
  <c r="G30" i="43"/>
  <c r="G41" i="41"/>
  <c r="I41" i="41"/>
  <c r="D19" i="43"/>
  <c r="I19" i="43"/>
  <c r="H6" i="90"/>
  <c r="D9" i="43"/>
  <c r="G9" i="41"/>
  <c r="H21" i="90"/>
  <c r="E23" i="91"/>
  <c r="F23" i="91"/>
  <c r="Q23" i="95"/>
  <c r="R23" i="95"/>
  <c r="S23" i="95"/>
  <c r="F29" i="35"/>
  <c r="F4" i="91"/>
  <c r="G4" i="91"/>
  <c r="Q12" i="95"/>
  <c r="R12" i="95"/>
  <c r="S12" i="95"/>
  <c r="I49" i="43"/>
  <c r="J49" i="43"/>
  <c r="G49" i="43"/>
  <c r="F31" i="91"/>
  <c r="G31" i="91"/>
  <c r="D7" i="90"/>
  <c r="Q7" i="95"/>
  <c r="R7" i="95"/>
  <c r="S7" i="95"/>
  <c r="E29" i="91"/>
  <c r="D6" i="90"/>
  <c r="G10" i="43"/>
  <c r="R17" i="95"/>
  <c r="S17" i="95"/>
  <c r="I9" i="43"/>
  <c r="G9" i="43"/>
  <c r="H31" i="91"/>
  <c r="F34" i="91"/>
  <c r="F29" i="91"/>
  <c r="H4" i="91"/>
  <c r="Q18" i="95"/>
  <c r="E5" i="91"/>
  <c r="F5" i="91"/>
  <c r="H7" i="90"/>
  <c r="J9" i="43"/>
  <c r="G5" i="91"/>
  <c r="H5" i="91"/>
  <c r="I5" i="91"/>
  <c r="BX14" i="23"/>
  <c r="EG14" i="23"/>
  <c r="BX12" i="23"/>
  <c r="F27" i="43"/>
  <c r="DI12" i="23"/>
  <c r="DI20" i="23"/>
  <c r="DI27" i="23"/>
  <c r="DI29" i="23"/>
  <c r="DH13" i="23"/>
  <c r="EH13" i="23"/>
  <c r="I4" i="91"/>
  <c r="Q19" i="95"/>
  <c r="R19" i="95"/>
  <c r="S19" i="95"/>
  <c r="E6" i="91"/>
  <c r="L10" i="43"/>
  <c r="H8" i="90"/>
  <c r="I20" i="91"/>
  <c r="N20" i="34"/>
  <c r="Q10" i="95"/>
  <c r="R10" i="95"/>
  <c r="S10" i="95"/>
  <c r="E32" i="91"/>
  <c r="K61" i="43"/>
  <c r="D10" i="90"/>
  <c r="H58" i="43"/>
  <c r="J30" i="43"/>
  <c r="D14" i="43"/>
  <c r="EJ14" i="23"/>
  <c r="E24" i="91"/>
  <c r="H22" i="90"/>
  <c r="E3" i="94"/>
  <c r="K32" i="43"/>
  <c r="E28" i="91"/>
  <c r="G58" i="43"/>
  <c r="Q6" i="95"/>
  <c r="H34" i="91"/>
  <c r="G37" i="91"/>
  <c r="K46" i="39"/>
  <c r="D7" i="29"/>
  <c r="D46" i="34"/>
  <c r="N42" i="34"/>
  <c r="EG12" i="23"/>
  <c r="BX20" i="23"/>
  <c r="R18" i="95"/>
  <c r="S18" i="95"/>
  <c r="H36" i="91"/>
  <c r="I31" i="91"/>
  <c r="H35" i="91"/>
  <c r="G35" i="91"/>
  <c r="G36" i="91"/>
  <c r="E28" i="24"/>
  <c r="H12" i="90"/>
  <c r="E13" i="91"/>
  <c r="F13" i="91"/>
  <c r="L17" i="43"/>
  <c r="J10" i="43"/>
  <c r="L8" i="29"/>
  <c r="G8" i="29"/>
  <c r="BA29" i="23"/>
  <c r="D47" i="36"/>
  <c r="I47" i="36"/>
  <c r="D38" i="36"/>
  <c r="I38" i="36"/>
  <c r="I43" i="36"/>
  <c r="C11" i="94"/>
  <c r="H29" i="73"/>
  <c r="J29" i="73"/>
  <c r="J27" i="73"/>
  <c r="D42" i="73"/>
  <c r="S87" i="31"/>
  <c r="T87" i="31"/>
  <c r="U87" i="31"/>
  <c r="M86" i="31"/>
  <c r="F28" i="34"/>
  <c r="F16" i="41"/>
  <c r="F20" i="34"/>
  <c r="F20" i="41"/>
  <c r="F20" i="43"/>
  <c r="D46" i="40"/>
  <c r="W42" i="40"/>
  <c r="G44" i="43"/>
  <c r="E43" i="91"/>
  <c r="G43" i="91"/>
  <c r="H43" i="91"/>
  <c r="I43" i="91"/>
  <c r="I44" i="43"/>
  <c r="J44" i="43"/>
  <c r="E48" i="41"/>
  <c r="D6" i="94"/>
  <c r="E6" i="94"/>
  <c r="F6" i="94"/>
  <c r="G6" i="94"/>
  <c r="H6" i="94"/>
  <c r="I6" i="94"/>
  <c r="J6" i="94"/>
  <c r="K6" i="94"/>
  <c r="L6" i="94"/>
  <c r="M6" i="94"/>
  <c r="N6" i="94"/>
  <c r="O6" i="94"/>
  <c r="P6" i="94"/>
  <c r="Q6" i="94"/>
  <c r="R6" i="94"/>
  <c r="S6" i="94"/>
  <c r="T6" i="94"/>
  <c r="D46" i="74"/>
  <c r="F29" i="37"/>
  <c r="L29" i="37"/>
  <c r="L27" i="37"/>
  <c r="M8" i="29"/>
  <c r="BX27" i="23"/>
  <c r="D12" i="90"/>
  <c r="J43" i="38"/>
  <c r="H37" i="41"/>
  <c r="S121" i="31"/>
  <c r="T121" i="31"/>
  <c r="U121" i="31"/>
  <c r="BT20" i="23"/>
  <c r="BT28" i="23"/>
  <c r="BT29" i="23"/>
  <c r="J28" i="34"/>
  <c r="J29" i="34"/>
  <c r="J20" i="34"/>
  <c r="G19" i="43"/>
  <c r="J17" i="43"/>
  <c r="G40" i="43"/>
  <c r="D15" i="29"/>
  <c r="K42" i="74"/>
  <c r="D11" i="29"/>
  <c r="EG48" i="23"/>
  <c r="M44" i="31"/>
  <c r="H12" i="41"/>
  <c r="K20" i="38"/>
  <c r="U10" i="31"/>
  <c r="K28" i="39"/>
  <c r="D43" i="39"/>
  <c r="D38" i="39"/>
  <c r="K38" i="39"/>
  <c r="E29" i="39"/>
  <c r="K29" i="39"/>
  <c r="I20" i="23"/>
  <c r="I28" i="23"/>
  <c r="I29" i="23"/>
  <c r="E28" i="34"/>
  <c r="D28" i="41"/>
  <c r="D16" i="41"/>
  <c r="N16" i="34"/>
  <c r="J9" i="24"/>
  <c r="I28" i="35"/>
  <c r="K16" i="35"/>
  <c r="L20" i="35"/>
  <c r="F28" i="74"/>
  <c r="K16" i="74"/>
  <c r="H21" i="41"/>
  <c r="I21" i="41"/>
  <c r="D18" i="43"/>
  <c r="D29" i="96"/>
  <c r="G11" i="43"/>
  <c r="I33" i="41"/>
  <c r="E20" i="39"/>
  <c r="K20" i="39"/>
  <c r="W16" i="40"/>
  <c r="X20" i="40"/>
  <c r="F20" i="40"/>
  <c r="CG28" i="23"/>
  <c r="CG29" i="23"/>
  <c r="CG20" i="23"/>
  <c r="S111" i="31"/>
  <c r="T111" i="31"/>
  <c r="U111" i="31"/>
  <c r="D46" i="36"/>
  <c r="I42" i="36"/>
  <c r="E27" i="41"/>
  <c r="AI28" i="23"/>
  <c r="AI29" i="23"/>
  <c r="AK28" i="23"/>
  <c r="AK29" i="23"/>
  <c r="L28" i="37"/>
  <c r="D43" i="37"/>
  <c r="N28" i="40"/>
  <c r="N29" i="40"/>
  <c r="N20" i="40"/>
  <c r="EJ50" i="23"/>
  <c r="D50" i="43"/>
  <c r="H16" i="23"/>
  <c r="E35" i="31"/>
  <c r="E85" i="31"/>
  <c r="E126" i="31"/>
  <c r="I20" i="40"/>
  <c r="I28" i="40"/>
  <c r="I29" i="40"/>
  <c r="W29" i="40"/>
  <c r="S99" i="31"/>
  <c r="T99" i="31"/>
  <c r="U99" i="31"/>
  <c r="O28" i="95"/>
  <c r="DS27" i="23"/>
  <c r="DS29" i="23"/>
  <c r="DS12" i="23"/>
  <c r="DS20" i="23"/>
  <c r="G126" i="31"/>
  <c r="E129" i="31"/>
  <c r="E20" i="73"/>
  <c r="G35" i="43"/>
  <c r="I35" i="43"/>
  <c r="J35" i="43"/>
  <c r="D20" i="74"/>
  <c r="K20" i="74"/>
  <c r="H20" i="73"/>
  <c r="H36" i="41"/>
  <c r="I36" i="41"/>
  <c r="I15" i="26"/>
  <c r="J15" i="26"/>
  <c r="E37" i="41"/>
  <c r="E37" i="43"/>
  <c r="I37" i="43"/>
  <c r="DE54" i="23"/>
  <c r="AO48" i="23"/>
  <c r="E47" i="27"/>
  <c r="E48" i="39"/>
  <c r="E12" i="41"/>
  <c r="X20" i="23"/>
  <c r="X28" i="23"/>
  <c r="X29" i="23"/>
  <c r="CL29" i="23"/>
  <c r="AF48" i="23"/>
  <c r="H9" i="41"/>
  <c r="I9" i="41"/>
  <c r="G27" i="38"/>
  <c r="H34" i="41"/>
  <c r="H17" i="41"/>
  <c r="I17" i="41"/>
  <c r="G48" i="35"/>
  <c r="E48" i="73"/>
  <c r="EA54" i="23"/>
  <c r="DA48" i="23"/>
  <c r="G17" i="41"/>
  <c r="F29" i="96"/>
  <c r="DV29" i="23"/>
  <c r="DK29" i="23"/>
  <c r="E15" i="43"/>
  <c r="D41" i="43"/>
  <c r="G34" i="41"/>
  <c r="P46" i="94"/>
  <c r="G27" i="35"/>
  <c r="E43" i="93"/>
  <c r="BD20" i="23"/>
  <c r="CV20" i="23"/>
  <c r="V20" i="23"/>
  <c r="DA29" i="23"/>
  <c r="AY48" i="23"/>
  <c r="EH48" i="23"/>
  <c r="AH48" i="23"/>
  <c r="H48" i="74"/>
  <c r="K46" i="94"/>
  <c r="U46" i="94"/>
  <c r="J126" i="31"/>
  <c r="D15" i="92"/>
  <c r="P7" i="96"/>
  <c r="P14" i="96"/>
  <c r="P16" i="96"/>
  <c r="AC16" i="23"/>
  <c r="BS16" i="23"/>
  <c r="DH27" i="23"/>
  <c r="DH29" i="23"/>
  <c r="DH12" i="23"/>
  <c r="DH20" i="23"/>
  <c r="EH20" i="23"/>
  <c r="E20" i="43"/>
  <c r="EJ13" i="23"/>
  <c r="E13" i="43"/>
  <c r="BS28" i="23"/>
  <c r="EH16" i="23"/>
  <c r="E16" i="43"/>
  <c r="BS20" i="23"/>
  <c r="G16" i="41"/>
  <c r="T44" i="31"/>
  <c r="U44" i="31"/>
  <c r="V44" i="31"/>
  <c r="M85" i="31"/>
  <c r="S44" i="31"/>
  <c r="E15" i="91"/>
  <c r="J19" i="43"/>
  <c r="EH12" i="23"/>
  <c r="EJ12" i="23"/>
  <c r="E48" i="43"/>
  <c r="W46" i="40"/>
  <c r="F28" i="41"/>
  <c r="F28" i="43"/>
  <c r="F29" i="34"/>
  <c r="F29" i="41"/>
  <c r="F29" i="43"/>
  <c r="J42" i="73"/>
  <c r="D14" i="29"/>
  <c r="D46" i="73"/>
  <c r="D38" i="73"/>
  <c r="J38" i="73"/>
  <c r="I35" i="91"/>
  <c r="I36" i="91"/>
  <c r="N46" i="34"/>
  <c r="V6" i="95"/>
  <c r="R6" i="95"/>
  <c r="S6" i="95"/>
  <c r="E10" i="94"/>
  <c r="E11" i="94"/>
  <c r="E47" i="94"/>
  <c r="F3" i="94"/>
  <c r="H20" i="41"/>
  <c r="AC20" i="23"/>
  <c r="AC28" i="23"/>
  <c r="AC29" i="23"/>
  <c r="G41" i="43"/>
  <c r="I41" i="43"/>
  <c r="J41" i="43"/>
  <c r="G29" i="38"/>
  <c r="J29" i="38"/>
  <c r="J27" i="38"/>
  <c r="D42" i="38"/>
  <c r="G49" i="27"/>
  <c r="J47" i="27"/>
  <c r="H20" i="23"/>
  <c r="EG20" i="23"/>
  <c r="H28" i="23"/>
  <c r="EG16" i="23"/>
  <c r="EJ48" i="23"/>
  <c r="D18" i="90"/>
  <c r="E39" i="91"/>
  <c r="G62" i="43"/>
  <c r="I37" i="41"/>
  <c r="U35" i="31"/>
  <c r="V35" i="31"/>
  <c r="D12" i="43"/>
  <c r="D10" i="94"/>
  <c r="I14" i="43"/>
  <c r="G14" i="43"/>
  <c r="E10" i="91"/>
  <c r="E37" i="91"/>
  <c r="F32" i="91"/>
  <c r="K27" i="35"/>
  <c r="D42" i="35"/>
  <c r="G29" i="35"/>
  <c r="K29" i="35"/>
  <c r="I15" i="43"/>
  <c r="J15" i="43"/>
  <c r="G15" i="43"/>
  <c r="E11" i="91"/>
  <c r="Q11" i="95"/>
  <c r="R11" i="95"/>
  <c r="S11" i="95"/>
  <c r="E33" i="91"/>
  <c r="E36" i="91"/>
  <c r="D11" i="90"/>
  <c r="G50" i="43"/>
  <c r="I50" i="43"/>
  <c r="E10" i="29"/>
  <c r="L10" i="29"/>
  <c r="L43" i="37"/>
  <c r="D47" i="37"/>
  <c r="L47" i="37"/>
  <c r="E7" i="91"/>
  <c r="F7" i="91"/>
  <c r="Q20" i="95"/>
  <c r="R20" i="95"/>
  <c r="S20" i="95"/>
  <c r="L11" i="43"/>
  <c r="H9" i="90"/>
  <c r="P9" i="24"/>
  <c r="Q9" i="24"/>
  <c r="J26" i="24"/>
  <c r="P26" i="24"/>
  <c r="Q26" i="24"/>
  <c r="K11" i="29"/>
  <c r="D42" i="37"/>
  <c r="H27" i="41"/>
  <c r="K46" i="74"/>
  <c r="U6" i="94"/>
  <c r="J40" i="43"/>
  <c r="K7" i="29"/>
  <c r="J11" i="43"/>
  <c r="I34" i="91"/>
  <c r="H37" i="91"/>
  <c r="F28" i="91"/>
  <c r="G37" i="43"/>
  <c r="I14" i="90"/>
  <c r="G37" i="41"/>
  <c r="I34" i="41"/>
  <c r="I46" i="36"/>
  <c r="D48" i="36"/>
  <c r="I48" i="36"/>
  <c r="K48" i="36"/>
  <c r="I18" i="43"/>
  <c r="J18" i="43"/>
  <c r="G18" i="43"/>
  <c r="W20" i="40"/>
  <c r="I29" i="35"/>
  <c r="K28" i="35"/>
  <c r="D43" i="35"/>
  <c r="N28" i="34"/>
  <c r="E29" i="34"/>
  <c r="E15" i="29"/>
  <c r="L15" i="29"/>
  <c r="K43" i="39"/>
  <c r="D47" i="39"/>
  <c r="W28" i="40"/>
  <c r="D43" i="40"/>
  <c r="D20" i="41"/>
  <c r="T86" i="31"/>
  <c r="U86" i="31"/>
  <c r="M125" i="31"/>
  <c r="S86" i="31"/>
  <c r="G12" i="41"/>
  <c r="J20" i="73"/>
  <c r="K28" i="74"/>
  <c r="D43" i="74"/>
  <c r="F29" i="74"/>
  <c r="K29" i="74"/>
  <c r="H16" i="41"/>
  <c r="I16" i="41"/>
  <c r="I12" i="41"/>
  <c r="G15" i="29"/>
  <c r="K15" i="29"/>
  <c r="M15" i="29"/>
  <c r="EH27" i="23"/>
  <c r="E27" i="43"/>
  <c r="BX29" i="23"/>
  <c r="D27" i="41"/>
  <c r="X46" i="40"/>
  <c r="D12" i="29"/>
  <c r="F16" i="43"/>
  <c r="J20" i="41"/>
  <c r="C47" i="94"/>
  <c r="K60" i="43"/>
  <c r="D16" i="90"/>
  <c r="D34" i="90"/>
  <c r="D14" i="90"/>
  <c r="G6" i="91"/>
  <c r="F6" i="91"/>
  <c r="I13" i="43"/>
  <c r="G13" i="43"/>
  <c r="E9" i="91"/>
  <c r="E8" i="91"/>
  <c r="E12" i="43"/>
  <c r="E35" i="91"/>
  <c r="F35" i="91"/>
  <c r="F36" i="91"/>
  <c r="E50" i="91"/>
  <c r="G20" i="41"/>
  <c r="I20" i="41"/>
  <c r="D20" i="43"/>
  <c r="H13" i="90"/>
  <c r="Q24" i="95"/>
  <c r="R24" i="95"/>
  <c r="S24" i="95"/>
  <c r="D38" i="37"/>
  <c r="L38" i="37"/>
  <c r="D10" i="29"/>
  <c r="D46" i="37"/>
  <c r="L42" i="37"/>
  <c r="D42" i="41"/>
  <c r="J50" i="43"/>
  <c r="K42" i="35"/>
  <c r="L46" i="35"/>
  <c r="L48" i="35"/>
  <c r="D46" i="35"/>
  <c r="D13" i="29"/>
  <c r="D38" i="35"/>
  <c r="K38" i="35"/>
  <c r="J14" i="43"/>
  <c r="G12" i="43"/>
  <c r="I12" i="43"/>
  <c r="G39" i="91"/>
  <c r="F39" i="91"/>
  <c r="H29" i="23"/>
  <c r="D38" i="38"/>
  <c r="J38" i="38"/>
  <c r="J42" i="38"/>
  <c r="D46" i="38"/>
  <c r="D9" i="29"/>
  <c r="Q13" i="95"/>
  <c r="G28" i="41"/>
  <c r="S125" i="31"/>
  <c r="T125" i="31"/>
  <c r="U125" i="31"/>
  <c r="M126" i="31"/>
  <c r="K47" i="39"/>
  <c r="L48" i="39"/>
  <c r="D48" i="39"/>
  <c r="K48" i="39"/>
  <c r="M49" i="39"/>
  <c r="H28" i="41"/>
  <c r="D43" i="34"/>
  <c r="D15" i="90"/>
  <c r="D30" i="90"/>
  <c r="F37" i="91"/>
  <c r="E54" i="91"/>
  <c r="G14" i="29"/>
  <c r="K14" i="29"/>
  <c r="M14" i="29"/>
  <c r="G27" i="41"/>
  <c r="D47" i="35"/>
  <c r="K47" i="35"/>
  <c r="E13" i="29"/>
  <c r="L13" i="29"/>
  <c r="K43" i="35"/>
  <c r="L47" i="35"/>
  <c r="I27" i="41"/>
  <c r="F10" i="91"/>
  <c r="EJ16" i="23"/>
  <c r="E40" i="91"/>
  <c r="D19" i="90"/>
  <c r="G3" i="94"/>
  <c r="F10" i="94"/>
  <c r="F11" i="94"/>
  <c r="F47" i="94"/>
  <c r="E14" i="91"/>
  <c r="F14" i="91"/>
  <c r="F15" i="91"/>
  <c r="D16" i="43"/>
  <c r="BS29" i="23"/>
  <c r="EH29" i="23"/>
  <c r="E29" i="43"/>
  <c r="EH28" i="23"/>
  <c r="E28" i="43"/>
  <c r="H6" i="91"/>
  <c r="K12" i="29"/>
  <c r="K43" i="74"/>
  <c r="E11" i="29"/>
  <c r="D47" i="74"/>
  <c r="D38" i="74"/>
  <c r="K38" i="74"/>
  <c r="W43" i="40"/>
  <c r="D47" i="40"/>
  <c r="D38" i="40"/>
  <c r="W38" i="40"/>
  <c r="D29" i="41"/>
  <c r="N29" i="34"/>
  <c r="H29" i="41"/>
  <c r="I37" i="91"/>
  <c r="G11" i="91"/>
  <c r="F11" i="91"/>
  <c r="D11" i="94"/>
  <c r="D42" i="90"/>
  <c r="EJ20" i="23"/>
  <c r="D48" i="73"/>
  <c r="J48" i="73"/>
  <c r="J46" i="73"/>
  <c r="T85" i="31"/>
  <c r="U85" i="31"/>
  <c r="V85" i="31"/>
  <c r="S85" i="31"/>
  <c r="J37" i="43"/>
  <c r="G52" i="27"/>
  <c r="G9" i="91"/>
  <c r="H9" i="91"/>
  <c r="F9" i="91"/>
  <c r="J13" i="43"/>
  <c r="W47" i="40"/>
  <c r="D48" i="40"/>
  <c r="W48" i="40"/>
  <c r="Y49" i="40"/>
  <c r="L11" i="29"/>
  <c r="M11" i="29"/>
  <c r="G11" i="29"/>
  <c r="F8" i="91"/>
  <c r="E17" i="91"/>
  <c r="N43" i="34"/>
  <c r="H43" i="41"/>
  <c r="E7" i="29"/>
  <c r="D47" i="34"/>
  <c r="D43" i="41"/>
  <c r="D38" i="34"/>
  <c r="O130" i="31"/>
  <c r="S126" i="31"/>
  <c r="T126" i="31"/>
  <c r="U126" i="31"/>
  <c r="H10" i="90"/>
  <c r="Q21" i="95"/>
  <c r="G57" i="43"/>
  <c r="K8" i="43"/>
  <c r="J4" i="43"/>
  <c r="K46" i="35"/>
  <c r="D48" i="35"/>
  <c r="K48" i="35"/>
  <c r="M49" i="35"/>
  <c r="M46" i="37"/>
  <c r="H42" i="41"/>
  <c r="I20" i="43"/>
  <c r="G20" i="43"/>
  <c r="I29" i="41"/>
  <c r="X47" i="40"/>
  <c r="X48" i="40"/>
  <c r="E12" i="29"/>
  <c r="F40" i="91"/>
  <c r="G40" i="91"/>
  <c r="I28" i="41"/>
  <c r="R13" i="95"/>
  <c r="S13" i="95"/>
  <c r="D48" i="37"/>
  <c r="L48" i="37"/>
  <c r="M48" i="37"/>
  <c r="L46" i="37"/>
  <c r="D46" i="41"/>
  <c r="D47" i="94"/>
  <c r="G29" i="41"/>
  <c r="I16" i="43"/>
  <c r="G16" i="43"/>
  <c r="G9" i="29"/>
  <c r="K9" i="29"/>
  <c r="D16" i="29"/>
  <c r="H39" i="91"/>
  <c r="K10" i="29"/>
  <c r="M10" i="29"/>
  <c r="G10" i="29"/>
  <c r="K47" i="74"/>
  <c r="D48" i="74"/>
  <c r="K48" i="74"/>
  <c r="I6" i="91"/>
  <c r="H3" i="94"/>
  <c r="G10" i="94"/>
  <c r="D48" i="38"/>
  <c r="J48" i="38"/>
  <c r="L49" i="38"/>
  <c r="J46" i="38"/>
  <c r="J12" i="43"/>
  <c r="G13" i="29"/>
  <c r="K13" i="29"/>
  <c r="M13" i="29"/>
  <c r="D42" i="43"/>
  <c r="G42" i="41"/>
  <c r="I9" i="91"/>
  <c r="I8" i="91"/>
  <c r="I17" i="91"/>
  <c r="H8" i="91"/>
  <c r="G8" i="91"/>
  <c r="J20" i="43"/>
  <c r="G11" i="94"/>
  <c r="M9" i="29"/>
  <c r="K16" i="29"/>
  <c r="I39" i="91"/>
  <c r="H11" i="90"/>
  <c r="J5" i="43"/>
  <c r="E12" i="91"/>
  <c r="K9" i="43"/>
  <c r="H57" i="43"/>
  <c r="L16" i="43"/>
  <c r="L18" i="43"/>
  <c r="L20" i="43"/>
  <c r="Q22" i="95"/>
  <c r="R22" i="95"/>
  <c r="S22" i="95"/>
  <c r="E131" i="31"/>
  <c r="E132" i="31"/>
  <c r="H46" i="41"/>
  <c r="L12" i="29"/>
  <c r="M12" i="29"/>
  <c r="N12" i="29"/>
  <c r="G12" i="29"/>
  <c r="R21" i="95"/>
  <c r="S21" i="95"/>
  <c r="L7" i="29"/>
  <c r="E16" i="29"/>
  <c r="BY24" i="23"/>
  <c r="G7" i="29"/>
  <c r="E51" i="91"/>
  <c r="E52" i="91"/>
  <c r="F17" i="91"/>
  <c r="G42" i="43"/>
  <c r="I42" i="43"/>
  <c r="BY23" i="23"/>
  <c r="E19" i="29"/>
  <c r="E22" i="29"/>
  <c r="J16" i="43"/>
  <c r="H40" i="91"/>
  <c r="I42" i="41"/>
  <c r="H14" i="90"/>
  <c r="H15" i="90"/>
  <c r="D31" i="90"/>
  <c r="D32" i="90"/>
  <c r="N38" i="34"/>
  <c r="H38" i="41"/>
  <c r="D38" i="41"/>
  <c r="G43" i="41"/>
  <c r="J42" i="41"/>
  <c r="D43" i="43"/>
  <c r="H10" i="94"/>
  <c r="H11" i="94"/>
  <c r="H47" i="94"/>
  <c r="I3" i="94"/>
  <c r="I16" i="91"/>
  <c r="D46" i="43"/>
  <c r="G46" i="41"/>
  <c r="K21" i="43"/>
  <c r="J14" i="90"/>
  <c r="G60" i="43"/>
  <c r="H62" i="43"/>
  <c r="D47" i="41"/>
  <c r="N47" i="34"/>
  <c r="H47" i="41"/>
  <c r="D48" i="34"/>
  <c r="G17" i="91"/>
  <c r="G16" i="91"/>
  <c r="H16" i="91"/>
  <c r="H17" i="91"/>
  <c r="D47" i="43"/>
  <c r="G47" i="41"/>
  <c r="G43" i="43"/>
  <c r="I43" i="43"/>
  <c r="J43" i="43"/>
  <c r="D20" i="90"/>
  <c r="E41" i="91"/>
  <c r="EG24" i="23"/>
  <c r="BY28" i="23"/>
  <c r="EG28" i="23"/>
  <c r="F12" i="91"/>
  <c r="E18" i="91"/>
  <c r="E16" i="91"/>
  <c r="F16" i="91"/>
  <c r="N48" i="34"/>
  <c r="D48" i="41"/>
  <c r="I46" i="43"/>
  <c r="J46" i="43"/>
  <c r="G46" i="43"/>
  <c r="BY27" i="23"/>
  <c r="EG23" i="23"/>
  <c r="BY21" i="23"/>
  <c r="EG21" i="23"/>
  <c r="L16" i="29"/>
  <c r="M7" i="29"/>
  <c r="M16" i="29"/>
  <c r="I47" i="41"/>
  <c r="J3" i="94"/>
  <c r="I10" i="94"/>
  <c r="I11" i="94"/>
  <c r="I47" i="94"/>
  <c r="I43" i="41"/>
  <c r="I40" i="91"/>
  <c r="G16" i="29"/>
  <c r="Q25" i="95"/>
  <c r="I46" i="41"/>
  <c r="H16" i="90"/>
  <c r="D35" i="90"/>
  <c r="D36" i="90"/>
  <c r="D38" i="90"/>
  <c r="G38" i="41"/>
  <c r="I38" i="41"/>
  <c r="D38" i="43"/>
  <c r="J42" i="43"/>
  <c r="G47" i="94"/>
  <c r="BY29" i="23"/>
  <c r="EG29" i="23"/>
  <c r="EG27" i="23"/>
  <c r="EJ24" i="23"/>
  <c r="D24" i="43"/>
  <c r="G38" i="43"/>
  <c r="I38" i="43"/>
  <c r="J38" i="43"/>
  <c r="P49" i="34"/>
  <c r="H48" i="41"/>
  <c r="E55" i="91"/>
  <c r="E56" i="91"/>
  <c r="E58" i="91"/>
  <c r="F18" i="91"/>
  <c r="F41" i="91"/>
  <c r="G41" i="91"/>
  <c r="E46" i="91"/>
  <c r="E42" i="91"/>
  <c r="D21" i="90"/>
  <c r="J10" i="94"/>
  <c r="K3" i="94"/>
  <c r="D21" i="43"/>
  <c r="EJ21" i="23"/>
  <c r="D25" i="90"/>
  <c r="G48" i="41"/>
  <c r="D48" i="43"/>
  <c r="R25" i="95"/>
  <c r="S25" i="95"/>
  <c r="D23" i="43"/>
  <c r="EJ23" i="23"/>
  <c r="EJ28" i="23"/>
  <c r="D28" i="43"/>
  <c r="I47" i="43"/>
  <c r="G47" i="43"/>
  <c r="EJ27" i="23"/>
  <c r="D27" i="43"/>
  <c r="J47" i="43"/>
  <c r="H41" i="91"/>
  <c r="G46" i="91"/>
  <c r="I17" i="90"/>
  <c r="Q14" i="95"/>
  <c r="I58" i="43"/>
  <c r="J58" i="43"/>
  <c r="EJ29" i="23"/>
  <c r="D29" i="43"/>
  <c r="G28" i="43"/>
  <c r="I28" i="43"/>
  <c r="J28" i="43"/>
  <c r="I23" i="43"/>
  <c r="G23" i="43"/>
  <c r="L3" i="94"/>
  <c r="K10" i="94"/>
  <c r="K11" i="94"/>
  <c r="K47" i="94"/>
  <c r="G42" i="91"/>
  <c r="F42" i="91"/>
  <c r="E47" i="91"/>
  <c r="F47" i="91"/>
  <c r="I48" i="41"/>
  <c r="I24" i="43"/>
  <c r="J24" i="43"/>
  <c r="G24" i="43"/>
  <c r="I48" i="43"/>
  <c r="G48" i="43"/>
  <c r="J11" i="94"/>
  <c r="E38" i="91"/>
  <c r="G54" i="41"/>
  <c r="J48" i="41"/>
  <c r="I21" i="43"/>
  <c r="G21" i="43"/>
  <c r="F46" i="91"/>
  <c r="E48" i="91"/>
  <c r="F48" i="91"/>
  <c r="J47" i="94"/>
  <c r="H42" i="91"/>
  <c r="G47" i="91"/>
  <c r="G48" i="91"/>
  <c r="Q26" i="95"/>
  <c r="I57" i="43"/>
  <c r="J57" i="43"/>
  <c r="J17" i="90"/>
  <c r="F38" i="91"/>
  <c r="J48" i="43"/>
  <c r="L10" i="94"/>
  <c r="L11" i="94"/>
  <c r="L47" i="94"/>
  <c r="M3" i="94"/>
  <c r="H19" i="90"/>
  <c r="E21" i="91"/>
  <c r="I27" i="90"/>
  <c r="J23" i="43"/>
  <c r="J21" i="43"/>
  <c r="E22" i="91"/>
  <c r="H20" i="90"/>
  <c r="H26" i="90"/>
  <c r="R14" i="95"/>
  <c r="S14" i="95"/>
  <c r="Q15" i="95"/>
  <c r="R15" i="95"/>
  <c r="S15" i="95"/>
  <c r="G38" i="91"/>
  <c r="I27" i="43"/>
  <c r="G27" i="43"/>
  <c r="G29" i="43"/>
  <c r="J53" i="43"/>
  <c r="I29" i="43"/>
  <c r="I41" i="91"/>
  <c r="H46" i="91"/>
  <c r="H38" i="91"/>
  <c r="G64" i="43"/>
  <c r="J29" i="43"/>
  <c r="J27" i="43"/>
  <c r="H53" i="43"/>
  <c r="H55" i="43"/>
  <c r="G21" i="91"/>
  <c r="E19" i="91"/>
  <c r="F21" i="91"/>
  <c r="E25" i="91"/>
  <c r="I42" i="91"/>
  <c r="I47" i="91"/>
  <c r="H47" i="91"/>
  <c r="H17" i="90"/>
  <c r="H25" i="90"/>
  <c r="H27" i="90"/>
  <c r="I46" i="91"/>
  <c r="I48" i="91"/>
  <c r="I38" i="91"/>
  <c r="N3" i="94"/>
  <c r="M10" i="94"/>
  <c r="M11" i="94"/>
  <c r="M47" i="94"/>
  <c r="G22" i="91"/>
  <c r="F22" i="91"/>
  <c r="E26" i="91"/>
  <c r="F26" i="91"/>
  <c r="J27" i="90"/>
  <c r="K30" i="43"/>
  <c r="H48" i="91"/>
  <c r="R26" i="95"/>
  <c r="S26" i="95"/>
  <c r="Q27" i="95"/>
  <c r="R27" i="95"/>
  <c r="S27" i="95"/>
  <c r="F19" i="91"/>
  <c r="E59" i="91"/>
  <c r="E60" i="91"/>
  <c r="H22" i="91"/>
  <c r="G26" i="91"/>
  <c r="H21" i="91"/>
  <c r="G19" i="91"/>
  <c r="G25" i="91"/>
  <c r="G27" i="91"/>
  <c r="F25" i="91"/>
  <c r="E27" i="91"/>
  <c r="F27" i="91"/>
  <c r="N10" i="94"/>
  <c r="N11" i="94"/>
  <c r="N47" i="94"/>
  <c r="O3" i="94"/>
  <c r="O38" i="91"/>
  <c r="K37" i="91"/>
  <c r="L47" i="91"/>
  <c r="L42" i="91"/>
  <c r="G50" i="91"/>
  <c r="K56" i="91"/>
  <c r="I21" i="91"/>
  <c r="H19" i="91"/>
  <c r="H25" i="91"/>
  <c r="I22" i="91"/>
  <c r="I26" i="91"/>
  <c r="H26" i="91"/>
  <c r="P3" i="94"/>
  <c r="O10" i="94"/>
  <c r="O11" i="94"/>
  <c r="O47" i="94"/>
  <c r="P10" i="94"/>
  <c r="P11" i="94"/>
  <c r="P47" i="94"/>
  <c r="Q3" i="94"/>
  <c r="I19" i="91"/>
  <c r="I25" i="91"/>
  <c r="I27" i="91"/>
  <c r="H27" i="91"/>
  <c r="R3" i="94"/>
  <c r="Q10" i="94"/>
  <c r="Q11" i="94"/>
  <c r="Q47" i="94"/>
  <c r="K48" i="91"/>
  <c r="I50" i="91"/>
  <c r="K53" i="91"/>
  <c r="K43" i="91"/>
  <c r="H50" i="91"/>
  <c r="R10" i="94"/>
  <c r="R11" i="94"/>
  <c r="R47" i="94"/>
  <c r="S3" i="94"/>
  <c r="T3" i="94"/>
  <c r="S10" i="94"/>
  <c r="S11" i="94"/>
  <c r="S47" i="94"/>
  <c r="T10" i="94"/>
  <c r="U3" i="94"/>
  <c r="T11" i="94"/>
  <c r="U10" i="94"/>
  <c r="T47" i="94"/>
  <c r="U47" i="94"/>
  <c r="U11" i="94"/>
  <c r="D26" i="90" l="1"/>
  <c r="D27" i="90" s="1"/>
</calcChain>
</file>

<file path=xl/sharedStrings.xml><?xml version="1.0" encoding="utf-8"?>
<sst xmlns="http://schemas.openxmlformats.org/spreadsheetml/2006/main" count="4584" uniqueCount="1611">
  <si>
    <t>Működési bevételek</t>
  </si>
  <si>
    <t>Kormányzati funkció</t>
  </si>
  <si>
    <t>Megnevezés</t>
  </si>
  <si>
    <t>ebből: immateriális javak</t>
  </si>
  <si>
    <t>ebből: ingatlan</t>
  </si>
  <si>
    <t>ebből informatikai eszközök</t>
  </si>
  <si>
    <t>ebből: egyéb tárgyi eszközök</t>
  </si>
  <si>
    <t>ebből: áfa</t>
  </si>
  <si>
    <t>saját forrásai</t>
  </si>
  <si>
    <t>EU-s pályázat</t>
  </si>
  <si>
    <t>hitelfelvétel</t>
  </si>
  <si>
    <t>Ellátott feladat típusa</t>
  </si>
  <si>
    <t>K-61</t>
  </si>
  <si>
    <t>K-62</t>
  </si>
  <si>
    <t>K-63</t>
  </si>
  <si>
    <t>K-64</t>
  </si>
  <si>
    <t>K-67</t>
  </si>
  <si>
    <t>A/II. Önkormányzat: Út-, járdaépítés</t>
  </si>
  <si>
    <t>A/III. Önkormányzat: Szennyvíz, csapadékvíz, ivóvíz beruházások</t>
  </si>
  <si>
    <t>A/IV. Önkormányzat: Városgazdálkodási feladatok</t>
  </si>
  <si>
    <t>A/V. Önkormányzat: Ingatlan fejlesztések</t>
  </si>
  <si>
    <t>A/VI. Önkormányzat: Egyéb beruházások</t>
  </si>
  <si>
    <t>B. Intézményi kör kiadásai</t>
  </si>
  <si>
    <t>Dunaharaszti Városi Bölcsőde</t>
  </si>
  <si>
    <t>Dunaharaszti Hétszínvirág Óvoda</t>
  </si>
  <si>
    <t>Dunaharaszti Területi Gondozási Központ</t>
  </si>
  <si>
    <t>B. INTÉZMÉNYI KÖR BERUHÁZÁSAI ÖSSZESEN</t>
  </si>
  <si>
    <t>A. ÖNKORMÁNYZAT BERUHÁZÁSAI ÖSSZESEN</t>
  </si>
  <si>
    <t xml:space="preserve">A/I. Önkormányzat: Európai Uniós kiadások </t>
  </si>
  <si>
    <t>DUNAHARASZTI ÖNKORMÁNYZAT VÁROSI SZINTEN ÖSSZESEN</t>
  </si>
  <si>
    <t>Beruházási kiadások</t>
  </si>
  <si>
    <t>K1-K9</t>
  </si>
  <si>
    <t>TÁRGYÉVI MŰKÖDÉSI KIADÁSOK (K1+K2+K3+K4+K5+K9)</t>
  </si>
  <si>
    <t>TÁRGYÉVI FELHALMOZÁSI KIADÁSOK (K6+K7+K8+K9)</t>
  </si>
  <si>
    <t>Általános- és céltartalékok</t>
  </si>
  <si>
    <t>Rendelkezési jogosultság</t>
  </si>
  <si>
    <t>I. Útépítések, víz, csapadékvíz elvezetések céltartalék</t>
  </si>
  <si>
    <t>Sor-szám</t>
  </si>
  <si>
    <t>Polgármester</t>
  </si>
  <si>
    <t>Civil szervezetek, egyházak támogatása (Művészeti, oktatási, kulturális év közben belépő feladatok)</t>
  </si>
  <si>
    <t>Képviselő-testület</t>
  </si>
  <si>
    <t>Oktatási, Művelődési és Sport Bizottság</t>
  </si>
  <si>
    <t>Városgazdálkodás: üzemeltetés, karbantartás biztonsági tartalék</t>
  </si>
  <si>
    <t>Intézményvezetők jutalmazási kerete</t>
  </si>
  <si>
    <t>Nyári napközis tábor kiadásai</t>
  </si>
  <si>
    <t xml:space="preserve">Oktatási-nevelési intézmények kulturális programjának támogatása </t>
  </si>
  <si>
    <t>Köztisztviselők felmentése, végkielégítése</t>
  </si>
  <si>
    <t>Törvény által kötelezően kifizetendő jubileumi jutalom</t>
  </si>
  <si>
    <t xml:space="preserve">Intézményi ingatlanok különféle karbantartási kerete </t>
  </si>
  <si>
    <t>Képviselő-testület rendelkezése</t>
  </si>
  <si>
    <t>Polgármester rendelkezése</t>
  </si>
  <si>
    <t>TARTALÉKOK MINDÖSSZESEN</t>
  </si>
  <si>
    <t xml:space="preserve">Működési célú támogatások államháztartáson belülről </t>
  </si>
  <si>
    <t>Sorszám</t>
  </si>
  <si>
    <t>Részgazda</t>
  </si>
  <si>
    <t>Rovat</t>
  </si>
  <si>
    <t>K-84</t>
  </si>
  <si>
    <t>Lakossági járdaépítés költsége</t>
  </si>
  <si>
    <t>Felhalmozási célú pénzeszköz átadás lakosságnak: Első lakáshoz jutók támogatása</t>
  </si>
  <si>
    <t>A, Önkormányzat</t>
  </si>
  <si>
    <t>Felhalmozási célú kölcsön nyújtása munkavállalók</t>
  </si>
  <si>
    <t>K-86</t>
  </si>
  <si>
    <t>011130 Önkormányzatok és önkormányzati hivatalok igazgatási tevékenysége</t>
  </si>
  <si>
    <t>B, Intézmények</t>
  </si>
  <si>
    <t>Működési célú támogatások</t>
  </si>
  <si>
    <t>081030</t>
  </si>
  <si>
    <t>I. Sportlétesítmények, edzőtáborok működtetése és fejlesztése</t>
  </si>
  <si>
    <t>Egyéb működési célú támogatások államháztartáson kívülre</t>
  </si>
  <si>
    <t>012</t>
  </si>
  <si>
    <t>013</t>
  </si>
  <si>
    <t>Felhalmozási célú pénzeszköz átadások, kölcsönök, lakástámogatás</t>
  </si>
  <si>
    <t>Egyéb működési célú támogatások államháztartáson belülre</t>
  </si>
  <si>
    <t>084031</t>
  </si>
  <si>
    <t>Dunaharaszti Vöröskereszt szervezetének támogatása</t>
  </si>
  <si>
    <t>022010</t>
  </si>
  <si>
    <t>II. Polgári honvédelem ágazati feladatai, a lakosság felkészítése</t>
  </si>
  <si>
    <t>Polgárőr Egyesület működési költség támogatása</t>
  </si>
  <si>
    <t>011130</t>
  </si>
  <si>
    <t>Pest Megyei Katasztrófavédelmi Igazgatóság támogatása</t>
  </si>
  <si>
    <t>045140</t>
  </si>
  <si>
    <t>IV. Városi és elővárosi közúti személyszállítás</t>
  </si>
  <si>
    <t>094260</t>
  </si>
  <si>
    <t>V. Hallgatói és oktatói ösztöndíjak, egyéb juttatások</t>
  </si>
  <si>
    <t>BURSA-HUNGARICA ösztöndíj pályázat</t>
  </si>
  <si>
    <t>081041</t>
  </si>
  <si>
    <t>K-506</t>
  </si>
  <si>
    <t>Dunaharaszti Nemzetiségi Önkormányzatok részére nyújtott támogatás államháztartáson belül</t>
  </si>
  <si>
    <t>DMTK támogatásai mindösszesen:</t>
  </si>
  <si>
    <t>Bolgár Nemzetiségi Önkormányzat</t>
  </si>
  <si>
    <t>Német Nemzetiségi Önkormányzat</t>
  </si>
  <si>
    <t>Rovatrend száma</t>
  </si>
  <si>
    <t>DUNAHARASZTI VÁROS ÖNKORMÁNYZATA ÁLTAL NYÚJTOTT MŰKÖDÉSI CÉLÚ TÁMOGATÁSOK MINDÖSSZESEN</t>
  </si>
  <si>
    <t xml:space="preserve">Működési </t>
  </si>
  <si>
    <t>Felhalmozási</t>
  </si>
  <si>
    <t>Dunaharaszti Polgármesteri Hivatal</t>
  </si>
  <si>
    <t>Dunaharaszti Mese Óvoda</t>
  </si>
  <si>
    <t>Dunaharaszti Gyermekjóléti- és Családsegítő Szolgálat</t>
  </si>
  <si>
    <t>Intézményfinanszírozási kiadások mindösszesen:</t>
  </si>
  <si>
    <t>002</t>
  </si>
  <si>
    <t>Mutató</t>
  </si>
  <si>
    <t>Fajlagos összeg</t>
  </si>
  <si>
    <t>I.</t>
  </si>
  <si>
    <t>II.</t>
  </si>
  <si>
    <t>A TELEPÜLÉSI ÖNKORMÁNYZATOK EGYES KÖZNEVELÉSI FELADATAINAK TÁMOGATÁSA</t>
  </si>
  <si>
    <t>Óvodaműködtetési támogatás</t>
  </si>
  <si>
    <t>III.</t>
  </si>
  <si>
    <t>Szociális étkeztetés</t>
  </si>
  <si>
    <t>Házi segítségnyújtás</t>
  </si>
  <si>
    <t>Időskorúak nappali intézményi ellátása</t>
  </si>
  <si>
    <t xml:space="preserve">A TELEPÜLÉSI ÖNKORMÁNYZATOK KULTURÁLIS FELADATAINAK TÁMOGATÁSA </t>
  </si>
  <si>
    <t>Települési önkormányzatok nyilvános könyvtári és közművelődési feladatainak támogatása</t>
  </si>
  <si>
    <t>2. számú melléklet összesen</t>
  </si>
  <si>
    <t>A/II. Önkormányzati kiadások</t>
  </si>
  <si>
    <t xml:space="preserve">A/I. Európai Uniós pályázatokhoz kapcsolódó felújítások </t>
  </si>
  <si>
    <t>K-71</t>
  </si>
  <si>
    <t>K-72</t>
  </si>
  <si>
    <t>K-73</t>
  </si>
  <si>
    <t>K-74</t>
  </si>
  <si>
    <t>ebből: informatikai eszközök</t>
  </si>
  <si>
    <t>ebből: ingatlanok</t>
  </si>
  <si>
    <t>TÁRGYÉVI MŰKÖDÉSI BEVÉTELEK (B1+B3+B4+B6+B8)</t>
  </si>
  <si>
    <t>TÁRGYÉVI FELHALMOZÁSI BEVÉTELEK (B2+B5+B7+B8)</t>
  </si>
  <si>
    <t>A beruházásokhoz kapcsolódó EU támogatások és hitelek kockázati fedezete</t>
  </si>
  <si>
    <t xml:space="preserve"> Ebből: működési tartalékok</t>
  </si>
  <si>
    <t>Kormányzati funkció száma</t>
  </si>
  <si>
    <t>Szociális ellátások, támogatások</t>
  </si>
  <si>
    <t>Összesen</t>
  </si>
  <si>
    <t>Krízishelyzet és egyéb szociális célú támogatás</t>
  </si>
  <si>
    <t>Köztemetés</t>
  </si>
  <si>
    <t>Gyógyászati segédeszköz támogatás</t>
  </si>
  <si>
    <t>Hátrányos helyzetű gyermekek üdültetése és rendezvényeik támogatása</t>
  </si>
  <si>
    <t>I. Önkormányzati segélyek</t>
  </si>
  <si>
    <t xml:space="preserve"> Ebből: felhalmozási célú pénzeszköz átadások, támogatások</t>
  </si>
  <si>
    <t xml:space="preserve"> Ebből: működési célú pénzeszköz átadások, támogatások</t>
  </si>
  <si>
    <t xml:space="preserve">   Ebből: hitelfelvétellel kapcsolatos kiadások</t>
  </si>
  <si>
    <t>001</t>
  </si>
  <si>
    <t>069</t>
  </si>
  <si>
    <t>052080</t>
  </si>
  <si>
    <t>066020</t>
  </si>
  <si>
    <t>003</t>
  </si>
  <si>
    <t>006</t>
  </si>
  <si>
    <t>007</t>
  </si>
  <si>
    <t>008</t>
  </si>
  <si>
    <t>049</t>
  </si>
  <si>
    <t>Intézmény</t>
  </si>
  <si>
    <t>016030 Állampolgársági ügyek</t>
  </si>
  <si>
    <t>Intézmény összesen</t>
  </si>
  <si>
    <t>072450 Fizikotherápiás szolgáltatás</t>
  </si>
  <si>
    <t>074031              Család-és nővédelem egészségügyi gondozás</t>
  </si>
  <si>
    <t>074032                       Ifjúság-egészségügyi gondozás</t>
  </si>
  <si>
    <t>010 Fizikotherápiás szolgáltatás</t>
  </si>
  <si>
    <t>011                  Család-és nővédelem egészségügyi gondozás</t>
  </si>
  <si>
    <t>012                Ifjúság-egészségügyi gondozás</t>
  </si>
  <si>
    <t>016        Vendéglátás étkeztetés</t>
  </si>
  <si>
    <t>107053 Jelzőrendszeres házi segítségnyújtás</t>
  </si>
  <si>
    <t>072111        Háziorvosi alapellátás</t>
  </si>
  <si>
    <t>072420 Egészségügyi laboratóriumi szolgáltatás</t>
  </si>
  <si>
    <t>DUNAHARASZTI INTÉZMÉNYEK ÖSSZESEN</t>
  </si>
  <si>
    <t>004</t>
  </si>
  <si>
    <t>005</t>
  </si>
  <si>
    <t>011</t>
  </si>
  <si>
    <t>014</t>
  </si>
  <si>
    <t>015</t>
  </si>
  <si>
    <t>75.</t>
  </si>
  <si>
    <t>Pest Megyei Katasztrófavédelmi Igazgatóság eszközfejlesztési támogatása</t>
  </si>
  <si>
    <t>DUNAHARASZTI ÖNKORMÁNYZAT ÖSSZESEN</t>
  </si>
  <si>
    <t>VÁROSI SZINTŰ DUNAHARASZTI ÖNKORMÁNYZAT MINDÖSSZESEN</t>
  </si>
  <si>
    <t>Dunaharaszti Polgármesteri Hivatal (igazgatás)</t>
  </si>
  <si>
    <t>Dunaharaszti Polgármesteri Hivatal (adó)</t>
  </si>
  <si>
    <t>011220</t>
  </si>
  <si>
    <t>091110</t>
  </si>
  <si>
    <t>Dunaharaszti Hétszínvirág Óvoda (Hétszínvirág)</t>
  </si>
  <si>
    <t>104042</t>
  </si>
  <si>
    <t>016</t>
  </si>
  <si>
    <t>107053</t>
  </si>
  <si>
    <t>072111</t>
  </si>
  <si>
    <t>074031</t>
  </si>
  <si>
    <t>074032</t>
  </si>
  <si>
    <t>Dunaharaszti Területi Gondozási Központ (Család és nővédelem)</t>
  </si>
  <si>
    <t>Dunaharaszti Területi Gondozási Központ (Ifjúság egészségügy)</t>
  </si>
  <si>
    <t>Dunaharaszti Területi Gondozási Központ (Házi jelzőrendszer)</t>
  </si>
  <si>
    <t>Dunaharaszti Területi Gondozási Központ (Óvodai intézményi étkezés)</t>
  </si>
  <si>
    <t>Dunaharaszti Területi Gondozási Központ (Gimnáziumi intézményi étkeztetés)</t>
  </si>
  <si>
    <t>Dunaharaszti Területi Gondozási Központ (Vendéglátás étkeztetés)</t>
  </si>
  <si>
    <t>082044</t>
  </si>
  <si>
    <t>111 Továbbszámlázás bevétele és kiadása</t>
  </si>
  <si>
    <t>Felújítási kiadások</t>
  </si>
  <si>
    <t>Intézményfinanszírozási kiadások</t>
  </si>
  <si>
    <t>096015 Gyermekétkeztetés köznevelési intézményben</t>
  </si>
  <si>
    <t>104035 Gyermekétkeztetés bölcsődében, fogyatékosok nappali intézményében</t>
  </si>
  <si>
    <t>Hóeltakarítás opció</t>
  </si>
  <si>
    <t xml:space="preserve">    Ebből: államháztartáson belüli megelőlegezések visszafizetése</t>
  </si>
  <si>
    <t>Pályázati forrás</t>
  </si>
  <si>
    <t>Vegyes</t>
  </si>
  <si>
    <t>Felhalmozási jellegű tartalékok</t>
  </si>
  <si>
    <t>Működési jellegű tartalékok</t>
  </si>
  <si>
    <t>I. Városgazdálkodás céltartalékai</t>
  </si>
  <si>
    <t>II. Finanszírozott kör céltartaléka</t>
  </si>
  <si>
    <t>III. Egyéb feladatok</t>
  </si>
  <si>
    <t>IV. Támogatások</t>
  </si>
  <si>
    <t>V. Önkormányzatok feladatok</t>
  </si>
  <si>
    <t>Sor-
szám</t>
  </si>
  <si>
    <t>Rovat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</si>
  <si>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</si>
  <si>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</si>
  <si>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</si>
  <si>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</si>
  <si>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</si>
  <si>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</si>
  <si>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</si>
  <si>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</si>
  <si>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</si>
  <si>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</si>
  <si>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</si>
  <si>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</si>
  <si>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</si>
  <si>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</si>
  <si>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</si>
  <si>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</si>
  <si>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K5</t>
  </si>
  <si>
    <t>K6</t>
  </si>
  <si>
    <t>K7</t>
  </si>
  <si>
    <t>K8</t>
  </si>
  <si>
    <t>K1-K8</t>
  </si>
  <si>
    <t>B1</t>
  </si>
  <si>
    <t>B2</t>
  </si>
  <si>
    <t>B3</t>
  </si>
  <si>
    <t>B4</t>
  </si>
  <si>
    <t>B5</t>
  </si>
  <si>
    <t>B6</t>
  </si>
  <si>
    <t>B7</t>
  </si>
  <si>
    <t>B1-B7</t>
  </si>
  <si>
    <t>K9</t>
  </si>
  <si>
    <t>B8</t>
  </si>
  <si>
    <t xml:space="preserve">Közhatalmi bevételek </t>
  </si>
  <si>
    <t xml:space="preserve">Felhalmozási célú támogatások államháztartáson belülről </t>
  </si>
  <si>
    <t>Finanszírozási kiadások</t>
  </si>
  <si>
    <t>kötelező</t>
  </si>
  <si>
    <t>önként vállalt</t>
  </si>
  <si>
    <t>államigazgatási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</si>
  <si>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</si>
  <si>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</si>
  <si>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</si>
  <si>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</si>
  <si>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</si>
  <si>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</si>
  <si>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</si>
  <si>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</si>
  <si>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</si>
  <si>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Egyéb működési célú kiadások </t>
  </si>
  <si>
    <t xml:space="preserve">Egyéb felhalmozási célú kiadások </t>
  </si>
  <si>
    <t xml:space="preserve">Költségvetési kiadások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</si>
  <si>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</si>
  <si>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</si>
  <si>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</si>
  <si>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Finanszírozási bevételek</t>
  </si>
  <si>
    <t xml:space="preserve">Beruházások </t>
  </si>
  <si>
    <t xml:space="preserve">Felhalmozási bevételek </t>
  </si>
  <si>
    <t>összesen</t>
  </si>
  <si>
    <t>Kormányzati funkciók száma és megnevezése</t>
  </si>
  <si>
    <t>Rovat száma</t>
  </si>
  <si>
    <t>018010 Önkormányzatok elszámolásai a központi költségvetéssel</t>
  </si>
  <si>
    <t>042220 Erdőgazdálkodás</t>
  </si>
  <si>
    <t>083040 Rádióműsor szolgáltatása és támogatása</t>
  </si>
  <si>
    <t>106010 Lakóingatlan szociális célú bérbeadása, üzemeltetése</t>
  </si>
  <si>
    <t>081030 Sportlétesítmények, edzőtáborok működtetése és fejlesztése</t>
  </si>
  <si>
    <t>081041 Versenysport- és utánpótlás-nevelési tevékenység és támogatása</t>
  </si>
  <si>
    <t>Kiadások</t>
  </si>
  <si>
    <t>051020                Nem veszélyes (települési) hulladék összetevőinek válogatása, elkülönített begyűjtése, szállítása, átrakása</t>
  </si>
  <si>
    <t>066020              Város-, község-gazdálkodási egyéb szolgáltatások</t>
  </si>
  <si>
    <t xml:space="preserve">029    Erdőállomány kezelés és fenntartás </t>
  </si>
  <si>
    <t>038        Dunaharaszti sajtókapcsolatai</t>
  </si>
  <si>
    <t>041                        Piac üzemeltetés</t>
  </si>
  <si>
    <t>046               Kitüntetői díjak</t>
  </si>
  <si>
    <t>048 Önkormányzati gondnokság</t>
  </si>
  <si>
    <t xml:space="preserve">054           Temető fenntartás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</si>
  <si>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</si>
  <si>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</si>
  <si>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</si>
  <si>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</si>
  <si>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</si>
  <si>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</si>
  <si>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</si>
  <si>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</si>
  <si>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</si>
  <si>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</si>
  <si>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</si>
  <si>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</si>
  <si>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</si>
  <si>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Eredeti előirányzat</t>
  </si>
  <si>
    <t>011130 Önkormányzatok és önkormányzati hivatalok jogalkotási és általános igazgatási tevékenysége</t>
  </si>
  <si>
    <t>081041 Versenysport- és utánpótlás-nevelési tevékenység és támogatás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</si>
  <si>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</si>
  <si>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</si>
  <si>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</si>
  <si>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</si>
  <si>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</si>
  <si>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</si>
  <si>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</si>
  <si>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</si>
  <si>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</si>
  <si>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</si>
  <si>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</si>
  <si>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</si>
  <si>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</si>
  <si>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</si>
  <si>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</si>
  <si>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</si>
  <si>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</si>
  <si>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</si>
  <si>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</si>
  <si>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</si>
  <si>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</si>
  <si>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</si>
  <si>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</si>
  <si>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</si>
  <si>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</si>
  <si>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</si>
  <si>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</si>
  <si>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</si>
  <si>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</si>
  <si>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</si>
  <si>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</si>
  <si>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</si>
  <si>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</si>
  <si>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</si>
  <si>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</si>
  <si>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</si>
  <si>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</si>
  <si>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</si>
  <si>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</si>
  <si>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</si>
  <si>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</si>
  <si>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</si>
  <si>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</si>
  <si>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</si>
  <si>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</si>
  <si>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96.</t>
  </si>
  <si>
    <t>97.</t>
  </si>
  <si>
    <t>98.</t>
  </si>
  <si>
    <t>99.</t>
  </si>
  <si>
    <t>100.</t>
  </si>
  <si>
    <t xml:space="preserve">önként vállalt </t>
  </si>
  <si>
    <t>TÁRGYÉVI KIADÁSOK ÖSSZESEN</t>
  </si>
  <si>
    <t>TÁRGYÉVI BEVÉTELEK ÖSSZESEN</t>
  </si>
  <si>
    <t>Személyi juttatások</t>
  </si>
  <si>
    <t xml:space="preserve">Dologi kiadások </t>
  </si>
  <si>
    <t>Ellátottak pénzbeli juttatásai</t>
  </si>
  <si>
    <t>Felújítások</t>
  </si>
  <si>
    <t>011130                                                   Önkormányzatok és önkormányzati hivatalok jogalkoltó és általános igazgatási tevékenysége</t>
  </si>
  <si>
    <t>011220                                            Adó, vám és jövedéki igazgatás</t>
  </si>
  <si>
    <t>091110                                       Óvodai nevelés, ellátás szakmai feladatai</t>
  </si>
  <si>
    <t xml:space="preserve">091120                                              Sajátos nevelési igényű gyermekek óvodai nevelésének, ellátásának szakmai feladatai                     </t>
  </si>
  <si>
    <t xml:space="preserve">091120                                                Sajátos nevelési igényű gyermekek óvodai nevelésének, ellátásának szakmai feladatai                     </t>
  </si>
  <si>
    <t>104060                                  A gyermekek, fiatalok és családok életminőségét javító programok</t>
  </si>
  <si>
    <t>107052                                Házi segítségnyújtás</t>
  </si>
  <si>
    <t>017                                                        Előző évekről hozott hátralék</t>
  </si>
  <si>
    <t>009                                  Eü labor</t>
  </si>
  <si>
    <t>008                                              Egyéb járóbeteg</t>
  </si>
  <si>
    <t>005                                   Házi jelzőrendszer</t>
  </si>
  <si>
    <t>004                                              Házi segítségnyújtás</t>
  </si>
  <si>
    <t>003                                           Szociális étkeztetés</t>
  </si>
  <si>
    <t>001                                    Intézmény finanszírozás</t>
  </si>
  <si>
    <t>072111                                                Háziorvosi alapellátás</t>
  </si>
  <si>
    <t>002                       Étkeztetés</t>
  </si>
  <si>
    <t>001                       Intézmény finanszírozás</t>
  </si>
  <si>
    <t>003                               Könyvtári állomány feltárása, megőrzése</t>
  </si>
  <si>
    <t>002                                 Könyvtári állomány gyarapítása</t>
  </si>
  <si>
    <t>004                                          Könyvtári szolgáltatások</t>
  </si>
  <si>
    <t>082044                                  Könyvtári szolgáltatások</t>
  </si>
  <si>
    <t>066020                          Város- és község-gazdálkodási egyéb szolgáltatások</t>
  </si>
  <si>
    <t>K-89</t>
  </si>
  <si>
    <t>II. Elkülönített számlák</t>
  </si>
  <si>
    <t>Társ. Összefogás.megv.közműfejl.lebony</t>
  </si>
  <si>
    <t xml:space="preserve">Bérlakás értékesítés </t>
  </si>
  <si>
    <t>Víziközmű számla</t>
  </si>
  <si>
    <t>Környezetvédelmi szla</t>
  </si>
  <si>
    <t>Parkolóhely megváltás számla</t>
  </si>
  <si>
    <t>107060                                 Egyes szociális pénzbeli és természetbeni ellátások, támogatások</t>
  </si>
  <si>
    <t xml:space="preserve">Szemétdíj átvállalása rászorultsági alapon </t>
  </si>
  <si>
    <t xml:space="preserve">Sorszám </t>
  </si>
  <si>
    <t>045140                                   Városi és elővárosi közúti személy-szállítás</t>
  </si>
  <si>
    <t>022010                                     Polgári honvédelem ágazati feladatai, a lakosság felkészítése</t>
  </si>
  <si>
    <t>084040                                Egyházak közösségi és hitéleti tevékenységének támogatása</t>
  </si>
  <si>
    <t>066020                                 Város-és községgazdálkodási egyéb szolgáltatás</t>
  </si>
  <si>
    <t>045120                                    Út, autópálya építése</t>
  </si>
  <si>
    <t>066020                         Város-, község-gazdálkodási egyéb szolgáltatások</t>
  </si>
  <si>
    <t>066020                          Város-, községgazdálkodási egyéb szolgáltatások</t>
  </si>
  <si>
    <t>016080                              Kiemelt állami és önkormányzati rendezvények</t>
  </si>
  <si>
    <t>066020                                   Város-, községgazdálkodási egyéb szolgáltatások</t>
  </si>
  <si>
    <t>045160                          Közutak, hidak, alagutak üzemeltetése, fenntartása</t>
  </si>
  <si>
    <t>071                                  Óvodások hallásvizsgálata, szemészeti és orthopédiai vizsgálata</t>
  </si>
  <si>
    <t>074032                            Ifjúság-egészségügyi gondozás</t>
  </si>
  <si>
    <t>016080                               Kiemelt állami és önkormányzati rendezvények</t>
  </si>
  <si>
    <t>083030                                         Egyéb kiadói tevékenység</t>
  </si>
  <si>
    <t>064010                                      Közvilágítás</t>
  </si>
  <si>
    <t>013350                                            Az önkormányzati vagyonnal való gazdálkodással kapcsolatos feladatok</t>
  </si>
  <si>
    <t>066020                      Város-, községgaz-dálkodási egyéb szolgáltatások</t>
  </si>
  <si>
    <t>047120                          Piac üzemeltetése</t>
  </si>
  <si>
    <t>066020                                                          Város-, községgazdálkodási egyéb szolgáltatások</t>
  </si>
  <si>
    <t>051030                                     Nem veszélyes (települési) hulladék vegyes (ömlesztett) begyűjtése, szállítása, átrakása</t>
  </si>
  <si>
    <t>033                            Lomtalanítás és köztéri szemétgyűjtés</t>
  </si>
  <si>
    <t>051050                            Veszélyes hulladék begyűjtése, szállítása, átrakása</t>
  </si>
  <si>
    <t>107060                                      Egyes szociális pénzbeli és természetbeni ellátások, támogatások</t>
  </si>
  <si>
    <t>031                                Külterületi szemét és veszélyes hulladék gyűjtése</t>
  </si>
  <si>
    <t>084031                                   Civil szervezetek működési támogatása</t>
  </si>
  <si>
    <t>Gyermekétkeztetés támogatása méltányossági alapon, ételallergiában szenvedő étkeztetési támogatása</t>
  </si>
  <si>
    <t>107060                     Egyes szociális pénzbeli és természetbeni ellátások, támogatások</t>
  </si>
  <si>
    <t>212                       Ételallergiában szenvedő gyerekek támogatása</t>
  </si>
  <si>
    <t>211                                 Gyógyászati segédeszköz támogatás</t>
  </si>
  <si>
    <t>Rendszeres települési támogatás ápolás céljára</t>
  </si>
  <si>
    <t>Útfenntartás rendkívüli kiadásai (útfenntartási opció)</t>
  </si>
  <si>
    <t>K-512</t>
  </si>
  <si>
    <t>013                        Óvodai intézményi étkeztetés</t>
  </si>
  <si>
    <t>015                               Gimnáziumi  intézményi étkeztetés</t>
  </si>
  <si>
    <t>107052</t>
  </si>
  <si>
    <t>Dunaharaszti Területi Gondozási Központ (Idősek nappali ellátása)</t>
  </si>
  <si>
    <t>Dunaharaszti Területi Gondozási Központ (Házi segítségnyújtás)</t>
  </si>
  <si>
    <t>062      Hétszínvirág ó. Bérleti díj</t>
  </si>
  <si>
    <t>001                                     Intézmény finanszírozás</t>
  </si>
  <si>
    <t xml:space="preserve">002                                Mese Óvoda      </t>
  </si>
  <si>
    <t>003                                 Napsugár Óvoda</t>
  </si>
  <si>
    <t>001                        Intézmény finanszírozás</t>
  </si>
  <si>
    <t xml:space="preserve">002                     Hétszínvirág Óvoda      </t>
  </si>
  <si>
    <t>001                              Intézmény finanszírozás</t>
  </si>
  <si>
    <t>002                           Polgármesteri Hivatal</t>
  </si>
  <si>
    <t>003                              Adóügyi feladatok</t>
  </si>
  <si>
    <t>004                            Anyakönyvi feladatok</t>
  </si>
  <si>
    <t>008                               Előző évekről hozott hátralék</t>
  </si>
  <si>
    <t>A települési önkormányzatok által biztosított egyes szociális szakosított ellátások, valamint a gyermekek átmeneti gondozásával kapcsolatos feladatok támogatása</t>
  </si>
  <si>
    <t>004                                                  Mese Óvoda sajátos ….</t>
  </si>
  <si>
    <t>001                          Intézmény finanszírozás</t>
  </si>
  <si>
    <t>Nemzetiségi Önkormányzatok részére nyújtott támogatás összesen:</t>
  </si>
  <si>
    <t xml:space="preserve">Ügyeleti Szolgálat (Haraszti Fraxinus Kft.) támogatása </t>
  </si>
  <si>
    <t>014                                           Iskolai intézményi étkeztetés</t>
  </si>
  <si>
    <t>030                                        Zöldterület kezelés</t>
  </si>
  <si>
    <t>031070                           Baleset-megelőzés</t>
  </si>
  <si>
    <t>059                             Nemzetközi kapcsolatok</t>
  </si>
  <si>
    <t>072112                         Háziorvosi ügyeleti ellátás</t>
  </si>
  <si>
    <t>045160                        Közutak, hidak, alagutak üzemeltetése, fenntartása</t>
  </si>
  <si>
    <t>083050                           Televízió-műsor szolgáltatása és támogatása</t>
  </si>
  <si>
    <t>041160                      Földmérés, térképészet</t>
  </si>
  <si>
    <t>058                       Kiemelt állami és önkormányzati rendezvények</t>
  </si>
  <si>
    <t>031030                                 Közterület rendjének fenntartása</t>
  </si>
  <si>
    <t>074051                                Nem fertőző megbetegedések megelőzése</t>
  </si>
  <si>
    <t>074040                                    Fertőző megbetegedések megelőzése, járványügyi ellátás</t>
  </si>
  <si>
    <t>072160                                      Betegszállítás, valamint orvosi rendelvényű halottszállítás</t>
  </si>
  <si>
    <t>074                                       Betegszállítási szolgáltatások igénybevétele</t>
  </si>
  <si>
    <t>084040                                        Egyházak közösségi és hitéleti tevényekségének támogatása</t>
  </si>
  <si>
    <t>013350                                   Az önkormányzati vagyonnal való gazdálkodással kapcsolatos feladatok</t>
  </si>
  <si>
    <t>002                       Gyermekjóléti szolgáltatás</t>
  </si>
  <si>
    <t>104012                       Gyermekek átmeneti ellátása</t>
  </si>
  <si>
    <t>096025                             Munkahelyi étkeztetés köznevelési intézményben</t>
  </si>
  <si>
    <t>081061                                      Szabadidős park, fürdő és strandszolgáltatás</t>
  </si>
  <si>
    <t>084032                             Civil szervezetek program-támogatása</t>
  </si>
  <si>
    <t>II. Versenysport és utánpótlás-nevelési tevékenységek támogatása</t>
  </si>
  <si>
    <t>III. Támogatások</t>
  </si>
  <si>
    <t>084                                          Tartalékok</t>
  </si>
  <si>
    <t>adatok Ft-ban</t>
  </si>
  <si>
    <t>104042                                                                 Család és gyermekjóléti szolgáltatások</t>
  </si>
  <si>
    <t xml:space="preserve">018030                                          Támogatási célú finanszírozási műveletek              </t>
  </si>
  <si>
    <t>102031                                 Idősek nappali ellátása</t>
  </si>
  <si>
    <t>III.    Város- és község-gazdálkodási egyéb szolgáltatások</t>
  </si>
  <si>
    <t>019                  Választott tisztségviselők (polgármester és képviselők)</t>
  </si>
  <si>
    <t>Intézmény neve</t>
  </si>
  <si>
    <t>Létszámkeret</t>
  </si>
  <si>
    <t>Dunaharaszti Város Önkormányzata</t>
  </si>
  <si>
    <t xml:space="preserve"> ebből: Választott tisztségviselő</t>
  </si>
  <si>
    <t>019</t>
  </si>
  <si>
    <t xml:space="preserve"> ebből: Piac üzemeltetés</t>
  </si>
  <si>
    <t>041</t>
  </si>
  <si>
    <t xml:space="preserve"> ebből: Önkormányzati gondnokság</t>
  </si>
  <si>
    <t>048</t>
  </si>
  <si>
    <t xml:space="preserve"> ebből: Közterület felügyelet , rendőrség, közterületi kamerák</t>
  </si>
  <si>
    <t xml:space="preserve"> ebből: Temető fenntartás</t>
  </si>
  <si>
    <t>054</t>
  </si>
  <si>
    <t xml:space="preserve"> ebből: Temetkezés</t>
  </si>
  <si>
    <t>055</t>
  </si>
  <si>
    <t xml:space="preserve"> ebből: Polgármesteri Hivatal</t>
  </si>
  <si>
    <t xml:space="preserve"> ebből: Adóügyi feladatok</t>
  </si>
  <si>
    <t xml:space="preserve"> ebből: Anyakönyvi feladatok</t>
  </si>
  <si>
    <t xml:space="preserve"> ebből: Étkeztetés</t>
  </si>
  <si>
    <t xml:space="preserve"> ebből: Gyermekek egyéb ellátása</t>
  </si>
  <si>
    <t xml:space="preserve"> ebből: Hétszínvirág Óvoda</t>
  </si>
  <si>
    <t xml:space="preserve"> ebből: Százszorszép Óvoda</t>
  </si>
  <si>
    <t xml:space="preserve"> ebből: Szivárvány Óvoda</t>
  </si>
  <si>
    <t xml:space="preserve"> ebből: Mese Óvoda</t>
  </si>
  <si>
    <t xml:space="preserve"> ebből: Napsugár Óvoda</t>
  </si>
  <si>
    <t xml:space="preserve"> ebből: Idősek nappali ellátása</t>
  </si>
  <si>
    <t xml:space="preserve"> ebből: Szociális étkeztetés</t>
  </si>
  <si>
    <t xml:space="preserve"> ebből: Házi segítségnyújtás</t>
  </si>
  <si>
    <t xml:space="preserve"> ebből: Jelzőrendszeres házi segítségnyújtás</t>
  </si>
  <si>
    <t xml:space="preserve"> ebből:  Egyéb m.n.s. járóbetegellátás</t>
  </si>
  <si>
    <t xml:space="preserve"> ebből: Egészségügyi laboratóriumi szolgáltatás</t>
  </si>
  <si>
    <t>009</t>
  </si>
  <si>
    <t xml:space="preserve"> ebből: Fizikotherápiás szolgáltatás</t>
  </si>
  <si>
    <t>010</t>
  </si>
  <si>
    <t xml:space="preserve"> ebből: Család- és nővédelem egészségügyi gondozás</t>
  </si>
  <si>
    <t xml:space="preserve"> ebből: Ifjúság-egészségügyi gondozás</t>
  </si>
  <si>
    <t xml:space="preserve"> ebből: Könyvtári szolgáltatások</t>
  </si>
  <si>
    <t xml:space="preserve"> ebből: Közművelődési tevékenység</t>
  </si>
  <si>
    <t>Dunaharaszti Gyermekjóléti és Családsegítő Szolgálat</t>
  </si>
  <si>
    <t>VÁROSI SZINTŰ ÖNKORMÁNYZAT MINDÖSSZESEN</t>
  </si>
  <si>
    <t>043                                          Lakihegy rádió</t>
  </si>
  <si>
    <t>055                                  Temetkezés</t>
  </si>
  <si>
    <t>013320                                                            Köztemető-fenntartás és működtetés</t>
  </si>
  <si>
    <t>085                                 Intézmény finanszírozás</t>
  </si>
  <si>
    <t>091110                                                                             Óvodai nevelés, ellátás szakmai feladatai</t>
  </si>
  <si>
    <t>018030                      Támogatási célú finanszírozási műveletek</t>
  </si>
  <si>
    <t>091110                          Óvodai nevelés, ellátás szakmai feladatai</t>
  </si>
  <si>
    <t>091110                                         Óvodai nevelés, ellátás szakmai feladatai</t>
  </si>
  <si>
    <t>072210                                      Járóbetegek gyógyító szakellátása</t>
  </si>
  <si>
    <t>052080                   Szennyvíz-csatorna építése, fenntartása, üzemeltetése</t>
  </si>
  <si>
    <t>061030                          Lakáshoz jutást segítő támogatások</t>
  </si>
  <si>
    <t>082064                            Múzeumi közművelődési, közönségkap-csolati tevékenység</t>
  </si>
  <si>
    <t>031030                            Közterület rendjének fenntartása</t>
  </si>
  <si>
    <t>018030                        Támogatási célú finanszírozási műveletek</t>
  </si>
  <si>
    <t>018030                  Támogatási célú finanszírozási műveletek</t>
  </si>
  <si>
    <t>018030                       Támogatási célú finanszírozási műveletek</t>
  </si>
  <si>
    <t>082042                              Könyvtári állomány gyarapítása, nyilvántartása</t>
  </si>
  <si>
    <t xml:space="preserve">018030                                      Támogatási célú finanszírozási műveletek              </t>
  </si>
  <si>
    <t>Polgármesteri Hivatal</t>
  </si>
  <si>
    <t>Létszámkeret  (fő)</t>
  </si>
  <si>
    <t>Tervezett átlagos statisztikai állományi létszám (fő)</t>
  </si>
  <si>
    <t>Nyitólétszám (az időszak első napján munkavégzésre irányuló jogviszonyban állók statisztikai állományi létszáma) (fő)</t>
  </si>
  <si>
    <t>Munkajogi nyitólétszám (az időszak első napján munkaviszonyban állók létszáma) (fő)</t>
  </si>
  <si>
    <t>018030                             Támogatási célú finanszírozási műveletek</t>
  </si>
  <si>
    <t>Dunaharaszti Város Önkormányzata létszám</t>
  </si>
  <si>
    <t>006                          Előző évi hátralék</t>
  </si>
  <si>
    <t>Vegyes (előző évi maradvány: 018030)</t>
  </si>
  <si>
    <t>111                                                       Továbbszámlázás bevétele és kiadása</t>
  </si>
  <si>
    <t>006                                                         Nyári napközis tábor</t>
  </si>
  <si>
    <t>104042                                                     Család és gyermekjóléti szolgáltatások</t>
  </si>
  <si>
    <t>006                                Damjanich u. 32.                                        Orvosi rendelő</t>
  </si>
  <si>
    <t>018                                                        Nyári napközi étkezés</t>
  </si>
  <si>
    <t>007                                   Fő út 35. Gyermekorvosi rendelő</t>
  </si>
  <si>
    <t>082044                                           Könyvtári szolgáltatások</t>
  </si>
  <si>
    <t>007                              Könyvtári elkülönített SZJA 1%-os számla</t>
  </si>
  <si>
    <t>016030</t>
  </si>
  <si>
    <t>Dunaharaszti Polgármesteri Hivatal (anyakönyv)</t>
  </si>
  <si>
    <t>107051</t>
  </si>
  <si>
    <t>Dunaharaszti Területi Gondozási Központ (Szociális étkeztetés)</t>
  </si>
  <si>
    <t>Dunaharaszti Területi Gondozási Központ (Damjanich u. 32.)</t>
  </si>
  <si>
    <t>Dunaharaszti Területi Gondozási Központ (Fő út 35. Gyermekorvosi rendelő)</t>
  </si>
  <si>
    <t>072420</t>
  </si>
  <si>
    <t>Dunaharaszti Területi Gondozási Központ (Eü-i labor)</t>
  </si>
  <si>
    <t>072450</t>
  </si>
  <si>
    <t>Dunaharaszti Területi Gondozási Központ (Fizikotherápia)</t>
  </si>
  <si>
    <t>Ágazati pótlék, bérkompenzáció, személyi juttatás és járulék tartalék</t>
  </si>
  <si>
    <t>104037                                                               Intézményen kívüli gyermekétkeztetés</t>
  </si>
  <si>
    <t>072440                                      Mentés</t>
  </si>
  <si>
    <t>068                                             Közműfejlesztési hozzájárulás</t>
  </si>
  <si>
    <t>052080                        Szennyvízcsatorna építése, fenntartása, üzemeltet.                                                    063080                                       Vízellátással lapcsolatos közmű építése, fenntart.</t>
  </si>
  <si>
    <t>087                             Elektromos autó töltőállomás</t>
  </si>
  <si>
    <t>Települési támogatás</t>
  </si>
  <si>
    <t>Rendszeres települési támogatás gyógyszerköltségre</t>
  </si>
  <si>
    <t>060</t>
  </si>
  <si>
    <t xml:space="preserve">052020                                         Szennyvíz gyűjtése, tisztítása, elhelyezése </t>
  </si>
  <si>
    <t xml:space="preserve">DMTK részére nyújtott támogatások </t>
  </si>
  <si>
    <t>020                  Önkormányzati igazgatás</t>
  </si>
  <si>
    <t xml:space="preserve">215                                                   Rendszeres települési támogatás ápolás céljára </t>
  </si>
  <si>
    <t>Egyéb önkormányzati feladatok támogatása</t>
  </si>
  <si>
    <t>Lakott külterülettel kapcsolatos feladatok támogatása</t>
  </si>
  <si>
    <t>Szolidaritási hozzájárulás</t>
  </si>
  <si>
    <t>Szociális segítés</t>
  </si>
  <si>
    <t>085</t>
  </si>
  <si>
    <t>007                                                       Ingatlanfejlesztések (Ingatlan vásárlás)</t>
  </si>
  <si>
    <t xml:space="preserve"> ebből: Önkormányzati igazgatás</t>
  </si>
  <si>
    <t>020</t>
  </si>
  <si>
    <t>Települési támogatás: Időskorúak és gondnokoltak karácsonyi csomagja és rendezvényeik</t>
  </si>
  <si>
    <t xml:space="preserve">    Ebből: működési célú intézményfinanszírozás bevétele</t>
  </si>
  <si>
    <t xml:space="preserve">    Ebből: felhalmozási célú intézményfinanszírozás bevétele</t>
  </si>
  <si>
    <t>107060                                                                                                Egyes szociális pénzbeli és természetbeni ellátások, támogatások</t>
  </si>
  <si>
    <t>013320</t>
  </si>
  <si>
    <t xml:space="preserve"> ebből: Iskolai intézményi étkeztetés</t>
  </si>
  <si>
    <t>061030                                        Lakáshoz jutást segítő támogatások</t>
  </si>
  <si>
    <t>018020                                                     Központi költségvetési befizetések</t>
  </si>
  <si>
    <t>104031</t>
  </si>
  <si>
    <t xml:space="preserve"> 063080                                       Vízellátással kapcsolatos közmű építése, fenntart.</t>
  </si>
  <si>
    <t>063080</t>
  </si>
  <si>
    <t>052080                        Szennyvízcsatorna építése, fenntartása, üzemeltet.</t>
  </si>
  <si>
    <t>Ebből: elvonások és befizetések</t>
  </si>
  <si>
    <t xml:space="preserve"> Ebből: elvonások és befizetések</t>
  </si>
  <si>
    <t>VÁROSI SZINTŰ ÖNKORMÁNYZATI SEGÉLYEK MINDÖSSZESEN</t>
  </si>
  <si>
    <t xml:space="preserve">Normatíva felülvizsgálat tartalék </t>
  </si>
  <si>
    <t xml:space="preserve">    Ebből: működési célú intézményfinanszírozás kiadása</t>
  </si>
  <si>
    <t xml:space="preserve">    Ebből: felhalmozási célú intézményfinanszírozás kiadása</t>
  </si>
  <si>
    <t>104035</t>
  </si>
  <si>
    <t>102031</t>
  </si>
  <si>
    <t>096015</t>
  </si>
  <si>
    <t>096025</t>
  </si>
  <si>
    <t>082091</t>
  </si>
  <si>
    <t>Dunaharaszti Család- és Gyermekjóléti Szolgálat (Gyermekjóléti)</t>
  </si>
  <si>
    <t>Dunaharaszti Család- és Gyermekjóléti Szolgálat (Családsegítő)</t>
  </si>
  <si>
    <t xml:space="preserve">  Ebből: működési célú pénzeszköz átadások, támogatások</t>
  </si>
  <si>
    <t xml:space="preserve">  Ebből: működési tartalékok</t>
  </si>
  <si>
    <t xml:space="preserve">  Ebből: elvonások és befizetések</t>
  </si>
  <si>
    <t xml:space="preserve">  Ebből: felhalmozási célú pénzeszköz átadások, támogatások</t>
  </si>
  <si>
    <t xml:space="preserve">    Ebből: államháztartáson belüli megelőlegezések</t>
  </si>
  <si>
    <t>900060                               Forgatási és befektetési célú finanszírozási műveletek                                   018010                                Önkormányzatok elszámolásai a központi költségvetéssel</t>
  </si>
  <si>
    <t>051                                                Nem lakáscélú önk.ing.</t>
  </si>
  <si>
    <t>066020                                   Város-, községgazdálkodási egyéb szolgáltatások  043610                       Egyéb energiaipar igazgatása és támogatása</t>
  </si>
  <si>
    <t>091140                                      Óvodai nevelés, ellátás működtetési feladatai</t>
  </si>
  <si>
    <t>063                                  Művészeti Alkotótábor</t>
  </si>
  <si>
    <t xml:space="preserve">   Ebből: működési célú pénzeszköz átadások, támogatások</t>
  </si>
  <si>
    <t xml:space="preserve">   Ebből: elvonások és befizetések</t>
  </si>
  <si>
    <t xml:space="preserve">   Ebből: működési tartalékok</t>
  </si>
  <si>
    <t xml:space="preserve">   Ebből: felhalmozási célú pénzeszköz átadások, támogatások</t>
  </si>
  <si>
    <t xml:space="preserve">   Ebből: hitelfelvétel</t>
  </si>
  <si>
    <t xml:space="preserve">    Ebből: államháztartáson belüli megelőlegezések </t>
  </si>
  <si>
    <t>004                                                 Helytörténeti emléktár</t>
  </si>
  <si>
    <t>003                                  Közművelődési tevékenység</t>
  </si>
  <si>
    <t xml:space="preserve">002                               Laffert-kúria </t>
  </si>
  <si>
    <t>082091                             Közművelődés- közösségi és társadalmi részvétel fejlesztése</t>
  </si>
  <si>
    <t>082063                                   Múzeumi kiállító tevékenység</t>
  </si>
  <si>
    <t>003                        Százszorszép Óvoda</t>
  </si>
  <si>
    <t>002                               Szivárvány Óvoda</t>
  </si>
  <si>
    <t>045120</t>
  </si>
  <si>
    <t>064010</t>
  </si>
  <si>
    <t xml:space="preserve">Közvilágítás bővítése lakossági igény szerint </t>
  </si>
  <si>
    <t>Választott tisztségviselők (polgármester és képviselők) eszközfejlesztés</t>
  </si>
  <si>
    <t>033</t>
  </si>
  <si>
    <t>Köztéri szemétgyűjtők beszerzése</t>
  </si>
  <si>
    <t>051030</t>
  </si>
  <si>
    <t>Piac eszközbeszerzés</t>
  </si>
  <si>
    <t>047120</t>
  </si>
  <si>
    <t>Temetkezés eszközbeszerzés</t>
  </si>
  <si>
    <t>Városi szintű gyesen, gyeden lévő munkavállalók visszatérési tartaléka</t>
  </si>
  <si>
    <t>Dunaharaszti Szivárvány Óvoda (Szivárvány)</t>
  </si>
  <si>
    <t>Dunaharaszti Szivárvány Óvoda (Százszorszép)</t>
  </si>
  <si>
    <t>005                               Előző évekről hozott hátralék</t>
  </si>
  <si>
    <t>Dunaharaszti Városi Könyvtár (Könyvtári szolgáltatás)</t>
  </si>
  <si>
    <t>Dunaharaszti József Attila Művelődési Ház (Laffert-kúria)</t>
  </si>
  <si>
    <t>Dunaharaszti József Attila Művelődési Ház (Közművelődési tevékenység)</t>
  </si>
  <si>
    <t>082030</t>
  </si>
  <si>
    <t>Dunaharaszti Szivárvány Óvoda</t>
  </si>
  <si>
    <t>Dunaharaszti József Attila Művelődési Ház</t>
  </si>
  <si>
    <t>Sportcsarnok beruházás</t>
  </si>
  <si>
    <t>084032</t>
  </si>
  <si>
    <t xml:space="preserve">Óvodaműködtetési támogatás 8 hó </t>
  </si>
  <si>
    <t>Bölcsőde, mini 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</si>
  <si>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</si>
  <si>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</si>
  <si>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Gyermekétkeztetés támogatása méltányossági alapon, tartósan beteg gyermekek étkeztetési támogatása</t>
  </si>
  <si>
    <t xml:space="preserve">Roma Nemzetiségi Önkormányzat </t>
  </si>
  <si>
    <t>002                                           Idősek nappali ellátása</t>
  </si>
  <si>
    <t>081030                                             Sportlétesítmények, edzőtáborok működtet.és fejl.</t>
  </si>
  <si>
    <t>Dunaharaszti Mese Óvoda (Mese)</t>
  </si>
  <si>
    <t>Dunaharaszti Mese Óvoda (Napsugár)</t>
  </si>
  <si>
    <t>ebből: Sportcsarnok</t>
  </si>
  <si>
    <t>Dunaharaszti Városi Könyvtár</t>
  </si>
  <si>
    <t xml:space="preserve"> ebből: Gyermekjóléti szolgáltatás és Családsegítés</t>
  </si>
  <si>
    <t xml:space="preserve"> ebből: Laffert-kúria</t>
  </si>
  <si>
    <t xml:space="preserve"> ebből: Helytörténeti emléktár</t>
  </si>
  <si>
    <t>-</t>
  </si>
  <si>
    <t>VAGABOND Korzó támogatása</t>
  </si>
  <si>
    <t>Mályvavirág Központ (Alapítvány) támogatása</t>
  </si>
  <si>
    <t>072                          Iskoláskorú fiúk HPV oltása, Rota vírus oltása</t>
  </si>
  <si>
    <t>004                                        Városgazdálkodási feladatok</t>
  </si>
  <si>
    <t>066020                                 Város- és községgazdálkodási egyéb szolgáltatás</t>
  </si>
  <si>
    <t>013350</t>
  </si>
  <si>
    <t>016010                                                                  Országgy.önkorm. és európai parl.képv.vál.kap.tev.</t>
  </si>
  <si>
    <t>045160                                     Közutak, hidak, alagutak üzemeltetése, fenntartása</t>
  </si>
  <si>
    <t>005                                                 Előző évekről hozott hátralék</t>
  </si>
  <si>
    <t xml:space="preserve">    Ebbő: felhalmozási célú intézményfinanszírozás bevétele</t>
  </si>
  <si>
    <t>003                        Gyermekek egyéb ellátása                             (régi)</t>
  </si>
  <si>
    <t>004                        Gyermekek egyéb ellátása                                     (új tagbölcsőde)</t>
  </si>
  <si>
    <t>031030</t>
  </si>
  <si>
    <t>halasztott</t>
  </si>
  <si>
    <t>Bárka Alapítvány</t>
  </si>
  <si>
    <t>Beszélj Velem Alapítvány</t>
  </si>
  <si>
    <t>Péter Cerny Alapítvány</t>
  </si>
  <si>
    <t>Be nem fogadott EU-s pályázati pénzek</t>
  </si>
  <si>
    <t>004                        Szivárvány Óvoda SNI</t>
  </si>
  <si>
    <t xml:space="preserve">Óvodaműködtetési támogatás 4 hó </t>
  </si>
  <si>
    <t>Nemzetiségi pótlék</t>
  </si>
  <si>
    <t>102023                                     Időskorúak tartós bentlakásos ellátása</t>
  </si>
  <si>
    <t>052                        Lakásgazdál-kodással kapcsolatos feladatok</t>
  </si>
  <si>
    <t>082063</t>
  </si>
  <si>
    <t>Dunaharaszti József Attila Művelődési Ház (Helytörténeti emléktár)</t>
  </si>
  <si>
    <t>088</t>
  </si>
  <si>
    <t>Kisposta</t>
  </si>
  <si>
    <t>049010</t>
  </si>
  <si>
    <t>Vis maior tartalék</t>
  </si>
  <si>
    <t xml:space="preserve"> ebből: Hétszínvirág Óvoda sajátos nevelési igényű gyerekekkel foglalkozók</t>
  </si>
  <si>
    <t>003                                        Városgazdálkodási feladatok</t>
  </si>
  <si>
    <t>Csapadékvíz beruházások lakossági kérésre</t>
  </si>
  <si>
    <t>Városi civil sport- és kulturális rendezvények kiadásainak valamint DMTK-n kívüli sportegyesületek kiadásainak finanszírozási kerete</t>
  </si>
  <si>
    <r>
      <t xml:space="preserve">037                           </t>
    </r>
    <r>
      <rPr>
        <sz val="12"/>
        <color indexed="17"/>
        <rFont val="Garamond"/>
        <family val="1"/>
        <charset val="238"/>
      </rPr>
      <t xml:space="preserve"> </t>
    </r>
    <r>
      <rPr>
        <sz val="12"/>
        <color indexed="17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 xml:space="preserve">Társulások tagdíjai, Alsófalusi Nyugdíjasklub, </t>
    </r>
    <r>
      <rPr>
        <sz val="12"/>
        <color indexed="8"/>
        <rFont val="Garamond"/>
        <family val="1"/>
        <charset val="238"/>
      </rPr>
      <t>Városi ösztöndíj</t>
    </r>
  </si>
  <si>
    <r>
      <t xml:space="preserve">073                            </t>
    </r>
    <r>
      <rPr>
        <sz val="12"/>
        <color indexed="8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>Tüdőszűrés</t>
    </r>
    <r>
      <rPr>
        <sz val="12"/>
        <color indexed="8"/>
        <rFont val="Garamond"/>
        <family val="1"/>
        <charset val="238"/>
      </rPr>
      <t xml:space="preserve">, </t>
    </r>
    <r>
      <rPr>
        <sz val="12"/>
        <rFont val="Garamond"/>
        <family val="1"/>
        <charset val="238"/>
      </rPr>
      <t>Férfi és női lakosság szűrőgizsgá-latainak megszervezése</t>
    </r>
  </si>
  <si>
    <t>I. Civil szervezetek működési támogatása</t>
  </si>
  <si>
    <t>040                                                Terület előkészítés, földmérés és eljárási díjak</t>
  </si>
  <si>
    <t>101221                                     Fogyatékossággal élők nappali ellátása</t>
  </si>
  <si>
    <t>Építési beruházásokhoz tartaléka</t>
  </si>
  <si>
    <t>Civil szervezetek, egyházak támogatása és helyi DMTK keretein kívül működő egyéb sportok támogatása (civil pályázat)</t>
  </si>
  <si>
    <t>Közterületfelügyelet részére informatikai eszköz vásárlás</t>
  </si>
  <si>
    <t>VI. Általános tartalék</t>
  </si>
  <si>
    <r>
      <t xml:space="preserve">049          </t>
    </r>
    <r>
      <rPr>
        <sz val="12"/>
        <color indexed="53"/>
        <rFont val="Garamond"/>
        <family val="1"/>
        <charset val="238"/>
      </rPr>
      <t xml:space="preserve">     </t>
    </r>
    <r>
      <rPr>
        <sz val="12"/>
        <color indexed="8"/>
        <rFont val="Garamond"/>
        <family val="1"/>
        <charset val="238"/>
      </rPr>
      <t>Közterületi feladatok, közterületi kamerák</t>
    </r>
  </si>
  <si>
    <t>009                                                   Közúti káresemények térítése</t>
  </si>
  <si>
    <t>011 Továbbszámlázás bevétele és kiadása</t>
  </si>
  <si>
    <t>021                           P+R parkolók fenntartása</t>
  </si>
  <si>
    <t>022                                           Utcanévtáblák, gyepmester, városi közkutak</t>
  </si>
  <si>
    <t>023                              Intézményi zöldterület ad hoc feladatainak ellátása</t>
  </si>
  <si>
    <t>024                                        Városi településfejlesztési koncepció, településszerkezeti terv</t>
  </si>
  <si>
    <t>025                              "Várossá válás" szeptemberi ünnepsége</t>
  </si>
  <si>
    <t>028               Fásítási program</t>
  </si>
  <si>
    <r>
      <t>060                                               Sportcsarnok működtetése</t>
    </r>
    <r>
      <rPr>
        <sz val="12"/>
        <color indexed="10"/>
        <rFont val="Garamond"/>
        <family val="1"/>
        <charset val="238"/>
      </rPr>
      <t/>
    </r>
  </si>
  <si>
    <t>050                             Rendőrségi feladatok</t>
  </si>
  <si>
    <t>061                                             Mobil jégpálya üzemeltetése</t>
  </si>
  <si>
    <t>064                                       Városi munkavállalók munka-egészségügyi felülvizsgálata</t>
  </si>
  <si>
    <t>069                                 Szennyvíz bérleti díj felhasználás előző évekről (Szennyvíz)</t>
  </si>
  <si>
    <t>070                                   Szennyvíz bérleti díj felhasználás előző évekről (Ivóvíz)</t>
  </si>
  <si>
    <t>075                Átmeneti bentlakásos otthonban elhelyezés</t>
  </si>
  <si>
    <t>077                                     Fogyatékossággal élők nappali ellátása</t>
  </si>
  <si>
    <t>076                                            Mentési pont</t>
  </si>
  <si>
    <t>079                                     Köznevelési intézmények 1-4. évfolyamával kapcsolatos feladatok</t>
  </si>
  <si>
    <t>080                                     Köznevelési intézmények 5-8. évfolyamával kapcsolatos feladatok</t>
  </si>
  <si>
    <t>088                              Kisposta működtetésével kapcsolatos feladatok</t>
  </si>
  <si>
    <t>093                 Bölcsődei feladatok</t>
  </si>
  <si>
    <t>094                 Művelődési házzal kapcsolatos feladatok</t>
  </si>
  <si>
    <t>095                                               Könyvtári feladatok</t>
  </si>
  <si>
    <t>096                                   Óvodai feladatok</t>
  </si>
  <si>
    <t>099                                         Szolidaritási hozzájárulás</t>
  </si>
  <si>
    <t xml:space="preserve">   203                                           Köztemetés</t>
  </si>
  <si>
    <t>205                                                 Gyermekétkeztetési támogatás</t>
  </si>
  <si>
    <t xml:space="preserve">  206                                                     Hátrányos helyzetű gyermekek üdültetése</t>
  </si>
  <si>
    <t xml:space="preserve">210                                   Téli rezsicsökkentésben korábban nem részesültek" Tűzifa támogatása </t>
  </si>
  <si>
    <r>
      <t xml:space="preserve">301                              </t>
    </r>
    <r>
      <rPr>
        <sz val="12"/>
        <color indexed="8"/>
        <rFont val="Garamond"/>
        <family val="1"/>
        <charset val="238"/>
      </rPr>
      <t xml:space="preserve"> Lakossági járdaépítés, Sz</t>
    </r>
    <r>
      <rPr>
        <sz val="12"/>
        <color indexed="8"/>
        <rFont val="Garamond"/>
        <family val="1"/>
        <charset val="238"/>
      </rPr>
      <t>igetszentmiklósi Tűzoltóság és Rendelő támogatása</t>
    </r>
  </si>
  <si>
    <t>302                                    Első lakáshoz jutók támogatása</t>
  </si>
  <si>
    <t>303                                    Egyházak eszközfejlesztésének támogatása</t>
  </si>
  <si>
    <t xml:space="preserve">    304                                                DMTK támogatása</t>
  </si>
  <si>
    <t xml:space="preserve"> 305                                      DMTK támogatása</t>
  </si>
  <si>
    <t>307                                 Polgárőr Egyesület támogatása</t>
  </si>
  <si>
    <t>308                                                     Működési támogatás:                               Pest Megyei Katasztrófa-védelmi Igazgatóság,</t>
  </si>
  <si>
    <t>309                                           Helyi tömegközlekedés támogatása</t>
  </si>
  <si>
    <t xml:space="preserve">  310                                     Bursa Hungarica ösztöndíj</t>
  </si>
  <si>
    <t>311                                                Nemzetiségi Önkormányzatok támogatása</t>
  </si>
  <si>
    <t>313                                 Haraszti Fraxinus Kft.</t>
  </si>
  <si>
    <t>400                                                     Hitel és kamattörlesztés és hitel felvétellel kapcsolatos egyéb költségek; Megelőlegezési hitel</t>
  </si>
  <si>
    <t xml:space="preserve">   500                           Építményadó</t>
  </si>
  <si>
    <t>500                                      Telekadó</t>
  </si>
  <si>
    <t xml:space="preserve">  500           Magánszemélyek kommunális adója</t>
  </si>
  <si>
    <t>500                                                      Idegenforgalmi adó tartózkodás alapján</t>
  </si>
  <si>
    <t>500              Iparűzési adó</t>
  </si>
  <si>
    <t>500      Gépjárműadó</t>
  </si>
  <si>
    <t xml:space="preserve"> 501                                        Állami támogatás</t>
  </si>
  <si>
    <t>015                            Egyéb adóbevételek</t>
  </si>
  <si>
    <t>014                        Egyéb bevételek</t>
  </si>
  <si>
    <t>012        Felh.c.kölcsön visszatérülése munkavállalótól</t>
  </si>
  <si>
    <t>a)  ellátottak térítési díjának,  kártérítésének méltányossági alapon történő elengedésének összege</t>
  </si>
  <si>
    <t>sorszám</t>
  </si>
  <si>
    <t>Szervezet neve</t>
  </si>
  <si>
    <t>Eredeti Támogatásértékű működési kiadás</t>
  </si>
  <si>
    <t>Eredeti                   Működési célú pénzeszköz átadás államháztartáson kívülre</t>
  </si>
  <si>
    <t>Halasztott tételek</t>
  </si>
  <si>
    <t>Feladat típusa</t>
  </si>
  <si>
    <t>Szociális (Gondozási Központ)</t>
  </si>
  <si>
    <t>Szociális (Városi Bölcsőde)</t>
  </si>
  <si>
    <t>Közoktatás</t>
  </si>
  <si>
    <t>Összesen:</t>
  </si>
  <si>
    <t>b)  lakosság részére lakásépítéshez, lakásfelújításhoz nyújtott kölcsönök elengedésének összege nemleges</t>
  </si>
  <si>
    <t xml:space="preserve">c)  a helyi adónál, gépjárműadónál biztosított kedvezmény, mentesség összege adónemenként </t>
  </si>
  <si>
    <t>Építményadó</t>
  </si>
  <si>
    <t>Telekadó</t>
  </si>
  <si>
    <t>Kommunális adó</t>
  </si>
  <si>
    <t>Iparűzési adó</t>
  </si>
  <si>
    <t>Gépjárműadó</t>
  </si>
  <si>
    <t>Késedelmi pótlék</t>
  </si>
  <si>
    <t>Bírság</t>
  </si>
  <si>
    <t>d)  a helyiségek, eszközök hasznosításából származó bevételből nyújtott kedvezmény, mentesség összege</t>
  </si>
  <si>
    <t>Közterület rendjének fenntartása</t>
  </si>
  <si>
    <t>Önkormányzati tulajdonban álló helyiségek</t>
  </si>
  <si>
    <t>e) az egyéb nyújtott kedvezmény vagy kölcsön elengedésének összege nemleges</t>
  </si>
  <si>
    <t>DMTK szakosztályainak működési célú támogatása</t>
  </si>
  <si>
    <t>094</t>
  </si>
  <si>
    <t>Magyar Államkincstárnál vezetett Bölcsődei pályázathoz kapcsolódó számla</t>
  </si>
  <si>
    <t>Részletezőkód száma és megnevezése</t>
  </si>
  <si>
    <t>Részletezőkód</t>
  </si>
  <si>
    <t>Projekt kód</t>
  </si>
  <si>
    <t>működés</t>
  </si>
  <si>
    <t>felhalmozás</t>
  </si>
  <si>
    <t>kiadás</t>
  </si>
  <si>
    <t>bevétel</t>
  </si>
  <si>
    <t>finanszírozás</t>
  </si>
  <si>
    <t xml:space="preserve">082091  </t>
  </si>
  <si>
    <t>066020                                            Város-, község-gazdálkodási egyéb szolgáltatások</t>
  </si>
  <si>
    <t>045                            Szünidei  veszélyforrások</t>
  </si>
  <si>
    <t>057                          Dunaharaszti Hírek és információs kiadványok</t>
  </si>
  <si>
    <t>091140                       Óvodai nevelés, ellátás működtetési feladatai</t>
  </si>
  <si>
    <t>091220                                              Köznevelési intézmények 1-4. évfolyamán tanulók nevelésével, oktatásával összefüggő működtetési feladatok</t>
  </si>
  <si>
    <t>092120                                Köznevelési intézmények 5-8. évfolyamán tanulók nevelésével, oktatásával összefüggő működtetési feladatok</t>
  </si>
  <si>
    <t>092260                                        Gimnázium és szakközépiskola tanulóinak közismeret és szakmai elméleti oktatásával összefüggő működtetési feladatok</t>
  </si>
  <si>
    <t>081                                Gimnáziumi feladatok</t>
  </si>
  <si>
    <t>082                                     Pedagógiai szakszolgálati feladatok</t>
  </si>
  <si>
    <t>098022                                  Pedagógiai szakszolgáltató tevékenység működtetési feladatai</t>
  </si>
  <si>
    <t>53.</t>
  </si>
  <si>
    <t>55.</t>
  </si>
  <si>
    <t>70.</t>
  </si>
  <si>
    <t>73.</t>
  </si>
  <si>
    <t>74.</t>
  </si>
  <si>
    <t>77.</t>
  </si>
  <si>
    <t>78.</t>
  </si>
  <si>
    <t>87.</t>
  </si>
  <si>
    <t>88.</t>
  </si>
  <si>
    <t>89.</t>
  </si>
  <si>
    <t>90.</t>
  </si>
  <si>
    <t>91.</t>
  </si>
  <si>
    <t>92.</t>
  </si>
  <si>
    <t>93.</t>
  </si>
  <si>
    <t>94.</t>
  </si>
  <si>
    <t>101.</t>
  </si>
  <si>
    <t>304</t>
  </si>
  <si>
    <t>305</t>
  </si>
  <si>
    <t>311</t>
  </si>
  <si>
    <t>070</t>
  </si>
  <si>
    <t>Részle-  tező- kód</t>
  </si>
  <si>
    <t>Részle- tező- kód</t>
  </si>
  <si>
    <t>316                                 Hátrányos helyzetű gyermekek nyelvoktatása</t>
  </si>
  <si>
    <t>003                                    Gyermekek átmeneti otthona</t>
  </si>
  <si>
    <t>004                                    Hátrányos helyzetű gyermekek, fiatalok …</t>
  </si>
  <si>
    <t>005                                   Szünidei étkezés</t>
  </si>
  <si>
    <r>
      <rPr>
        <sz val="12"/>
        <color indexed="10"/>
        <rFont val="Garamond"/>
        <family val="1"/>
        <charset val="238"/>
      </rPr>
      <t xml:space="preserve">003    </t>
    </r>
    <r>
      <rPr>
        <sz val="12"/>
        <rFont val="Garamond"/>
        <family val="1"/>
        <charset val="238"/>
      </rPr>
      <t xml:space="preserve">                         Hétszínvirág Óvoda sajátos ….</t>
    </r>
  </si>
  <si>
    <t>VII. Civil  szervezetek program támogatása</t>
  </si>
  <si>
    <t>K-915 Központi, irányítószervi támogatás folyósítása</t>
  </si>
  <si>
    <t>204                                             Rendszeres települési támogatás gyógyszerköltségre</t>
  </si>
  <si>
    <t xml:space="preserve">    306                                                                                               Civil szervezetek támogatása</t>
  </si>
  <si>
    <t xml:space="preserve">    306                                                                                                                                                                                                         Civil szervezetek támogatása </t>
  </si>
  <si>
    <t xml:space="preserve"> 312                                                                   KisDuna TV-től műsoridő vásárlás, támogatása</t>
  </si>
  <si>
    <t>500                                         Egyéb adóbevétel</t>
  </si>
  <si>
    <t>Polgárőr Egyesület támogatása</t>
  </si>
  <si>
    <t>091120</t>
  </si>
  <si>
    <t>072210</t>
  </si>
  <si>
    <t>Működési célú visszatérítendő támogatások, kölcsönök nyújtása államháztartáson kívülre</t>
  </si>
  <si>
    <t>K-508</t>
  </si>
  <si>
    <t>Biztos bevétel</t>
  </si>
  <si>
    <t>Bizonytalan bevétel</t>
  </si>
  <si>
    <t>K-66</t>
  </si>
  <si>
    <t>ebből: meglévő részesedések növeléséhez kapcsolódó kiadások</t>
  </si>
  <si>
    <t>102.</t>
  </si>
  <si>
    <t>103.</t>
  </si>
  <si>
    <t>104.</t>
  </si>
  <si>
    <t>109.</t>
  </si>
  <si>
    <t>110.</t>
  </si>
  <si>
    <t>105.</t>
  </si>
  <si>
    <t>106.</t>
  </si>
  <si>
    <t>107.</t>
  </si>
  <si>
    <t>108.</t>
  </si>
  <si>
    <t>111.</t>
  </si>
  <si>
    <t>112.</t>
  </si>
  <si>
    <t>113.</t>
  </si>
  <si>
    <t>114.</t>
  </si>
  <si>
    <t>006                                                 Európai parlamenti képviselő választás</t>
  </si>
  <si>
    <t>005                    Önkormányzati választás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</si>
  <si>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</si>
  <si>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</si>
  <si>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</si>
  <si>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</si>
  <si>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</si>
  <si>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</si>
  <si>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</si>
  <si>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</si>
  <si>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</si>
  <si>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</si>
  <si>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</si>
  <si>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</si>
  <si>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</si>
  <si>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138.</t>
  </si>
  <si>
    <t>137.</t>
  </si>
  <si>
    <t>136.</t>
  </si>
  <si>
    <t>134.</t>
  </si>
  <si>
    <t>133.</t>
  </si>
  <si>
    <t>131.</t>
  </si>
  <si>
    <t>129.</t>
  </si>
  <si>
    <t>128.</t>
  </si>
  <si>
    <t>130.</t>
  </si>
  <si>
    <t>Felhalmozási célú kölcsön nyújtása munkavállalónak</t>
  </si>
  <si>
    <t>132.</t>
  </si>
  <si>
    <t>091250                                     Alapfokú Művészet-oktatással  összefüggő működtetési feladatok</t>
  </si>
  <si>
    <t>131                   Tájház felújítása</t>
  </si>
  <si>
    <t>135.</t>
  </si>
  <si>
    <t>139.</t>
  </si>
  <si>
    <t>140.</t>
  </si>
  <si>
    <t>141.</t>
  </si>
  <si>
    <t>083                             Alapfokú Művészet-oktatási feladatok</t>
  </si>
  <si>
    <t>Dunaharaszti Hétszínvirág Óvoda (Hétszínvirág SNI)</t>
  </si>
  <si>
    <t>039</t>
  </si>
  <si>
    <t>081061</t>
  </si>
  <si>
    <t>I. világháborús hadi síremlék felújítása</t>
  </si>
  <si>
    <t xml:space="preserve">   Ebből: Magyar Államkötvény eladás, Betétfelbontás</t>
  </si>
  <si>
    <t xml:space="preserve">   Ebből: Magyar Államkötvény vásárlás, Betétlekötés</t>
  </si>
  <si>
    <t>066010                                   Zöldterület-kezelés</t>
  </si>
  <si>
    <t>066010                                        Zöldterület-kezelés</t>
  </si>
  <si>
    <t>502                                              Bizonytalan bevételek (előző évekről hozott hátralék)</t>
  </si>
  <si>
    <t>Tartalék összege</t>
  </si>
  <si>
    <t xml:space="preserve">     Ebből: államháztartáson belüli megelőlegezések visszafizetése</t>
  </si>
  <si>
    <t>Dunaharaszti Mese Óvoda (SNI)</t>
  </si>
  <si>
    <t xml:space="preserve">104060   </t>
  </si>
  <si>
    <t>Városi dolgozók jutalom kerete</t>
  </si>
  <si>
    <t>Városi pedagógusok (iskolák) jutalmazási kerete</t>
  </si>
  <si>
    <t>056</t>
  </si>
  <si>
    <t>Karácsonyi díszvilágítás</t>
  </si>
  <si>
    <t>Temető fenntartás eszközbeszerzés</t>
  </si>
  <si>
    <t>Útépítési tervek, műszaki ellenőrzés, eljárási díjak, engedélyek</t>
  </si>
  <si>
    <t>Csapadékvíz elvezetési tervek, műszaki ellenőrzés, eljárási díjak, engedélyek</t>
  </si>
  <si>
    <t>Játszóterek eszközfejlesztése</t>
  </si>
  <si>
    <t>087</t>
  </si>
  <si>
    <t>Elektromos autó töltőállomás</t>
  </si>
  <si>
    <t>Helyi tömegközlekedés támogatása (alapfeladat, iskolajárat, Tesco járat)</t>
  </si>
  <si>
    <t>Tréningsorozat óvónők számára és szülők klubja</t>
  </si>
  <si>
    <t>költelező</t>
  </si>
  <si>
    <t>074052    Kábítószer megelőzés programjai, tevékenységei</t>
  </si>
  <si>
    <t>111</t>
  </si>
  <si>
    <t>112</t>
  </si>
  <si>
    <t>006                                                 Támogatások elszámolása</t>
  </si>
  <si>
    <t>005                                              Támogatások elszámolása</t>
  </si>
  <si>
    <t>004                                              Zöld Óvoda</t>
  </si>
  <si>
    <t>007                                                Rendészet</t>
  </si>
  <si>
    <t>Dunaharaszti Polgármesteri Hivata (Rendészet)</t>
  </si>
  <si>
    <t>Piaci konténer épület könnyűszerkezetes építése</t>
  </si>
  <si>
    <t>065</t>
  </si>
  <si>
    <t>Köztisztviselők egészségügyi ellátása</t>
  </si>
  <si>
    <t>032                                            Szelektív hulladékgyűjtés és zöldhulladék gyűjtés</t>
  </si>
  <si>
    <t>Halasztott</t>
  </si>
  <si>
    <t>Csapadékvízelvezetés tervezések</t>
  </si>
  <si>
    <t>035                                             Csapadékvíz-belvíz üzemeltetés; Kül- és belterületi nyílt ár- és belvízelvezető rendszer üzemeltetése;E-közműrendszer üzemeltetése</t>
  </si>
  <si>
    <t>097                                Kábítószer Egyeztető Fórum</t>
  </si>
  <si>
    <t>098</t>
  </si>
  <si>
    <t xml:space="preserve">Dunaharaszti Területi Gondozási Központ (Egyéb járóbeteg) </t>
  </si>
  <si>
    <t xml:space="preserve">036                                      Vagyongazd. Kiadások (Közbeszerzés kiadásai; vagyonbiztosítás; energetikai tanácsadás; GDPR megfelelés; DHRV Kft. Végelsz.bev.) </t>
  </si>
  <si>
    <t>092                          Innovatív fejlesztések (E-városom, Haraszti kártya)</t>
  </si>
  <si>
    <t>034                                                        Helyi közutak fenntartása, rendkívüli síkosság mentesítés</t>
  </si>
  <si>
    <t>Kiegészítő támogatás a pedagógusok és a pedagógus szakképzettséggel rendelkező
segítők minősítéséből adódó többletkiadásokhoz</t>
  </si>
  <si>
    <t xml:space="preserve">    Ebből: működési célú maradvány</t>
  </si>
  <si>
    <t xml:space="preserve">    Ebből: felhalmozási célú maradvány</t>
  </si>
  <si>
    <t>086</t>
  </si>
  <si>
    <t>113                                   Új iskola 1-4. évfolyamával kapcsolatos feladatok</t>
  </si>
  <si>
    <t>114                                     Új iskola 5-8. évfolyamával kapcsolatos feladatok</t>
  </si>
  <si>
    <t>115                           Új iskola Alapfokú Művészetoktatási feladatok</t>
  </si>
  <si>
    <t>005                                  Támogatások elszámolása</t>
  </si>
  <si>
    <t>Magyar Államkincstárnál vezetett Épületenergetikai pályázathoz kapcsolódó számla</t>
  </si>
  <si>
    <t>040</t>
  </si>
  <si>
    <t>041160</t>
  </si>
  <si>
    <t>079</t>
  </si>
  <si>
    <t xml:space="preserve">091220 </t>
  </si>
  <si>
    <t>080</t>
  </si>
  <si>
    <t>092120</t>
  </si>
  <si>
    <t>113</t>
  </si>
  <si>
    <t>114</t>
  </si>
  <si>
    <t>115</t>
  </si>
  <si>
    <t>091220</t>
  </si>
  <si>
    <t>091250</t>
  </si>
  <si>
    <t>042                                                  Közterület használat, Reklámtábla</t>
  </si>
  <si>
    <t xml:space="preserve"> ebből: Rendészet</t>
  </si>
  <si>
    <t>006                               Előző évekről hozott hátralék</t>
  </si>
  <si>
    <t>Előző évekről hozott bevételi hátralékok forrása (kiadási oldala 502 részletezőkód)</t>
  </si>
  <si>
    <t>B1-B8</t>
  </si>
  <si>
    <t>072111                                                   Háziorvosi alapellátás</t>
  </si>
  <si>
    <t>064010                                        Közvilágítás</t>
  </si>
  <si>
    <t>066010                                              Zöldterület-kezelés</t>
  </si>
  <si>
    <t>086030                                           Nemzetközi kulturális együttműködés</t>
  </si>
  <si>
    <t>074011                                       Foglalkozás-egészségügyi alapellátások</t>
  </si>
  <si>
    <t>082030                                   Művészeti tevékenységek (kivéve: színház)</t>
  </si>
  <si>
    <t>104031                                    Gyermekek bölcsődében és mini bölcsődében történő ellátása</t>
  </si>
  <si>
    <t>081045                                Szabadidősport- (rekreációs sport-) tevékenység és támogatása</t>
  </si>
  <si>
    <t>081045                                      Szabadidősport- (rekreációs sport-) tevékenység és támogatása</t>
  </si>
  <si>
    <t>900020 Önkormányzati funkcióra nem sorolható bevételei államháztartáson kívülről</t>
  </si>
  <si>
    <t>107051                               Szociális étkeztetés szociális konyhán</t>
  </si>
  <si>
    <t>900020                                                    Önkormányzhati funkcióra nem sorolható bevételei államháztartáson kívülről</t>
  </si>
  <si>
    <t>082043                              Könyvtári állomány feltárása, megőrzése, védelme</t>
  </si>
  <si>
    <t>082030                                      Művészeti tevékenységek (kivéve: színház)</t>
  </si>
  <si>
    <t>A 2020. évi maradvány terhére képzett tartalék</t>
  </si>
  <si>
    <t>0025</t>
  </si>
  <si>
    <t>0030</t>
  </si>
  <si>
    <t>0031</t>
  </si>
  <si>
    <t>0032</t>
  </si>
  <si>
    <t>0033</t>
  </si>
  <si>
    <t>0034</t>
  </si>
  <si>
    <t>008                              Közvilágítási  bővítések, átépítések (lakossági kérésre; új vezérlés kiépítése)</t>
  </si>
  <si>
    <t>95.</t>
  </si>
  <si>
    <t>084020                                      Nemzetiségi közfeladatok ellátása és támogatása</t>
  </si>
  <si>
    <t>9037</t>
  </si>
  <si>
    <t>Dunaharaszti Család- és Gyermekjóléti Szolgálat (Nyári napközis tábor)</t>
  </si>
  <si>
    <t>Paradicsom Szigetért Egyesület támogatása</t>
  </si>
  <si>
    <t>Ingatlanértékesítések bevételi tartaléka</t>
  </si>
  <si>
    <t>Önkormányzati igazgatás</t>
  </si>
  <si>
    <t>Játszóterek vízellátásának kiépítése</t>
  </si>
  <si>
    <t>Zajvédő fal építés játszótereken</t>
  </si>
  <si>
    <t>Óvodák játszóeszköz fejlesztése</t>
  </si>
  <si>
    <t>Temetkezés új kerítés</t>
  </si>
  <si>
    <t>Temetkezés gépkocsi vásárlás</t>
  </si>
  <si>
    <t>Temetkezés épületfelújítás</t>
  </si>
  <si>
    <t>Sportcsarnok védőháló</t>
  </si>
  <si>
    <t>Sportcsarnok elektromos szellőztetés</t>
  </si>
  <si>
    <t>Sportcsarnok kijelzők védelme</t>
  </si>
  <si>
    <t>Szennyvíz bérleti díj felhasználás 2021. év (Szennyvíz)</t>
  </si>
  <si>
    <t xml:space="preserve"> Szennyvíz bérleti díj felhasználás 2021. év (Ivóvíz)</t>
  </si>
  <si>
    <t>070                                   Szennyvíz bérleti díj felhasználás 2021. év                 (Ivóvíz)</t>
  </si>
  <si>
    <t>069                                   Szennyvíz bérleti díj felhasználás 2021. év (Szennyvíz)</t>
  </si>
  <si>
    <t>Intézményi ingatlanokkal kapcsolatos tervezések</t>
  </si>
  <si>
    <r>
      <t xml:space="preserve">35/2020.(XI.17.) sz. Polg. határozat: </t>
    </r>
    <r>
      <rPr>
        <b/>
        <sz val="10"/>
        <rFont val="Garamond"/>
        <family val="1"/>
        <charset val="238"/>
      </rPr>
      <t>KisDuna TV támogatása</t>
    </r>
  </si>
  <si>
    <t>VIII. Háziorvosi alapellátás</t>
  </si>
  <si>
    <t>Apró-Dok Bt. támogatása</t>
  </si>
  <si>
    <t>098                              Gyermekorvosi ellátás támogatása</t>
  </si>
  <si>
    <t xml:space="preserve">074040                                                                                   Fertőző megbetegedések megelőzése, járványügyi ellátás </t>
  </si>
  <si>
    <t>100                                         Koronavírus járvánnyal kapcsolatos kiadások</t>
  </si>
  <si>
    <t>Hunyadi János Német Nemzetiségi Általános Iskola Tagiskolája tornaterem tervezés</t>
  </si>
  <si>
    <t>Golgota utcai  csapadékvíz elvezetése</t>
  </si>
  <si>
    <t>Munkácsy Mihály utca felújítása</t>
  </si>
  <si>
    <t>Némedi út parkoló, kerékpárút, járda építése</t>
  </si>
  <si>
    <t>Dunaharaszti-Taksony kerékpárút építése</t>
  </si>
  <si>
    <t>Intézményi zöldterületek ad-hoc feladatai</t>
  </si>
  <si>
    <t>Fekvőrendőrök kihelyezése</t>
  </si>
  <si>
    <t>Járdaépítés Csokonai u. (Eötvös u. - Szondi u. közti szakazs</t>
  </si>
  <si>
    <t>Okoszebrák</t>
  </si>
  <si>
    <t>Járdaépítések (lakossági)</t>
  </si>
  <si>
    <t>Járdaépítés Zöldfa utca (Nádor utca - Király utca közti szakasz</t>
  </si>
  <si>
    <t>Fűzfa utca csapadékcsatorna építése</t>
  </si>
  <si>
    <t>Hunyadi tagintézmény csapadékvíz elvezetése</t>
  </si>
  <si>
    <t>Mindszenty u. 7. csapadékvízelvezető rendszer újraépítése</t>
  </si>
  <si>
    <t>Mindszenty és Jendrassyk utca csapadékvíz Fő út alatti átvezetése</t>
  </si>
  <si>
    <t>Határ út csapadékvíz elvezetése</t>
  </si>
  <si>
    <t>Duna utcai övárok rendbetétele</t>
  </si>
  <si>
    <t>Rozmaring utca csapadékvíz elvezetése</t>
  </si>
  <si>
    <t xml:space="preserve">Földárok építése </t>
  </si>
  <si>
    <t xml:space="preserve">Burkolt árok építése </t>
  </si>
  <si>
    <t>Paál László utca intézmények víz-és csatorna rákötése</t>
  </si>
  <si>
    <t>Kiemelt közvilágítás létesítése újonnan épült gyalogosátkelőkhoz</t>
  </si>
  <si>
    <t>018                    Környezetvé-delmi program felülvizsgálata</t>
  </si>
  <si>
    <t>051040          Nem veszélyes hulladék kezelése, ártalmatlanítása</t>
  </si>
  <si>
    <t>018</t>
  </si>
  <si>
    <t xml:space="preserve"> Környezetvédelmi program felülvizsgálata</t>
  </si>
  <si>
    <t>051040</t>
  </si>
  <si>
    <t>Dunaharaszti József Attila Művelődési Ház talajnedvesség elleni szigetelés, lélegző vakolat</t>
  </si>
  <si>
    <t>Dunaharaszti József Attila Művelődési Ház vízelvezetés, szivárgó, járda, ajtó előtti belépők átépítése, előtető</t>
  </si>
  <si>
    <t>Dunaharaszti József Attila Művelődési Ház teljes elektromos hálózat felújítás, légtechnika és hűtés, födémmegerősítés</t>
  </si>
  <si>
    <t>095</t>
  </si>
  <si>
    <t>Dunaharaszti Városi Könyvtár padlásfödém kiegészítő hőszigetelés, festés, mázolás, tetőablakok cseréje, világítás korszerűsítés</t>
  </si>
  <si>
    <t>"D" tipusú sportpark tereprendezés, kerékpártároló</t>
  </si>
  <si>
    <t>013                                 Tárgyi eszköz értékesítés (Ingatlanok is)</t>
  </si>
  <si>
    <t>Bezerédi lakópark - játszótér</t>
  </si>
  <si>
    <t>084040                           Egyházak közösségi és hitéleti tevékeny-ségének támogatása</t>
  </si>
  <si>
    <t>Egyházak eszközfejlesztésének támogatása (Dunaharaszti Katolikus Egyház Rákócziligeti új templom padok)</t>
  </si>
  <si>
    <t>089                                       ÁFA bevallás bevétel és kiadás (telekeladások ÁFA befizetése)</t>
  </si>
  <si>
    <t>Népszámlálás tartalék</t>
  </si>
  <si>
    <t>013210        Átfogó tervezési és statisztikai szolgáltatások</t>
  </si>
  <si>
    <t>010 Népszámlálás</t>
  </si>
  <si>
    <t>Polgármesteri Hivatal 2021. évi erdeti előirányzat</t>
  </si>
  <si>
    <t>2021. évben megvalósítható halasztott tételek</t>
  </si>
  <si>
    <t>Hétszínvirág Óvoda 2021. évi eredeti előirányzat</t>
  </si>
  <si>
    <t>Mese Óvoda 2021. évi eredeti előirányzat</t>
  </si>
  <si>
    <t>Városi Bölcsöde 2021. évi eredeti előirányzat</t>
  </si>
  <si>
    <t>Dunaharaszti Család- és Gyermekjóléti Szolgálat 2021. évi eredeti előirányzat</t>
  </si>
  <si>
    <t>Dunaharaszti Területi Gondozási Központ 2021. évi eredeti előirányzat</t>
  </si>
  <si>
    <t>Dunaharaszti Városi Könyvtár 2021. évi eredeti előirányzat</t>
  </si>
  <si>
    <t>József Attila Művelődési Ház  2021. évi eredeti előirányzat</t>
  </si>
  <si>
    <t>Dunaharaszti Szivárvány Óvoda 2021. évi eredeti előirányzat</t>
  </si>
  <si>
    <t>Eredeti előirányzat 2021. évben</t>
  </si>
  <si>
    <t>2021. évi ütem forrásai</t>
  </si>
  <si>
    <t>Üres álláshelyek 2021.01.01.</t>
  </si>
  <si>
    <t>2021. évi állami normatíva igénylés Magyarország 2021. évi központi költségvetéséről szóló 2020. évi XC. törvény alapján</t>
  </si>
  <si>
    <t>Jogcímszám</t>
  </si>
  <si>
    <t>2. számú melléklet 1. A települési önkormányzatok általános működésének és ágazati feladatainak támogatása</t>
  </si>
  <si>
    <t>1.1.</t>
  </si>
  <si>
    <t>A TELEPÜLÉSI ÖNKORMÁNYZATOK MŰKÖDÉSÉNEK ÁLTALÁNOS TÁMOGATÁSA</t>
  </si>
  <si>
    <t>1.1.1.</t>
  </si>
  <si>
    <t>A települési önkormányzatok működésének támogatása</t>
  </si>
  <si>
    <t>1.1.1.1.</t>
  </si>
  <si>
    <t>Önkormányzati hivatal működésének támogatása</t>
  </si>
  <si>
    <t>1.1.1.2</t>
  </si>
  <si>
    <t>Településüzemeltetés- zöldterület gazdálkodás támogatása</t>
  </si>
  <si>
    <t>1.1.1.3</t>
  </si>
  <si>
    <t>Településüzemeltetés- közvilágítás támogatása</t>
  </si>
  <si>
    <t>1.1.1.4</t>
  </si>
  <si>
    <t>Településüzemeltetés- köztemető támogatása</t>
  </si>
  <si>
    <t>1.1.1.5</t>
  </si>
  <si>
    <t>Településüzemeltetés- közutak támogatása</t>
  </si>
  <si>
    <t>1.1.1.6</t>
  </si>
  <si>
    <t>1.1.1.7</t>
  </si>
  <si>
    <t>1.2</t>
  </si>
  <si>
    <t>1.2.1</t>
  </si>
  <si>
    <t>1.2..1..1</t>
  </si>
  <si>
    <t>Óvodaműködtetési támogatás - óvoda napi nyitvatartási ideje eléri a nyolc órát</t>
  </si>
  <si>
    <t>1.2.2</t>
  </si>
  <si>
    <t>Az óvodában foglalkoztatott pedagógusok átlagbéralapú támogatása</t>
  </si>
  <si>
    <t>1.2.2.1.</t>
  </si>
  <si>
    <t>Napi nyolc órát elérő nyitvatartási idővel rendelkező óvodában foglalkoztatott pedagógusok átlagbéralapú támogatása</t>
  </si>
  <si>
    <t>Pedagógusok átlagbér alapú támogatása 8 hó</t>
  </si>
  <si>
    <t>Pedagógusok átlagbér alapú támogatása 4 hó</t>
  </si>
  <si>
    <t>1.2.3</t>
  </si>
  <si>
    <t>1.2.3.1</t>
  </si>
  <si>
    <t>Minősítést 2020. január 1-jéig történő átsorolással megszerző</t>
  </si>
  <si>
    <t>1.2.3.1.1.</t>
  </si>
  <si>
    <t xml:space="preserve">Napi nyolc órát elérő nyitvatartási idővel rendelkező óvodában foglalkoztatott </t>
  </si>
  <si>
    <t>1.2.3.1.1.1.</t>
  </si>
  <si>
    <t>Alapfokozatú végzettségű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</si>
  <si>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</si>
  <si>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</si>
  <si>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</si>
  <si>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</si>
  <si>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1.2.3.2</t>
  </si>
  <si>
    <t>Minősítést 2021. január 1-jéig történő átsorolással megszerző</t>
  </si>
  <si>
    <t>1.2.3.2.1</t>
  </si>
  <si>
    <t>1.2.3.2.1.1.</t>
  </si>
  <si>
    <t>1.2.3.2.1.1.1.</t>
  </si>
  <si>
    <t>1.2.3.2.1.1.2.</t>
  </si>
  <si>
    <t>1.2.4.</t>
  </si>
  <si>
    <t>1.2.4.1.</t>
  </si>
  <si>
    <t>1.2.4.1.1</t>
  </si>
  <si>
    <t>A köznevelési Kjtvhr.16.§(6) bekezdése a) pont ac) alpontja és b) pontja alapján nemzetiségi pótlékban részesülő pedagógus</t>
  </si>
  <si>
    <t>1.2.4.1.2</t>
  </si>
  <si>
    <t>A köznevelési Kjtvhr.16.§(6) bekezdése a) pont ab) alpontja alapján nemzetiségi pótlékban részesülő pedagógus</t>
  </si>
  <si>
    <t>1.2.4.1.3.</t>
  </si>
  <si>
    <t>A köznevelési Kjtvhr.16.§(6) bekezdése a) pont aa) alpontja alapján nemzetiségi pótlékban részesülő pedagógus</t>
  </si>
  <si>
    <t>1.2.5</t>
  </si>
  <si>
    <t>Az óvodában foglalkoztatott pedagógusok nevelőmunkáját
közvetlenül segítők átlagbéralapú támogatása</t>
  </si>
  <si>
    <t>1.2.5.1</t>
  </si>
  <si>
    <t>1.2.5.1.1</t>
  </si>
  <si>
    <t>Pedagógus szakképzettséggel nem rendelkező segítők átlagbéralapú támogatása</t>
  </si>
  <si>
    <t>1.2.5.1.2</t>
  </si>
  <si>
    <t>Pedagógus szakképzettséggel rendelkező segítők átlagbéralapú támogatása</t>
  </si>
  <si>
    <t>1.3</t>
  </si>
  <si>
    <t>A TELEPÜLÉSI ÖNKORMÁNYZATOK EGYES SZOCIÁLIS ÉS GYERMEKJÓLÉTI FELADATAINAK TÁMOGATÁSA</t>
  </si>
  <si>
    <t>1.3.1</t>
  </si>
  <si>
    <t>A települési önkormányzatok szociális és gyermekjóléti feladatainak egyéb támogatása</t>
  </si>
  <si>
    <t>1.3.2</t>
  </si>
  <si>
    <t>Egyes szociális és gyermekjőléti  feladatok támogatása</t>
  </si>
  <si>
    <t>1.3.2.1.</t>
  </si>
  <si>
    <t>Család- és gyermekjóléti szolgálat</t>
  </si>
  <si>
    <t>1.3.2.3</t>
  </si>
  <si>
    <t>1.3.2.3.1.</t>
  </si>
  <si>
    <t>Szociális étkeztetés -önálló feladatellátás</t>
  </si>
  <si>
    <t>1.3.2.4</t>
  </si>
  <si>
    <t>1.3.2.4.1</t>
  </si>
  <si>
    <t>1.3.2.4.2</t>
  </si>
  <si>
    <t>Személyi gondozás -önálló feladatellátás</t>
  </si>
  <si>
    <t>1.3.2.6</t>
  </si>
  <si>
    <t>1.3.2.6.1</t>
  </si>
  <si>
    <t>Időskorúak nappali intézményi ellátása -önálló feladatellátás</t>
  </si>
  <si>
    <t>1.3.3</t>
  </si>
  <si>
    <t>1.3.3.1</t>
  </si>
  <si>
    <t>Bölcsődei bértámogatás</t>
  </si>
  <si>
    <t>1.3.3.1.1.</t>
  </si>
  <si>
    <t>1.3.3.1.2.</t>
  </si>
  <si>
    <t>1.3.3.2</t>
  </si>
  <si>
    <t>Bölcsődei üzemeltetési támogatás (miniszteri döntés függvénye)</t>
  </si>
  <si>
    <t>1.3.4.</t>
  </si>
  <si>
    <t>1.3.4.1</t>
  </si>
  <si>
    <t>Bértámogatás</t>
  </si>
  <si>
    <t>1.4</t>
  </si>
  <si>
    <t>A TELEPÜLÉSI ÖNKORMÁNYZATOK GYERMEKÉTKEZTETÉSI FELADATAINAK TÁMOGATÁSA</t>
  </si>
  <si>
    <t>1.4.1</t>
  </si>
  <si>
    <t>Intézményi gyermekétkeztetés támogatása</t>
  </si>
  <si>
    <t>1.4.1.1.</t>
  </si>
  <si>
    <t>Intézményi  gyermekétkeztetés -bértámogatás</t>
  </si>
  <si>
    <t>1.4.1.2.</t>
  </si>
  <si>
    <t>Intézményi  gyermekétkeztetés - üzemeltetési támogatás (miniszteri döntés függvénye)</t>
  </si>
  <si>
    <t>1.4.2</t>
  </si>
  <si>
    <t>Szünidei étkeztetés támogatása</t>
  </si>
  <si>
    <t>1.5</t>
  </si>
  <si>
    <t>1.5.2</t>
  </si>
  <si>
    <t>2021. évi állami normatíva mindösszesen szolidaritási hozzájárulás befizetése után</t>
  </si>
  <si>
    <t>Dunaharaszti Önkormányzat közvetett támogatásainak részletezése 2021. évben az Ávr.  28 §-a szerint, amelyről rendelkezik az Áht. 24 § (4) bekezdés c) pontja</t>
  </si>
  <si>
    <t>Bevételek</t>
  </si>
  <si>
    <t xml:space="preserve">Működési bevételek </t>
  </si>
  <si>
    <t xml:space="preserve"> ebből: költségvetési működési bevételek</t>
  </si>
  <si>
    <t xml:space="preserve"> ebből: költségvetési működési kiadások</t>
  </si>
  <si>
    <t xml:space="preserve"> ebből: költségvetési felhalmozási bevételek</t>
  </si>
  <si>
    <t xml:space="preserve"> ebből: költségvetési felhalmozási kiadások</t>
  </si>
  <si>
    <t xml:space="preserve">    Ebből: működési célú pénzmaradvány</t>
  </si>
  <si>
    <t xml:space="preserve">   Ebből: államháztartáson belüli megelőlegezések visszafizetése</t>
  </si>
  <si>
    <t xml:space="preserve">    Ebből: felhalmozási célú pénzmaradvány</t>
  </si>
  <si>
    <t xml:space="preserve">   Ebből működési célú intézményfinanszírozás kiadása</t>
  </si>
  <si>
    <t xml:space="preserve">   Ebből felhalmozási célú intézményfinanszírozás kiadása</t>
  </si>
  <si>
    <t xml:space="preserve">    Ebből: Hitelfelvétel</t>
  </si>
  <si>
    <t xml:space="preserve">    Ebből: Magyar Államkötvény vásárlás</t>
  </si>
  <si>
    <t xml:space="preserve">    Ebből: Magyar Államkötvény eladás</t>
  </si>
  <si>
    <t xml:space="preserve">    Ebből:  államháztartáson belüli megelőlegezések visszafizetése</t>
  </si>
  <si>
    <t>Eredeti</t>
  </si>
  <si>
    <t>Költségvetési működési bevételek</t>
  </si>
  <si>
    <t>Költségvetési működési kiadások</t>
  </si>
  <si>
    <t>Költségvetési működési egyenleg</t>
  </si>
  <si>
    <t>Költségvetési felhalmozási bevételek</t>
  </si>
  <si>
    <t>Költségvetési felhalmozási kiadások</t>
  </si>
  <si>
    <t>Költségvetési felhalmozási egyenleg</t>
  </si>
  <si>
    <t>Költségvetési egyenleg (Költségvetési működési egyenleg + Költségvetési felhalmozási egyenleg)</t>
  </si>
  <si>
    <t>Finanszírozási egyenleg (Finanszírozási bevétel - Finanszírozási kiadás)</t>
  </si>
  <si>
    <t>2020. évi költségvetés egyenlege (Költségvetési egyenleg + Finanszírozási egyenleg)</t>
  </si>
  <si>
    <t>Dunaharaszti Város Önkormányzat 2021. évre tervezett működési, felhalmozási bevételeinek és kiadásainak mérlegszerű bemutatása (Ft-ban)</t>
  </si>
  <si>
    <t>2021. évi eredeti előirányzat</t>
  </si>
  <si>
    <t xml:space="preserve"> Rovat megnevezése</t>
  </si>
  <si>
    <t>Rovat sorszáma</t>
  </si>
  <si>
    <t>2021. év</t>
  </si>
  <si>
    <t>2022. év</t>
  </si>
  <si>
    <t>2023. év</t>
  </si>
  <si>
    <t>Egyéb felhalmozási célú kiadások</t>
  </si>
  <si>
    <t xml:space="preserve"> Ebből: költségvetési működési kiadások</t>
  </si>
  <si>
    <t xml:space="preserve"> Ebből: költségvetési felhalmozási kiadások</t>
  </si>
  <si>
    <t xml:space="preserve">  Ebből működési célú intézményfinanszírozás kiadása</t>
  </si>
  <si>
    <t xml:space="preserve">  Ebből felhalmozási célú intézményfinanszírozás kiadása</t>
  </si>
  <si>
    <t xml:space="preserve"> Ebből: hitelfelvétellel kapcsolatos kiadások</t>
  </si>
  <si>
    <t xml:space="preserve"> Ebből: Magyar Államkötvény vásárlás</t>
  </si>
  <si>
    <t>Közhatalmi bevételek</t>
  </si>
  <si>
    <t>Felhalmozási célú átvett pénzeszközök</t>
  </si>
  <si>
    <t xml:space="preserve"> Ebből: költségvetési működési bevételek</t>
  </si>
  <si>
    <t xml:space="preserve"> Ebből: költségvetési felhalmozási bevételek</t>
  </si>
  <si>
    <t xml:space="preserve">  Ebből működési célú pénzmaradvány</t>
  </si>
  <si>
    <t xml:space="preserve">  Ebből felhalmozási célú pénzmaradvány</t>
  </si>
  <si>
    <t xml:space="preserve">  Ebből működési célú intézményfinanszírozás bevétele</t>
  </si>
  <si>
    <t xml:space="preserve">  Ebből felhalmozási célú intézményfinanszírozás bevétele</t>
  </si>
  <si>
    <t xml:space="preserve">  Ebből: Hitelfelvétel</t>
  </si>
  <si>
    <t xml:space="preserve">  Ebből: Magyar Államkötvény vásárlás</t>
  </si>
  <si>
    <t xml:space="preserve">  Ebből: államháztartáson belüli megelőlegezések</t>
  </si>
  <si>
    <t xml:space="preserve">* A kiugró változás oka az előző évhez képest: </t>
  </si>
  <si>
    <t>2. sor A személyi juttatásokkal együtt nő.</t>
  </si>
  <si>
    <t>Dunaharaszti Város Önkormányzat  2020., 2021., 2022., 2023. és 2024. évre tervezett működési, felhalmozási kiadásainak és bevételeinek bemutatása (Ft-ban)</t>
  </si>
  <si>
    <t>2020. év                               eredeti előirányzat</t>
  </si>
  <si>
    <t>2021. év eredeti előirányzat</t>
  </si>
  <si>
    <t>Változás 2021./2020.</t>
  </si>
  <si>
    <t>2024. év</t>
  </si>
  <si>
    <t>2021. évi költségvetés egyenlege (Költségvetési egyenleg + Finanszírozási egyenleg)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</si>
  <si>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</si>
  <si>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</si>
  <si>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</si>
  <si>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</si>
  <si>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Támogatási összeg</t>
  </si>
  <si>
    <t>eltérés</t>
  </si>
  <si>
    <t>2020.</t>
  </si>
  <si>
    <t>2021.</t>
  </si>
  <si>
    <t>2022.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</si>
  <si>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</si>
  <si>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</si>
  <si>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</si>
  <si>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</si>
  <si>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</si>
  <si>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</si>
  <si>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</si>
  <si>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</si>
  <si>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</si>
  <si>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</si>
  <si>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</si>
  <si>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</si>
  <si>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</si>
  <si>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</si>
  <si>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</si>
  <si>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</si>
  <si>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</si>
  <si>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2019</t>
  </si>
  <si>
    <t>Felújítási kiadások felújításonként</t>
  </si>
  <si>
    <t>járulék</t>
  </si>
  <si>
    <t>Egyéb (Pl.: garancia és kezességvállalás, stb.)</t>
  </si>
  <si>
    <t>Összesen (1+2+3+4+5)</t>
  </si>
  <si>
    <t>2021. év előtti kifizetés</t>
  </si>
  <si>
    <t>2023.</t>
  </si>
  <si>
    <t>2023. év után</t>
  </si>
  <si>
    <t>Dunaharaszti Város Önkormányzata célhitelei, egyéb fejlesztési hitelei</t>
  </si>
  <si>
    <t>Célhitel (OTP)</t>
  </si>
  <si>
    <t>Mind-összesen 
(hitelek)</t>
  </si>
  <si>
    <t>Hitel felvétel folyamatban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</si>
  <si>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</si>
  <si>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</si>
  <si>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</si>
  <si>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</si>
  <si>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</si>
  <si>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</si>
  <si>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</si>
  <si>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2013.07.03-2017.05.31.</t>
  </si>
  <si>
    <t>2014.12.10-2017.12.30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</si>
  <si>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</si>
  <si>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</si>
  <si>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</si>
  <si>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</si>
  <si>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</si>
  <si>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2014.**</t>
  </si>
  <si>
    <t>2015.</t>
  </si>
  <si>
    <t>2016.</t>
  </si>
  <si>
    <t>2017. évi 2018-ban terhelt</t>
  </si>
  <si>
    <t>2018.</t>
  </si>
  <si>
    <t>2018. évi 2019-ben terhelt</t>
  </si>
  <si>
    <t>2019.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</si>
  <si>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</si>
  <si>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</si>
  <si>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</si>
  <si>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</si>
  <si>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</si>
  <si>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</si>
  <si>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</si>
  <si>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</si>
  <si>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</si>
  <si>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</si>
  <si>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</si>
  <si>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</si>
  <si>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</si>
  <si>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</si>
  <si>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</si>
  <si>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*RKO2; RKO1: 3 havi EURIBOR + az MFB refinanszírozási kamatfelár</t>
  </si>
  <si>
    <t>** konszolidált összeg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</si>
  <si>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</si>
  <si>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</si>
  <si>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</si>
  <si>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</si>
  <si>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</si>
  <si>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</si>
  <si>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</si>
  <si>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</si>
  <si>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</si>
  <si>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</si>
  <si>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</si>
  <si>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</si>
  <si>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</si>
  <si>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</si>
  <si>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Helyi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</si>
  <si>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</si>
  <si>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</si>
  <si>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</si>
  <si>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</si>
  <si>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</si>
  <si>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</si>
  <si>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</si>
  <si>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</si>
  <si>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</si>
  <si>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</si>
  <si>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</si>
  <si>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</si>
  <si>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</si>
  <si>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</si>
  <si>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</si>
  <si>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</si>
  <si>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</si>
  <si>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</si>
  <si>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</si>
  <si>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</si>
  <si>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</si>
  <si>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</si>
  <si>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</si>
  <si>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</si>
  <si>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</si>
  <si>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</si>
  <si>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</si>
  <si>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</si>
  <si>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</si>
  <si>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</si>
  <si>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</si>
  <si>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</si>
  <si>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</si>
  <si>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</si>
  <si>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</si>
  <si>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</si>
  <si>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</si>
  <si>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</si>
  <si>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</si>
  <si>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</si>
  <si>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1. sor</t>
  </si>
  <si>
    <t>051 nem lakásc. Önk ing</t>
  </si>
  <si>
    <t>3. sor PMH B355 és B36</t>
  </si>
  <si>
    <t>TelekDÓ</t>
  </si>
  <si>
    <t>052 lakás</t>
  </si>
  <si>
    <t>119 egyéb adóbev Bírság pólék</t>
  </si>
  <si>
    <t>Kommadó</t>
  </si>
  <si>
    <t>053 Laffert</t>
  </si>
  <si>
    <t>Összesen2015</t>
  </si>
  <si>
    <t>Idegenforg.adó</t>
  </si>
  <si>
    <t>054 Sírhely</t>
  </si>
  <si>
    <t>069 szennyv bérleti díj</t>
  </si>
  <si>
    <t>Nettó</t>
  </si>
  <si>
    <t>köv években Br 142840 nettó 112472000</t>
  </si>
  <si>
    <t>előző évi hátralék</t>
  </si>
  <si>
    <t>Mese</t>
  </si>
  <si>
    <t>előző évi hátralék Önk</t>
  </si>
  <si>
    <t>Hétszínvirág</t>
  </si>
  <si>
    <t>előző évi hátralék PMH</t>
  </si>
  <si>
    <t>3. sor</t>
  </si>
  <si>
    <t>080 Kőrösi</t>
  </si>
  <si>
    <t>Össesen</t>
  </si>
  <si>
    <t>Egyéb adóbev Pótlék, bírság (119)</t>
  </si>
  <si>
    <t>081 BEG</t>
  </si>
  <si>
    <t>Előző évi egyéb adóbev Pótlék, bírság</t>
  </si>
  <si>
    <t>PMH B3 bírság, elj.díj</t>
  </si>
  <si>
    <t>Mindösszesen</t>
  </si>
  <si>
    <t>Előző évi PMH B3  bírság elj.díj</t>
  </si>
  <si>
    <t>4. sor</t>
  </si>
  <si>
    <t>DPMV is benne van</t>
  </si>
  <si>
    <t>013 Ingatlan ért.</t>
  </si>
  <si>
    <t>036 DHRV végelsz</t>
  </si>
  <si>
    <t>051 Terembér</t>
  </si>
  <si>
    <t>052 Lakás</t>
  </si>
  <si>
    <t>052 előző évi hátralék</t>
  </si>
  <si>
    <t>069, 070, 105 Bérleti díj</t>
  </si>
  <si>
    <t>Művház</t>
  </si>
  <si>
    <t>060 Sportcsarnok</t>
  </si>
  <si>
    <t>PMH TE értékesítés</t>
  </si>
  <si>
    <t>Hétszín bérleti díj</t>
  </si>
  <si>
    <t>Mese bérleti díj</t>
  </si>
  <si>
    <t>Művház, Laffert bérl.díj</t>
  </si>
  <si>
    <t>5. sor</t>
  </si>
  <si>
    <t>Részvény értékesítés (112)</t>
  </si>
  <si>
    <t xml:space="preserve">4. </t>
  </si>
  <si>
    <t>Rovat
száma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</si>
  <si>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</si>
  <si>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</si>
  <si>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</si>
  <si>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</si>
  <si>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</si>
  <si>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</si>
  <si>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</si>
  <si>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</si>
  <si>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</si>
  <si>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</si>
  <si>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 xml:space="preserve">Finanszírozási bevételek </t>
  </si>
  <si>
    <t>Tárgy évi bevételek mindösszesen:</t>
  </si>
  <si>
    <t xml:space="preserve">Személyi juttatások </t>
  </si>
  <si>
    <t xml:space="preserve">Ellátottak pénzbeli juttatásai </t>
  </si>
  <si>
    <t xml:space="preserve">Felújítások </t>
  </si>
  <si>
    <t>Költségvetési kiadások</t>
  </si>
  <si>
    <t xml:space="preserve">Finanszírozási kiadások </t>
  </si>
  <si>
    <t>Tárgy évi kiadások mindösszesen:</t>
  </si>
  <si>
    <t>Egyenleg (11-22)</t>
  </si>
  <si>
    <t>Záró pénzkészlet (1+23)</t>
  </si>
  <si>
    <t>Dunaharaszti Város Önkormányzat 2021. évi likviditási terve (Ft-ban)</t>
  </si>
  <si>
    <t xml:space="preserve">                                                   Felhasználási ütemterv                     Rovat megnevezése</t>
  </si>
  <si>
    <t>Dunaharaszti Város Önkormányzat 2021. évi bevételi és kiadási előirányzatainak felhasználási ütemterve (Ft)</t>
  </si>
  <si>
    <t>Folyamatban lévő Európai Uniós pályázatok (Ft)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</si>
  <si>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</si>
  <si>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</si>
  <si>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</si>
  <si>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</si>
  <si>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</si>
  <si>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</si>
  <si>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</si>
  <si>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</si>
  <si>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</si>
  <si>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</si>
  <si>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</si>
  <si>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Dologi jellegű</t>
  </si>
  <si>
    <t>Beruházások, beszerzések</t>
  </si>
  <si>
    <t>Szolgáltatások igénybe vétele</t>
  </si>
  <si>
    <t>Folyamatban lévő (nem EU-s) pályázatok  és támogatások  (Ft)</t>
  </si>
  <si>
    <t>Támogatás célja</t>
  </si>
  <si>
    <t>Támogató szervezet</t>
  </si>
  <si>
    <t>Elnyert támogatás</t>
  </si>
  <si>
    <t>Pénzügyminisztérium</t>
  </si>
  <si>
    <t>Európai Uniós feladatok eredeti előirányzat                           (...részgazda)</t>
  </si>
  <si>
    <t>ebből: részesedések beszerzése</t>
  </si>
  <si>
    <t>K-65</t>
  </si>
  <si>
    <t>Dunaharaszti Város Önkormányzata Polgármesterének 1/2021. (I.08.) számú határozata: DH-Főúti Projekt Kft. üzletrész vásárlás</t>
  </si>
  <si>
    <t>2021. évi előirányzat</t>
  </si>
  <si>
    <t>Turisztikai fejlesztés/Turisztikai információs táblák</t>
  </si>
  <si>
    <t>Dunaharaszti Város Önkormányzata Polgármesterének 42/2020. (XII.1.) számú határozata:  2534/2 hrsz. ingatlan vásárlás</t>
  </si>
  <si>
    <t>Közterületi kamerák beszerzése (Vasudvar, Gázcseretelep parkolók is)</t>
  </si>
  <si>
    <t>001                                  2021. évi útépítések</t>
  </si>
  <si>
    <t>002                                       2021. évi csap.víz elvezetések</t>
  </si>
  <si>
    <t>007                    VIII/6734-2/2020/KOZNEVINT támogatás: tehetséggondozó verseny, környezettudatos nevelési program</t>
  </si>
  <si>
    <t>006                          VIII/6734-2/2020/KOZNEVINT támogatás: tehetséggondozó verseny, környezettudatos nevelési program</t>
  </si>
  <si>
    <t>Sportpark beruházás előkészítés, közművesítés, kiviteli terv (Bezerédi)</t>
  </si>
  <si>
    <t>Volt Vasudvar és Gázcseretelep helyén parkoló világításának kiépítése</t>
  </si>
  <si>
    <t>Dunaharaszti Területi Gondozási Központ  (Iskolai intézményi étkeztetés)</t>
  </si>
  <si>
    <t>Rendészet kialakítása a Dózsa Gy. út 24-ben</t>
  </si>
  <si>
    <t>Fő út 152. "B" épület és Adócsoport belső átalakítási munkái</t>
  </si>
  <si>
    <t>086                                   Konyhák fejlesztése</t>
  </si>
  <si>
    <t>Konyhák fejlesztése</t>
  </si>
  <si>
    <t>091</t>
  </si>
  <si>
    <t>Orvosi Rendelő gépkocsi beálló</t>
  </si>
  <si>
    <t>091                                        Orvosi Rendelő, Gyermekorvosi rendelő kiadásai</t>
  </si>
  <si>
    <t>049010                                        Máshova nem sorolt gazdasági ügyek</t>
  </si>
  <si>
    <t>111                                        Dunaharaszti Városi Bölcsőde új tagintézmény PM_BOLCSODEFEJLESZTES_2019/20 pályázaton      BELÜLI</t>
  </si>
  <si>
    <t>112                                   Dunaharaszti Városi Bölcsőde új tagintézmény PM_BOLCSODEFEJLESZTES_2019/20 pályázaton      KÍVÜLI</t>
  </si>
  <si>
    <t>Vízi közmű bérleti díj elkül. Szla (kiadási oldala 069, 070 részgazda)</t>
  </si>
  <si>
    <t>0047</t>
  </si>
  <si>
    <t>8047</t>
  </si>
  <si>
    <t>Paál L. utca és az 51. sz. főút kereszteződésében kialakítandó körforgalom módosított terveinek elkészítése és engedélyeztetése, audit elkészítése (maradvány: 1.397.000,- Ft)</t>
  </si>
  <si>
    <t>Pályázati önrész (ebből: előző évi maradvány 7.500.913,- Ft)</t>
  </si>
  <si>
    <t>Hunyadi János Német Nemzetiségi Általános Iskola felső tagozat 4 tantermes bővítése (előző évi maradványból: 483.616,- Ft)</t>
  </si>
  <si>
    <t>0050</t>
  </si>
  <si>
    <t>Gyermekorvosi rendelő beruházásai (előző évi maradvány: 568.452,- Ft)</t>
  </si>
  <si>
    <t>Dunaharaszti 0146/5 hrsz alatt tervezett kormányzati beruházásban megvalósuló 24 osztályos általános iskola (alsó tagozat) (előző évi maradvány: 140.000,- Ft)</t>
  </si>
  <si>
    <t>Dunaharaszti 0146/5 hrsz alatt tervezett kormányzati beruházásban megvalósuló 24 osztályos általános iskola (Zeneiskola) (előző évi maradvány: 320.000,- Ft)</t>
  </si>
  <si>
    <t>0063</t>
  </si>
  <si>
    <t>Autotechnika telep átfogó hasznosítási terve (előző évi maradvány: 5.905.500,- Ft)</t>
  </si>
  <si>
    <t>Parkok tervezése: A3 - Bezerédi lakópark park tervezés (előző évi maradványból: 3.397.250,- Ft)</t>
  </si>
  <si>
    <t>HÉSZ, SZT, TSZT módosítás (előző évi maradvány: 4.699.000,- Ft)</t>
  </si>
  <si>
    <t>Dunaharaszti Város Szerkezeti tervének és Szabályozási tervének digitalizálása, egységes szerkezetbe foglalása (előző évi maradvány: 1.143.000,- Ft)</t>
  </si>
  <si>
    <t>Laffert Kúria közterület felőli megvilágítás szerelése</t>
  </si>
  <si>
    <t xml:space="preserve">082044 </t>
  </si>
  <si>
    <t>Dunaharaszti Városi Könyvtár - Könyvtári elkülönített SZJA 1%-os számla</t>
  </si>
  <si>
    <t>039                          Játszóterek felülvizsgálata (Játszóterek eszközfejlesztése)</t>
  </si>
  <si>
    <t xml:space="preserve">Veszélyhelyzet miatti helyi adóbevétel kiesés tartaléka </t>
  </si>
  <si>
    <t>Kerékpárpálya</t>
  </si>
  <si>
    <t>Nem teljesített törlesztések 2020. december 31.</t>
  </si>
  <si>
    <t xml:space="preserve">Záró állomány : 2020.12.31.        </t>
  </si>
  <si>
    <t>ebből: Sajtókapcsolatok</t>
  </si>
  <si>
    <t>038</t>
  </si>
  <si>
    <t>ebből: Posta</t>
  </si>
  <si>
    <t>VIII/6734-2/2020/KOZNEVINT támogatás: tehetséggondozó verseny, környezettudatos nevelési program</t>
  </si>
  <si>
    <t>502  előző évi hátralék</t>
  </si>
  <si>
    <t>042 Közter, reklámtábla</t>
  </si>
  <si>
    <t>041 piac</t>
  </si>
  <si>
    <t>2021. után</t>
  </si>
  <si>
    <t>2021. előtt</t>
  </si>
  <si>
    <t>2020. évig befolyt támogatási összeg</t>
  </si>
  <si>
    <t>2021. évben várható támogatási összeg</t>
  </si>
  <si>
    <t>Emberi Erőforrások Minisztériuma</t>
  </si>
  <si>
    <t>2021. évi terv összesen</t>
  </si>
  <si>
    <t>DMTK szakosztályainak működési célú támogatása (ebből: előző évi maradvány  5.730.558,- Ft)</t>
  </si>
  <si>
    <r>
      <t>DMTK sportpálya rezsi kiadások támogatása (ebből: előző évi maradvány 1.801.971,- Ft</t>
    </r>
    <r>
      <rPr>
        <sz val="10"/>
        <color indexed="10"/>
        <rFont val="Garamond"/>
        <family val="1"/>
        <charset val="238"/>
      </rPr>
      <t>)</t>
    </r>
  </si>
  <si>
    <t>DMTK szakosztályainak működési célú támogatása átvállalt terembérlet Művelődési Ház és intézmények  (ebből: előző évi maradvány 4.281.422- Ft)</t>
  </si>
  <si>
    <r>
      <t xml:space="preserve">Dunaharaszti Városi Bölcsőde </t>
    </r>
    <r>
      <rPr>
        <sz val="10"/>
        <rFont val="Garamond"/>
        <family val="1"/>
        <charset val="238"/>
      </rPr>
      <t>új tagintézmény PM_BOLCSODEFEJLESZTES_2019/20</t>
    </r>
  </si>
  <si>
    <t>K48</t>
  </si>
  <si>
    <t>202                                                Települési támogatás, Időskorúak karácsonyi csomagja (5.000.000,- Ft)</t>
  </si>
  <si>
    <t>207                                                Krízishelyzet és egyéb szociális célú támogatás</t>
  </si>
  <si>
    <t xml:space="preserve">208                                               Szemétdíj átvállalása rászorultsági alapon </t>
  </si>
  <si>
    <t>Ebből:                                    Európai Uniós feladatok eredeti előirányzat                                  (... részletezőkód)</t>
  </si>
  <si>
    <t xml:space="preserve">PM_BOLCSODEFEJLESZTES_2019/20 Dunaharaszti Városi Bölcsőde új tagintézmény </t>
  </si>
  <si>
    <t>Szennyvíz bérleti díj felhasználás előző évek (Szennyvíz)</t>
  </si>
  <si>
    <t>0019, 8030, 9026</t>
  </si>
  <si>
    <t>0035, 8031, 9027</t>
  </si>
  <si>
    <t xml:space="preserve"> Szennyvíz bérleti díj felhasználás előző évek (Ivóvíz)</t>
  </si>
  <si>
    <t>Dunaharaszti Városi Bölcsőde új tagintézmény PM_BOLCSODEFEJLESZTES_2019/20, Dunaharaszti Város Önkormányzata Polgármesterének 13/2021. (II.4.) sz. hat. (pály.forrás: 480.000.000,- Önerő: 147.483.781,- Ft                                          amelyből 2021: 67.740.600,-Ft pályázati forrás, 20.813.834,- Ft önerő,            2022: 404.740.226,- Ft pályázati forrás, 124.359.621,- Ft önerő) 88/2019. (VIII.26.) sz. Kt.hat. pályázaton BELÜLI                                    (beruházás: 479.679.727,- Ft dologi 13.614.923., Ft)</t>
  </si>
  <si>
    <t>Dunaharaszti Városi Bölcsőde új tagintézmény PM_BOLCSODEFEJLESZTES_2019/20 pályázaton KÍVÜLI</t>
  </si>
  <si>
    <t>Dunaharaszti Város Önkormányzata Polgármesterének 44/2020. (XII.1.) számú határozata:  2534/2 hrsz. Ingatlan felújítása, átalakítása (Területi Gondozási Központ részére)</t>
  </si>
  <si>
    <t xml:space="preserve">Dunaharaszti Város Önkormányzata Polgármesterének 43/2020. (XII.1.) számú határozata:  2534/2 hrsz. Ingatlan áttervezése </t>
  </si>
  <si>
    <t>056                                          Közvilágítás; parkok díszvilágításának karbantartása; karácsonyi díszvilágítás felszerelése, karbantartása; Mért közvil.hálózat üzemeltetése;</t>
  </si>
  <si>
    <t>saját forrás</t>
  </si>
  <si>
    <t>Dunaharaszti Város Önkormányzat saját bevételeinek és a Stabilitási törvény 8. § (2) bekezdése szerinti adósságot keletkeztető ügyleteiből eredő fizetési kötelezettségeinek várható összege a futamidő végéig (Áht. 29/A. §) Ft-ban</t>
  </si>
  <si>
    <t xml:space="preserve">1. sor Tartalmazza a kötelező béremeléseket (garantált bérminimum, szociális ágazati béremelések, egészségügyi dolgozók béremelése)valamint, a Polgármesteri Hivatal költségvetésében a Rendészeti Iroda kialakításával összefüggésben jelentkező bérköltséget.
</t>
  </si>
  <si>
    <t>5. sor Tartalmazza a szolidaritási hozzájárulást. A központi költségvetési támogatási rendszer a Magyarország 2021. évi költségvetéséről szóló 2020. évi XC. törvény szerint átalakult, míg korábban a támogatásoknál beszámították a település fejlettségét, a beszámítás 2021-től megszűnt, ugyanakkor az eddigi szolidaritási hozzájárulás többszörösével számol a központi kormányzat. Az önkormányzat teljes támogatást kap és a hozzájáruláson keresztül érvényesül a pénzügyi helyzet szerinti differenciálás, amely a 2020. évi 431.417.400,- Ft-ról 2021. évben 950.309.686,- Ft-ra emelkedett.</t>
  </si>
  <si>
    <t>14. sor Az előző ponttal összefüggésben a költségvetési törvény 2. számú mellékletének valamennyi jogcíme kapcsán támogatás illeti meg Dunaharaszti Város Önkormányzatát.</t>
  </si>
  <si>
    <t>15. sor A 2021. évben felhasználásra kerülő támogatási összesek 2020. december hónapban befolytak, így azok maradvány felhasználásként kerületek be a költségvetésbe.</t>
  </si>
  <si>
    <t>16. sor A veszélyhelyzetre figyelemmel a jogszabályváltozásokkal és a gazdasági válsággal számolva csökkentésre került az iparüzési adóbevételi előirányzat.</t>
  </si>
  <si>
    <t>17. sor A veszélyhelyzetre figyelemmel az intézmények bérleti díj bevételi előirányzatai csökkentésre kerültek, illetve a 2020. évben a víziközmű bérleti díj 2019. évre eső része is betervezésre és teljesítésre került.</t>
  </si>
  <si>
    <t>2021. Állami összege</t>
  </si>
  <si>
    <t xml:space="preserve">065                                Park tervezése, szabadidős fejlesztések </t>
  </si>
  <si>
    <t>Dunaharaszti 0146/5 hrsz alatt tervezett kormányzati beruházásban megvalósuló 24 osztályos általános iskola (felső tagozat) (előző évi maradvány: 140.000,- Ft)</t>
  </si>
  <si>
    <t>1101</t>
  </si>
  <si>
    <t>1102</t>
  </si>
  <si>
    <t>1103</t>
  </si>
  <si>
    <t>1104</t>
  </si>
  <si>
    <t>1151</t>
  </si>
  <si>
    <t>1152</t>
  </si>
  <si>
    <t>1153</t>
  </si>
  <si>
    <t>1201</t>
  </si>
  <si>
    <t>1202</t>
  </si>
  <si>
    <t>1231</t>
  </si>
  <si>
    <t>1232</t>
  </si>
  <si>
    <t>1261</t>
  </si>
  <si>
    <t>1262</t>
  </si>
  <si>
    <t>1263</t>
  </si>
  <si>
    <t>1301</t>
  </si>
  <si>
    <t>1302</t>
  </si>
  <si>
    <t>1303</t>
  </si>
  <si>
    <t>1304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</si>
  <si>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</si>
  <si>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</si>
  <si>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</si>
  <si>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</si>
  <si>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</si>
  <si>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</si>
  <si>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</si>
  <si>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</si>
  <si>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</si>
  <si>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</si>
  <si>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</si>
  <si>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1401</t>
  </si>
  <si>
    <t>1402</t>
  </si>
  <si>
    <t>1451</t>
  </si>
  <si>
    <t>1452</t>
  </si>
  <si>
    <t>1453</t>
  </si>
  <si>
    <t>1501</t>
  </si>
  <si>
    <t>1502</t>
  </si>
  <si>
    <t>1503</t>
  </si>
  <si>
    <t>1504</t>
  </si>
  <si>
    <t>Útépítési és kerékpárút építési tervek (előző évi maradvány: 812.800,- Ft)</t>
  </si>
  <si>
    <t>Gyalogátkelőhelyek tervezése, kialakítása és kiemelt közvilágítás kiépítése (előző évi maradvány: 698.500,- Ft)</t>
  </si>
  <si>
    <t>1003</t>
  </si>
  <si>
    <t>1005</t>
  </si>
  <si>
    <t>1008</t>
  </si>
  <si>
    <t>1009</t>
  </si>
  <si>
    <t>1010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</si>
  <si>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</si>
  <si>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</si>
  <si>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</si>
  <si>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</si>
  <si>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</si>
  <si>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</si>
  <si>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</si>
  <si>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</si>
  <si>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</si>
  <si>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</si>
  <si>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0066</t>
  </si>
  <si>
    <t>0067</t>
  </si>
  <si>
    <t>1031</t>
  </si>
  <si>
    <t>0001</t>
  </si>
  <si>
    <t>0006</t>
  </si>
  <si>
    <t>1001</t>
  </si>
  <si>
    <t>1002</t>
  </si>
  <si>
    <t>1006</t>
  </si>
  <si>
    <t>1007</t>
  </si>
  <si>
    <t>0015</t>
  </si>
  <si>
    <t>1011</t>
  </si>
  <si>
    <t>1012</t>
  </si>
  <si>
    <t>0068</t>
  </si>
  <si>
    <t>0065</t>
  </si>
  <si>
    <t>1019</t>
  </si>
  <si>
    <t>1020</t>
  </si>
  <si>
    <t>1032</t>
  </si>
  <si>
    <t>1035</t>
  </si>
  <si>
    <t>1036</t>
  </si>
  <si>
    <t>1037</t>
  </si>
  <si>
    <t>1038</t>
  </si>
  <si>
    <t>1004</t>
  </si>
  <si>
    <t>1013</t>
  </si>
  <si>
    <t>1033</t>
  </si>
  <si>
    <t>1034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</si>
</sst>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\ &quot;Ft&quot;;\-#,##0\ &quot;Ft&quot;"/>
    <numFmt numFmtId="170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00"/>
    <numFmt numFmtId="175" formatCode="\ ##########"/>
    <numFmt numFmtId="177" formatCode="_-* #,##0\ _F_t_-;\-* #,##0\ _F_t_-;_-* \-??\ _F_t_-;_-@_-"/>
    <numFmt numFmtId="178" formatCode="_-* #,##0\ _F_t_-;\-* #,##0\ _F_t_-;_-* &quot;-&quot;??\ _F_t_-;_-@_-"/>
    <numFmt numFmtId="179" formatCode="_-* #,##0.0\ _F_t_-;\-* #,##0.0\ _F_t_-;_-* &quot;-&quot;??\ _F_t_-;_-@_-"/>
    <numFmt numFmtId="180" formatCode="#,##0\ &quot;Ft&quot;"/>
    <numFmt numFmtId="181" formatCode="_-* #,##0\ &quot;Ft&quot;_-;\-* #,##0\ &quot;Ft&quot;_-;_-* &quot;-&quot;??\ &quot;Ft&quot;_-;_-@_-"/>
    <numFmt numFmtId="199" formatCode="#,##0.00_ ;\-#,##0.00\ "/>
    <numFmt numFmtId="200" formatCode="#,##0.0_ ;\-#,##0.0\ "/>
    <numFmt numFmtId="204" formatCode="#,###"/>
    <numFmt numFmtId="205" formatCode="_-* #,##0\ _F_t_-;\-* #,##0\ _F_t_-;_-* &quot;-&quot;?\ _F_t_-;_-@_-"/>
  </numFmts>
  <fonts count="94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4"/>
      <name val="Garamond"/>
      <family val="1"/>
      <charset val="238"/>
    </font>
    <font>
      <b/>
      <i/>
      <sz val="12"/>
      <color indexed="8"/>
      <name val="Garamond"/>
      <family val="1"/>
      <charset val="238"/>
    </font>
    <font>
      <i/>
      <sz val="12"/>
      <color indexed="8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8"/>
      <name val="Arial CE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2"/>
      <color indexed="53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3"/>
      <name val="Garamond"/>
      <family val="1"/>
      <charset val="238"/>
    </font>
    <font>
      <b/>
      <sz val="10"/>
      <name val="Arial CE"/>
      <charset val="238"/>
    </font>
    <font>
      <sz val="12"/>
      <color indexed="17"/>
      <name val="Garamond"/>
      <family val="1"/>
      <charset val="238"/>
    </font>
    <font>
      <sz val="12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sz val="12"/>
      <color indexed="10"/>
      <name val="Garamond"/>
      <family val="1"/>
      <charset val="238"/>
    </font>
    <font>
      <sz val="10"/>
      <name val="Times New Roman CE"/>
      <charset val="238"/>
    </font>
    <font>
      <sz val="12"/>
      <color indexed="17"/>
      <name val="Garamond"/>
      <family val="1"/>
      <charset val="238"/>
    </font>
    <font>
      <sz val="12"/>
      <color indexed="10"/>
      <name val="Garamond"/>
      <family val="1"/>
      <charset val="238"/>
    </font>
    <font>
      <sz val="12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i/>
      <sz val="11"/>
      <color indexed="8"/>
      <name val="Garamond"/>
      <family val="1"/>
      <charset val="238"/>
    </font>
    <font>
      <i/>
      <sz val="11"/>
      <color indexed="8"/>
      <name val="Garamond"/>
      <family val="1"/>
      <charset val="238"/>
    </font>
    <font>
      <sz val="14"/>
      <color indexed="8"/>
      <name val="Garamond"/>
      <family val="1"/>
      <charset val="238"/>
    </font>
    <font>
      <sz val="14"/>
      <name val="Garamond"/>
      <family val="1"/>
      <charset val="238"/>
    </font>
    <font>
      <sz val="14"/>
      <name val="Arial CE"/>
      <charset val="238"/>
    </font>
    <font>
      <b/>
      <sz val="9"/>
      <name val="Garamond"/>
      <family val="1"/>
      <charset val="238"/>
    </font>
    <font>
      <i/>
      <sz val="12"/>
      <name val="Garamond"/>
      <family val="1"/>
      <charset val="238"/>
    </font>
    <font>
      <i/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sz val="11"/>
      <color indexed="10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0"/>
      <color rgb="FFFF0000"/>
      <name val="Arial CE"/>
      <charset val="238"/>
    </font>
    <font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91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3" fillId="0" borderId="0" applyFill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8" fontId="3" fillId="0" borderId="0" applyFill="0" applyBorder="0" applyAlignment="0" applyProtection="0"/>
    <xf numFmtId="17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3" fillId="0" borderId="0"/>
    <xf numFmtId="0" fontId="2" fillId="0" borderId="0"/>
    <xf numFmtId="0" fontId="84" fillId="0" borderId="0"/>
    <xf numFmtId="0" fontId="22" fillId="0" borderId="0"/>
    <xf numFmtId="0" fontId="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22" fillId="0" borderId="0"/>
    <xf numFmtId="0" fontId="35" fillId="0" borderId="0"/>
    <xf numFmtId="0" fontId="2" fillId="0" borderId="0"/>
    <xf numFmtId="0" fontId="85" fillId="0" borderId="0"/>
    <xf numFmtId="0" fontId="52" fillId="0" borderId="0"/>
    <xf numFmtId="0" fontId="2" fillId="0" borderId="0"/>
    <xf numFmtId="0" fontId="17" fillId="22" borderId="7" applyNumberFormat="0" applyFont="0" applyAlignment="0" applyProtection="0"/>
    <xf numFmtId="0" fontId="2" fillId="22" borderId="7" applyNumberFormat="0" applyFont="0" applyAlignment="0" applyProtection="0"/>
    <xf numFmtId="0" fontId="18" fillId="20" borderId="8" applyNumberFormat="0" applyAlignment="0" applyProtection="0"/>
    <xf numFmtId="170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33">
    <xf numFmtId="0" fontId="0" fillId="0" borderId="0" xfId="0"/>
    <xf numFmtId="175" fontId="24" fillId="24" borderId="10" xfId="0" applyNumberFormat="1" applyFont="1" applyFill="1" applyBorder="1" applyAlignment="1">
      <alignment vertical="center"/>
    </xf>
    <xf numFmtId="0" fontId="24" fillId="24" borderId="0" xfId="0" applyFont="1" applyFill="1"/>
    <xf numFmtId="0" fontId="25" fillId="24" borderId="0" xfId="0" applyFont="1" applyFill="1" applyBorder="1" applyAlignment="1"/>
    <xf numFmtId="0" fontId="23" fillId="24" borderId="0" xfId="0" applyFont="1" applyFill="1"/>
    <xf numFmtId="0" fontId="25" fillId="24" borderId="0" xfId="0" applyFont="1" applyFill="1"/>
    <xf numFmtId="0" fontId="25" fillId="24" borderId="11" xfId="0" applyFont="1" applyFill="1" applyBorder="1" applyAlignment="1"/>
    <xf numFmtId="174" fontId="23" fillId="24" borderId="0" xfId="0" applyNumberFormat="1" applyFont="1" applyFill="1"/>
    <xf numFmtId="178" fontId="23" fillId="24" borderId="10" xfId="41" applyNumberFormat="1" applyFont="1" applyFill="1" applyBorder="1"/>
    <xf numFmtId="178" fontId="24" fillId="24" borderId="10" xfId="41" applyNumberFormat="1" applyFont="1" applyFill="1" applyBorder="1"/>
    <xf numFmtId="174" fontId="24" fillId="24" borderId="10" xfId="0" quotePrefix="1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7" fillId="0" borderId="12" xfId="0" applyFont="1" applyBorder="1" applyAlignment="1">
      <alignment horizontal="center" vertical="center"/>
    </xf>
    <xf numFmtId="178" fontId="23" fillId="24" borderId="0" xfId="0" applyNumberFormat="1" applyFont="1" applyFill="1"/>
    <xf numFmtId="178" fontId="27" fillId="0" borderId="0" xfId="0" applyNumberFormat="1" applyFont="1"/>
    <xf numFmtId="175" fontId="32" fillId="24" borderId="10" xfId="0" applyNumberFormat="1" applyFont="1" applyFill="1" applyBorder="1" applyAlignment="1">
      <alignment vertical="center"/>
    </xf>
    <xf numFmtId="0" fontId="32" fillId="24" borderId="0" xfId="0" applyFont="1" applyFill="1"/>
    <xf numFmtId="0" fontId="33" fillId="24" borderId="0" xfId="0" applyFont="1" applyFill="1"/>
    <xf numFmtId="0" fontId="27" fillId="0" borderId="0" xfId="0" applyFont="1" applyAlignment="1">
      <alignment wrapText="1"/>
    </xf>
    <xf numFmtId="178" fontId="23" fillId="24" borderId="0" xfId="41" applyNumberFormat="1" applyFont="1" applyFill="1" applyBorder="1"/>
    <xf numFmtId="0" fontId="27" fillId="24" borderId="0" xfId="0" applyFont="1" applyFill="1"/>
    <xf numFmtId="0" fontId="27" fillId="24" borderId="13" xfId="0" applyFont="1" applyFill="1" applyBorder="1" applyAlignment="1">
      <alignment horizontal="center" vertical="center"/>
    </xf>
    <xf numFmtId="0" fontId="35" fillId="24" borderId="0" xfId="71" applyFill="1"/>
    <xf numFmtId="178" fontId="22" fillId="24" borderId="0" xfId="49" applyNumberFormat="1" applyFont="1" applyFill="1"/>
    <xf numFmtId="178" fontId="37" fillId="24" borderId="10" xfId="49" applyNumberFormat="1" applyFont="1" applyFill="1" applyBorder="1" applyAlignment="1">
      <alignment horizontal="center" vertical="center" wrapText="1"/>
    </xf>
    <xf numFmtId="0" fontId="35" fillId="24" borderId="0" xfId="71" applyFont="1" applyFill="1"/>
    <xf numFmtId="0" fontId="26" fillId="24" borderId="10" xfId="71" applyFont="1" applyFill="1" applyBorder="1" applyAlignment="1">
      <alignment horizontal="center" vertical="center"/>
    </xf>
    <xf numFmtId="0" fontId="24" fillId="24" borderId="10" xfId="71" applyFont="1" applyFill="1" applyBorder="1" applyAlignment="1">
      <alignment vertical="center" wrapText="1"/>
    </xf>
    <xf numFmtId="1" fontId="23" fillId="24" borderId="10" xfId="71" applyNumberFormat="1" applyFont="1" applyFill="1" applyBorder="1" applyAlignment="1">
      <alignment horizontal="center" vertical="center"/>
    </xf>
    <xf numFmtId="0" fontId="23" fillId="24" borderId="10" xfId="71" applyFont="1" applyFill="1" applyBorder="1" applyAlignment="1">
      <alignment horizontal="center" vertical="center"/>
    </xf>
    <xf numFmtId="174" fontId="24" fillId="24" borderId="10" xfId="71" quotePrefix="1" applyNumberFormat="1" applyFont="1" applyFill="1" applyBorder="1" applyAlignment="1">
      <alignment horizontal="center" vertical="center"/>
    </xf>
    <xf numFmtId="175" fontId="24" fillId="24" borderId="10" xfId="71" applyNumberFormat="1" applyFont="1" applyFill="1" applyBorder="1" applyAlignment="1">
      <alignment vertical="center"/>
    </xf>
    <xf numFmtId="0" fontId="24" fillId="24" borderId="10" xfId="71" applyFont="1" applyFill="1" applyBorder="1" applyAlignment="1">
      <alignment horizontal="left" vertical="center" wrapText="1"/>
    </xf>
    <xf numFmtId="0" fontId="26" fillId="24" borderId="10" xfId="71" applyFont="1" applyFill="1" applyBorder="1" applyAlignment="1">
      <alignment horizontal="left" vertical="center" wrapText="1"/>
    </xf>
    <xf numFmtId="0" fontId="34" fillId="24" borderId="10" xfId="71" applyFont="1" applyFill="1" applyBorder="1" applyAlignment="1">
      <alignment horizontal="left" vertical="center" wrapText="1"/>
    </xf>
    <xf numFmtId="175" fontId="32" fillId="24" borderId="10" xfId="71" applyNumberFormat="1" applyFont="1" applyFill="1" applyBorder="1" applyAlignment="1">
      <alignment vertical="center"/>
    </xf>
    <xf numFmtId="0" fontId="24" fillId="24" borderId="10" xfId="71" applyFont="1" applyFill="1" applyBorder="1" applyAlignment="1">
      <alignment horizontal="left" vertical="center"/>
    </xf>
    <xf numFmtId="0" fontId="32" fillId="24" borderId="10" xfId="71" applyFont="1" applyFill="1" applyBorder="1" applyAlignment="1">
      <alignment horizontal="left" vertical="center"/>
    </xf>
    <xf numFmtId="0" fontId="24" fillId="24" borderId="10" xfId="71" applyFont="1" applyFill="1" applyBorder="1" applyAlignment="1">
      <alignment horizontal="right" vertical="center"/>
    </xf>
    <xf numFmtId="0" fontId="38" fillId="24" borderId="0" xfId="71" applyFont="1" applyFill="1"/>
    <xf numFmtId="178" fontId="23" fillId="24" borderId="0" xfId="0" applyNumberFormat="1" applyFont="1" applyFill="1" applyBorder="1"/>
    <xf numFmtId="0" fontId="36" fillId="24" borderId="0" xfId="71" applyFont="1" applyFill="1"/>
    <xf numFmtId="0" fontId="27" fillId="0" borderId="14" xfId="0" applyFont="1" applyBorder="1" applyAlignment="1">
      <alignment horizontal="center" vertical="center" wrapText="1"/>
    </xf>
    <xf numFmtId="0" fontId="23" fillId="24" borderId="0" xfId="0" applyFont="1" applyFill="1" applyAlignment="1">
      <alignment horizontal="right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8" fillId="24" borderId="0" xfId="0" applyFont="1" applyFill="1"/>
    <xf numFmtId="178" fontId="27" fillId="24" borderId="0" xfId="41" applyNumberFormat="1" applyFont="1" applyFill="1"/>
    <xf numFmtId="0" fontId="27" fillId="24" borderId="0" xfId="0" applyFont="1" applyFill="1" applyAlignment="1">
      <alignment horizontal="right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178" fontId="27" fillId="24" borderId="17" xfId="41" applyNumberFormat="1" applyFont="1" applyFill="1" applyBorder="1" applyAlignment="1">
      <alignment horizontal="center" vertical="center" wrapText="1"/>
    </xf>
    <xf numFmtId="178" fontId="27" fillId="24" borderId="12" xfId="41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/>
    </xf>
    <xf numFmtId="178" fontId="28" fillId="24" borderId="18" xfId="41" applyNumberFormat="1" applyFont="1" applyFill="1" applyBorder="1" applyAlignment="1">
      <alignment horizontal="center" vertical="center" wrapText="1"/>
    </xf>
    <xf numFmtId="178" fontId="28" fillId="24" borderId="19" xfId="41" applyNumberFormat="1" applyFont="1" applyFill="1" applyBorder="1" applyAlignment="1">
      <alignment horizontal="center" vertical="center" wrapText="1"/>
    </xf>
    <xf numFmtId="178" fontId="28" fillId="24" borderId="0" xfId="41" applyNumberFormat="1" applyFont="1" applyFill="1"/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178" fontId="30" fillId="24" borderId="0" xfId="41" applyNumberFormat="1" applyFont="1" applyFill="1"/>
    <xf numFmtId="0" fontId="30" fillId="24" borderId="0" xfId="0" applyFont="1" applyFill="1"/>
    <xf numFmtId="0" fontId="24" fillId="24" borderId="10" xfId="0" applyFont="1" applyFill="1" applyBorder="1" applyAlignment="1">
      <alignment horizontal="right" vertical="center"/>
    </xf>
    <xf numFmtId="178" fontId="27" fillId="24" borderId="0" xfId="0" applyNumberFormat="1" applyFont="1" applyFill="1"/>
    <xf numFmtId="0" fontId="27" fillId="24" borderId="23" xfId="0" applyFont="1" applyFill="1" applyBorder="1"/>
    <xf numFmtId="178" fontId="27" fillId="24" borderId="23" xfId="41" applyNumberFormat="1" applyFont="1" applyFill="1" applyBorder="1"/>
    <xf numFmtId="0" fontId="27" fillId="24" borderId="23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0" xfId="0" applyFont="1" applyFill="1" applyBorder="1"/>
    <xf numFmtId="178" fontId="27" fillId="24" borderId="0" xfId="41" applyNumberFormat="1" applyFont="1" applyFill="1" applyBorder="1"/>
    <xf numFmtId="0" fontId="27" fillId="24" borderId="25" xfId="0" applyFont="1" applyFill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3" fillId="24" borderId="0" xfId="0" applyFont="1" applyFill="1" applyBorder="1"/>
    <xf numFmtId="0" fontId="27" fillId="24" borderId="17" xfId="0" applyFont="1" applyFill="1" applyBorder="1" applyAlignment="1">
      <alignment horizontal="left" vertical="center" wrapText="1"/>
    </xf>
    <xf numFmtId="0" fontId="27" fillId="24" borderId="27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 wrapText="1"/>
    </xf>
    <xf numFmtId="174" fontId="24" fillId="24" borderId="28" xfId="71" quotePrefix="1" applyNumberFormat="1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49" fontId="23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78" fontId="28" fillId="24" borderId="18" xfId="41" applyNumberFormat="1" applyFont="1" applyFill="1" applyBorder="1" applyAlignment="1">
      <alignment vertical="center"/>
    </xf>
    <xf numFmtId="178" fontId="27" fillId="24" borderId="20" xfId="41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178" fontId="28" fillId="24" borderId="30" xfId="41" applyNumberFormat="1" applyFont="1" applyFill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8" fontId="27" fillId="0" borderId="32" xfId="41" applyNumberFormat="1" applyFont="1" applyFill="1" applyBorder="1" applyAlignment="1">
      <alignment horizontal="center" vertical="center"/>
    </xf>
    <xf numFmtId="178" fontId="27" fillId="0" borderId="33" xfId="41" applyNumberFormat="1" applyFont="1" applyFill="1" applyBorder="1" applyAlignment="1">
      <alignment horizontal="center" vertical="center"/>
    </xf>
    <xf numFmtId="178" fontId="27" fillId="0" borderId="34" xfId="41" applyNumberFormat="1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178" fontId="27" fillId="0" borderId="34" xfId="41" applyNumberFormat="1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178" fontId="27" fillId="24" borderId="14" xfId="41" applyNumberFormat="1" applyFont="1" applyFill="1" applyBorder="1" applyAlignment="1">
      <alignment horizontal="center" vertical="center"/>
    </xf>
    <xf numFmtId="0" fontId="27" fillId="24" borderId="24" xfId="0" applyFont="1" applyFill="1" applyBorder="1"/>
    <xf numFmtId="0" fontId="27" fillId="0" borderId="2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78" fontId="27" fillId="0" borderId="14" xfId="41" applyNumberFormat="1" applyFont="1" applyBorder="1" applyAlignment="1">
      <alignment vertical="center"/>
    </xf>
    <xf numFmtId="178" fontId="27" fillId="0" borderId="20" xfId="41" applyNumberFormat="1" applyFont="1" applyBorder="1" applyAlignment="1">
      <alignment vertical="center"/>
    </xf>
    <xf numFmtId="178" fontId="27" fillId="0" borderId="17" xfId="41" applyNumberFormat="1" applyFont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8" fontId="26" fillId="0" borderId="10" xfId="41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178" fontId="27" fillId="24" borderId="30" xfId="41" applyNumberFormat="1" applyFont="1" applyFill="1" applyBorder="1" applyAlignment="1">
      <alignment vertical="center"/>
    </xf>
    <xf numFmtId="178" fontId="35" fillId="24" borderId="0" xfId="71" applyNumberFormat="1" applyFill="1"/>
    <xf numFmtId="3" fontId="35" fillId="24" borderId="0" xfId="71" applyNumberFormat="1" applyFill="1"/>
    <xf numFmtId="178" fontId="36" fillId="24" borderId="0" xfId="71" applyNumberFormat="1" applyFont="1" applyFill="1"/>
    <xf numFmtId="0" fontId="27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1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178" fontId="28" fillId="0" borderId="19" xfId="41" applyNumberFormat="1" applyFont="1" applyFill="1" applyBorder="1" applyAlignment="1">
      <alignment horizontal="center" vertical="center"/>
    </xf>
    <xf numFmtId="178" fontId="28" fillId="24" borderId="10" xfId="0" applyNumberFormat="1" applyFont="1" applyFill="1" applyBorder="1" applyAlignment="1">
      <alignment vertical="center"/>
    </xf>
    <xf numFmtId="178" fontId="27" fillId="0" borderId="13" xfId="41" applyNumberFormat="1" applyFont="1" applyFill="1" applyBorder="1" applyAlignment="1">
      <alignment horizontal="center" vertical="center"/>
    </xf>
    <xf numFmtId="178" fontId="27" fillId="0" borderId="13" xfId="41" applyNumberFormat="1" applyFont="1" applyFill="1" applyBorder="1" applyAlignment="1">
      <alignment vertical="center"/>
    </xf>
    <xf numFmtId="0" fontId="28" fillId="24" borderId="38" xfId="0" applyFont="1" applyFill="1" applyBorder="1" applyAlignment="1">
      <alignment vertical="center"/>
    </xf>
    <xf numFmtId="178" fontId="31" fillId="24" borderId="10" xfId="41" applyNumberFormat="1" applyFont="1" applyFill="1" applyBorder="1" applyAlignment="1">
      <alignment horizontal="center" vertical="center"/>
    </xf>
    <xf numFmtId="178" fontId="26" fillId="24" borderId="18" xfId="41" applyNumberFormat="1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178" fontId="27" fillId="24" borderId="0" xfId="41" applyNumberFormat="1" applyFont="1" applyFill="1" applyAlignment="1">
      <alignment vertical="center"/>
    </xf>
    <xf numFmtId="178" fontId="28" fillId="24" borderId="39" xfId="0" applyNumberFormat="1" applyFont="1" applyFill="1" applyBorder="1" applyAlignment="1">
      <alignment vertical="center"/>
    </xf>
    <xf numFmtId="0" fontId="28" fillId="24" borderId="39" xfId="0" applyFont="1" applyFill="1" applyBorder="1" applyAlignment="1">
      <alignment vertical="center"/>
    </xf>
    <xf numFmtId="0" fontId="28" fillId="24" borderId="40" xfId="0" applyFont="1" applyFill="1" applyBorder="1" applyAlignment="1">
      <alignment vertical="center"/>
    </xf>
    <xf numFmtId="178" fontId="28" fillId="24" borderId="23" xfId="0" applyNumberFormat="1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27" fillId="24" borderId="41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178" fontId="28" fillId="24" borderId="11" xfId="41" applyNumberFormat="1" applyFont="1" applyFill="1" applyBorder="1" applyAlignment="1">
      <alignment horizontal="center" vertical="center"/>
    </xf>
    <xf numFmtId="178" fontId="27" fillId="24" borderId="18" xfId="41" applyNumberFormat="1" applyFont="1" applyFill="1" applyBorder="1" applyAlignment="1">
      <alignment horizontal="center" vertical="center"/>
    </xf>
    <xf numFmtId="178" fontId="27" fillId="0" borderId="20" xfId="41" applyNumberFormat="1" applyFont="1" applyFill="1" applyBorder="1" applyAlignment="1">
      <alignment horizontal="center" vertical="center"/>
    </xf>
    <xf numFmtId="178" fontId="27" fillId="0" borderId="42" xfId="41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86" fillId="24" borderId="0" xfId="71" applyFont="1" applyFill="1"/>
    <xf numFmtId="0" fontId="27" fillId="0" borderId="20" xfId="0" applyFont="1" applyFill="1" applyBorder="1" applyAlignment="1">
      <alignment horizontal="center" vertical="center"/>
    </xf>
    <xf numFmtId="0" fontId="47" fillId="0" borderId="0" xfId="0" applyFont="1"/>
    <xf numFmtId="178" fontId="27" fillId="24" borderId="15" xfId="4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18" xfId="0" applyFont="1" applyFill="1" applyBorder="1" applyAlignment="1">
      <alignment horizontal="center" vertical="center" wrapText="1"/>
    </xf>
    <xf numFmtId="178" fontId="28" fillId="0" borderId="18" xfId="41" applyNumberFormat="1" applyFont="1" applyFill="1" applyBorder="1" applyAlignment="1">
      <alignment horizontal="center" vertical="center" wrapText="1"/>
    </xf>
    <xf numFmtId="178" fontId="27" fillId="0" borderId="19" xfId="41" applyNumberFormat="1" applyFont="1" applyFill="1" applyBorder="1" applyAlignment="1">
      <alignment horizontal="center" vertical="center" wrapText="1"/>
    </xf>
    <xf numFmtId="178" fontId="28" fillId="0" borderId="0" xfId="41" applyNumberFormat="1" applyFont="1" applyFill="1"/>
    <xf numFmtId="0" fontId="28" fillId="0" borderId="0" xfId="0" applyFont="1" applyFill="1"/>
    <xf numFmtId="178" fontId="27" fillId="0" borderId="0" xfId="41" applyNumberFormat="1" applyFont="1" applyFill="1"/>
    <xf numFmtId="178" fontId="2" fillId="24" borderId="0" xfId="71" applyNumberFormat="1" applyFont="1" applyFill="1"/>
    <xf numFmtId="0" fontId="2" fillId="24" borderId="0" xfId="71" applyFont="1" applyFill="1"/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/>
    <xf numFmtId="0" fontId="27" fillId="0" borderId="42" xfId="0" applyFont="1" applyFill="1" applyBorder="1" applyAlignment="1">
      <alignment horizontal="center" vertical="center"/>
    </xf>
    <xf numFmtId="178" fontId="28" fillId="0" borderId="0" xfId="0" applyNumberFormat="1" applyFont="1"/>
    <xf numFmtId="178" fontId="28" fillId="24" borderId="18" xfId="0" applyNumberFormat="1" applyFont="1" applyFill="1" applyBorder="1" applyAlignment="1">
      <alignment vertical="center"/>
    </xf>
    <xf numFmtId="178" fontId="27" fillId="0" borderId="20" xfId="41" applyNumberFormat="1" applyFont="1" applyFill="1" applyBorder="1" applyAlignment="1">
      <alignment vertical="center"/>
    </xf>
    <xf numFmtId="178" fontId="27" fillId="0" borderId="13" xfId="41" applyNumberFormat="1" applyFont="1" applyFill="1" applyBorder="1"/>
    <xf numFmtId="0" fontId="28" fillId="24" borderId="10" xfId="0" applyFont="1" applyFill="1" applyBorder="1" applyAlignment="1">
      <alignment horizontal="center" vertical="center" wrapText="1"/>
    </xf>
    <xf numFmtId="0" fontId="35" fillId="24" borderId="0" xfId="71" applyFill="1" applyAlignment="1">
      <alignment vertical="center"/>
    </xf>
    <xf numFmtId="0" fontId="24" fillId="24" borderId="10" xfId="71" applyFont="1" applyFill="1" applyBorder="1" applyAlignment="1">
      <alignment horizontal="center" vertical="center" wrapText="1"/>
    </xf>
    <xf numFmtId="0" fontId="35" fillId="24" borderId="0" xfId="71" applyFill="1" applyAlignment="1">
      <alignment horizontal="left" vertical="center"/>
    </xf>
    <xf numFmtId="175" fontId="24" fillId="24" borderId="10" xfId="71" applyNumberFormat="1" applyFont="1" applyFill="1" applyBorder="1" applyAlignment="1">
      <alignment horizontal="left" vertical="center"/>
    </xf>
    <xf numFmtId="175" fontId="32" fillId="24" borderId="10" xfId="71" applyNumberFormat="1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0" xfId="0" quotePrefix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178" fontId="27" fillId="0" borderId="44" xfId="41" applyNumberFormat="1" applyFont="1" applyFill="1" applyBorder="1" applyAlignment="1">
      <alignment vertical="center"/>
    </xf>
    <xf numFmtId="0" fontId="27" fillId="0" borderId="42" xfId="0" quotePrefix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178" fontId="27" fillId="0" borderId="42" xfId="41" applyNumberFormat="1" applyFont="1" applyFill="1" applyBorder="1" applyAlignment="1">
      <alignment vertical="center"/>
    </xf>
    <xf numFmtId="178" fontId="27" fillId="0" borderId="13" xfId="41" applyNumberFormat="1" applyFont="1" applyFill="1" applyBorder="1" applyAlignment="1">
      <alignment horizontal="center" vertical="center" wrapText="1"/>
    </xf>
    <xf numFmtId="178" fontId="27" fillId="0" borderId="20" xfId="41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/>
    </xf>
    <xf numFmtId="0" fontId="27" fillId="0" borderId="46" xfId="0" quotePrefix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178" fontId="27" fillId="0" borderId="47" xfId="41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20" xfId="0" applyFont="1" applyFill="1" applyBorder="1"/>
    <xf numFmtId="49" fontId="27" fillId="0" borderId="13" xfId="0" quotePrefix="1" applyNumberFormat="1" applyFont="1" applyFill="1" applyBorder="1" applyAlignment="1">
      <alignment vertical="center"/>
    </xf>
    <xf numFmtId="49" fontId="27" fillId="0" borderId="20" xfId="0" quotePrefix="1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17" xfId="0" quotePrefix="1" applyFont="1" applyFill="1" applyBorder="1" applyAlignment="1">
      <alignment vertical="center"/>
    </xf>
    <xf numFmtId="0" fontId="27" fillId="0" borderId="17" xfId="0" applyFont="1" applyFill="1" applyBorder="1"/>
    <xf numFmtId="178" fontId="27" fillId="0" borderId="17" xfId="41" applyNumberFormat="1" applyFont="1" applyFill="1" applyBorder="1" applyAlignment="1">
      <alignment vertical="center"/>
    </xf>
    <xf numFmtId="49" fontId="27" fillId="0" borderId="42" xfId="0" quotePrefix="1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178" fontId="27" fillId="0" borderId="17" xfId="41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178" fontId="27" fillId="0" borderId="18" xfId="41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4" xfId="0" quotePrefix="1" applyFont="1" applyBorder="1" applyAlignment="1">
      <alignment horizontal="center" vertical="center"/>
    </xf>
    <xf numFmtId="0" fontId="27" fillId="0" borderId="20" xfId="0" quotePrefix="1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178" fontId="23" fillId="24" borderId="28" xfId="0" applyNumberFormat="1" applyFont="1" applyFill="1" applyBorder="1"/>
    <xf numFmtId="0" fontId="27" fillId="24" borderId="49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/>
    </xf>
    <xf numFmtId="178" fontId="27" fillId="0" borderId="42" xfId="41" applyNumberFormat="1" applyFont="1" applyBorder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vertical="center"/>
    </xf>
    <xf numFmtId="0" fontId="27" fillId="24" borderId="24" xfId="0" applyFont="1" applyFill="1" applyBorder="1" applyAlignment="1">
      <alignment horizontal="right" vertical="center"/>
    </xf>
    <xf numFmtId="0" fontId="27" fillId="24" borderId="50" xfId="0" applyFont="1" applyFill="1" applyBorder="1" applyAlignment="1">
      <alignment horizontal="center"/>
    </xf>
    <xf numFmtId="0" fontId="27" fillId="24" borderId="30" xfId="0" applyFont="1" applyFill="1" applyBorder="1"/>
    <xf numFmtId="0" fontId="27" fillId="24" borderId="30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0" fontId="40" fillId="25" borderId="10" xfId="0" applyFont="1" applyFill="1" applyBorder="1" applyAlignment="1">
      <alignment vertical="center" wrapText="1"/>
    </xf>
    <xf numFmtId="49" fontId="40" fillId="25" borderId="10" xfId="0" applyNumberFormat="1" applyFont="1" applyFill="1" applyBorder="1" applyAlignment="1">
      <alignment vertical="center"/>
    </xf>
    <xf numFmtId="0" fontId="40" fillId="2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quotePrefix="1" applyNumberFormat="1" applyFont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/>
    </xf>
    <xf numFmtId="49" fontId="40" fillId="2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7" fillId="0" borderId="18" xfId="0" applyFont="1" applyFill="1" applyBorder="1"/>
    <xf numFmtId="178" fontId="27" fillId="0" borderId="12" xfId="41" applyNumberFormat="1" applyFont="1" applyFill="1" applyBorder="1" applyAlignment="1">
      <alignment horizontal="center" vertical="center"/>
    </xf>
    <xf numFmtId="0" fontId="25" fillId="24" borderId="0" xfId="71" applyFont="1" applyFill="1"/>
    <xf numFmtId="0" fontId="25" fillId="24" borderId="0" xfId="71" applyFont="1" applyFill="1" applyAlignment="1">
      <alignment horizontal="left" vertical="center"/>
    </xf>
    <xf numFmtId="178" fontId="25" fillId="24" borderId="0" xfId="49" applyNumberFormat="1" applyFont="1" applyFill="1"/>
    <xf numFmtId="178" fontId="25" fillId="24" borderId="0" xfId="49" applyNumberFormat="1" applyFont="1" applyFill="1" applyAlignment="1">
      <alignment horizontal="right"/>
    </xf>
    <xf numFmtId="178" fontId="23" fillId="24" borderId="10" xfId="49" applyNumberFormat="1" applyFont="1" applyFill="1" applyBorder="1" applyAlignment="1">
      <alignment horizontal="center" vertical="center" wrapText="1"/>
    </xf>
    <xf numFmtId="178" fontId="25" fillId="24" borderId="10" xfId="49" applyNumberFormat="1" applyFont="1" applyFill="1" applyBorder="1" applyAlignment="1">
      <alignment horizontal="center" vertical="center" wrapText="1"/>
    </xf>
    <xf numFmtId="178" fontId="25" fillId="24" borderId="10" xfId="49" quotePrefix="1" applyNumberFormat="1" applyFont="1" applyFill="1" applyBorder="1" applyAlignment="1">
      <alignment horizontal="center" vertical="center" wrapText="1"/>
    </xf>
    <xf numFmtId="178" fontId="25" fillId="24" borderId="10" xfId="49" applyNumberFormat="1" applyFont="1" applyFill="1" applyBorder="1"/>
    <xf numFmtId="178" fontId="26" fillId="24" borderId="10" xfId="49" applyNumberFormat="1" applyFont="1" applyFill="1" applyBorder="1"/>
    <xf numFmtId="178" fontId="25" fillId="0" borderId="10" xfId="49" applyNumberFormat="1" applyFont="1" applyFill="1" applyBorder="1"/>
    <xf numFmtId="0" fontId="25" fillId="24" borderId="10" xfId="71" applyFont="1" applyFill="1" applyBorder="1" applyAlignment="1">
      <alignment horizontal="left" vertical="center"/>
    </xf>
    <xf numFmtId="0" fontId="25" fillId="24" borderId="0" xfId="71" applyFont="1" applyFill="1" applyAlignment="1">
      <alignment vertical="center"/>
    </xf>
    <xf numFmtId="0" fontId="25" fillId="24" borderId="10" xfId="71" applyFont="1" applyFill="1" applyBorder="1" applyAlignment="1">
      <alignment vertical="center"/>
    </xf>
    <xf numFmtId="0" fontId="25" fillId="24" borderId="10" xfId="71" applyFont="1" applyFill="1" applyBorder="1"/>
    <xf numFmtId="0" fontId="25" fillId="24" borderId="0" xfId="71" applyFont="1" applyFill="1" applyAlignment="1">
      <alignment horizontal="center"/>
    </xf>
    <xf numFmtId="178" fontId="23" fillId="0" borderId="10" xfId="49" applyNumberFormat="1" applyFont="1" applyFill="1" applyBorder="1" applyAlignment="1">
      <alignment horizontal="center" vertical="center" wrapText="1"/>
    </xf>
    <xf numFmtId="178" fontId="25" fillId="24" borderId="10" xfId="50" applyNumberFormat="1" applyFont="1" applyFill="1" applyBorder="1" applyAlignment="1">
      <alignment vertical="center"/>
    </xf>
    <xf numFmtId="0" fontId="2" fillId="24" borderId="10" xfId="72" applyFill="1" applyBorder="1" applyAlignment="1">
      <alignment vertical="center"/>
    </xf>
    <xf numFmtId="174" fontId="24" fillId="24" borderId="10" xfId="72" quotePrefix="1" applyNumberFormat="1" applyFont="1" applyFill="1" applyBorder="1" applyAlignment="1">
      <alignment horizontal="center" vertical="center"/>
    </xf>
    <xf numFmtId="178" fontId="26" fillId="24" borderId="10" xfId="50" applyNumberFormat="1" applyFont="1" applyFill="1" applyBorder="1" applyAlignment="1">
      <alignment vertical="center"/>
    </xf>
    <xf numFmtId="175" fontId="24" fillId="24" borderId="10" xfId="72" applyNumberFormat="1" applyFont="1" applyFill="1" applyBorder="1" applyAlignment="1">
      <alignment vertical="center"/>
    </xf>
    <xf numFmtId="0" fontId="24" fillId="24" borderId="10" xfId="72" applyFont="1" applyFill="1" applyBorder="1" applyAlignment="1">
      <alignment horizontal="right" vertical="center"/>
    </xf>
    <xf numFmtId="175" fontId="32" fillId="24" borderId="10" xfId="72" applyNumberFormat="1" applyFont="1" applyFill="1" applyBorder="1" applyAlignment="1">
      <alignment vertical="center"/>
    </xf>
    <xf numFmtId="0" fontId="32" fillId="24" borderId="10" xfId="72" applyFont="1" applyFill="1" applyBorder="1" applyAlignment="1">
      <alignment horizontal="left" vertical="center"/>
    </xf>
    <xf numFmtId="0" fontId="24" fillId="24" borderId="10" xfId="72" applyFont="1" applyFill="1" applyBorder="1" applyAlignment="1">
      <alignment horizontal="left" vertical="center"/>
    </xf>
    <xf numFmtId="0" fontId="26" fillId="24" borderId="10" xfId="72" applyFont="1" applyFill="1" applyBorder="1" applyAlignment="1">
      <alignment horizontal="left" vertical="center" wrapText="1"/>
    </xf>
    <xf numFmtId="0" fontId="24" fillId="24" borderId="10" xfId="72" applyFont="1" applyFill="1" applyBorder="1" applyAlignment="1">
      <alignment horizontal="left" vertical="center" wrapText="1"/>
    </xf>
    <xf numFmtId="0" fontId="34" fillId="24" borderId="10" xfId="72" applyFont="1" applyFill="1" applyBorder="1" applyAlignment="1">
      <alignment horizontal="left" vertical="center" wrapText="1"/>
    </xf>
    <xf numFmtId="0" fontId="24" fillId="24" borderId="10" xfId="72" applyFont="1" applyFill="1" applyBorder="1" applyAlignment="1">
      <alignment vertical="center" wrapText="1"/>
    </xf>
    <xf numFmtId="0" fontId="23" fillId="24" borderId="10" xfId="72" applyFont="1" applyFill="1" applyBorder="1" applyAlignment="1">
      <alignment horizontal="center" vertical="center"/>
    </xf>
    <xf numFmtId="1" fontId="23" fillId="24" borderId="10" xfId="72" applyNumberFormat="1" applyFont="1" applyFill="1" applyBorder="1" applyAlignment="1">
      <alignment horizontal="center" vertical="center"/>
    </xf>
    <xf numFmtId="178" fontId="23" fillId="24" borderId="10" xfId="50" applyNumberFormat="1" applyFont="1" applyFill="1" applyBorder="1" applyAlignment="1">
      <alignment horizontal="center" vertical="center" wrapText="1"/>
    </xf>
    <xf numFmtId="178" fontId="25" fillId="24" borderId="10" xfId="50" applyNumberFormat="1" applyFont="1" applyFill="1" applyBorder="1" applyAlignment="1">
      <alignment horizontal="center" vertical="center" wrapText="1"/>
    </xf>
    <xf numFmtId="0" fontId="24" fillId="24" borderId="10" xfId="72" applyFont="1" applyFill="1" applyBorder="1" applyAlignment="1">
      <alignment horizontal="center" vertical="center" wrapText="1"/>
    </xf>
    <xf numFmtId="0" fontId="26" fillId="24" borderId="10" xfId="72" applyFont="1" applyFill="1" applyBorder="1" applyAlignment="1">
      <alignment horizontal="center" vertical="center"/>
    </xf>
    <xf numFmtId="178" fontId="22" fillId="24" borderId="0" xfId="50" applyNumberFormat="1" applyFont="1" applyFill="1" applyAlignment="1">
      <alignment horizontal="right"/>
    </xf>
    <xf numFmtId="178" fontId="22" fillId="24" borderId="0" xfId="50" applyNumberFormat="1" applyFont="1" applyFill="1"/>
    <xf numFmtId="0" fontId="2" fillId="24" borderId="0" xfId="72" applyFill="1" applyAlignment="1">
      <alignment vertical="center"/>
    </xf>
    <xf numFmtId="0" fontId="2" fillId="24" borderId="0" xfId="72" applyFill="1"/>
    <xf numFmtId="178" fontId="25" fillId="24" borderId="10" xfId="50" applyNumberFormat="1" applyFont="1" applyFill="1" applyBorder="1"/>
    <xf numFmtId="0" fontId="2" fillId="24" borderId="10" xfId="72" applyFill="1" applyBorder="1" applyAlignment="1">
      <alignment horizontal="left" vertical="center"/>
    </xf>
    <xf numFmtId="178" fontId="26" fillId="24" borderId="10" xfId="50" applyNumberFormat="1" applyFont="1" applyFill="1" applyBorder="1"/>
    <xf numFmtId="175" fontId="24" fillId="24" borderId="10" xfId="72" applyNumberFormat="1" applyFont="1" applyFill="1" applyBorder="1" applyAlignment="1">
      <alignment horizontal="left" vertical="center"/>
    </xf>
    <xf numFmtId="175" fontId="32" fillId="24" borderId="10" xfId="72" applyNumberFormat="1" applyFont="1" applyFill="1" applyBorder="1" applyAlignment="1">
      <alignment horizontal="left" vertical="center"/>
    </xf>
    <xf numFmtId="0" fontId="2" fillId="24" borderId="0" xfId="72" applyFill="1" applyAlignment="1">
      <alignment horizontal="left" vertical="center"/>
    </xf>
    <xf numFmtId="181" fontId="26" fillId="0" borderId="0" xfId="0" applyNumberFormat="1" applyFont="1"/>
    <xf numFmtId="181" fontId="27" fillId="0" borderId="0" xfId="79" applyNumberFormat="1" applyFont="1"/>
    <xf numFmtId="178" fontId="38" fillId="24" borderId="0" xfId="71" applyNumberFormat="1" applyFont="1" applyFill="1"/>
    <xf numFmtId="0" fontId="27" fillId="24" borderId="42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178" fontId="0" fillId="0" borderId="0" xfId="0" applyNumberFormat="1"/>
    <xf numFmtId="0" fontId="28" fillId="0" borderId="49" xfId="0" applyFont="1" applyBorder="1" applyAlignment="1">
      <alignment horizontal="left" vertical="center"/>
    </xf>
    <xf numFmtId="178" fontId="28" fillId="0" borderId="16" xfId="41" applyNumberFormat="1" applyFont="1" applyFill="1" applyBorder="1"/>
    <xf numFmtId="178" fontId="28" fillId="0" borderId="46" xfId="41" applyNumberFormat="1" applyFont="1" applyBorder="1" applyAlignment="1">
      <alignment horizontal="center" vertical="center"/>
    </xf>
    <xf numFmtId="178" fontId="28" fillId="0" borderId="51" xfId="41" applyNumberFormat="1" applyFont="1" applyBorder="1" applyAlignment="1">
      <alignment horizontal="center" vertical="center"/>
    </xf>
    <xf numFmtId="0" fontId="27" fillId="24" borderId="25" xfId="0" applyFont="1" applyFill="1" applyBorder="1"/>
    <xf numFmtId="178" fontId="25" fillId="24" borderId="10" xfId="49" applyNumberFormat="1" applyFont="1" applyFill="1" applyBorder="1" applyAlignment="1">
      <alignment vertical="center"/>
    </xf>
    <xf numFmtId="178" fontId="24" fillId="24" borderId="10" xfId="41" applyNumberFormat="1" applyFont="1" applyFill="1" applyBorder="1" applyAlignment="1">
      <alignment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0" xfId="0" quotePrefix="1" applyFont="1" applyFill="1" applyBorder="1" applyAlignment="1">
      <alignment horizontal="center" vertical="center"/>
    </xf>
    <xf numFmtId="0" fontId="25" fillId="27" borderId="0" xfId="0" applyFont="1" applyFill="1" applyBorder="1" applyAlignment="1"/>
    <xf numFmtId="0" fontId="25" fillId="27" borderId="0" xfId="0" applyFont="1" applyFill="1" applyBorder="1" applyAlignment="1">
      <alignment horizontal="left" vertical="center"/>
    </xf>
    <xf numFmtId="0" fontId="23" fillId="27" borderId="0" xfId="0" applyFont="1" applyFill="1"/>
    <xf numFmtId="0" fontId="25" fillId="27" borderId="0" xfId="0" applyFont="1" applyFill="1"/>
    <xf numFmtId="0" fontId="25" fillId="27" borderId="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1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/>
    </xf>
    <xf numFmtId="174" fontId="24" fillId="27" borderId="10" xfId="0" quotePrefix="1" applyNumberFormat="1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vertical="center" wrapText="1"/>
    </xf>
    <xf numFmtId="175" fontId="24" fillId="27" borderId="10" xfId="0" applyNumberFormat="1" applyFont="1" applyFill="1" applyBorder="1" applyAlignment="1">
      <alignment horizontal="left" vertical="center"/>
    </xf>
    <xf numFmtId="178" fontId="23" fillId="27" borderId="10" xfId="41" applyNumberFormat="1" applyFont="1" applyFill="1" applyBorder="1"/>
    <xf numFmtId="178" fontId="23" fillId="27" borderId="0" xfId="41" applyNumberFormat="1" applyFont="1" applyFill="1" applyBorder="1"/>
    <xf numFmtId="178" fontId="23" fillId="27" borderId="0" xfId="0" applyNumberFormat="1" applyFont="1" applyFill="1"/>
    <xf numFmtId="0" fontId="24" fillId="27" borderId="10" xfId="0" applyFont="1" applyFill="1" applyBorder="1" applyAlignment="1">
      <alignment horizontal="left" vertical="center" wrapText="1"/>
    </xf>
    <xf numFmtId="0" fontId="24" fillId="27" borderId="0" xfId="0" applyFont="1" applyFill="1"/>
    <xf numFmtId="178" fontId="24" fillId="27" borderId="0" xfId="0" applyNumberFormat="1" applyFont="1" applyFill="1"/>
    <xf numFmtId="0" fontId="26" fillId="27" borderId="10" xfId="0" applyFont="1" applyFill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left" vertical="center" wrapText="1"/>
    </xf>
    <xf numFmtId="175" fontId="32" fillId="27" borderId="10" xfId="0" applyNumberFormat="1" applyFont="1" applyFill="1" applyBorder="1" applyAlignment="1">
      <alignment horizontal="left" vertical="center"/>
    </xf>
    <xf numFmtId="0" fontId="33" fillId="27" borderId="0" xfId="0" applyFont="1" applyFill="1"/>
    <xf numFmtId="0" fontId="24" fillId="27" borderId="10" xfId="0" applyFont="1" applyFill="1" applyBorder="1" applyAlignment="1">
      <alignment horizontal="left" vertical="center"/>
    </xf>
    <xf numFmtId="0" fontId="32" fillId="27" borderId="10" xfId="0" applyFont="1" applyFill="1" applyBorder="1" applyAlignment="1">
      <alignment horizontal="left" vertical="center"/>
    </xf>
    <xf numFmtId="0" fontId="32" fillId="27" borderId="0" xfId="0" applyFont="1" applyFill="1"/>
    <xf numFmtId="0" fontId="24" fillId="27" borderId="10" xfId="0" applyFont="1" applyFill="1" applyBorder="1" applyAlignment="1">
      <alignment horizontal="right" vertical="center"/>
    </xf>
    <xf numFmtId="0" fontId="23" fillId="27" borderId="0" xfId="0" applyFont="1" applyFill="1" applyAlignment="1">
      <alignment horizontal="left" vertical="center"/>
    </xf>
    <xf numFmtId="178" fontId="23" fillId="27" borderId="52" xfId="0" applyNumberFormat="1" applyFont="1" applyFill="1" applyBorder="1"/>
    <xf numFmtId="3" fontId="23" fillId="27" borderId="0" xfId="0" applyNumberFormat="1" applyFont="1" applyFill="1"/>
    <xf numFmtId="174" fontId="23" fillId="27" borderId="0" xfId="0" applyNumberFormat="1" applyFont="1" applyFill="1"/>
    <xf numFmtId="0" fontId="27" fillId="0" borderId="53" xfId="0" applyFont="1" applyFill="1" applyBorder="1" applyAlignment="1">
      <alignment horizontal="center" vertical="center"/>
    </xf>
    <xf numFmtId="178" fontId="27" fillId="0" borderId="54" xfId="41" applyNumberFormat="1" applyFont="1" applyFill="1" applyBorder="1" applyAlignment="1">
      <alignment horizontal="center" vertical="center" wrapText="1"/>
    </xf>
    <xf numFmtId="178" fontId="24" fillId="0" borderId="10" xfId="41" applyNumberFormat="1" applyFont="1" applyFill="1" applyBorder="1" applyAlignment="1">
      <alignment horizontal="right" vertical="center"/>
    </xf>
    <xf numFmtId="0" fontId="27" fillId="28" borderId="0" xfId="0" applyFont="1" applyFill="1"/>
    <xf numFmtId="174" fontId="24" fillId="0" borderId="10" xfId="71" quotePrefix="1" applyNumberFormat="1" applyFont="1" applyFill="1" applyBorder="1" applyAlignment="1">
      <alignment horizontal="center" vertical="center"/>
    </xf>
    <xf numFmtId="0" fontId="24" fillId="0" borderId="10" xfId="71" applyFont="1" applyFill="1" applyBorder="1" applyAlignment="1">
      <alignment horizontal="left" vertical="center" wrapText="1"/>
    </xf>
    <xf numFmtId="175" fontId="24" fillId="0" borderId="10" xfId="71" applyNumberFormat="1" applyFont="1" applyFill="1" applyBorder="1" applyAlignment="1">
      <alignment horizontal="left" vertical="center"/>
    </xf>
    <xf numFmtId="0" fontId="35" fillId="0" borderId="0" xfId="71" applyFill="1"/>
    <xf numFmtId="178" fontId="35" fillId="0" borderId="0" xfId="71" applyNumberFormat="1" applyFill="1"/>
    <xf numFmtId="175" fontId="24" fillId="0" borderId="10" xfId="71" applyNumberFormat="1" applyFont="1" applyFill="1" applyBorder="1" applyAlignment="1">
      <alignment vertical="center"/>
    </xf>
    <xf numFmtId="178" fontId="23" fillId="28" borderId="0" xfId="0" applyNumberFormat="1" applyFont="1" applyFill="1"/>
    <xf numFmtId="0" fontId="23" fillId="28" borderId="0" xfId="0" applyFont="1" applyFill="1"/>
    <xf numFmtId="178" fontId="25" fillId="0" borderId="10" xfId="49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 vertical="center" wrapText="1"/>
    </xf>
    <xf numFmtId="178" fontId="32" fillId="0" borderId="10" xfId="41" applyNumberFormat="1" applyFont="1" applyFill="1" applyBorder="1" applyAlignment="1">
      <alignment horizontal="right" vertical="center"/>
    </xf>
    <xf numFmtId="178" fontId="24" fillId="0" borderId="10" xfId="41" applyNumberFormat="1" applyFont="1" applyFill="1" applyBorder="1"/>
    <xf numFmtId="178" fontId="23" fillId="0" borderId="10" xfId="41" applyNumberFormat="1" applyFont="1" applyFill="1" applyBorder="1"/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/>
    <xf numFmtId="0" fontId="23" fillId="0" borderId="0" xfId="0" applyFont="1" applyFill="1"/>
    <xf numFmtId="0" fontId="27" fillId="0" borderId="26" xfId="0" applyFont="1" applyFill="1" applyBorder="1" applyAlignment="1">
      <alignment horizontal="center" vertical="center"/>
    </xf>
    <xf numFmtId="178" fontId="27" fillId="0" borderId="14" xfId="41" applyNumberFormat="1" applyFont="1" applyFill="1" applyBorder="1" applyAlignment="1">
      <alignment horizontal="center" vertical="center" wrapText="1"/>
    </xf>
    <xf numFmtId="178" fontId="27" fillId="0" borderId="37" xfId="41" applyNumberFormat="1" applyFont="1" applyFill="1" applyBorder="1" applyAlignment="1">
      <alignment horizontal="center" vertical="center" wrapText="1"/>
    </xf>
    <xf numFmtId="178" fontId="33" fillId="0" borderId="10" xfId="41" applyNumberFormat="1" applyFont="1" applyFill="1" applyBorder="1"/>
    <xf numFmtId="0" fontId="25" fillId="0" borderId="0" xfId="0" applyFont="1" applyFill="1"/>
    <xf numFmtId="49" fontId="23" fillId="0" borderId="1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5" fillId="0" borderId="10" xfId="0" quotePrefix="1" applyFont="1" applyFill="1" applyBorder="1" applyAlignment="1">
      <alignment horizontal="center" vertical="center" wrapText="1"/>
    </xf>
    <xf numFmtId="178" fontId="25" fillId="0" borderId="10" xfId="50" applyNumberFormat="1" applyFont="1" applyFill="1" applyBorder="1" applyAlignment="1">
      <alignment horizontal="center" vertical="center" wrapText="1"/>
    </xf>
    <xf numFmtId="178" fontId="32" fillId="0" borderId="10" xfId="41" applyNumberFormat="1" applyFont="1" applyFill="1" applyBorder="1"/>
    <xf numFmtId="178" fontId="24" fillId="0" borderId="10" xfId="41" applyNumberFormat="1" applyFont="1" applyFill="1" applyBorder="1" applyAlignment="1">
      <alignment horizontal="center" vertical="center"/>
    </xf>
    <xf numFmtId="174" fontId="24" fillId="0" borderId="10" xfId="72" quotePrefix="1" applyNumberFormat="1" applyFont="1" applyFill="1" applyBorder="1" applyAlignment="1">
      <alignment horizontal="center" vertical="center"/>
    </xf>
    <xf numFmtId="0" fontId="24" fillId="0" borderId="10" xfId="72" applyFont="1" applyFill="1" applyBorder="1" applyAlignment="1">
      <alignment vertical="center" wrapText="1"/>
    </xf>
    <xf numFmtId="175" fontId="24" fillId="0" borderId="10" xfId="72" applyNumberFormat="1" applyFont="1" applyFill="1" applyBorder="1" applyAlignment="1">
      <alignment vertical="center"/>
    </xf>
    <xf numFmtId="178" fontId="25" fillId="0" borderId="10" xfId="50" applyNumberFormat="1" applyFont="1" applyFill="1" applyBorder="1" applyAlignment="1">
      <alignment vertical="center"/>
    </xf>
    <xf numFmtId="0" fontId="24" fillId="0" borderId="10" xfId="72" applyFont="1" applyFill="1" applyBorder="1" applyAlignment="1">
      <alignment horizontal="left" vertical="center" wrapText="1"/>
    </xf>
    <xf numFmtId="0" fontId="28" fillId="29" borderId="0" xfId="0" applyFont="1" applyFill="1"/>
    <xf numFmtId="178" fontId="28" fillId="29" borderId="0" xfId="0" applyNumberFormat="1" applyFont="1" applyFill="1"/>
    <xf numFmtId="0" fontId="27" fillId="27" borderId="0" xfId="0" applyFont="1" applyFill="1"/>
    <xf numFmtId="178" fontId="24" fillId="27" borderId="10" xfId="41" applyNumberFormat="1" applyFont="1" applyFill="1" applyBorder="1" applyAlignment="1">
      <alignment horizontal="right" vertical="center"/>
    </xf>
    <xf numFmtId="0" fontId="27" fillId="27" borderId="0" xfId="0" applyFont="1" applyFill="1" applyAlignment="1">
      <alignment vertical="center"/>
    </xf>
    <xf numFmtId="0" fontId="27" fillId="27" borderId="0" xfId="0" applyFont="1" applyFill="1" applyAlignment="1">
      <alignment horizontal="right"/>
    </xf>
    <xf numFmtId="0" fontId="27" fillId="27" borderId="31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27" fillId="27" borderId="38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178" fontId="27" fillId="27" borderId="18" xfId="41" applyNumberFormat="1" applyFont="1" applyFill="1" applyBorder="1" applyAlignment="1">
      <alignment horizontal="center" vertical="center"/>
    </xf>
    <xf numFmtId="178" fontId="27" fillId="27" borderId="19" xfId="41" applyNumberFormat="1" applyFont="1" applyFill="1" applyBorder="1"/>
    <xf numFmtId="0" fontId="27" fillId="27" borderId="13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left" vertical="center" wrapText="1"/>
    </xf>
    <xf numFmtId="178" fontId="27" fillId="27" borderId="13" xfId="41" applyNumberFormat="1" applyFont="1" applyFill="1" applyBorder="1" applyAlignment="1">
      <alignment horizontal="center" vertical="center"/>
    </xf>
    <xf numFmtId="178" fontId="27" fillId="27" borderId="13" xfId="41" applyNumberFormat="1" applyFont="1" applyFill="1" applyBorder="1"/>
    <xf numFmtId="178" fontId="27" fillId="27" borderId="33" xfId="41" applyNumberFormat="1" applyFont="1" applyFill="1" applyBorder="1"/>
    <xf numFmtId="178" fontId="27" fillId="27" borderId="19" xfId="41" applyNumberFormat="1" applyFont="1" applyFill="1" applyBorder="1" applyAlignment="1">
      <alignment horizontal="center" vertical="center"/>
    </xf>
    <xf numFmtId="178" fontId="27" fillId="27" borderId="55" xfId="41" applyNumberFormat="1" applyFont="1" applyFill="1" applyBorder="1" applyAlignment="1">
      <alignment horizontal="center" vertical="center"/>
    </xf>
    <xf numFmtId="178" fontId="27" fillId="27" borderId="54" xfId="41" applyNumberFormat="1" applyFont="1" applyFill="1" applyBorder="1" applyAlignment="1">
      <alignment vertical="center"/>
    </xf>
    <xf numFmtId="178" fontId="27" fillId="27" borderId="42" xfId="41" applyNumberFormat="1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center" vertical="center"/>
    </xf>
    <xf numFmtId="178" fontId="27" fillId="27" borderId="0" xfId="41" applyNumberFormat="1" applyFont="1" applyFill="1" applyBorder="1" applyAlignment="1">
      <alignment horizontal="center" vertical="center"/>
    </xf>
    <xf numFmtId="178" fontId="27" fillId="27" borderId="0" xfId="41" applyNumberFormat="1" applyFont="1" applyFill="1" applyBorder="1" applyAlignment="1">
      <alignment vertical="center"/>
    </xf>
    <xf numFmtId="178" fontId="27" fillId="27" borderId="0" xfId="41" applyNumberFormat="1" applyFont="1" applyFill="1" applyBorder="1"/>
    <xf numFmtId="0" fontId="27" fillId="27" borderId="0" xfId="0" applyFont="1" applyFill="1" applyBorder="1"/>
    <xf numFmtId="0" fontId="27" fillId="27" borderId="0" xfId="0" applyFont="1" applyFill="1" applyBorder="1" applyAlignment="1">
      <alignment vertical="center"/>
    </xf>
    <xf numFmtId="0" fontId="28" fillId="27" borderId="0" xfId="0" applyFont="1" applyFill="1"/>
    <xf numFmtId="0" fontId="28" fillId="27" borderId="0" xfId="0" applyFont="1" applyFill="1" applyAlignment="1">
      <alignment vertical="center"/>
    </xf>
    <xf numFmtId="0" fontId="26" fillId="27" borderId="0" xfId="0" applyFont="1" applyFill="1"/>
    <xf numFmtId="0" fontId="26" fillId="27" borderId="0" xfId="0" applyFont="1" applyFill="1" applyAlignment="1">
      <alignment vertical="center"/>
    </xf>
    <xf numFmtId="178" fontId="32" fillId="27" borderId="10" xfId="41" applyNumberFormat="1" applyFont="1" applyFill="1" applyBorder="1" applyAlignment="1">
      <alignment horizontal="right" vertical="center"/>
    </xf>
    <xf numFmtId="178" fontId="24" fillId="27" borderId="10" xfId="41" applyNumberFormat="1" applyFont="1" applyFill="1" applyBorder="1"/>
    <xf numFmtId="3" fontId="24" fillId="27" borderId="10" xfId="0" applyNumberFormat="1" applyFont="1" applyFill="1" applyBorder="1" applyAlignment="1">
      <alignment horizontal="right" vertical="center"/>
    </xf>
    <xf numFmtId="178" fontId="27" fillId="0" borderId="32" xfId="41" applyNumberFormat="1" applyFont="1" applyFill="1" applyBorder="1" applyAlignment="1">
      <alignment horizontal="center" vertical="center" wrapText="1"/>
    </xf>
    <xf numFmtId="0" fontId="57" fillId="24" borderId="56" xfId="67" applyFont="1" applyFill="1" applyBorder="1" applyAlignment="1"/>
    <xf numFmtId="0" fontId="57" fillId="24" borderId="0" xfId="67" applyFont="1" applyFill="1" applyBorder="1" applyAlignment="1"/>
    <xf numFmtId="0" fontId="27" fillId="24" borderId="0" xfId="67" applyFont="1" applyFill="1"/>
    <xf numFmtId="0" fontId="56" fillId="24" borderId="57" xfId="67" applyFont="1" applyFill="1" applyBorder="1" applyAlignment="1">
      <alignment horizontal="center" vertical="center" textRotation="90"/>
    </xf>
    <xf numFmtId="0" fontId="56" fillId="24" borderId="58" xfId="67" applyFont="1" applyFill="1" applyBorder="1" applyAlignment="1">
      <alignment horizontal="center" vertical="center" wrapText="1"/>
    </xf>
    <xf numFmtId="0" fontId="56" fillId="24" borderId="59" xfId="67" applyFont="1" applyFill="1" applyBorder="1" applyAlignment="1">
      <alignment horizontal="center" vertical="center" wrapText="1"/>
    </xf>
    <xf numFmtId="0" fontId="27" fillId="24" borderId="60" xfId="0" applyFont="1" applyFill="1" applyBorder="1" applyAlignment="1">
      <alignment horizontal="center" vertical="center" wrapText="1"/>
    </xf>
    <xf numFmtId="0" fontId="56" fillId="24" borderId="10" xfId="67" applyFont="1" applyFill="1" applyBorder="1" applyAlignment="1">
      <alignment horizontal="center" vertical="center" wrapText="1"/>
    </xf>
    <xf numFmtId="0" fontId="56" fillId="24" borderId="61" xfId="67" applyFont="1" applyFill="1" applyBorder="1" applyAlignment="1">
      <alignment horizontal="center"/>
    </xf>
    <xf numFmtId="0" fontId="56" fillId="24" borderId="61" xfId="67" applyFont="1" applyFill="1" applyBorder="1" applyAlignment="1">
      <alignment horizontal="left"/>
    </xf>
    <xf numFmtId="177" fontId="56" fillId="24" borderId="0" xfId="67" applyNumberFormat="1" applyFont="1" applyFill="1" applyBorder="1" applyAlignment="1">
      <alignment horizontal="left"/>
    </xf>
    <xf numFmtId="0" fontId="56" fillId="24" borderId="0" xfId="67" applyFont="1" applyFill="1" applyBorder="1" applyAlignment="1"/>
    <xf numFmtId="0" fontId="57" fillId="24" borderId="62" xfId="67" applyFont="1" applyFill="1" applyBorder="1" applyAlignment="1"/>
    <xf numFmtId="0" fontId="56" fillId="24" borderId="0" xfId="67" applyFont="1" applyFill="1" applyBorder="1" applyAlignment="1">
      <alignment horizontal="left"/>
    </xf>
    <xf numFmtId="0" fontId="57" fillId="24" borderId="11" xfId="67" applyFont="1" applyFill="1" applyBorder="1" applyAlignment="1"/>
    <xf numFmtId="0" fontId="56" fillId="24" borderId="10" xfId="67" applyFont="1" applyFill="1" applyBorder="1" applyAlignment="1">
      <alignment horizontal="center" vertical="center" textRotation="90"/>
    </xf>
    <xf numFmtId="0" fontId="56" fillId="24" borderId="63" xfId="67" applyFont="1" applyFill="1" applyBorder="1" applyAlignment="1">
      <alignment horizontal="center" vertical="center" textRotation="90"/>
    </xf>
    <xf numFmtId="0" fontId="27" fillId="24" borderId="64" xfId="75" applyFont="1" applyFill="1" applyBorder="1" applyAlignment="1">
      <alignment horizontal="center" vertical="center"/>
    </xf>
    <xf numFmtId="177" fontId="59" fillId="24" borderId="65" xfId="43" applyNumberFormat="1" applyFont="1" applyFill="1" applyBorder="1" applyAlignment="1" applyProtection="1">
      <alignment vertical="center"/>
    </xf>
    <xf numFmtId="177" fontId="27" fillId="24" borderId="66" xfId="43" applyNumberFormat="1" applyFont="1" applyFill="1" applyBorder="1" applyAlignment="1" applyProtection="1">
      <alignment vertical="center"/>
    </xf>
    <xf numFmtId="0" fontId="27" fillId="24" borderId="67" xfId="75" applyFont="1" applyFill="1" applyBorder="1" applyAlignment="1">
      <alignment horizontal="center" vertical="center"/>
    </xf>
    <xf numFmtId="177" fontId="59" fillId="24" borderId="67" xfId="43" applyNumberFormat="1" applyFont="1" applyFill="1" applyBorder="1" applyAlignment="1" applyProtection="1">
      <alignment vertical="center"/>
    </xf>
    <xf numFmtId="177" fontId="58" fillId="24" borderId="10" xfId="43" applyNumberFormat="1" applyFont="1" applyFill="1" applyBorder="1" applyAlignment="1" applyProtection="1">
      <alignment vertical="center"/>
    </xf>
    <xf numFmtId="177" fontId="28" fillId="24" borderId="10" xfId="43" applyNumberFormat="1" applyFont="1" applyFill="1" applyBorder="1" applyAlignment="1" applyProtection="1">
      <alignment vertical="center"/>
    </xf>
    <xf numFmtId="0" fontId="27" fillId="24" borderId="0" xfId="75" applyFont="1" applyFill="1" applyBorder="1" applyAlignment="1">
      <alignment horizontal="center"/>
    </xf>
    <xf numFmtId="0" fontId="28" fillId="24" borderId="0" xfId="75" applyFont="1" applyFill="1" applyBorder="1"/>
    <xf numFmtId="177" fontId="27" fillId="24" borderId="0" xfId="43" applyNumberFormat="1" applyFont="1" applyFill="1" applyBorder="1" applyAlignment="1" applyProtection="1"/>
    <xf numFmtId="0" fontId="56" fillId="24" borderId="0" xfId="67" applyFont="1" applyFill="1" applyBorder="1" applyAlignment="1">
      <alignment horizontal="left" vertical="center" wrapText="1"/>
    </xf>
    <xf numFmtId="0" fontId="27" fillId="24" borderId="42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181" fontId="24" fillId="24" borderId="0" xfId="79" applyNumberFormat="1" applyFont="1" applyFill="1"/>
    <xf numFmtId="0" fontId="0" fillId="27" borderId="0" xfId="0" applyFill="1"/>
    <xf numFmtId="181" fontId="27" fillId="0" borderId="0" xfId="0" applyNumberFormat="1" applyFont="1"/>
    <xf numFmtId="178" fontId="32" fillId="24" borderId="0" xfId="0" applyNumberFormat="1" applyFont="1" applyFill="1"/>
    <xf numFmtId="0" fontId="27" fillId="0" borderId="13" xfId="0" quotePrefix="1" applyFont="1" applyFill="1" applyBorder="1" applyAlignment="1">
      <alignment horizontal="center" vertical="center"/>
    </xf>
    <xf numFmtId="178" fontId="27" fillId="0" borderId="68" xfId="41" applyNumberFormat="1" applyFont="1" applyFill="1" applyBorder="1" applyAlignment="1">
      <alignment vertical="center"/>
    </xf>
    <xf numFmtId="0" fontId="27" fillId="0" borderId="44" xfId="0" applyFont="1" applyFill="1" applyBorder="1" applyAlignment="1">
      <alignment wrapText="1"/>
    </xf>
    <xf numFmtId="178" fontId="27" fillId="0" borderId="69" xfId="41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8" fontId="27" fillId="0" borderId="46" xfId="41" applyNumberFormat="1" applyFont="1" applyFill="1" applyBorder="1" applyAlignment="1">
      <alignment vertical="center"/>
    </xf>
    <xf numFmtId="178" fontId="27" fillId="0" borderId="53" xfId="41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178" fontId="27" fillId="0" borderId="30" xfId="41" applyNumberFormat="1" applyFont="1" applyFill="1" applyBorder="1" applyAlignment="1">
      <alignment vertical="center"/>
    </xf>
    <xf numFmtId="178" fontId="27" fillId="0" borderId="70" xfId="41" applyNumberFormat="1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 wrapText="1"/>
    </xf>
    <xf numFmtId="178" fontId="27" fillId="0" borderId="33" xfId="41" applyNumberFormat="1" applyFont="1" applyFill="1" applyBorder="1" applyAlignment="1">
      <alignment horizontal="center" vertical="center" wrapText="1"/>
    </xf>
    <xf numFmtId="178" fontId="27" fillId="0" borderId="46" xfId="41" applyNumberFormat="1" applyFont="1" applyFill="1" applyBorder="1" applyAlignment="1">
      <alignment horizontal="center" vertical="center" wrapText="1"/>
    </xf>
    <xf numFmtId="0" fontId="27" fillId="0" borderId="14" xfId="0" quotePrefix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178" fontId="28" fillId="0" borderId="19" xfId="41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 horizontal="center" vertical="center" wrapText="1"/>
    </xf>
    <xf numFmtId="178" fontId="27" fillId="0" borderId="42" xfId="41" applyNumberFormat="1" applyFont="1" applyFill="1" applyBorder="1" applyAlignment="1">
      <alignment horizontal="center" vertical="center" wrapText="1"/>
    </xf>
    <xf numFmtId="178" fontId="28" fillId="0" borderId="18" xfId="41" applyNumberFormat="1" applyFont="1" applyFill="1" applyBorder="1" applyAlignment="1">
      <alignment horizontal="center" vertical="center"/>
    </xf>
    <xf numFmtId="178" fontId="28" fillId="0" borderId="19" xfId="41" applyNumberFormat="1" applyFont="1" applyFill="1" applyBorder="1"/>
    <xf numFmtId="0" fontId="27" fillId="0" borderId="13" xfId="0" applyFont="1" applyFill="1" applyBorder="1" applyAlignment="1">
      <alignment vertical="center" wrapText="1"/>
    </xf>
    <xf numFmtId="0" fontId="27" fillId="0" borderId="42" xfId="0" applyFont="1" applyFill="1" applyBorder="1"/>
    <xf numFmtId="178" fontId="28" fillId="0" borderId="18" xfId="41" applyNumberFormat="1" applyFont="1" applyFill="1" applyBorder="1" applyAlignment="1">
      <alignment vertical="center"/>
    </xf>
    <xf numFmtId="0" fontId="27" fillId="0" borderId="41" xfId="0" applyFont="1" applyFill="1" applyBorder="1"/>
    <xf numFmtId="49" fontId="27" fillId="0" borderId="18" xfId="0" applyNumberFormat="1" applyFont="1" applyFill="1" applyBorder="1"/>
    <xf numFmtId="178" fontId="27" fillId="0" borderId="19" xfId="41" applyNumberFormat="1" applyFont="1" applyFill="1" applyBorder="1"/>
    <xf numFmtId="49" fontId="27" fillId="0" borderId="0" xfId="0" applyNumberFormat="1" applyFont="1" applyFill="1"/>
    <xf numFmtId="178" fontId="27" fillId="0" borderId="17" xfId="41" applyNumberFormat="1" applyFont="1" applyFill="1" applyBorder="1" applyAlignment="1">
      <alignment horizontal="center" vertical="center" wrapText="1"/>
    </xf>
    <xf numFmtId="178" fontId="27" fillId="0" borderId="12" xfId="41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178" fontId="27" fillId="0" borderId="46" xfId="41" applyNumberFormat="1" applyFont="1" applyFill="1" applyBorder="1" applyAlignment="1">
      <alignment horizontal="center" vertical="center"/>
    </xf>
    <xf numFmtId="178" fontId="27" fillId="0" borderId="14" xfId="41" applyNumberFormat="1" applyFont="1" applyFill="1" applyBorder="1" applyAlignment="1">
      <alignment vertical="center"/>
    </xf>
    <xf numFmtId="178" fontId="27" fillId="0" borderId="17" xfId="41" applyNumberFormat="1" applyFont="1" applyFill="1" applyBorder="1"/>
    <xf numFmtId="178" fontId="27" fillId="27" borderId="68" xfId="41" applyNumberFormat="1" applyFont="1" applyFill="1" applyBorder="1"/>
    <xf numFmtId="178" fontId="25" fillId="24" borderId="71" xfId="50" applyNumberFormat="1" applyFont="1" applyFill="1" applyBorder="1" applyAlignment="1">
      <alignment horizontal="center" vertical="center" wrapText="1"/>
    </xf>
    <xf numFmtId="178" fontId="23" fillId="24" borderId="71" xfId="50" applyNumberFormat="1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178" fontId="26" fillId="0" borderId="10" xfId="50" applyNumberFormat="1" applyFont="1" applyFill="1" applyBorder="1" applyAlignment="1">
      <alignment vertical="center"/>
    </xf>
    <xf numFmtId="178" fontId="23" fillId="24" borderId="11" xfId="50" applyNumberFormat="1" applyFont="1" applyFill="1" applyBorder="1" applyAlignment="1">
      <alignment horizontal="center" vertical="center" wrapText="1"/>
    </xf>
    <xf numFmtId="0" fontId="27" fillId="24" borderId="72" xfId="0" applyFont="1" applyFill="1" applyBorder="1" applyAlignment="1">
      <alignment horizontal="center" vertical="center" wrapText="1"/>
    </xf>
    <xf numFmtId="0" fontId="27" fillId="24" borderId="7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24" borderId="13" xfId="0" applyFont="1" applyFill="1" applyBorder="1" applyAlignment="1">
      <alignment horizontal="center" vertical="center" wrapText="1"/>
    </xf>
    <xf numFmtId="178" fontId="28" fillId="24" borderId="31" xfId="0" applyNumberFormat="1" applyFont="1" applyFill="1" applyBorder="1" applyAlignment="1">
      <alignment vertical="center"/>
    </xf>
    <xf numFmtId="178" fontId="27" fillId="0" borderId="55" xfId="41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textRotation="90" wrapText="1"/>
    </xf>
    <xf numFmtId="177" fontId="58" fillId="24" borderId="74" xfId="43" applyNumberFormat="1" applyFont="1" applyFill="1" applyBorder="1" applyAlignment="1" applyProtection="1">
      <alignment vertical="center"/>
    </xf>
    <xf numFmtId="177" fontId="58" fillId="24" borderId="75" xfId="43" applyNumberFormat="1" applyFont="1" applyFill="1" applyBorder="1" applyAlignment="1" applyProtection="1">
      <alignment vertical="center"/>
    </xf>
    <xf numFmtId="177" fontId="58" fillId="24" borderId="76" xfId="43" applyNumberFormat="1" applyFont="1" applyFill="1" applyBorder="1" applyAlignment="1" applyProtection="1">
      <alignment vertical="center"/>
    </xf>
    <xf numFmtId="177" fontId="58" fillId="24" borderId="77" xfId="43" applyNumberFormat="1" applyFont="1" applyFill="1" applyBorder="1" applyAlignment="1" applyProtection="1">
      <alignment vertical="center"/>
    </xf>
    <xf numFmtId="177" fontId="58" fillId="24" borderId="78" xfId="43" applyNumberFormat="1" applyFont="1" applyFill="1" applyBorder="1" applyAlignment="1" applyProtection="1">
      <alignment vertical="center"/>
    </xf>
    <xf numFmtId="177" fontId="58" fillId="24" borderId="79" xfId="43" applyNumberFormat="1" applyFont="1" applyFill="1" applyBorder="1" applyAlignment="1" applyProtection="1">
      <alignment vertical="center"/>
    </xf>
    <xf numFmtId="177" fontId="58" fillId="24" borderId="80" xfId="43" applyNumberFormat="1" applyFont="1" applyFill="1" applyBorder="1" applyAlignment="1" applyProtection="1">
      <alignment vertical="center"/>
    </xf>
    <xf numFmtId="177" fontId="58" fillId="24" borderId="81" xfId="43" applyNumberFormat="1" applyFont="1" applyFill="1" applyBorder="1" applyAlignment="1" applyProtection="1">
      <alignment vertical="center"/>
    </xf>
    <xf numFmtId="177" fontId="58" fillId="24" borderId="65" xfId="43" applyNumberFormat="1" applyFont="1" applyFill="1" applyBorder="1" applyAlignment="1" applyProtection="1">
      <alignment vertical="center"/>
    </xf>
    <xf numFmtId="177" fontId="58" fillId="24" borderId="82" xfId="43" applyNumberFormat="1" applyFont="1" applyFill="1" applyBorder="1" applyAlignment="1" applyProtection="1">
      <alignment vertical="center"/>
    </xf>
    <xf numFmtId="177" fontId="58" fillId="24" borderId="67" xfId="43" applyNumberFormat="1" applyFont="1" applyFill="1" applyBorder="1" applyAlignment="1" applyProtection="1">
      <alignment vertical="center"/>
    </xf>
    <xf numFmtId="177" fontId="57" fillId="24" borderId="83" xfId="67" applyNumberFormat="1" applyFont="1" applyFill="1" applyBorder="1" applyAlignment="1">
      <alignment horizontal="left" vertical="center"/>
    </xf>
    <xf numFmtId="177" fontId="57" fillId="24" borderId="84" xfId="67" applyNumberFormat="1" applyFont="1" applyFill="1" applyBorder="1" applyAlignment="1">
      <alignment horizontal="left" vertical="center"/>
    </xf>
    <xf numFmtId="177" fontId="57" fillId="24" borderId="85" xfId="67" applyNumberFormat="1" applyFont="1" applyFill="1" applyBorder="1" applyAlignment="1">
      <alignment horizontal="left" vertical="center"/>
    </xf>
    <xf numFmtId="177" fontId="28" fillId="24" borderId="71" xfId="43" applyNumberFormat="1" applyFont="1" applyFill="1" applyBorder="1" applyAlignment="1">
      <alignment horizontal="right" vertical="center"/>
    </xf>
    <xf numFmtId="177" fontId="28" fillId="24" borderId="10" xfId="43" applyNumberFormat="1" applyFont="1" applyFill="1" applyBorder="1" applyAlignment="1">
      <alignment horizontal="right" vertical="center"/>
    </xf>
    <xf numFmtId="177" fontId="28" fillId="0" borderId="10" xfId="43" applyNumberFormat="1" applyFont="1" applyFill="1" applyBorder="1" applyAlignment="1">
      <alignment horizontal="right" vertical="center"/>
    </xf>
    <xf numFmtId="0" fontId="56" fillId="24" borderId="86" xfId="67" applyFont="1" applyFill="1" applyBorder="1" applyAlignment="1">
      <alignment horizontal="center" vertical="center"/>
    </xf>
    <xf numFmtId="0" fontId="56" fillId="24" borderId="78" xfId="67" applyFont="1" applyFill="1" applyBorder="1" applyAlignment="1">
      <alignment horizontal="center" vertical="center"/>
    </xf>
    <xf numFmtId="0" fontId="56" fillId="24" borderId="87" xfId="67" applyFont="1" applyFill="1" applyBorder="1" applyAlignment="1">
      <alignment horizontal="center" vertical="center"/>
    </xf>
    <xf numFmtId="0" fontId="56" fillId="24" borderId="65" xfId="67" applyFont="1" applyFill="1" applyBorder="1" applyAlignment="1">
      <alignment horizontal="center" vertical="center"/>
    </xf>
    <xf numFmtId="0" fontId="56" fillId="24" borderId="82" xfId="67" applyFont="1" applyFill="1" applyBorder="1" applyAlignment="1">
      <alignment horizontal="center" vertical="center"/>
    </xf>
    <xf numFmtId="0" fontId="56" fillId="24" borderId="67" xfId="67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178" fontId="28" fillId="27" borderId="18" xfId="41" applyNumberFormat="1" applyFont="1" applyFill="1" applyBorder="1" applyAlignment="1">
      <alignment horizontal="center" vertical="center"/>
    </xf>
    <xf numFmtId="178" fontId="28" fillId="27" borderId="19" xfId="41" applyNumberFormat="1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178" fontId="27" fillId="24" borderId="42" xfId="41" applyNumberFormat="1" applyFont="1" applyFill="1" applyBorder="1" applyAlignment="1">
      <alignment horizontal="center" vertical="center" wrapText="1"/>
    </xf>
    <xf numFmtId="178" fontId="23" fillId="24" borderId="29" xfId="50" applyNumberFormat="1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vertical="center" textRotation="90"/>
    </xf>
    <xf numFmtId="0" fontId="27" fillId="27" borderId="66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vertical="center" textRotation="90"/>
    </xf>
    <xf numFmtId="0" fontId="27" fillId="24" borderId="15" xfId="0" applyFont="1" applyFill="1" applyBorder="1" applyAlignment="1">
      <alignment vertical="center" textRotation="90"/>
    </xf>
    <xf numFmtId="0" fontId="27" fillId="24" borderId="15" xfId="0" applyFont="1" applyFill="1" applyBorder="1" applyAlignment="1">
      <alignment vertical="center" textRotation="90" wrapText="1"/>
    </xf>
    <xf numFmtId="178" fontId="28" fillId="0" borderId="16" xfId="41" applyNumberFormat="1" applyFont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178" fontId="27" fillId="0" borderId="20" xfId="41" applyNumberFormat="1" applyFont="1" applyFill="1" applyBorder="1"/>
    <xf numFmtId="178" fontId="27" fillId="0" borderId="44" xfId="41" applyNumberFormat="1" applyFont="1" applyFill="1" applyBorder="1"/>
    <xf numFmtId="49" fontId="27" fillId="0" borderId="21" xfId="0" quotePrefix="1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2" xfId="0" quotePrefix="1" applyNumberFormat="1" applyFont="1" applyFill="1" applyBorder="1" applyAlignment="1">
      <alignment horizontal="center" vertical="center"/>
    </xf>
    <xf numFmtId="49" fontId="27" fillId="0" borderId="20" xfId="0" quotePrefix="1" applyNumberFormat="1" applyFont="1" applyFill="1" applyBorder="1" applyAlignment="1">
      <alignment horizontal="center" vertical="center"/>
    </xf>
    <xf numFmtId="178" fontId="27" fillId="0" borderId="53" xfId="41" applyNumberFormat="1" applyFont="1" applyFill="1" applyBorder="1" applyAlignment="1">
      <alignment horizontal="center" vertical="center"/>
    </xf>
    <xf numFmtId="178" fontId="27" fillId="0" borderId="88" xfId="41" applyNumberFormat="1" applyFont="1" applyFill="1" applyBorder="1" applyAlignment="1">
      <alignment vertical="center"/>
    </xf>
    <xf numFmtId="178" fontId="27" fillId="0" borderId="42" xfId="41" applyNumberFormat="1" applyFont="1" applyFill="1" applyBorder="1"/>
    <xf numFmtId="178" fontId="27" fillId="0" borderId="53" xfId="41" applyNumberFormat="1" applyFont="1" applyFill="1" applyBorder="1"/>
    <xf numFmtId="178" fontId="28" fillId="0" borderId="0" xfId="0" applyNumberFormat="1" applyFont="1" applyFill="1"/>
    <xf numFmtId="178" fontId="27" fillId="0" borderId="0" xfId="0" applyNumberFormat="1" applyFont="1" applyFill="1"/>
    <xf numFmtId="49" fontId="27" fillId="0" borderId="53" xfId="0" quotePrefix="1" applyNumberFormat="1" applyFont="1" applyFill="1" applyBorder="1" applyAlignment="1">
      <alignment horizontal="center" vertical="center"/>
    </xf>
    <xf numFmtId="178" fontId="27" fillId="0" borderId="54" xfId="41" applyNumberFormat="1" applyFont="1" applyFill="1" applyBorder="1" applyAlignment="1">
      <alignment vertical="center"/>
    </xf>
    <xf numFmtId="178" fontId="23" fillId="30" borderId="0" xfId="0" applyNumberFormat="1" applyFont="1" applyFill="1"/>
    <xf numFmtId="178" fontId="27" fillId="0" borderId="53" xfId="41" applyNumberFormat="1" applyFont="1" applyFill="1" applyBorder="1" applyAlignment="1">
      <alignment horizontal="center" vertical="center" wrapText="1"/>
    </xf>
    <xf numFmtId="178" fontId="27" fillId="0" borderId="68" xfId="41" applyNumberFormat="1" applyFont="1" applyFill="1" applyBorder="1" applyAlignment="1">
      <alignment horizontal="center" vertical="center" wrapText="1"/>
    </xf>
    <xf numFmtId="178" fontId="27" fillId="0" borderId="44" xfId="41" applyNumberFormat="1" applyFont="1" applyFill="1" applyBorder="1" applyAlignment="1">
      <alignment horizontal="center" vertical="center" wrapText="1"/>
    </xf>
    <xf numFmtId="178" fontId="27" fillId="0" borderId="89" xfId="41" applyNumberFormat="1" applyFont="1" applyFill="1" applyBorder="1" applyAlignment="1">
      <alignment horizontal="center" vertical="center" wrapText="1"/>
    </xf>
    <xf numFmtId="178" fontId="27" fillId="0" borderId="90" xfId="41" applyNumberFormat="1" applyFont="1" applyFill="1" applyBorder="1" applyAlignment="1">
      <alignment horizontal="center" vertical="center" wrapText="1"/>
    </xf>
    <xf numFmtId="178" fontId="27" fillId="0" borderId="68" xfId="41" applyNumberFormat="1" applyFont="1" applyFill="1" applyBorder="1" applyAlignment="1">
      <alignment horizontal="center" vertical="center"/>
    </xf>
    <xf numFmtId="178" fontId="27" fillId="0" borderId="91" xfId="41" applyNumberFormat="1" applyFont="1" applyFill="1" applyBorder="1" applyAlignment="1">
      <alignment horizontal="center" vertical="center" wrapText="1"/>
    </xf>
    <xf numFmtId="178" fontId="27" fillId="0" borderId="68" xfId="41" applyNumberFormat="1" applyFont="1" applyFill="1" applyBorder="1"/>
    <xf numFmtId="178" fontId="27" fillId="0" borderId="91" xfId="41" applyNumberFormat="1" applyFont="1" applyFill="1" applyBorder="1"/>
    <xf numFmtId="178" fontId="27" fillId="24" borderId="30" xfId="41" applyNumberFormat="1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vertical="center"/>
    </xf>
    <xf numFmtId="178" fontId="26" fillId="27" borderId="18" xfId="41" applyNumberFormat="1" applyFont="1" applyFill="1" applyBorder="1" applyAlignment="1">
      <alignment vertical="center"/>
    </xf>
    <xf numFmtId="178" fontId="26" fillId="27" borderId="19" xfId="41" applyNumberFormat="1" applyFont="1" applyFill="1" applyBorder="1" applyAlignment="1">
      <alignment vertical="center"/>
    </xf>
    <xf numFmtId="178" fontId="26" fillId="27" borderId="55" xfId="41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right"/>
    </xf>
    <xf numFmtId="3" fontId="23" fillId="24" borderId="0" xfId="0" applyNumberFormat="1" applyFont="1" applyFill="1" applyBorder="1"/>
    <xf numFmtId="179" fontId="39" fillId="0" borderId="20" xfId="43" applyNumberFormat="1" applyFont="1" applyFill="1" applyBorder="1"/>
    <xf numFmtId="164" fontId="39" fillId="0" borderId="34" xfId="81" applyNumberFormat="1" applyFont="1" applyFill="1" applyBorder="1"/>
    <xf numFmtId="164" fontId="61" fillId="0" borderId="92" xfId="43" applyNumberFormat="1" applyFont="1" applyFill="1" applyBorder="1" applyAlignment="1"/>
    <xf numFmtId="0" fontId="27" fillId="0" borderId="18" xfId="0" quotePrefix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 wrapText="1"/>
    </xf>
    <xf numFmtId="178" fontId="27" fillId="0" borderId="18" xfId="41" applyNumberFormat="1" applyFont="1" applyFill="1" applyBorder="1" applyAlignment="1">
      <alignment horizontal="center" vertical="center" wrapText="1"/>
    </xf>
    <xf numFmtId="178" fontId="27" fillId="0" borderId="93" xfId="41" applyNumberFormat="1" applyFont="1" applyFill="1" applyBorder="1" applyAlignment="1">
      <alignment horizontal="center" vertical="center" wrapText="1"/>
    </xf>
    <xf numFmtId="178" fontId="89" fillId="24" borderId="0" xfId="0" applyNumberFormat="1" applyFont="1" applyFill="1"/>
    <xf numFmtId="174" fontId="24" fillId="0" borderId="10" xfId="0" quotePrefix="1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left" vertical="center"/>
    </xf>
    <xf numFmtId="178" fontId="23" fillId="0" borderId="0" xfId="41" applyNumberFormat="1" applyFont="1" applyFill="1" applyBorder="1"/>
    <xf numFmtId="0" fontId="24" fillId="0" borderId="0" xfId="0" applyFont="1" applyFill="1"/>
    <xf numFmtId="178" fontId="28" fillId="27" borderId="55" xfId="41" applyNumberFormat="1" applyFont="1" applyFill="1" applyBorder="1" applyAlignment="1">
      <alignment horizontal="center" vertical="center"/>
    </xf>
    <xf numFmtId="178" fontId="28" fillId="24" borderId="65" xfId="0" applyNumberFormat="1" applyFont="1" applyFill="1" applyBorder="1" applyAlignment="1">
      <alignment vertical="center"/>
    </xf>
    <xf numFmtId="178" fontId="28" fillId="24" borderId="82" xfId="0" applyNumberFormat="1" applyFont="1" applyFill="1" applyBorder="1" applyAlignment="1">
      <alignment vertical="center"/>
    </xf>
    <xf numFmtId="178" fontId="25" fillId="27" borderId="10" xfId="49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8" fontId="32" fillId="27" borderId="10" xfId="41" applyNumberFormat="1" applyFont="1" applyFill="1" applyBorder="1"/>
    <xf numFmtId="178" fontId="23" fillId="24" borderId="10" xfId="49" applyNumberFormat="1" applyFont="1" applyFill="1" applyBorder="1" applyAlignment="1">
      <alignment horizontal="center" vertical="center"/>
    </xf>
    <xf numFmtId="178" fontId="23" fillId="24" borderId="10" xfId="50" applyNumberFormat="1" applyFont="1" applyFill="1" applyBorder="1" applyAlignment="1">
      <alignment horizontal="center" vertical="center"/>
    </xf>
    <xf numFmtId="0" fontId="0" fillId="0" borderId="0" xfId="0" applyFill="1"/>
    <xf numFmtId="178" fontId="0" fillId="0" borderId="0" xfId="0" applyNumberFormat="1" applyFill="1"/>
    <xf numFmtId="178" fontId="27" fillId="0" borderId="34" xfId="41" applyNumberFormat="1" applyFont="1" applyFill="1" applyBorder="1" applyAlignment="1">
      <alignment vertical="center"/>
    </xf>
    <xf numFmtId="49" fontId="27" fillId="0" borderId="42" xfId="0" applyNumberFormat="1" applyFont="1" applyFill="1" applyBorder="1" applyAlignment="1">
      <alignment horizontal="center" vertical="center"/>
    </xf>
    <xf numFmtId="0" fontId="27" fillId="0" borderId="39" xfId="0" quotePrefix="1" applyFont="1" applyFill="1" applyBorder="1" applyAlignment="1">
      <alignment horizontal="center" vertical="center"/>
    </xf>
    <xf numFmtId="178" fontId="28" fillId="0" borderId="82" xfId="41" applyNumberFormat="1" applyFont="1" applyFill="1" applyBorder="1" applyAlignment="1">
      <alignment horizontal="center" vertical="center"/>
    </xf>
    <xf numFmtId="178" fontId="27" fillId="0" borderId="88" xfId="41" applyNumberFormat="1" applyFont="1" applyFill="1" applyBorder="1" applyAlignment="1">
      <alignment horizontal="center" vertical="center"/>
    </xf>
    <xf numFmtId="178" fontId="32" fillId="29" borderId="10" xfId="41" applyNumberFormat="1" applyFont="1" applyFill="1" applyBorder="1" applyAlignment="1">
      <alignment horizontal="right" vertical="center"/>
    </xf>
    <xf numFmtId="0" fontId="28" fillId="0" borderId="43" xfId="0" applyFont="1" applyFill="1" applyBorder="1"/>
    <xf numFmtId="0" fontId="28" fillId="0" borderId="14" xfId="0" applyFont="1" applyFill="1" applyBorder="1"/>
    <xf numFmtId="178" fontId="28" fillId="0" borderId="14" xfId="41" applyNumberFormat="1" applyFont="1" applyFill="1" applyBorder="1" applyAlignment="1">
      <alignment vertical="center"/>
    </xf>
    <xf numFmtId="178" fontId="28" fillId="0" borderId="37" xfId="41" applyNumberFormat="1" applyFont="1" applyFill="1" applyBorder="1" applyAlignment="1">
      <alignment vertical="center"/>
    </xf>
    <xf numFmtId="178" fontId="28" fillId="0" borderId="94" xfId="41" applyNumberFormat="1" applyFont="1" applyFill="1" applyBorder="1" applyAlignment="1">
      <alignment vertical="center"/>
    </xf>
    <xf numFmtId="178" fontId="28" fillId="0" borderId="37" xfId="41" applyNumberFormat="1" applyFont="1" applyFill="1" applyBorder="1" applyAlignment="1">
      <alignment horizontal="center" vertical="center"/>
    </xf>
    <xf numFmtId="178" fontId="27" fillId="0" borderId="39" xfId="41" applyNumberFormat="1" applyFont="1" applyFill="1" applyBorder="1"/>
    <xf numFmtId="178" fontId="27" fillId="0" borderId="39" xfId="41" applyNumberFormat="1" applyFont="1" applyFill="1" applyBorder="1" applyAlignment="1">
      <alignment vertical="center"/>
    </xf>
    <xf numFmtId="49" fontId="27" fillId="0" borderId="44" xfId="0" quotePrefix="1" applyNumberFormat="1" applyFont="1" applyFill="1" applyBorder="1" applyAlignment="1">
      <alignment horizontal="center" vertical="center"/>
    </xf>
    <xf numFmtId="49" fontId="27" fillId="0" borderId="95" xfId="0" quotePrefix="1" applyNumberFormat="1" applyFont="1" applyFill="1" applyBorder="1" applyAlignment="1">
      <alignment horizontal="center" vertical="center"/>
    </xf>
    <xf numFmtId="178" fontId="27" fillId="0" borderId="69" xfId="41" applyNumberFormat="1" applyFont="1" applyFill="1" applyBorder="1" applyAlignment="1">
      <alignment horizontal="center" vertical="center"/>
    </xf>
    <xf numFmtId="49" fontId="27" fillId="0" borderId="95" xfId="0" applyNumberFormat="1" applyFont="1" applyFill="1" applyBorder="1" applyAlignment="1">
      <alignment horizontal="center" vertical="center"/>
    </xf>
    <xf numFmtId="178" fontId="27" fillId="0" borderId="44" xfId="41" applyNumberFormat="1" applyFont="1" applyFill="1" applyBorder="1" applyAlignment="1">
      <alignment horizontal="center" vertical="center"/>
    </xf>
    <xf numFmtId="178" fontId="27" fillId="0" borderId="69" xfId="41" applyNumberFormat="1" applyFont="1" applyFill="1" applyBorder="1"/>
    <xf numFmtId="178" fontId="27" fillId="0" borderId="95" xfId="41" applyNumberFormat="1" applyFont="1" applyFill="1" applyBorder="1"/>
    <xf numFmtId="0" fontId="27" fillId="0" borderId="18" xfId="0" applyFont="1" applyBorder="1" applyAlignment="1">
      <alignment horizontal="center" vertical="center" wrapText="1"/>
    </xf>
    <xf numFmtId="49" fontId="27" fillId="0" borderId="18" xfId="0" quotePrefix="1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7" fillId="0" borderId="43" xfId="0" quotePrefix="1" applyNumberFormat="1" applyFont="1" applyFill="1" applyBorder="1" applyAlignment="1">
      <alignment horizontal="center" vertical="center"/>
    </xf>
    <xf numFmtId="49" fontId="27" fillId="0" borderId="20" xfId="0" quotePrefix="1" applyNumberFormat="1" applyFont="1" applyFill="1" applyBorder="1" applyAlignment="1">
      <alignment horizontal="center" vertical="center" wrapText="1"/>
    </xf>
    <xf numFmtId="49" fontId="27" fillId="0" borderId="13" xfId="0" quotePrefix="1" applyNumberFormat="1" applyFont="1" applyFill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center" vertical="center"/>
    </xf>
    <xf numFmtId="178" fontId="27" fillId="0" borderId="21" xfId="41" applyNumberFormat="1" applyFont="1" applyFill="1" applyBorder="1" applyAlignment="1">
      <alignment horizontal="center" vertical="center"/>
    </xf>
    <xf numFmtId="178" fontId="25" fillId="27" borderId="0" xfId="0" applyNumberFormat="1" applyFont="1" applyFill="1" applyBorder="1" applyAlignment="1">
      <alignment horizontal="center" vertical="center" wrapText="1"/>
    </xf>
    <xf numFmtId="178" fontId="27" fillId="0" borderId="95" xfId="41" applyNumberFormat="1" applyFont="1" applyFill="1" applyBorder="1" applyAlignment="1">
      <alignment vertical="center"/>
    </xf>
    <xf numFmtId="0" fontId="27" fillId="0" borderId="42" xfId="0" quotePrefix="1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0" fontId="27" fillId="0" borderId="42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39" fillId="0" borderId="44" xfId="81" applyNumberFormat="1" applyFont="1" applyFill="1" applyBorder="1" applyAlignment="1">
      <alignment horizontal="left"/>
    </xf>
    <xf numFmtId="164" fontId="39" fillId="0" borderId="44" xfId="81" applyNumberFormat="1" applyFont="1" applyFill="1" applyBorder="1"/>
    <xf numFmtId="164" fontId="40" fillId="0" borderId="44" xfId="81" applyNumberFormat="1" applyFont="1" applyFill="1" applyBorder="1"/>
    <xf numFmtId="164" fontId="40" fillId="0" borderId="34" xfId="81" applyNumberFormat="1" applyFont="1" applyFill="1" applyBorder="1"/>
    <xf numFmtId="49" fontId="39" fillId="0" borderId="95" xfId="43" applyNumberFormat="1" applyFont="1" applyFill="1" applyBorder="1" applyAlignment="1">
      <alignment horizontal="left"/>
    </xf>
    <xf numFmtId="164" fontId="39" fillId="0" borderId="95" xfId="43" applyNumberFormat="1" applyFont="1" applyFill="1" applyBorder="1" applyAlignment="1"/>
    <xf numFmtId="164" fontId="61" fillId="0" borderId="44" xfId="43" applyNumberFormat="1" applyFont="1" applyFill="1" applyBorder="1" applyAlignment="1"/>
    <xf numFmtId="164" fontId="61" fillId="0" borderId="95" xfId="43" applyNumberFormat="1" applyFont="1" applyFill="1" applyBorder="1" applyAlignment="1"/>
    <xf numFmtId="164" fontId="39" fillId="0" borderId="20" xfId="43" applyNumberFormat="1" applyFont="1" applyFill="1" applyBorder="1" applyAlignment="1"/>
    <xf numFmtId="0" fontId="89" fillId="24" borderId="0" xfId="0" applyFont="1" applyFill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7" fillId="0" borderId="0" xfId="0" applyFont="1" applyAlignment="1">
      <alignment horizontal="right" wrapText="1"/>
    </xf>
    <xf numFmtId="0" fontId="31" fillId="0" borderId="6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96" xfId="0" applyNumberFormat="1" applyFont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3" fontId="26" fillId="0" borderId="10" xfId="0" applyNumberFormat="1" applyFont="1" applyBorder="1" applyAlignment="1">
      <alignment vertical="center" wrapText="1"/>
    </xf>
    <xf numFmtId="0" fontId="23" fillId="24" borderId="10" xfId="72" applyFont="1" applyFill="1" applyBorder="1" applyAlignment="1">
      <alignment horizontal="left" vertical="center" wrapText="1"/>
    </xf>
    <xf numFmtId="0" fontId="32" fillId="24" borderId="10" xfId="72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/>
    </xf>
    <xf numFmtId="3" fontId="26" fillId="29" borderId="10" xfId="0" applyNumberFormat="1" applyFont="1" applyFill="1" applyBorder="1" applyAlignment="1">
      <alignment vertical="center" wrapText="1"/>
    </xf>
    <xf numFmtId="3" fontId="25" fillId="0" borderId="71" xfId="0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24" fillId="0" borderId="0" xfId="0" applyFont="1" applyAlignment="1">
      <alignment horizontal="right" vertical="center"/>
    </xf>
    <xf numFmtId="3" fontId="25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4" fillId="0" borderId="0" xfId="0" applyFont="1" applyAlignment="1">
      <alignment horizontal="right" vertical="center" wrapText="1"/>
    </xf>
    <xf numFmtId="3" fontId="25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174" fontId="23" fillId="24" borderId="10" xfId="0" quotePrefix="1" applyNumberFormat="1" applyFont="1" applyFill="1" applyBorder="1" applyAlignment="1">
      <alignment horizontal="center" vertical="center"/>
    </xf>
    <xf numFmtId="175" fontId="23" fillId="24" borderId="10" xfId="0" applyNumberFormat="1" applyFont="1" applyFill="1" applyBorder="1" applyAlignment="1">
      <alignment vertical="center"/>
    </xf>
    <xf numFmtId="178" fontId="25" fillId="27" borderId="10" xfId="41" applyNumberFormat="1" applyFont="1" applyFill="1" applyBorder="1"/>
    <xf numFmtId="10" fontId="25" fillId="27" borderId="10" xfId="84" applyNumberFormat="1" applyFont="1" applyFill="1" applyBorder="1" applyAlignment="1">
      <alignment horizontal="center"/>
    </xf>
    <xf numFmtId="178" fontId="25" fillId="27" borderId="10" xfId="0" applyNumberFormat="1" applyFont="1" applyFill="1" applyBorder="1"/>
    <xf numFmtId="174" fontId="33" fillId="24" borderId="10" xfId="0" quotePrefix="1" applyNumberFormat="1" applyFont="1" applyFill="1" applyBorder="1" applyAlignment="1">
      <alignment horizontal="center" vertical="center"/>
    </xf>
    <xf numFmtId="0" fontId="67" fillId="24" borderId="10" xfId="0" applyFont="1" applyFill="1" applyBorder="1" applyAlignment="1">
      <alignment horizontal="left" vertical="center" wrapText="1"/>
    </xf>
    <xf numFmtId="175" fontId="33" fillId="24" borderId="10" xfId="0" applyNumberFormat="1" applyFont="1" applyFill="1" applyBorder="1" applyAlignment="1">
      <alignment vertical="center"/>
    </xf>
    <xf numFmtId="178" fontId="67" fillId="27" borderId="10" xfId="41" applyNumberFormat="1" applyFont="1" applyFill="1" applyBorder="1"/>
    <xf numFmtId="10" fontId="67" fillId="27" borderId="10" xfId="84" applyNumberFormat="1" applyFont="1" applyFill="1" applyBorder="1" applyAlignment="1">
      <alignment horizontal="center"/>
    </xf>
    <xf numFmtId="178" fontId="67" fillId="27" borderId="10" xfId="0" applyNumberFormat="1" applyFont="1" applyFill="1" applyBorder="1"/>
    <xf numFmtId="0" fontId="68" fillId="0" borderId="0" xfId="0" applyFont="1"/>
    <xf numFmtId="0" fontId="23" fillId="24" borderId="10" xfId="0" applyFont="1" applyFill="1" applyBorder="1" applyAlignment="1">
      <alignment horizontal="left" vertical="center"/>
    </xf>
    <xf numFmtId="0" fontId="27" fillId="0" borderId="0" xfId="70" applyFont="1" applyAlignment="1">
      <alignment wrapText="1"/>
    </xf>
    <xf numFmtId="0" fontId="39" fillId="0" borderId="0" xfId="68" applyFont="1" applyAlignment="1">
      <alignment wrapText="1"/>
    </xf>
    <xf numFmtId="178" fontId="26" fillId="0" borderId="10" xfId="41" applyNumberFormat="1" applyFont="1" applyBorder="1"/>
    <xf numFmtId="10" fontId="26" fillId="27" borderId="10" xfId="84" applyNumberFormat="1" applyFont="1" applyFill="1" applyBorder="1" applyAlignment="1">
      <alignment horizontal="center"/>
    </xf>
    <xf numFmtId="178" fontId="26" fillId="27" borderId="10" xfId="0" applyNumberFormat="1" applyFont="1" applyFill="1" applyBorder="1"/>
    <xf numFmtId="0" fontId="33" fillId="24" borderId="10" xfId="0" applyFont="1" applyFill="1" applyBorder="1" applyAlignment="1">
      <alignment horizontal="left" vertical="center"/>
    </xf>
    <xf numFmtId="178" fontId="68" fillId="0" borderId="0" xfId="0" applyNumberFormat="1" applyFont="1"/>
    <xf numFmtId="178" fontId="26" fillId="27" borderId="10" xfId="41" applyNumberFormat="1" applyFont="1" applyFill="1" applyBorder="1"/>
    <xf numFmtId="0" fontId="33" fillId="24" borderId="10" xfId="72" applyFont="1" applyFill="1" applyBorder="1" applyAlignment="1">
      <alignment horizontal="left" vertical="center"/>
    </xf>
    <xf numFmtId="174" fontId="24" fillId="26" borderId="10" xfId="0" quotePrefix="1" applyNumberFormat="1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right" vertical="center"/>
    </xf>
    <xf numFmtId="175" fontId="24" fillId="29" borderId="10" xfId="0" applyNumberFormat="1" applyFont="1" applyFill="1" applyBorder="1" applyAlignment="1">
      <alignment vertical="center"/>
    </xf>
    <xf numFmtId="178" fontId="26" fillId="29" borderId="10" xfId="41" applyNumberFormat="1" applyFont="1" applyFill="1" applyBorder="1"/>
    <xf numFmtId="174" fontId="32" fillId="24" borderId="10" xfId="0" quotePrefix="1" applyNumberFormat="1" applyFont="1" applyFill="1" applyBorder="1" applyAlignment="1">
      <alignment horizontal="center" vertical="center"/>
    </xf>
    <xf numFmtId="178" fontId="47" fillId="0" borderId="0" xfId="0" applyNumberFormat="1" applyFont="1"/>
    <xf numFmtId="174" fontId="24" fillId="0" borderId="0" xfId="0" quotePrefix="1" applyNumberFormat="1" applyFont="1" applyAlignment="1">
      <alignment horizontal="center" vertical="center"/>
    </xf>
    <xf numFmtId="175" fontId="24" fillId="0" borderId="0" xfId="0" applyNumberFormat="1" applyFont="1" applyAlignment="1">
      <alignment vertical="center"/>
    </xf>
    <xf numFmtId="178" fontId="26" fillId="0" borderId="0" xfId="41" applyNumberFormat="1" applyFont="1" applyFill="1" applyBorder="1"/>
    <xf numFmtId="178" fontId="26" fillId="27" borderId="0" xfId="41" applyNumberFormat="1" applyFont="1" applyFill="1" applyBorder="1"/>
    <xf numFmtId="10" fontId="26" fillId="27" borderId="0" xfId="84" applyNumberFormat="1" applyFont="1" applyFill="1" applyBorder="1" applyAlignment="1">
      <alignment horizontal="center"/>
    </xf>
    <xf numFmtId="9" fontId="26" fillId="27" borderId="0" xfId="84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27" borderId="0" xfId="0" applyFont="1" applyFill="1" applyAlignment="1">
      <alignment horizontal="left" wrapText="1"/>
    </xf>
    <xf numFmtId="0" fontId="25" fillId="27" borderId="0" xfId="0" applyFont="1" applyFill="1" applyAlignment="1">
      <alignment wrapText="1"/>
    </xf>
    <xf numFmtId="0" fontId="0" fillId="29" borderId="0" xfId="0" applyFill="1"/>
    <xf numFmtId="204" fontId="0" fillId="27" borderId="0" xfId="0" applyNumberFormat="1" applyFill="1" applyAlignment="1">
      <alignment horizontal="center" vertical="center" wrapText="1"/>
    </xf>
    <xf numFmtId="204" fontId="0" fillId="27" borderId="0" xfId="0" applyNumberFormat="1" applyFill="1" applyAlignment="1">
      <alignment vertical="center" wrapText="1"/>
    </xf>
    <xf numFmtId="204" fontId="69" fillId="27" borderId="0" xfId="0" applyNumberFormat="1" applyFont="1" applyFill="1" applyAlignment="1">
      <alignment horizontal="right"/>
    </xf>
    <xf numFmtId="204" fontId="28" fillId="27" borderId="10" xfId="0" applyNumberFormat="1" applyFont="1" applyFill="1" applyBorder="1" applyAlignment="1">
      <alignment horizontal="center" vertical="center"/>
    </xf>
    <xf numFmtId="204" fontId="28" fillId="27" borderId="10" xfId="0" applyNumberFormat="1" applyFont="1" applyFill="1" applyBorder="1" applyAlignment="1">
      <alignment horizontal="center" vertical="center" wrapText="1"/>
    </xf>
    <xf numFmtId="204" fontId="28" fillId="27" borderId="97" xfId="0" applyNumberFormat="1" applyFont="1" applyFill="1" applyBorder="1" applyAlignment="1">
      <alignment horizontal="center" vertical="center" wrapText="1"/>
    </xf>
    <xf numFmtId="204" fontId="28" fillId="27" borderId="98" xfId="0" applyNumberFormat="1" applyFont="1" applyFill="1" applyBorder="1" applyAlignment="1">
      <alignment horizontal="center" vertical="center" wrapText="1"/>
    </xf>
    <xf numFmtId="204" fontId="28" fillId="27" borderId="10" xfId="0" applyNumberFormat="1" applyFont="1" applyFill="1" applyBorder="1" applyAlignment="1">
      <alignment horizontal="left" vertical="center" wrapText="1" indent="1"/>
    </xf>
    <xf numFmtId="49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204" fontId="27" fillId="27" borderId="10" xfId="0" applyNumberFormat="1" applyFont="1" applyFill="1" applyBorder="1" applyAlignment="1">
      <alignment vertical="center" wrapText="1"/>
    </xf>
    <xf numFmtId="204" fontId="27" fillId="27" borderId="98" xfId="0" applyNumberFormat="1" applyFont="1" applyFill="1" applyBorder="1" applyAlignment="1">
      <alignment vertical="center" wrapText="1"/>
    </xf>
    <xf numFmtId="204" fontId="58" fillId="27" borderId="10" xfId="0" applyNumberFormat="1" applyFont="1" applyFill="1" applyBorder="1" applyAlignment="1" applyProtection="1">
      <alignment horizontal="left" vertical="center" wrapText="1" indent="1"/>
      <protection locked="0"/>
    </xf>
    <xf numFmtId="204" fontId="0" fillId="27" borderId="0" xfId="0" applyNumberFormat="1" applyFill="1"/>
    <xf numFmtId="204" fontId="28" fillId="27" borderId="99" xfId="0" applyNumberFormat="1" applyFont="1" applyFill="1" applyBorder="1" applyAlignment="1">
      <alignment vertical="center" wrapText="1"/>
    </xf>
    <xf numFmtId="204" fontId="28" fillId="27" borderId="100" xfId="0" applyNumberFormat="1" applyFont="1" applyFill="1" applyBorder="1" applyAlignment="1">
      <alignment vertical="center" wrapText="1"/>
    </xf>
    <xf numFmtId="0" fontId="70" fillId="0" borderId="0" xfId="64" applyFont="1" applyAlignment="1">
      <alignment horizontal="center"/>
    </xf>
    <xf numFmtId="0" fontId="71" fillId="0" borderId="0" xfId="64" applyFont="1"/>
    <xf numFmtId="0" fontId="71" fillId="0" borderId="101" xfId="64" applyFont="1" applyBorder="1"/>
    <xf numFmtId="0" fontId="47" fillId="0" borderId="0" xfId="64" applyFont="1"/>
    <xf numFmtId="0" fontId="71" fillId="0" borderId="0" xfId="64" applyFont="1" applyAlignment="1">
      <alignment horizontal="center"/>
    </xf>
    <xf numFmtId="0" fontId="71" fillId="0" borderId="0" xfId="64" applyFont="1" applyAlignment="1">
      <alignment horizontal="right"/>
    </xf>
    <xf numFmtId="3" fontId="71" fillId="0" borderId="10" xfId="64" applyNumberFormat="1" applyFont="1" applyBorder="1" applyAlignment="1">
      <alignment horizontal="center" vertical="center"/>
    </xf>
    <xf numFmtId="3" fontId="73" fillId="0" borderId="10" xfId="64" applyNumberFormat="1" applyFont="1" applyBorder="1" applyAlignment="1">
      <alignment horizontal="center" vertical="center" wrapText="1"/>
    </xf>
    <xf numFmtId="0" fontId="71" fillId="0" borderId="102" xfId="64" applyFont="1" applyBorder="1"/>
    <xf numFmtId="0" fontId="71" fillId="0" borderId="103" xfId="64" applyFont="1" applyBorder="1"/>
    <xf numFmtId="3" fontId="41" fillId="0" borderId="10" xfId="64" applyNumberFormat="1" applyFont="1" applyBorder="1" applyAlignment="1">
      <alignment horizontal="center" vertical="center"/>
    </xf>
    <xf numFmtId="0" fontId="71" fillId="0" borderId="104" xfId="64" applyFont="1" applyBorder="1"/>
    <xf numFmtId="0" fontId="71" fillId="0" borderId="10" xfId="64" applyFont="1" applyBorder="1" applyAlignment="1">
      <alignment horizontal="center" vertical="center"/>
    </xf>
    <xf numFmtId="3" fontId="74" fillId="0" borderId="10" xfId="64" applyNumberFormat="1" applyFont="1" applyBorder="1" applyAlignment="1">
      <alignment horizontal="center" vertical="center" wrapText="1"/>
    </xf>
    <xf numFmtId="0" fontId="71" fillId="0" borderId="105" xfId="64" applyFont="1" applyBorder="1"/>
    <xf numFmtId="14" fontId="71" fillId="0" borderId="10" xfId="64" applyNumberFormat="1" applyFont="1" applyBorder="1" applyAlignment="1">
      <alignment horizontal="center" vertical="center" wrapText="1"/>
    </xf>
    <xf numFmtId="0" fontId="71" fillId="0" borderId="10" xfId="64" applyFont="1" applyBorder="1" applyAlignment="1">
      <alignment horizontal="center" vertical="center" wrapText="1"/>
    </xf>
    <xf numFmtId="3" fontId="75" fillId="0" borderId="10" xfId="64" applyNumberFormat="1" applyFont="1" applyBorder="1" applyAlignment="1">
      <alignment horizontal="center" vertical="center" wrapText="1"/>
    </xf>
    <xf numFmtId="0" fontId="71" fillId="0" borderId="10" xfId="64" applyFont="1" applyBorder="1" applyAlignment="1">
      <alignment horizontal="center"/>
    </xf>
    <xf numFmtId="3" fontId="76" fillId="0" borderId="10" xfId="64" applyNumberFormat="1" applyFont="1" applyBorder="1" applyAlignment="1">
      <alignment horizontal="center" vertical="center"/>
    </xf>
    <xf numFmtId="0" fontId="76" fillId="0" borderId="0" xfId="64" applyFont="1" applyAlignment="1">
      <alignment horizontal="center"/>
    </xf>
    <xf numFmtId="0" fontId="76" fillId="0" borderId="105" xfId="64" applyFont="1" applyBorder="1" applyAlignment="1">
      <alignment horizontal="center"/>
    </xf>
    <xf numFmtId="3" fontId="76" fillId="0" borderId="10" xfId="64" applyNumberFormat="1" applyFont="1" applyBorder="1" applyAlignment="1">
      <alignment horizontal="center" vertical="center" wrapText="1"/>
    </xf>
    <xf numFmtId="0" fontId="75" fillId="0" borderId="0" xfId="64" applyFont="1"/>
    <xf numFmtId="0" fontId="75" fillId="0" borderId="106" xfId="64" applyFont="1" applyBorder="1"/>
    <xf numFmtId="3" fontId="71" fillId="0" borderId="10" xfId="64" applyNumberFormat="1" applyFont="1" applyBorder="1" applyAlignment="1">
      <alignment horizontal="center" vertical="center" wrapText="1"/>
    </xf>
    <xf numFmtId="3" fontId="75" fillId="0" borderId="10" xfId="64" applyNumberFormat="1" applyFont="1" applyBorder="1" applyAlignment="1">
      <alignment horizontal="center" vertical="center"/>
    </xf>
    <xf numFmtId="0" fontId="75" fillId="0" borderId="103" xfId="64" applyFont="1" applyBorder="1"/>
    <xf numFmtId="181" fontId="71" fillId="0" borderId="10" xfId="82" applyNumberFormat="1" applyFont="1" applyFill="1" applyBorder="1" applyAlignment="1">
      <alignment horizontal="center" vertical="center"/>
    </xf>
    <xf numFmtId="181" fontId="73" fillId="0" borderId="10" xfId="82" applyNumberFormat="1" applyFont="1" applyFill="1" applyBorder="1" applyAlignment="1">
      <alignment horizontal="center" vertical="center"/>
    </xf>
    <xf numFmtId="3" fontId="76" fillId="0" borderId="107" xfId="64" applyNumberFormat="1" applyFont="1" applyBorder="1" applyAlignment="1">
      <alignment horizontal="center" vertical="center"/>
    </xf>
    <xf numFmtId="3" fontId="76" fillId="0" borderId="108" xfId="64" applyNumberFormat="1" applyFont="1" applyBorder="1" applyAlignment="1">
      <alignment horizontal="center" vertical="center"/>
    </xf>
    <xf numFmtId="3" fontId="76" fillId="0" borderId="109" xfId="64" applyNumberFormat="1" applyFont="1" applyBorder="1" applyAlignment="1">
      <alignment horizontal="center" vertical="center"/>
    </xf>
    <xf numFmtId="3" fontId="76" fillId="0" borderId="110" xfId="64" applyNumberFormat="1" applyFont="1" applyBorder="1" applyAlignment="1">
      <alignment horizontal="center" vertical="center"/>
    </xf>
    <xf numFmtId="3" fontId="76" fillId="0" borderId="0" xfId="64" applyNumberFormat="1" applyFont="1" applyAlignment="1">
      <alignment horizontal="center" vertical="center"/>
    </xf>
    <xf numFmtId="0" fontId="77" fillId="31" borderId="111" xfId="64" applyFont="1" applyFill="1" applyBorder="1" applyAlignment="1">
      <alignment horizontal="center" vertical="center" wrapText="1"/>
    </xf>
    <xf numFmtId="181" fontId="41" fillId="31" borderId="112" xfId="82" applyNumberFormat="1" applyFont="1" applyFill="1" applyBorder="1" applyAlignment="1">
      <alignment horizontal="center" vertical="center"/>
    </xf>
    <xf numFmtId="0" fontId="78" fillId="32" borderId="0" xfId="64" applyFont="1" applyFill="1" applyAlignment="1">
      <alignment horizontal="center" vertical="center" wrapText="1"/>
    </xf>
    <xf numFmtId="181" fontId="78" fillId="32" borderId="113" xfId="82" applyNumberFormat="1" applyFont="1" applyFill="1" applyBorder="1" applyAlignment="1">
      <alignment vertical="center"/>
    </xf>
    <xf numFmtId="0" fontId="71" fillId="0" borderId="114" xfId="64" applyFont="1" applyBorder="1"/>
    <xf numFmtId="181" fontId="79" fillId="0" borderId="0" xfId="82" applyNumberFormat="1" applyFont="1" applyFill="1" applyBorder="1" applyAlignment="1">
      <alignment vertical="center" wrapText="1"/>
    </xf>
    <xf numFmtId="181" fontId="71" fillId="0" borderId="0" xfId="64" applyNumberFormat="1" applyFont="1"/>
    <xf numFmtId="0" fontId="79" fillId="0" borderId="0" xfId="64" applyFont="1"/>
    <xf numFmtId="0" fontId="79" fillId="0" borderId="0" xfId="64" applyFont="1" applyAlignment="1">
      <alignment vertical="center" wrapText="1"/>
    </xf>
    <xf numFmtId="3" fontId="79" fillId="0" borderId="0" xfId="64" applyNumberFormat="1" applyFont="1"/>
    <xf numFmtId="0" fontId="73" fillId="0" borderId="0" xfId="64" applyFont="1"/>
    <xf numFmtId="3" fontId="71" fillId="0" borderId="0" xfId="64" applyNumberFormat="1" applyFont="1"/>
    <xf numFmtId="0" fontId="71" fillId="0" borderId="106" xfId="64" applyFont="1" applyBorder="1"/>
    <xf numFmtId="0" fontId="71" fillId="0" borderId="115" xfId="64" applyFont="1" applyBorder="1"/>
    <xf numFmtId="0" fontId="71" fillId="0" borderId="116" xfId="64" applyFont="1" applyBorder="1"/>
    <xf numFmtId="0" fontId="40" fillId="0" borderId="0" xfId="68" applyFont="1" applyAlignment="1">
      <alignment vertical="center" wrapText="1"/>
    </xf>
    <xf numFmtId="0" fontId="80" fillId="0" borderId="0" xfId="68" applyFont="1" applyAlignment="1">
      <alignment vertical="center" wrapText="1"/>
    </xf>
    <xf numFmtId="0" fontId="40" fillId="0" borderId="11" xfId="68" applyFont="1" applyBorder="1" applyAlignment="1">
      <alignment vertical="center" wrapText="1"/>
    </xf>
    <xf numFmtId="0" fontId="40" fillId="0" borderId="10" xfId="68" applyFont="1" applyBorder="1" applyAlignment="1">
      <alignment horizontal="center" vertical="center" wrapText="1"/>
    </xf>
    <xf numFmtId="0" fontId="40" fillId="0" borderId="10" xfId="68" applyFont="1" applyBorder="1" applyAlignment="1">
      <alignment vertical="center" wrapText="1"/>
    </xf>
    <xf numFmtId="0" fontId="39" fillId="0" borderId="10" xfId="68" applyFont="1" applyBorder="1" applyAlignment="1">
      <alignment vertical="center" wrapText="1"/>
    </xf>
    <xf numFmtId="3" fontId="39" fillId="0" borderId="10" xfId="68" applyNumberFormat="1" applyFont="1" applyBorder="1" applyAlignment="1">
      <alignment vertical="center" wrapText="1"/>
    </xf>
    <xf numFmtId="3" fontId="40" fillId="0" borderId="10" xfId="68" applyNumberFormat="1" applyFont="1" applyBorder="1" applyAlignment="1">
      <alignment vertical="center" wrapText="1"/>
    </xf>
    <xf numFmtId="3" fontId="0" fillId="0" borderId="0" xfId="0" applyNumberFormat="1"/>
    <xf numFmtId="0" fontId="39" fillId="0" borderId="0" xfId="68" applyFont="1" applyAlignment="1">
      <alignment vertical="center" wrapText="1"/>
    </xf>
    <xf numFmtId="3" fontId="39" fillId="0" borderId="0" xfId="68" applyNumberFormat="1" applyFont="1" applyAlignment="1">
      <alignment vertical="center" wrapText="1"/>
    </xf>
    <xf numFmtId="3" fontId="40" fillId="0" borderId="0" xfId="68" applyNumberFormat="1" applyFont="1" applyAlignment="1">
      <alignment vertical="center" wrapText="1"/>
    </xf>
    <xf numFmtId="178" fontId="39" fillId="0" borderId="10" xfId="41" applyNumberFormat="1" applyFont="1" applyBorder="1" applyAlignment="1">
      <alignment vertical="center" wrapText="1"/>
    </xf>
    <xf numFmtId="3" fontId="39" fillId="0" borderId="117" xfId="68" applyNumberFormat="1" applyFont="1" applyBorder="1" applyAlignment="1">
      <alignment vertical="center" wrapText="1"/>
    </xf>
    <xf numFmtId="3" fontId="39" fillId="0" borderId="118" xfId="68" applyNumberFormat="1" applyFont="1" applyBorder="1" applyAlignment="1">
      <alignment vertical="center" wrapText="1"/>
    </xf>
    <xf numFmtId="3" fontId="39" fillId="0" borderId="27" xfId="68" applyNumberFormat="1" applyFont="1" applyBorder="1" applyAlignment="1">
      <alignment vertical="center" wrapText="1"/>
    </xf>
    <xf numFmtId="3" fontId="39" fillId="0" borderId="25" xfId="68" applyNumberFormat="1" applyFont="1" applyBorder="1" applyAlignment="1">
      <alignment vertical="center" wrapText="1"/>
    </xf>
    <xf numFmtId="178" fontId="40" fillId="0" borderId="10" xfId="41" applyNumberFormat="1" applyFont="1" applyBorder="1" applyAlignment="1">
      <alignment vertical="center" wrapText="1"/>
    </xf>
    <xf numFmtId="0" fontId="39" fillId="0" borderId="27" xfId="68" applyFont="1" applyBorder="1" applyAlignment="1">
      <alignment vertical="center" wrapText="1"/>
    </xf>
    <xf numFmtId="3" fontId="39" fillId="0" borderId="35" xfId="68" applyNumberFormat="1" applyFont="1" applyBorder="1" applyAlignment="1">
      <alignment vertical="center" wrapText="1"/>
    </xf>
    <xf numFmtId="3" fontId="39" fillId="0" borderId="36" xfId="68" applyNumberFormat="1" applyFont="1" applyBorder="1" applyAlignment="1">
      <alignment vertical="center" wrapText="1"/>
    </xf>
    <xf numFmtId="0" fontId="40" fillId="0" borderId="27" xfId="68" applyFont="1" applyBorder="1" applyAlignment="1">
      <alignment vertical="center" wrapText="1"/>
    </xf>
    <xf numFmtId="178" fontId="39" fillId="0" borderId="0" xfId="41" applyNumberFormat="1" applyFont="1" applyAlignment="1">
      <alignment vertical="center" wrapText="1"/>
    </xf>
    <xf numFmtId="174" fontId="24" fillId="24" borderId="0" xfId="70" applyNumberFormat="1" applyFont="1" applyFill="1" applyAlignment="1">
      <alignment horizontal="center" vertical="center" wrapText="1"/>
    </xf>
    <xf numFmtId="178" fontId="0" fillId="0" borderId="0" xfId="41" applyNumberFormat="1" applyFont="1"/>
    <xf numFmtId="174" fontId="24" fillId="24" borderId="11" xfId="70" applyNumberFormat="1" applyFont="1" applyFill="1" applyBorder="1" applyAlignment="1">
      <alignment horizontal="center" vertical="center" wrapText="1"/>
    </xf>
    <xf numFmtId="174" fontId="24" fillId="27" borderId="11" xfId="70" applyNumberFormat="1" applyFont="1" applyFill="1" applyBorder="1" applyAlignment="1">
      <alignment horizontal="center" vertical="center" wrapText="1"/>
    </xf>
    <xf numFmtId="174" fontId="57" fillId="24" borderId="10" xfId="70" applyNumberFormat="1" applyFont="1" applyFill="1" applyBorder="1" applyAlignment="1">
      <alignment horizontal="center" vertical="center" wrapText="1"/>
    </xf>
    <xf numFmtId="0" fontId="81" fillId="24" borderId="117" xfId="70" applyFont="1" applyFill="1" applyBorder="1" applyAlignment="1">
      <alignment horizontal="center" vertical="center" wrapText="1"/>
    </xf>
    <xf numFmtId="0" fontId="28" fillId="27" borderId="10" xfId="70" applyFont="1" applyFill="1" applyBorder="1" applyAlignment="1">
      <alignment horizontal="center" vertical="center" wrapText="1"/>
    </xf>
    <xf numFmtId="0" fontId="28" fillId="0" borderId="10" xfId="70" applyFont="1" applyBorder="1" applyAlignment="1">
      <alignment horizontal="center" vertical="center" wrapText="1"/>
    </xf>
    <xf numFmtId="174" fontId="57" fillId="24" borderId="29" xfId="70" applyNumberFormat="1" applyFont="1" applyFill="1" applyBorder="1" applyAlignment="1">
      <alignment horizontal="center" vertical="center" wrapText="1"/>
    </xf>
    <xf numFmtId="0" fontId="40" fillId="0" borderId="29" xfId="68" applyFont="1" applyBorder="1" applyAlignment="1">
      <alignment vertical="center" wrapText="1"/>
    </xf>
    <xf numFmtId="178" fontId="28" fillId="27" borderId="10" xfId="41" applyNumberFormat="1" applyFont="1" applyFill="1" applyBorder="1" applyAlignment="1">
      <alignment horizontal="center" vertical="center" wrapText="1"/>
    </xf>
    <xf numFmtId="178" fontId="28" fillId="0" borderId="10" xfId="41" applyNumberFormat="1" applyFont="1" applyBorder="1" applyAlignment="1">
      <alignment horizontal="center" vertical="center" wrapText="1"/>
    </xf>
    <xf numFmtId="178" fontId="40" fillId="0" borderId="10" xfId="41" applyNumberFormat="1" applyFont="1" applyBorder="1" applyAlignment="1">
      <alignment horizontal="center" vertical="center" wrapText="1"/>
    </xf>
    <xf numFmtId="0" fontId="56" fillId="24" borderId="29" xfId="70" applyFont="1" applyFill="1" applyBorder="1" applyAlignment="1">
      <alignment horizontal="left" vertical="center" wrapText="1"/>
    </xf>
    <xf numFmtId="175" fontId="82" fillId="24" borderId="10" xfId="70" applyNumberFormat="1" applyFont="1" applyFill="1" applyBorder="1" applyAlignment="1">
      <alignment vertical="center" wrapText="1"/>
    </xf>
    <xf numFmtId="178" fontId="56" fillId="27" borderId="10" xfId="41" applyNumberFormat="1" applyFont="1" applyFill="1" applyBorder="1" applyAlignment="1">
      <alignment horizontal="center" vertical="center" wrapText="1"/>
    </xf>
    <xf numFmtId="178" fontId="56" fillId="0" borderId="10" xfId="41" applyNumberFormat="1" applyFont="1" applyBorder="1" applyAlignment="1">
      <alignment horizontal="center" vertical="center" wrapText="1"/>
    </xf>
    <xf numFmtId="3" fontId="27" fillId="0" borderId="0" xfId="0" applyNumberFormat="1" applyFont="1"/>
    <xf numFmtId="0" fontId="24" fillId="24" borderId="29" xfId="70" applyFont="1" applyFill="1" applyBorder="1" applyAlignment="1">
      <alignment horizontal="left" vertical="center" wrapText="1"/>
    </xf>
    <xf numFmtId="175" fontId="57" fillId="24" borderId="29" xfId="70" applyNumberFormat="1" applyFont="1" applyFill="1" applyBorder="1" applyAlignment="1">
      <alignment vertical="center" wrapText="1"/>
    </xf>
    <xf numFmtId="178" fontId="57" fillId="27" borderId="10" xfId="41" applyNumberFormat="1" applyFont="1" applyFill="1" applyBorder="1" applyAlignment="1">
      <alignment horizontal="center" vertical="center" wrapText="1"/>
    </xf>
    <xf numFmtId="0" fontId="23" fillId="24" borderId="29" xfId="70" applyFont="1" applyFill="1" applyBorder="1" applyAlignment="1">
      <alignment horizontal="left" vertical="center" wrapText="1"/>
    </xf>
    <xf numFmtId="175" fontId="56" fillId="24" borderId="29" xfId="70" applyNumberFormat="1" applyFont="1" applyFill="1" applyBorder="1" applyAlignment="1">
      <alignment vertical="center" wrapText="1"/>
    </xf>
    <xf numFmtId="0" fontId="24" fillId="24" borderId="29" xfId="70" applyFont="1" applyFill="1" applyBorder="1" applyAlignment="1">
      <alignment horizontal="right" vertical="center" wrapText="1"/>
    </xf>
    <xf numFmtId="175" fontId="24" fillId="24" borderId="29" xfId="70" applyNumberFormat="1" applyFont="1" applyFill="1" applyBorder="1" applyAlignment="1">
      <alignment vertical="center" wrapText="1"/>
    </xf>
    <xf numFmtId="0" fontId="56" fillId="24" borderId="29" xfId="70" applyFont="1" applyFill="1" applyBorder="1" applyAlignment="1">
      <alignment vertical="center" wrapText="1"/>
    </xf>
    <xf numFmtId="0" fontId="27" fillId="24" borderId="29" xfId="70" applyFont="1" applyFill="1" applyBorder="1" applyAlignment="1">
      <alignment horizontal="left" vertical="center" wrapText="1"/>
    </xf>
    <xf numFmtId="178" fontId="56" fillId="24" borderId="96" xfId="41" applyNumberFormat="1" applyFont="1" applyFill="1" applyBorder="1" applyAlignment="1">
      <alignment horizontal="center" vertical="center" wrapText="1"/>
    </xf>
    <xf numFmtId="0" fontId="29" fillId="0" borderId="10" xfId="0" applyFont="1" applyBorder="1"/>
    <xf numFmtId="0" fontId="27" fillId="0" borderId="10" xfId="0" applyFont="1" applyBorder="1"/>
    <xf numFmtId="178" fontId="27" fillId="0" borderId="0" xfId="41" applyNumberFormat="1" applyFont="1"/>
    <xf numFmtId="0" fontId="40" fillId="0" borderId="0" xfId="68" applyFont="1" applyAlignment="1">
      <alignment wrapText="1"/>
    </xf>
    <xf numFmtId="0" fontId="27" fillId="0" borderId="0" xfId="74" applyFont="1"/>
    <xf numFmtId="0" fontId="26" fillId="0" borderId="0" xfId="74" applyFont="1" applyProtection="1">
      <protection locked="0"/>
    </xf>
    <xf numFmtId="0" fontId="27" fillId="27" borderId="0" xfId="74" applyFont="1" applyFill="1"/>
    <xf numFmtId="0" fontId="58" fillId="27" borderId="0" xfId="74" applyFont="1" applyFill="1" applyAlignment="1">
      <alignment horizontal="right"/>
    </xf>
    <xf numFmtId="0" fontId="28" fillId="0" borderId="119" xfId="74" applyFont="1" applyBorder="1" applyAlignment="1">
      <alignment vertical="center"/>
    </xf>
    <xf numFmtId="0" fontId="28" fillId="27" borderId="120" xfId="74" applyFont="1" applyFill="1" applyBorder="1" applyAlignment="1">
      <alignment horizontal="center" vertical="center"/>
    </xf>
    <xf numFmtId="0" fontId="28" fillId="0" borderId="120" xfId="74" applyFont="1" applyBorder="1" applyAlignment="1">
      <alignment horizontal="center" vertical="center"/>
    </xf>
    <xf numFmtId="0" fontId="28" fillId="0" borderId="121" xfId="74" applyFont="1" applyBorder="1" applyAlignment="1">
      <alignment horizontal="center" vertical="center"/>
    </xf>
    <xf numFmtId="0" fontId="28" fillId="0" borderId="122" xfId="74" applyFont="1" applyBorder="1" applyAlignment="1">
      <alignment horizontal="center" vertical="center"/>
    </xf>
    <xf numFmtId="49" fontId="27" fillId="0" borderId="123" xfId="74" applyNumberFormat="1" applyFont="1" applyBorder="1" applyAlignment="1">
      <alignment vertical="center"/>
    </xf>
    <xf numFmtId="3" fontId="27" fillId="27" borderId="124" xfId="74" applyNumberFormat="1" applyFont="1" applyFill="1" applyBorder="1" applyAlignment="1" applyProtection="1">
      <alignment vertical="center"/>
      <protection locked="0"/>
    </xf>
    <xf numFmtId="3" fontId="27" fillId="0" borderId="124" xfId="74" applyNumberFormat="1" applyFont="1" applyBorder="1" applyAlignment="1" applyProtection="1">
      <alignment vertical="center"/>
      <protection locked="0"/>
    </xf>
    <xf numFmtId="3" fontId="27" fillId="0" borderId="125" xfId="74" applyNumberFormat="1" applyFont="1" applyBorder="1" applyAlignment="1" applyProtection="1">
      <alignment vertical="center"/>
      <protection locked="0"/>
    </xf>
    <xf numFmtId="3" fontId="27" fillId="0" borderId="126" xfId="74" applyNumberFormat="1" applyFont="1" applyBorder="1" applyAlignment="1">
      <alignment vertical="center"/>
    </xf>
    <xf numFmtId="49" fontId="59" fillId="0" borderId="97" xfId="74" quotePrefix="1" applyNumberFormat="1" applyFont="1" applyBorder="1" applyAlignment="1">
      <alignment horizontal="left" vertical="center" indent="1"/>
    </xf>
    <xf numFmtId="3" fontId="59" fillId="27" borderId="10" xfId="74" applyNumberFormat="1" applyFont="1" applyFill="1" applyBorder="1" applyAlignment="1" applyProtection="1">
      <alignment vertical="center"/>
      <protection locked="0"/>
    </xf>
    <xf numFmtId="3" fontId="59" fillId="0" borderId="10" xfId="74" applyNumberFormat="1" applyFont="1" applyBorder="1" applyAlignment="1" applyProtection="1">
      <alignment vertical="center"/>
      <protection locked="0"/>
    </xf>
    <xf numFmtId="3" fontId="59" fillId="0" borderId="29" xfId="74" applyNumberFormat="1" applyFont="1" applyBorder="1" applyAlignment="1" applyProtection="1">
      <alignment vertical="center"/>
      <protection locked="0"/>
    </xf>
    <xf numFmtId="3" fontId="27" fillId="0" borderId="98" xfId="74" applyNumberFormat="1" applyFont="1" applyBorder="1" applyAlignment="1">
      <alignment vertical="center"/>
    </xf>
    <xf numFmtId="49" fontId="27" fillId="0" borderId="97" xfId="74" applyNumberFormat="1" applyFont="1" applyBorder="1" applyAlignment="1">
      <alignment vertical="center"/>
    </xf>
    <xf numFmtId="3" fontId="27" fillId="27" borderId="10" xfId="74" applyNumberFormat="1" applyFont="1" applyFill="1" applyBorder="1" applyAlignment="1" applyProtection="1">
      <alignment vertical="center"/>
      <protection locked="0"/>
    </xf>
    <xf numFmtId="3" fontId="27" fillId="0" borderId="10" xfId="74" applyNumberFormat="1" applyFont="1" applyBorder="1" applyAlignment="1" applyProtection="1">
      <alignment vertical="center"/>
      <protection locked="0"/>
    </xf>
    <xf numFmtId="3" fontId="27" fillId="0" borderId="29" xfId="74" applyNumberFormat="1" applyFont="1" applyBorder="1" applyAlignment="1" applyProtection="1">
      <alignment vertical="center"/>
      <protection locked="0"/>
    </xf>
    <xf numFmtId="49" fontId="28" fillId="0" borderId="127" xfId="74" applyNumberFormat="1" applyFont="1" applyBorder="1" applyAlignment="1">
      <alignment vertical="center"/>
    </xf>
    <xf numFmtId="3" fontId="27" fillId="27" borderId="128" xfId="74" applyNumberFormat="1" applyFont="1" applyFill="1" applyBorder="1" applyAlignment="1">
      <alignment vertical="center"/>
    </xf>
    <xf numFmtId="3" fontId="27" fillId="0" borderId="128" xfId="74" applyNumberFormat="1" applyFont="1" applyBorder="1" applyAlignment="1">
      <alignment vertical="center"/>
    </xf>
    <xf numFmtId="3" fontId="27" fillId="0" borderId="129" xfId="74" applyNumberFormat="1" applyFont="1" applyBorder="1" applyAlignment="1">
      <alignment vertical="center"/>
    </xf>
    <xf numFmtId="0" fontId="27" fillId="0" borderId="0" xfId="74" applyFont="1" applyAlignment="1">
      <alignment vertical="center"/>
    </xf>
    <xf numFmtId="0" fontId="27" fillId="27" borderId="0" xfId="74" applyFont="1" applyFill="1" applyAlignment="1">
      <alignment vertical="center"/>
    </xf>
    <xf numFmtId="49" fontId="27" fillId="0" borderId="130" xfId="74" applyNumberFormat="1" applyFont="1" applyBorder="1" applyAlignment="1">
      <alignment vertical="center"/>
    </xf>
    <xf numFmtId="3" fontId="27" fillId="27" borderId="71" xfId="74" applyNumberFormat="1" applyFont="1" applyFill="1" applyBorder="1" applyAlignment="1" applyProtection="1">
      <alignment vertical="center"/>
      <protection locked="0"/>
    </xf>
    <xf numFmtId="3" fontId="27" fillId="0" borderId="71" xfId="74" applyNumberFormat="1" applyFont="1" applyBorder="1" applyAlignment="1" applyProtection="1">
      <alignment vertical="center"/>
      <protection locked="0"/>
    </xf>
    <xf numFmtId="3" fontId="27" fillId="0" borderId="35" xfId="74" applyNumberFormat="1" applyFont="1" applyBorder="1" applyAlignment="1" applyProtection="1">
      <alignment vertical="center"/>
      <protection locked="0"/>
    </xf>
    <xf numFmtId="49" fontId="27" fillId="0" borderId="97" xfId="74" applyNumberFormat="1" applyFont="1" applyBorder="1" applyAlignment="1">
      <alignment horizontal="left" vertical="center"/>
    </xf>
    <xf numFmtId="3" fontId="27" fillId="27" borderId="129" xfId="74" applyNumberFormat="1" applyFont="1" applyFill="1" applyBorder="1" applyAlignment="1">
      <alignment vertical="center"/>
    </xf>
    <xf numFmtId="3" fontId="0" fillId="27" borderId="0" xfId="0" applyNumberFormat="1" applyFill="1"/>
    <xf numFmtId="0" fontId="28" fillId="0" borderId="123" xfId="0" applyFont="1" applyBorder="1" applyAlignment="1">
      <alignment vertical="center"/>
    </xf>
    <xf numFmtId="0" fontId="28" fillId="0" borderId="124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/>
    </xf>
    <xf numFmtId="181" fontId="27" fillId="0" borderId="10" xfId="79" applyNumberFormat="1" applyFont="1" applyBorder="1" applyAlignment="1">
      <alignment vertical="center"/>
    </xf>
    <xf numFmtId="181" fontId="27" fillId="0" borderId="98" xfId="7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81" fontId="0" fillId="0" borderId="0" xfId="79" applyNumberFormat="1" applyFont="1" applyAlignment="1">
      <alignment vertical="center"/>
    </xf>
    <xf numFmtId="181" fontId="0" fillId="0" borderId="0" xfId="79" applyNumberFormat="1" applyFont="1"/>
    <xf numFmtId="0" fontId="0" fillId="0" borderId="0" xfId="0" applyAlignment="1">
      <alignment horizontal="center"/>
    </xf>
    <xf numFmtId="178" fontId="90" fillId="0" borderId="10" xfId="41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21" xfId="0" quotePrefix="1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177" fontId="27" fillId="0" borderId="65" xfId="43" applyNumberFormat="1" applyFont="1" applyFill="1" applyBorder="1" applyAlignment="1">
      <alignment horizontal="right" vertical="center"/>
    </xf>
    <xf numFmtId="177" fontId="27" fillId="0" borderId="82" xfId="43" applyNumberFormat="1" applyFont="1" applyFill="1" applyBorder="1" applyAlignment="1">
      <alignment horizontal="right" vertical="center"/>
    </xf>
    <xf numFmtId="177" fontId="27" fillId="0" borderId="67" xfId="43" applyNumberFormat="1" applyFont="1" applyFill="1" applyBorder="1" applyAlignment="1">
      <alignment horizontal="right" vertical="center"/>
    </xf>
    <xf numFmtId="0" fontId="27" fillId="0" borderId="66" xfId="0" applyFont="1" applyBorder="1" applyAlignment="1">
      <alignment horizontal="center" vertical="center" wrapText="1"/>
    </xf>
    <xf numFmtId="0" fontId="26" fillId="27" borderId="0" xfId="74" applyFont="1" applyFill="1" applyAlignment="1" applyProtection="1">
      <alignment horizontal="left" wrapText="1"/>
      <protection locked="0"/>
    </xf>
    <xf numFmtId="178" fontId="30" fillId="0" borderId="0" xfId="41" applyNumberFormat="1" applyFont="1" applyAlignment="1">
      <alignment wrapText="1"/>
    </xf>
    <xf numFmtId="178" fontId="29" fillId="0" borderId="0" xfId="41" applyNumberFormat="1" applyFont="1" applyAlignment="1">
      <alignment horizontal="center" vertical="center" wrapText="1"/>
    </xf>
    <xf numFmtId="204" fontId="27" fillId="0" borderId="10" xfId="0" applyNumberFormat="1" applyFont="1" applyFill="1" applyBorder="1" applyAlignment="1">
      <alignment vertical="center" wrapText="1"/>
    </xf>
    <xf numFmtId="204" fontId="27" fillId="0" borderId="98" xfId="0" applyNumberFormat="1" applyFont="1" applyFill="1" applyBorder="1" applyAlignment="1">
      <alignment vertical="center" wrapText="1"/>
    </xf>
    <xf numFmtId="204" fontId="27" fillId="0" borderId="10" xfId="0" applyNumberFormat="1" applyFont="1" applyFill="1" applyBorder="1" applyAlignment="1" applyProtection="1">
      <alignment vertical="center" wrapText="1"/>
      <protection locked="0"/>
    </xf>
    <xf numFmtId="178" fontId="22" fillId="27" borderId="0" xfId="41" applyNumberFormat="1" applyFont="1" applyFill="1"/>
    <xf numFmtId="178" fontId="91" fillId="27" borderId="0" xfId="41" applyNumberFormat="1" applyFont="1" applyFill="1"/>
    <xf numFmtId="178" fontId="91" fillId="0" borderId="0" xfId="41" applyNumberFormat="1" applyFont="1"/>
    <xf numFmtId="3" fontId="39" fillId="0" borderId="10" xfId="68" applyNumberFormat="1" applyFont="1" applyFill="1" applyBorder="1" applyAlignment="1">
      <alignment vertical="center" wrapText="1"/>
    </xf>
    <xf numFmtId="0" fontId="39" fillId="0" borderId="10" xfId="68" applyFont="1" applyFill="1" applyBorder="1" applyAlignment="1">
      <alignment vertical="center" wrapText="1"/>
    </xf>
    <xf numFmtId="3" fontId="40" fillId="0" borderId="10" xfId="68" applyNumberFormat="1" applyFont="1" applyFill="1" applyBorder="1" applyAlignment="1">
      <alignment vertical="center" wrapText="1"/>
    </xf>
    <xf numFmtId="3" fontId="27" fillId="0" borderId="100" xfId="74" applyNumberFormat="1" applyFont="1" applyBorder="1" applyAlignment="1">
      <alignment vertical="center"/>
    </xf>
    <xf numFmtId="3" fontId="27" fillId="0" borderId="52" xfId="74" applyNumberFormat="1" applyFont="1" applyBorder="1" applyAlignment="1">
      <alignment vertical="center"/>
    </xf>
    <xf numFmtId="0" fontId="27" fillId="0" borderId="131" xfId="0" applyFont="1" applyBorder="1" applyAlignment="1">
      <alignment horizontal="center" vertical="center"/>
    </xf>
    <xf numFmtId="181" fontId="27" fillId="0" borderId="66" xfId="79" applyNumberFormat="1" applyFont="1" applyBorder="1" applyAlignment="1">
      <alignment vertical="center"/>
    </xf>
    <xf numFmtId="181" fontId="27" fillId="0" borderId="132" xfId="79" applyNumberFormat="1" applyFont="1" applyBorder="1" applyAlignment="1">
      <alignment vertical="center"/>
    </xf>
    <xf numFmtId="181" fontId="26" fillId="0" borderId="100" xfId="79" applyNumberFormat="1" applyFont="1" applyBorder="1" applyAlignment="1">
      <alignment vertical="center"/>
    </xf>
    <xf numFmtId="0" fontId="27" fillId="0" borderId="46" xfId="0" applyFont="1" applyFill="1" applyBorder="1" applyAlignment="1">
      <alignment vertical="center" wrapText="1"/>
    </xf>
    <xf numFmtId="177" fontId="27" fillId="0" borderId="133" xfId="43" applyNumberFormat="1" applyFont="1" applyFill="1" applyBorder="1" applyAlignment="1" applyProtection="1">
      <alignment vertical="center"/>
    </xf>
    <xf numFmtId="177" fontId="27" fillId="0" borderId="67" xfId="43" applyNumberFormat="1" applyFont="1" applyFill="1" applyBorder="1" applyAlignment="1" applyProtection="1">
      <alignment vertical="center"/>
    </xf>
    <xf numFmtId="181" fontId="26" fillId="0" borderId="99" xfId="79" applyNumberFormat="1" applyFont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178" fontId="28" fillId="0" borderId="10" xfId="41" applyNumberFormat="1" applyFont="1" applyFill="1" applyBorder="1" applyAlignment="1">
      <alignment vertical="center"/>
    </xf>
    <xf numFmtId="0" fontId="27" fillId="0" borderId="69" xfId="0" quotePrefix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vertical="center"/>
    </xf>
    <xf numFmtId="178" fontId="28" fillId="0" borderId="10" xfId="41" applyNumberFormat="1" applyFont="1" applyFill="1" applyBorder="1" applyAlignment="1">
      <alignment horizontal="center" vertical="center" wrapText="1"/>
    </xf>
    <xf numFmtId="174" fontId="57" fillId="0" borderId="29" xfId="70" applyNumberFormat="1" applyFont="1" applyFill="1" applyBorder="1" applyAlignment="1">
      <alignment horizontal="center" vertical="center" wrapText="1"/>
    </xf>
    <xf numFmtId="0" fontId="23" fillId="0" borderId="29" xfId="70" applyFont="1" applyFill="1" applyBorder="1" applyAlignment="1">
      <alignment horizontal="left" vertical="center" wrapText="1"/>
    </xf>
    <xf numFmtId="175" fontId="56" fillId="0" borderId="29" xfId="70" applyNumberFormat="1" applyFont="1" applyFill="1" applyBorder="1" applyAlignment="1">
      <alignment vertical="center" wrapText="1"/>
    </xf>
    <xf numFmtId="178" fontId="56" fillId="0" borderId="10" xfId="41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/>
    <xf numFmtId="3" fontId="0" fillId="0" borderId="0" xfId="0" applyNumberFormat="1" applyFill="1"/>
    <xf numFmtId="178" fontId="22" fillId="0" borderId="0" xfId="41" applyNumberFormat="1" applyFont="1" applyFill="1"/>
    <xf numFmtId="204" fontId="27" fillId="0" borderId="10" xfId="0" applyNumberFormat="1" applyFont="1" applyFill="1" applyBorder="1" applyAlignment="1">
      <alignment horizontal="center" vertical="center" wrapText="1"/>
    </xf>
    <xf numFmtId="204" fontId="28" fillId="0" borderId="10" xfId="0" applyNumberFormat="1" applyFont="1" applyFill="1" applyBorder="1" applyAlignment="1">
      <alignment horizontal="left" vertical="center" wrapText="1" indent="1"/>
    </xf>
    <xf numFmtId="49" fontId="27" fillId="0" borderId="95" xfId="0" quotePrefix="1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/>
    </xf>
    <xf numFmtId="178" fontId="27" fillId="0" borderId="14" xfId="41" applyNumberFormat="1" applyFont="1" applyFill="1" applyBorder="1" applyAlignment="1">
      <alignment horizontal="center" vertical="center"/>
    </xf>
    <xf numFmtId="178" fontId="27" fillId="0" borderId="90" xfId="41" applyNumberFormat="1" applyFont="1" applyFill="1" applyBorder="1" applyAlignment="1">
      <alignment horizontal="center" vertical="center"/>
    </xf>
    <xf numFmtId="178" fontId="27" fillId="0" borderId="37" xfId="41" applyNumberFormat="1" applyFont="1" applyFill="1" applyBorder="1" applyAlignment="1">
      <alignment horizontal="center" vertical="center"/>
    </xf>
    <xf numFmtId="178" fontId="28" fillId="0" borderId="21" xfId="41" applyNumberFormat="1" applyFont="1" applyFill="1" applyBorder="1" applyAlignment="1">
      <alignment horizontal="center" vertical="center"/>
    </xf>
    <xf numFmtId="178" fontId="28" fillId="0" borderId="14" xfId="41" applyNumberFormat="1" applyFont="1" applyFill="1" applyBorder="1" applyAlignment="1">
      <alignment horizontal="center" vertical="center"/>
    </xf>
    <xf numFmtId="178" fontId="28" fillId="0" borderId="90" xfId="41" applyNumberFormat="1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/>
    </xf>
    <xf numFmtId="178" fontId="28" fillId="0" borderId="93" xfId="41" applyNumberFormat="1" applyFont="1" applyFill="1" applyBorder="1" applyAlignment="1">
      <alignment vertical="center"/>
    </xf>
    <xf numFmtId="178" fontId="28" fillId="0" borderId="41" xfId="41" applyNumberFormat="1" applyFont="1" applyFill="1" applyBorder="1" applyAlignment="1">
      <alignment vertical="center"/>
    </xf>
    <xf numFmtId="178" fontId="28" fillId="0" borderId="55" xfId="41" applyNumberFormat="1" applyFont="1" applyFill="1" applyBorder="1" applyAlignment="1">
      <alignment horizontal="center" vertical="center"/>
    </xf>
    <xf numFmtId="49" fontId="27" fillId="0" borderId="69" xfId="0" quotePrefix="1" applyNumberFormat="1" applyFont="1" applyFill="1" applyBorder="1" applyAlignment="1">
      <alignment horizontal="center" vertical="center"/>
    </xf>
    <xf numFmtId="178" fontId="28" fillId="0" borderId="55" xfId="41" applyNumberFormat="1" applyFont="1" applyFill="1" applyBorder="1" applyAlignment="1">
      <alignment vertical="center"/>
    </xf>
    <xf numFmtId="49" fontId="27" fillId="0" borderId="43" xfId="0" applyNumberFormat="1" applyFont="1" applyFill="1" applyBorder="1" applyAlignment="1">
      <alignment horizontal="center" vertical="center"/>
    </xf>
    <xf numFmtId="178" fontId="27" fillId="0" borderId="89" xfId="41" applyNumberFormat="1" applyFont="1" applyFill="1" applyBorder="1"/>
    <xf numFmtId="0" fontId="28" fillId="0" borderId="41" xfId="0" applyFont="1" applyFill="1" applyBorder="1"/>
    <xf numFmtId="0" fontId="28" fillId="0" borderId="18" xfId="0" applyFont="1" applyFill="1" applyBorder="1"/>
    <xf numFmtId="178" fontId="28" fillId="0" borderId="19" xfId="41" applyNumberFormat="1" applyFont="1" applyFill="1" applyBorder="1" applyAlignment="1">
      <alignment vertical="center"/>
    </xf>
    <xf numFmtId="0" fontId="28" fillId="0" borderId="48" xfId="0" applyFont="1" applyFill="1" applyBorder="1"/>
    <xf numFmtId="0" fontId="28" fillId="0" borderId="17" xfId="0" applyFont="1" applyFill="1" applyBorder="1"/>
    <xf numFmtId="178" fontId="28" fillId="0" borderId="17" xfId="41" applyNumberFormat="1" applyFont="1" applyFill="1" applyBorder="1" applyAlignment="1">
      <alignment vertical="center"/>
    </xf>
    <xf numFmtId="178" fontId="28" fillId="0" borderId="12" xfId="41" applyNumberFormat="1" applyFont="1" applyFill="1" applyBorder="1" applyAlignment="1">
      <alignment vertical="center"/>
    </xf>
    <xf numFmtId="178" fontId="28" fillId="0" borderId="69" xfId="41" applyNumberFormat="1" applyFont="1" applyFill="1" applyBorder="1" applyAlignment="1">
      <alignment vertical="center"/>
    </xf>
    <xf numFmtId="178" fontId="28" fillId="0" borderId="17" xfId="41" applyNumberFormat="1" applyFont="1" applyFill="1" applyBorder="1"/>
    <xf numFmtId="178" fontId="28" fillId="0" borderId="53" xfId="41" applyNumberFormat="1" applyFont="1" applyFill="1" applyBorder="1"/>
    <xf numFmtId="0" fontId="28" fillId="0" borderId="41" xfId="0" applyFont="1" applyFill="1" applyBorder="1" applyAlignment="1">
      <alignment vertical="center"/>
    </xf>
    <xf numFmtId="0" fontId="26" fillId="0" borderId="18" xfId="0" applyFont="1" applyFill="1" applyBorder="1"/>
    <xf numFmtId="0" fontId="26" fillId="0" borderId="18" xfId="0" applyFont="1" applyFill="1" applyBorder="1" applyAlignment="1">
      <alignment vertical="center"/>
    </xf>
    <xf numFmtId="178" fontId="26" fillId="0" borderId="18" xfId="41" applyNumberFormat="1" applyFont="1" applyFill="1" applyBorder="1" applyAlignment="1">
      <alignment vertical="center"/>
    </xf>
    <xf numFmtId="178" fontId="26" fillId="0" borderId="19" xfId="41" applyNumberFormat="1" applyFont="1" applyFill="1" applyBorder="1" applyAlignment="1">
      <alignment vertical="center"/>
    </xf>
    <xf numFmtId="178" fontId="26" fillId="0" borderId="55" xfId="41" applyNumberFormat="1" applyFont="1" applyFill="1" applyBorder="1" applyAlignment="1">
      <alignment vertical="center"/>
    </xf>
    <xf numFmtId="178" fontId="26" fillId="0" borderId="19" xfId="41" applyNumberFormat="1" applyFont="1" applyFill="1" applyBorder="1"/>
    <xf numFmtId="0" fontId="26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178" fontId="25" fillId="0" borderId="10" xfId="41" applyNumberFormat="1" applyFont="1" applyFill="1" applyBorder="1"/>
    <xf numFmtId="178" fontId="67" fillId="0" borderId="10" xfId="41" applyNumberFormat="1" applyFont="1" applyFill="1" applyBorder="1"/>
    <xf numFmtId="178" fontId="26" fillId="0" borderId="10" xfId="41" applyNumberFormat="1" applyFont="1" applyFill="1" applyBorder="1"/>
    <xf numFmtId="0" fontId="24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10" fontId="26" fillId="29" borderId="10" xfId="84" applyNumberFormat="1" applyFont="1" applyFill="1" applyBorder="1" applyAlignment="1">
      <alignment horizontal="center"/>
    </xf>
    <xf numFmtId="180" fontId="0" fillId="0" borderId="0" xfId="0" applyNumberFormat="1" applyFill="1"/>
    <xf numFmtId="0" fontId="92" fillId="0" borderId="93" xfId="63" applyFont="1" applyFill="1" applyBorder="1" applyAlignment="1">
      <alignment horizontal="center" vertical="center" wrapText="1"/>
    </xf>
    <xf numFmtId="0" fontId="92" fillId="0" borderId="18" xfId="63" applyFont="1" applyFill="1" applyBorder="1" applyAlignment="1">
      <alignment horizontal="center" vertical="center" wrapText="1"/>
    </xf>
    <xf numFmtId="0" fontId="92" fillId="0" borderId="19" xfId="63" applyFont="1" applyFill="1" applyBorder="1" applyAlignment="1">
      <alignment horizontal="center" vertical="center" wrapText="1"/>
    </xf>
    <xf numFmtId="49" fontId="63" fillId="0" borderId="90" xfId="63" applyNumberFormat="1" applyFont="1" applyFill="1" applyBorder="1" applyAlignment="1">
      <alignment horizontal="left" vertical="center" wrapText="1"/>
    </xf>
    <xf numFmtId="164" fontId="63" fillId="0" borderId="95" xfId="63" applyNumberFormat="1" applyFont="1" applyFill="1" applyBorder="1" applyAlignment="1">
      <alignment horizontal="left" vertical="center" wrapText="1"/>
    </xf>
    <xf numFmtId="49" fontId="23" fillId="0" borderId="90" xfId="63" applyNumberFormat="1" applyFont="1" applyFill="1" applyBorder="1" applyAlignment="1">
      <alignment horizontal="left" vertical="center" wrapText="1"/>
    </xf>
    <xf numFmtId="164" fontId="24" fillId="0" borderId="95" xfId="63" applyNumberFormat="1" applyFont="1" applyFill="1" applyBorder="1" applyAlignment="1">
      <alignment horizontal="left" vertical="center" wrapText="1"/>
    </xf>
    <xf numFmtId="164" fontId="23" fillId="0" borderId="44" xfId="63" applyNumberFormat="1" applyFont="1" applyFill="1" applyBorder="1" applyAlignment="1">
      <alignment horizontal="left" vertical="center" wrapText="1"/>
    </xf>
    <xf numFmtId="199" fontId="23" fillId="0" borderId="20" xfId="63" applyNumberFormat="1" applyFont="1" applyFill="1" applyBorder="1" applyAlignment="1">
      <alignment horizontal="right" vertical="center" wrapText="1"/>
    </xf>
    <xf numFmtId="164" fontId="23" fillId="0" borderId="20" xfId="63" applyNumberFormat="1" applyFont="1" applyFill="1" applyBorder="1" applyAlignment="1">
      <alignment horizontal="right" vertical="center" wrapText="1"/>
    </xf>
    <xf numFmtId="164" fontId="23" fillId="0" borderId="34" xfId="63" applyNumberFormat="1" applyFont="1" applyFill="1" applyBorder="1" applyAlignment="1">
      <alignment horizontal="right" vertical="center" wrapText="1"/>
    </xf>
    <xf numFmtId="164" fontId="23" fillId="0" borderId="44" xfId="63" applyNumberFormat="1" applyFont="1" applyFill="1" applyBorder="1" applyAlignment="1">
      <alignment horizontal="right" vertical="center" wrapText="1"/>
    </xf>
    <xf numFmtId="164" fontId="23" fillId="0" borderId="95" xfId="63" applyNumberFormat="1" applyFont="1" applyFill="1" applyBorder="1" applyAlignment="1">
      <alignment horizontal="left" vertical="center" wrapText="1"/>
    </xf>
    <xf numFmtId="164" fontId="23" fillId="0" borderId="95" xfId="63" applyNumberFormat="1" applyFont="1" applyFill="1" applyBorder="1" applyAlignment="1">
      <alignment horizontal="right" vertical="center" wrapText="1"/>
    </xf>
    <xf numFmtId="199" fontId="23" fillId="0" borderId="69" xfId="63" applyNumberFormat="1" applyFont="1" applyFill="1" applyBorder="1" applyAlignment="1">
      <alignment horizontal="right" vertical="center" wrapText="1"/>
    </xf>
    <xf numFmtId="200" fontId="23" fillId="0" borderId="20" xfId="63" applyNumberFormat="1" applyFont="1" applyFill="1" applyBorder="1" applyAlignment="1">
      <alignment horizontal="right" vertical="center" wrapText="1"/>
    </xf>
    <xf numFmtId="49" fontId="63" fillId="0" borderId="44" xfId="63" applyNumberFormat="1" applyFont="1" applyFill="1" applyBorder="1" applyAlignment="1">
      <alignment horizontal="left" vertical="center" wrapText="1"/>
    </xf>
    <xf numFmtId="0" fontId="60" fillId="0" borderId="13" xfId="63" applyFont="1" applyFill="1" applyBorder="1"/>
    <xf numFmtId="49" fontId="39" fillId="0" borderId="44" xfId="63" applyNumberFormat="1" applyFont="1" applyFill="1" applyBorder="1" applyAlignment="1">
      <alignment horizontal="left"/>
    </xf>
    <xf numFmtId="164" fontId="40" fillId="0" borderId="44" xfId="63" applyNumberFormat="1" applyFont="1" applyFill="1" applyBorder="1"/>
    <xf numFmtId="164" fontId="61" fillId="0" borderId="20" xfId="63" applyNumberFormat="1" applyFont="1" applyFill="1" applyBorder="1"/>
    <xf numFmtId="164" fontId="61" fillId="0" borderId="34" xfId="63" applyNumberFormat="1" applyFont="1" applyFill="1" applyBorder="1"/>
    <xf numFmtId="164" fontId="39" fillId="0" borderId="44" xfId="63" applyNumberFormat="1" applyFont="1" applyFill="1" applyBorder="1"/>
    <xf numFmtId="164" fontId="39" fillId="0" borderId="20" xfId="63" applyNumberFormat="1" applyFont="1" applyFill="1" applyBorder="1"/>
    <xf numFmtId="164" fontId="39" fillId="0" borderId="34" xfId="63" applyNumberFormat="1" applyFont="1" applyFill="1" applyBorder="1"/>
    <xf numFmtId="49" fontId="62" fillId="0" borderId="44" xfId="63" applyNumberFormat="1" applyFont="1" applyFill="1" applyBorder="1" applyAlignment="1">
      <alignment horizontal="left"/>
    </xf>
    <xf numFmtId="0" fontId="27" fillId="0" borderId="20" xfId="63" applyFont="1" applyFill="1" applyBorder="1"/>
    <xf numFmtId="181" fontId="39" fillId="0" borderId="20" xfId="81" applyNumberFormat="1" applyFont="1" applyFill="1" applyBorder="1"/>
    <xf numFmtId="164" fontId="40" fillId="0" borderId="34" xfId="63" applyNumberFormat="1" applyFont="1" applyFill="1" applyBorder="1"/>
    <xf numFmtId="164" fontId="39" fillId="0" borderId="44" xfId="81" applyNumberFormat="1" applyFont="1" applyFill="1" applyBorder="1" applyAlignment="1">
      <alignment wrapText="1"/>
    </xf>
    <xf numFmtId="164" fontId="40" fillId="0" borderId="53" xfId="81" applyNumberFormat="1" applyFont="1" applyFill="1" applyBorder="1" applyAlignment="1">
      <alignment wrapText="1"/>
    </xf>
    <xf numFmtId="179" fontId="39" fillId="0" borderId="42" xfId="43" applyNumberFormat="1" applyFont="1" applyFill="1" applyBorder="1"/>
    <xf numFmtId="181" fontId="39" fillId="0" borderId="42" xfId="81" applyNumberFormat="1" applyFont="1" applyFill="1" applyBorder="1"/>
    <xf numFmtId="164" fontId="40" fillId="0" borderId="32" xfId="81" applyNumberFormat="1" applyFont="1" applyFill="1" applyBorder="1" applyAlignment="1">
      <alignment vertical="center"/>
    </xf>
    <xf numFmtId="49" fontId="62" fillId="0" borderId="44" xfId="81" applyNumberFormat="1" applyFont="1" applyFill="1" applyBorder="1" applyAlignment="1">
      <alignment horizontal="left"/>
    </xf>
    <xf numFmtId="164" fontId="62" fillId="0" borderId="44" xfId="81" applyNumberFormat="1" applyFont="1" applyFill="1" applyBorder="1" applyAlignment="1"/>
    <xf numFmtId="164" fontId="62" fillId="0" borderId="95" xfId="81" applyNumberFormat="1" applyFont="1" applyFill="1" applyBorder="1" applyAlignment="1"/>
    <xf numFmtId="164" fontId="62" fillId="0" borderId="92" xfId="81" applyNumberFormat="1" applyFont="1" applyFill="1" applyBorder="1" applyAlignment="1"/>
    <xf numFmtId="49" fontId="39" fillId="0" borderId="95" xfId="63" applyNumberFormat="1" applyFont="1" applyFill="1" applyBorder="1" applyAlignment="1">
      <alignment horizontal="left"/>
    </xf>
    <xf numFmtId="164" fontId="39" fillId="0" borderId="95" xfId="63" applyNumberFormat="1" applyFont="1" applyFill="1" applyBorder="1"/>
    <xf numFmtId="164" fontId="39" fillId="0" borderId="92" xfId="63" applyNumberFormat="1" applyFont="1" applyFill="1" applyBorder="1"/>
    <xf numFmtId="49" fontId="39" fillId="0" borderId="44" xfId="43" applyNumberFormat="1" applyFont="1" applyFill="1" applyBorder="1" applyAlignment="1">
      <alignment horizontal="left"/>
    </xf>
    <xf numFmtId="180" fontId="40" fillId="0" borderId="44" xfId="63" applyNumberFormat="1" applyFont="1" applyFill="1" applyBorder="1" applyAlignment="1">
      <alignment horizontal="left"/>
    </xf>
    <xf numFmtId="180" fontId="61" fillId="0" borderId="20" xfId="63" applyNumberFormat="1" applyFont="1" applyFill="1" applyBorder="1"/>
    <xf numFmtId="180" fontId="40" fillId="0" borderId="34" xfId="63" applyNumberFormat="1" applyFont="1" applyFill="1" applyBorder="1"/>
    <xf numFmtId="0" fontId="61" fillId="0" borderId="20" xfId="63" applyFont="1" applyFill="1" applyBorder="1" applyAlignment="1">
      <alignment wrapText="1"/>
    </xf>
    <xf numFmtId="180" fontId="39" fillId="0" borderId="95" xfId="63" applyNumberFormat="1" applyFont="1" applyFill="1" applyBorder="1"/>
    <xf numFmtId="180" fontId="40" fillId="0" borderId="92" xfId="63" applyNumberFormat="1" applyFont="1" applyFill="1" applyBorder="1"/>
    <xf numFmtId="49" fontId="63" fillId="0" borderId="95" xfId="63" applyNumberFormat="1" applyFont="1" applyFill="1" applyBorder="1" applyAlignment="1">
      <alignment horizontal="left"/>
    </xf>
    <xf numFmtId="180" fontId="60" fillId="0" borderId="95" xfId="63" applyNumberFormat="1" applyFont="1" applyFill="1" applyBorder="1"/>
    <xf numFmtId="180" fontId="60" fillId="0" borderId="92" xfId="63" applyNumberFormat="1" applyFont="1" applyFill="1" applyBorder="1"/>
    <xf numFmtId="180" fontId="40" fillId="0" borderId="95" xfId="63" applyNumberFormat="1" applyFont="1" applyFill="1" applyBorder="1"/>
    <xf numFmtId="179" fontId="40" fillId="0" borderId="20" xfId="43" applyNumberFormat="1" applyFont="1" applyFill="1" applyBorder="1"/>
    <xf numFmtId="181" fontId="40" fillId="0" borderId="20" xfId="81" applyNumberFormat="1" applyFont="1" applyFill="1" applyBorder="1"/>
    <xf numFmtId="180" fontId="39" fillId="0" borderId="20" xfId="63" applyNumberFormat="1" applyFont="1" applyFill="1" applyBorder="1"/>
    <xf numFmtId="180" fontId="39" fillId="0" borderId="34" xfId="63" applyNumberFormat="1" applyFont="1" applyFill="1" applyBorder="1"/>
    <xf numFmtId="0" fontId="92" fillId="0" borderId="20" xfId="63" applyFont="1" applyFill="1" applyBorder="1" applyAlignment="1">
      <alignment horizontal="center"/>
    </xf>
    <xf numFmtId="49" fontId="39" fillId="0" borderId="20" xfId="81" applyNumberFormat="1" applyFont="1" applyFill="1" applyBorder="1" applyAlignment="1">
      <alignment horizontal="left"/>
    </xf>
    <xf numFmtId="49" fontId="23" fillId="0" borderId="20" xfId="81" applyNumberFormat="1" applyFont="1" applyFill="1" applyBorder="1" applyAlignment="1">
      <alignment horizontal="left"/>
    </xf>
    <xf numFmtId="0" fontId="61" fillId="0" borderId="44" xfId="63" applyFont="1" applyFill="1" applyBorder="1"/>
    <xf numFmtId="0" fontId="61" fillId="0" borderId="95" xfId="63" applyFont="1" applyFill="1" applyBorder="1"/>
    <xf numFmtId="180" fontId="61" fillId="0" borderId="92" xfId="63" applyNumberFormat="1" applyFont="1" applyFill="1" applyBorder="1"/>
    <xf numFmtId="180" fontId="23" fillId="0" borderId="20" xfId="81" applyNumberFormat="1" applyFont="1" applyFill="1" applyBorder="1" applyAlignment="1"/>
    <xf numFmtId="179" fontId="39" fillId="0" borderId="20" xfId="43" applyNumberFormat="1" applyFont="1" applyFill="1" applyBorder="1" applyAlignment="1">
      <alignment horizontal="center"/>
    </xf>
    <xf numFmtId="180" fontId="24" fillId="0" borderId="44" xfId="81" applyNumberFormat="1" applyFont="1" applyFill="1" applyBorder="1" applyAlignment="1"/>
    <xf numFmtId="49" fontId="64" fillId="0" borderId="20" xfId="0" applyNumberFormat="1" applyFont="1" applyFill="1" applyBorder="1"/>
    <xf numFmtId="180" fontId="24" fillId="0" borderId="20" xfId="81" applyNumberFormat="1" applyFont="1" applyFill="1" applyBorder="1" applyAlignment="1">
      <alignment wrapText="1"/>
    </xf>
    <xf numFmtId="49" fontId="23" fillId="0" borderId="20" xfId="63" applyNumberFormat="1" applyFont="1" applyFill="1" applyBorder="1" applyAlignment="1">
      <alignment horizontal="left" vertical="center" wrapText="1"/>
    </xf>
    <xf numFmtId="164" fontId="23" fillId="0" borderId="20" xfId="63" applyNumberFormat="1" applyFont="1" applyFill="1" applyBorder="1" applyAlignment="1">
      <alignment horizontal="left" vertical="center" wrapText="1"/>
    </xf>
    <xf numFmtId="49" fontId="63" fillId="0" borderId="20" xfId="63" applyNumberFormat="1" applyFont="1" applyFill="1" applyBorder="1" applyAlignment="1">
      <alignment horizontal="left" vertical="center" wrapText="1"/>
    </xf>
    <xf numFmtId="0" fontId="65" fillId="0" borderId="0" xfId="0" applyFont="1" applyFill="1"/>
    <xf numFmtId="181" fontId="60" fillId="0" borderId="20" xfId="79" applyNumberFormat="1" applyFont="1" applyFill="1" applyBorder="1" applyAlignment="1"/>
    <xf numFmtId="49" fontId="27" fillId="0" borderId="44" xfId="0" applyNumberFormat="1" applyFont="1" applyFill="1" applyBorder="1" applyAlignment="1">
      <alignment horizontal="left"/>
    </xf>
    <xf numFmtId="49" fontId="27" fillId="0" borderId="20" xfId="0" applyNumberFormat="1" applyFont="1" applyFill="1" applyBorder="1" applyAlignment="1">
      <alignment horizontal="left"/>
    </xf>
    <xf numFmtId="49" fontId="23" fillId="0" borderId="69" xfId="81" applyNumberFormat="1" applyFont="1" applyFill="1" applyBorder="1" applyAlignment="1"/>
    <xf numFmtId="180" fontId="24" fillId="0" borderId="20" xfId="81" applyNumberFormat="1" applyFont="1" applyFill="1" applyBorder="1" applyAlignment="1"/>
    <xf numFmtId="181" fontId="24" fillId="0" borderId="20" xfId="79" applyNumberFormat="1" applyFont="1" applyFill="1" applyBorder="1" applyAlignment="1"/>
    <xf numFmtId="180" fontId="24" fillId="0" borderId="34" xfId="81" applyNumberFormat="1" applyFont="1" applyFill="1" applyBorder="1" applyAlignment="1"/>
    <xf numFmtId="49" fontId="63" fillId="0" borderId="69" xfId="81" applyNumberFormat="1" applyFont="1" applyFill="1" applyBorder="1" applyAlignment="1"/>
    <xf numFmtId="0" fontId="60" fillId="0" borderId="20" xfId="63" applyFont="1" applyFill="1" applyBorder="1"/>
    <xf numFmtId="0" fontId="63" fillId="0" borderId="20" xfId="63" applyFont="1" applyFill="1" applyBorder="1"/>
    <xf numFmtId="205" fontId="24" fillId="0" borderId="20" xfId="63" applyNumberFormat="1" applyFont="1" applyFill="1" applyBorder="1"/>
    <xf numFmtId="0" fontId="23" fillId="0" borderId="20" xfId="63" applyFont="1" applyFill="1" applyBorder="1"/>
    <xf numFmtId="0" fontId="27" fillId="0" borderId="0" xfId="0" applyFont="1" applyFill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7" fillId="0" borderId="0" xfId="0" applyFont="1" applyFill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7" fillId="0" borderId="42" xfId="0" quotePrefix="1" applyFont="1" applyFill="1" applyBorder="1" applyAlignment="1">
      <alignment horizontal="center" vertical="center" wrapText="1"/>
    </xf>
    <xf numFmtId="0" fontId="27" fillId="0" borderId="20" xfId="0" quotePrefix="1" applyFont="1" applyFill="1" applyBorder="1" applyAlignment="1">
      <alignment horizontal="center" vertical="center" wrapText="1"/>
    </xf>
    <xf numFmtId="0" fontId="25" fillId="0" borderId="10" xfId="0" quotePrefix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5" fillId="0" borderId="10" xfId="0" quotePrefix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quotePrefix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174" fontId="24" fillId="27" borderId="10" xfId="0" applyNumberFormat="1" applyFont="1" applyFill="1" applyBorder="1" applyAlignment="1">
      <alignment horizontal="center" vertical="center" wrapText="1"/>
    </xf>
    <xf numFmtId="0" fontId="25" fillId="0" borderId="66" xfId="0" quotePrefix="1" applyFont="1" applyFill="1" applyBorder="1" applyAlignment="1">
      <alignment horizontal="center" vertical="center" wrapText="1"/>
    </xf>
    <xf numFmtId="0" fontId="25" fillId="0" borderId="71" xfId="0" quotePrefix="1" applyFont="1" applyFill="1" applyBorder="1" applyAlignment="1">
      <alignment horizontal="center" vertical="center" wrapText="1"/>
    </xf>
    <xf numFmtId="178" fontId="25" fillId="27" borderId="10" xfId="49" applyNumberFormat="1" applyFont="1" applyFill="1" applyBorder="1" applyAlignment="1">
      <alignment horizontal="center" vertical="center" wrapText="1"/>
    </xf>
    <xf numFmtId="178" fontId="25" fillId="27" borderId="10" xfId="49" quotePrefix="1" applyNumberFormat="1" applyFont="1" applyFill="1" applyBorder="1" applyAlignment="1">
      <alignment horizontal="center" vertical="center" wrapText="1"/>
    </xf>
    <xf numFmtId="178" fontId="23" fillId="24" borderId="10" xfId="49" applyNumberFormat="1" applyFont="1" applyFill="1" applyBorder="1" applyAlignment="1">
      <alignment horizontal="center" vertical="center" wrapText="1"/>
    </xf>
    <xf numFmtId="178" fontId="25" fillId="0" borderId="10" xfId="49" quotePrefix="1" applyNumberFormat="1" applyFont="1" applyFill="1" applyBorder="1" applyAlignment="1">
      <alignment horizontal="center" vertical="center" wrapText="1"/>
    </xf>
    <xf numFmtId="178" fontId="25" fillId="0" borderId="10" xfId="49" applyNumberFormat="1" applyFont="1" applyFill="1" applyBorder="1" applyAlignment="1">
      <alignment horizontal="center" vertical="center" wrapText="1"/>
    </xf>
    <xf numFmtId="178" fontId="25" fillId="27" borderId="66" xfId="49" applyNumberFormat="1" applyFont="1" applyFill="1" applyBorder="1" applyAlignment="1">
      <alignment horizontal="center" vertical="center" wrapText="1"/>
    </xf>
    <xf numFmtId="178" fontId="25" fillId="27" borderId="71" xfId="49" applyNumberFormat="1" applyFont="1" applyFill="1" applyBorder="1" applyAlignment="1">
      <alignment horizontal="center" vertical="center" wrapText="1"/>
    </xf>
    <xf numFmtId="178" fontId="25" fillId="27" borderId="29" xfId="49" applyNumberFormat="1" applyFont="1" applyFill="1" applyBorder="1" applyAlignment="1">
      <alignment horizontal="center" vertical="center" wrapText="1"/>
    </xf>
    <xf numFmtId="178" fontId="25" fillId="27" borderId="23" xfId="49" applyNumberFormat="1" applyFont="1" applyFill="1" applyBorder="1" applyAlignment="1">
      <alignment horizontal="center" vertical="center" wrapText="1"/>
    </xf>
    <xf numFmtId="178" fontId="25" fillId="27" borderId="24" xfId="49" applyNumberFormat="1" applyFont="1" applyFill="1" applyBorder="1" applyAlignment="1">
      <alignment horizontal="center" vertical="center" wrapText="1"/>
    </xf>
    <xf numFmtId="0" fontId="26" fillId="24" borderId="10" xfId="71" applyFont="1" applyFill="1" applyBorder="1" applyAlignment="1">
      <alignment horizontal="center" vertical="center"/>
    </xf>
    <xf numFmtId="174" fontId="24" fillId="24" borderId="10" xfId="71" applyNumberFormat="1" applyFont="1" applyFill="1" applyBorder="1" applyAlignment="1">
      <alignment horizontal="center" vertical="center" wrapText="1"/>
    </xf>
    <xf numFmtId="0" fontId="26" fillId="24" borderId="117" xfId="71" applyFont="1" applyFill="1" applyBorder="1" applyAlignment="1">
      <alignment horizontal="center" vertical="center"/>
    </xf>
    <xf numFmtId="0" fontId="26" fillId="24" borderId="28" xfId="71" applyFont="1" applyFill="1" applyBorder="1" applyAlignment="1">
      <alignment horizontal="center" vertical="center"/>
    </xf>
    <xf numFmtId="0" fontId="26" fillId="24" borderId="118" xfId="71" applyFont="1" applyFill="1" applyBorder="1" applyAlignment="1">
      <alignment horizontal="center" vertical="center"/>
    </xf>
    <xf numFmtId="178" fontId="25" fillId="0" borderId="66" xfId="49" applyNumberFormat="1" applyFont="1" applyFill="1" applyBorder="1" applyAlignment="1">
      <alignment horizontal="center" vertical="center" wrapText="1"/>
    </xf>
    <xf numFmtId="178" fontId="25" fillId="0" borderId="71" xfId="49" applyNumberFormat="1" applyFont="1" applyFill="1" applyBorder="1" applyAlignment="1">
      <alignment horizontal="center" vertical="center" wrapText="1"/>
    </xf>
    <xf numFmtId="178" fontId="23" fillId="24" borderId="10" xfId="49" quotePrefix="1" applyNumberFormat="1" applyFont="1" applyFill="1" applyBorder="1" applyAlignment="1">
      <alignment horizontal="center" vertical="center" wrapText="1"/>
    </xf>
    <xf numFmtId="174" fontId="24" fillId="24" borderId="10" xfId="72" applyNumberFormat="1" applyFont="1" applyFill="1" applyBorder="1" applyAlignment="1">
      <alignment horizontal="center" vertical="center" wrapText="1"/>
    </xf>
    <xf numFmtId="0" fontId="26" fillId="24" borderId="10" xfId="72" applyFont="1" applyFill="1" applyBorder="1" applyAlignment="1">
      <alignment horizontal="center" vertical="center"/>
    </xf>
    <xf numFmtId="178" fontId="23" fillId="24" borderId="10" xfId="50" applyNumberFormat="1" applyFont="1" applyFill="1" applyBorder="1" applyAlignment="1">
      <alignment horizontal="center" vertical="center" wrapText="1"/>
    </xf>
    <xf numFmtId="178" fontId="25" fillId="27" borderId="10" xfId="50" applyNumberFormat="1" applyFont="1" applyFill="1" applyBorder="1" applyAlignment="1">
      <alignment horizontal="center" vertical="center" wrapText="1"/>
    </xf>
    <xf numFmtId="0" fontId="26" fillId="24" borderId="117" xfId="72" applyFont="1" applyFill="1" applyBorder="1" applyAlignment="1">
      <alignment horizontal="center" vertical="center"/>
    </xf>
    <xf numFmtId="0" fontId="26" fillId="24" borderId="28" xfId="72" applyFont="1" applyFill="1" applyBorder="1" applyAlignment="1">
      <alignment horizontal="center" vertical="center"/>
    </xf>
    <xf numFmtId="0" fontId="26" fillId="24" borderId="118" xfId="72" applyFont="1" applyFill="1" applyBorder="1" applyAlignment="1">
      <alignment horizontal="center" vertical="center"/>
    </xf>
    <xf numFmtId="178" fontId="25" fillId="27" borderId="29" xfId="50" applyNumberFormat="1" applyFont="1" applyFill="1" applyBorder="1" applyAlignment="1">
      <alignment horizontal="center" vertical="center" wrapText="1"/>
    </xf>
    <xf numFmtId="178" fontId="25" fillId="27" borderId="23" xfId="50" applyNumberFormat="1" applyFont="1" applyFill="1" applyBorder="1" applyAlignment="1">
      <alignment horizontal="center" vertical="center" wrapText="1"/>
    </xf>
    <xf numFmtId="178" fontId="25" fillId="27" borderId="24" xfId="50" applyNumberFormat="1" applyFont="1" applyFill="1" applyBorder="1" applyAlignment="1">
      <alignment horizontal="center" vertical="center" wrapText="1"/>
    </xf>
    <xf numFmtId="178" fontId="23" fillId="24" borderId="71" xfId="50" applyNumberFormat="1" applyFont="1" applyFill="1" applyBorder="1" applyAlignment="1">
      <alignment horizontal="center" vertical="center" wrapText="1"/>
    </xf>
    <xf numFmtId="178" fontId="25" fillId="27" borderId="66" xfId="50" applyNumberFormat="1" applyFont="1" applyFill="1" applyBorder="1" applyAlignment="1">
      <alignment horizontal="center" vertical="center" wrapText="1"/>
    </xf>
    <xf numFmtId="178" fontId="25" fillId="27" borderId="71" xfId="50" applyNumberFormat="1" applyFont="1" applyFill="1" applyBorder="1" applyAlignment="1">
      <alignment horizontal="center" vertical="center" wrapText="1"/>
    </xf>
    <xf numFmtId="178" fontId="25" fillId="24" borderId="66" xfId="50" quotePrefix="1" applyNumberFormat="1" applyFont="1" applyFill="1" applyBorder="1" applyAlignment="1">
      <alignment horizontal="center" vertical="center" wrapText="1"/>
    </xf>
    <xf numFmtId="178" fontId="25" fillId="24" borderId="71" xfId="50" quotePrefix="1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/>
    </xf>
    <xf numFmtId="0" fontId="28" fillId="24" borderId="50" xfId="0" applyFont="1" applyFill="1" applyBorder="1" applyAlignment="1">
      <alignment horizontal="center" wrapText="1"/>
    </xf>
    <xf numFmtId="0" fontId="28" fillId="24" borderId="30" xfId="0" applyFont="1" applyFill="1" applyBorder="1" applyAlignment="1">
      <alignment horizontal="center" wrapText="1"/>
    </xf>
    <xf numFmtId="0" fontId="28" fillId="24" borderId="41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/>
    </xf>
    <xf numFmtId="178" fontId="28" fillId="24" borderId="93" xfId="41" applyNumberFormat="1" applyFont="1" applyFill="1" applyBorder="1" applyAlignment="1">
      <alignment horizontal="center" vertical="center"/>
    </xf>
    <xf numFmtId="178" fontId="28" fillId="24" borderId="23" xfId="41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34" xfId="0" applyFont="1" applyFill="1" applyBorder="1" applyAlignment="1">
      <alignment horizontal="center" vertical="center"/>
    </xf>
    <xf numFmtId="0" fontId="27" fillId="0" borderId="135" xfId="0" applyFont="1" applyFill="1" applyBorder="1" applyAlignment="1">
      <alignment horizontal="center" vertical="center"/>
    </xf>
    <xf numFmtId="0" fontId="27" fillId="0" borderId="136" xfId="0" applyFont="1" applyFill="1" applyBorder="1" applyAlignment="1">
      <alignment horizontal="center" vertical="center"/>
    </xf>
    <xf numFmtId="49" fontId="28" fillId="0" borderId="41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8" fillId="0" borderId="41" xfId="0" quotePrefix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49" fontId="28" fillId="24" borderId="41" xfId="0" applyNumberFormat="1" applyFont="1" applyFill="1" applyBorder="1" applyAlignment="1">
      <alignment horizontal="center" vertical="center"/>
    </xf>
    <xf numFmtId="49" fontId="28" fillId="24" borderId="18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24" borderId="41" xfId="0" applyFont="1" applyFill="1" applyBorder="1" applyAlignment="1">
      <alignment horizontal="right" vertical="center"/>
    </xf>
    <xf numFmtId="0" fontId="28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7" fillId="0" borderId="66" xfId="0" applyFont="1" applyBorder="1" applyAlignment="1">
      <alignment horizontal="center" vertical="center" textRotation="90" wrapText="1"/>
    </xf>
    <xf numFmtId="0" fontId="27" fillId="0" borderId="71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27" fillId="27" borderId="10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7" fillId="27" borderId="65" xfId="0" applyFont="1" applyFill="1" applyBorder="1" applyAlignment="1">
      <alignment horizontal="center" vertical="center" textRotation="90" wrapText="1"/>
    </xf>
    <xf numFmtId="0" fontId="27" fillId="27" borderId="67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46" fillId="27" borderId="0" xfId="0" applyFont="1" applyFill="1" applyAlignment="1">
      <alignment horizontal="center" vertical="center"/>
    </xf>
    <xf numFmtId="0" fontId="27" fillId="27" borderId="65" xfId="0" applyFont="1" applyFill="1" applyBorder="1" applyAlignment="1">
      <alignment horizontal="center" vertical="center" wrapText="1"/>
    </xf>
    <xf numFmtId="0" fontId="27" fillId="27" borderId="67" xfId="0" applyFont="1" applyFill="1" applyBorder="1" applyAlignment="1">
      <alignment horizontal="center" vertical="center" wrapText="1"/>
    </xf>
    <xf numFmtId="0" fontId="27" fillId="27" borderId="66" xfId="0" applyFont="1" applyFill="1" applyBorder="1" applyAlignment="1">
      <alignment horizontal="center" vertical="center" wrapText="1"/>
    </xf>
    <xf numFmtId="0" fontId="27" fillId="27" borderId="71" xfId="0" applyFont="1" applyFill="1" applyBorder="1" applyAlignment="1">
      <alignment horizontal="center" vertical="center" wrapText="1"/>
    </xf>
    <xf numFmtId="0" fontId="27" fillId="27" borderId="41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8" fillId="24" borderId="117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 vertical="top" wrapText="1"/>
    </xf>
    <xf numFmtId="0" fontId="28" fillId="24" borderId="29" xfId="0" applyFont="1" applyFill="1" applyBorder="1" applyAlignment="1">
      <alignment horizontal="center" wrapText="1"/>
    </xf>
    <xf numFmtId="0" fontId="28" fillId="24" borderId="23" xfId="0" applyFont="1" applyFill="1" applyBorder="1" applyAlignment="1">
      <alignment horizontal="center" wrapText="1"/>
    </xf>
    <xf numFmtId="0" fontId="28" fillId="24" borderId="24" xfId="0" applyFont="1" applyFill="1" applyBorder="1" applyAlignment="1">
      <alignment horizontal="center" wrapText="1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27" fillId="0" borderId="117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96" xfId="0" applyFont="1" applyBorder="1" applyAlignment="1">
      <alignment horizontal="center" vertical="center" textRotation="90" wrapText="1"/>
    </xf>
    <xf numFmtId="0" fontId="27" fillId="0" borderId="9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80" fontId="23" fillId="0" borderId="44" xfId="81" applyNumberFormat="1" applyFont="1" applyFill="1" applyBorder="1" applyAlignment="1">
      <alignment horizontal="left"/>
    </xf>
    <xf numFmtId="180" fontId="23" fillId="0" borderId="95" xfId="81" applyNumberFormat="1" applyFont="1" applyFill="1" applyBorder="1" applyAlignment="1">
      <alignment horizontal="left"/>
    </xf>
    <xf numFmtId="180" fontId="23" fillId="0" borderId="92" xfId="81" applyNumberFormat="1" applyFont="1" applyFill="1" applyBorder="1" applyAlignment="1">
      <alignment horizontal="left"/>
    </xf>
    <xf numFmtId="0" fontId="24" fillId="0" borderId="29" xfId="63" applyFont="1" applyFill="1" applyBorder="1" applyAlignment="1">
      <alignment horizontal="center"/>
    </xf>
    <xf numFmtId="0" fontId="24" fillId="0" borderId="23" xfId="63" applyFont="1" applyFill="1" applyBorder="1" applyAlignment="1">
      <alignment horizontal="center"/>
    </xf>
    <xf numFmtId="180" fontId="24" fillId="0" borderId="29" xfId="81" applyNumberFormat="1" applyFont="1" applyFill="1" applyBorder="1" applyAlignment="1"/>
    <xf numFmtId="180" fontId="24" fillId="0" borderId="23" xfId="81" applyNumberFormat="1" applyFont="1" applyFill="1" applyBorder="1" applyAlignment="1"/>
    <xf numFmtId="180" fontId="24" fillId="0" borderId="24" xfId="81" applyNumberFormat="1" applyFont="1" applyFill="1" applyBorder="1" applyAlignment="1"/>
    <xf numFmtId="0" fontId="46" fillId="0" borderId="0" xfId="0" applyFont="1" applyFill="1" applyAlignment="1">
      <alignment horizontal="center"/>
    </xf>
    <xf numFmtId="164" fontId="24" fillId="0" borderId="72" xfId="63" applyNumberFormat="1" applyFont="1" applyFill="1" applyBorder="1" applyAlignment="1">
      <alignment horizontal="center" vertical="center" wrapText="1"/>
    </xf>
    <xf numFmtId="164" fontId="24" fillId="0" borderId="28" xfId="63" applyNumberFormat="1" applyFont="1" applyFill="1" applyBorder="1" applyAlignment="1">
      <alignment horizontal="center" vertical="center" wrapText="1"/>
    </xf>
    <xf numFmtId="164" fontId="63" fillId="0" borderId="14" xfId="63" applyNumberFormat="1" applyFont="1" applyFill="1" applyBorder="1" applyAlignment="1">
      <alignment horizontal="right" vertical="center" wrapText="1"/>
    </xf>
    <xf numFmtId="164" fontId="63" fillId="0" borderId="37" xfId="63" applyNumberFormat="1" applyFont="1" applyFill="1" applyBorder="1" applyAlignment="1">
      <alignment horizontal="right" vertical="center" wrapText="1"/>
    </xf>
    <xf numFmtId="164" fontId="24" fillId="0" borderId="44" xfId="63" applyNumberFormat="1" applyFont="1" applyFill="1" applyBorder="1" applyAlignment="1">
      <alignment horizontal="right" vertical="center" wrapText="1"/>
    </xf>
    <xf numFmtId="164" fontId="24" fillId="0" borderId="95" xfId="63" applyNumberFormat="1" applyFont="1" applyFill="1" applyBorder="1" applyAlignment="1">
      <alignment horizontal="right" vertical="center" wrapText="1"/>
    </xf>
    <xf numFmtId="164" fontId="24" fillId="0" borderId="92" xfId="63" applyNumberFormat="1" applyFont="1" applyFill="1" applyBorder="1" applyAlignment="1">
      <alignment horizontal="right" vertical="center" wrapText="1"/>
    </xf>
    <xf numFmtId="164" fontId="60" fillId="0" borderId="20" xfId="63" applyNumberFormat="1" applyFont="1" applyFill="1" applyBorder="1" applyAlignment="1">
      <alignment horizontal="right" vertical="center" wrapText="1"/>
    </xf>
    <xf numFmtId="164" fontId="60" fillId="0" borderId="34" xfId="63" applyNumberFormat="1" applyFont="1" applyFill="1" applyBorder="1" applyAlignment="1">
      <alignment horizontal="right" vertical="center" wrapText="1"/>
    </xf>
    <xf numFmtId="164" fontId="61" fillId="0" borderId="20" xfId="63" applyNumberFormat="1" applyFont="1" applyFill="1" applyBorder="1"/>
    <xf numFmtId="164" fontId="61" fillId="0" borderId="34" xfId="63" applyNumberFormat="1" applyFont="1" applyFill="1" applyBorder="1"/>
    <xf numFmtId="164" fontId="39" fillId="0" borderId="44" xfId="63" applyNumberFormat="1" applyFont="1" applyFill="1" applyBorder="1" applyAlignment="1">
      <alignment horizontal="left"/>
    </xf>
    <xf numFmtId="164" fontId="39" fillId="0" borderId="95" xfId="63" applyNumberFormat="1" applyFont="1" applyFill="1" applyBorder="1" applyAlignment="1">
      <alignment horizontal="left"/>
    </xf>
    <xf numFmtId="164" fontId="39" fillId="0" borderId="92" xfId="63" applyNumberFormat="1" applyFont="1" applyFill="1" applyBorder="1" applyAlignment="1">
      <alignment horizontal="left"/>
    </xf>
    <xf numFmtId="164" fontId="39" fillId="0" borderId="44" xfId="81" applyNumberFormat="1" applyFont="1" applyFill="1" applyBorder="1" applyAlignment="1">
      <alignment horizontal="left"/>
    </xf>
    <xf numFmtId="164" fontId="39" fillId="0" borderId="95" xfId="81" applyNumberFormat="1" applyFont="1" applyFill="1" applyBorder="1" applyAlignment="1">
      <alignment horizontal="left"/>
    </xf>
    <xf numFmtId="164" fontId="39" fillId="0" borderId="92" xfId="81" applyNumberFormat="1" applyFont="1" applyFill="1" applyBorder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/>
    </xf>
    <xf numFmtId="0" fontId="28" fillId="24" borderId="0" xfId="0" applyFont="1" applyFill="1" applyAlignment="1">
      <alignment horizontal="center" wrapText="1"/>
    </xf>
    <xf numFmtId="0" fontId="56" fillId="24" borderId="137" xfId="67" applyFont="1" applyFill="1" applyBorder="1" applyAlignment="1">
      <alignment horizontal="center" vertical="center"/>
    </xf>
    <xf numFmtId="0" fontId="56" fillId="24" borderId="115" xfId="67" applyFont="1" applyFill="1" applyBorder="1" applyAlignment="1">
      <alignment horizontal="center" vertical="center"/>
    </xf>
    <xf numFmtId="0" fontId="56" fillId="24" borderId="138" xfId="67" applyFont="1" applyFill="1" applyBorder="1" applyAlignment="1">
      <alignment horizontal="left" vertical="center"/>
    </xf>
    <xf numFmtId="0" fontId="56" fillId="24" borderId="139" xfId="67" applyFont="1" applyFill="1" applyBorder="1" applyAlignment="1">
      <alignment horizontal="left" vertical="center"/>
    </xf>
    <xf numFmtId="0" fontId="56" fillId="24" borderId="140" xfId="67" applyFont="1" applyFill="1" applyBorder="1" applyAlignment="1">
      <alignment horizontal="left" vertical="center"/>
    </xf>
    <xf numFmtId="0" fontId="56" fillId="24" borderId="107" xfId="67" applyFont="1" applyFill="1" applyBorder="1" applyAlignment="1">
      <alignment horizontal="left" vertical="center"/>
    </xf>
    <xf numFmtId="0" fontId="56" fillId="24" borderId="108" xfId="67" applyFont="1" applyFill="1" applyBorder="1" applyAlignment="1">
      <alignment horizontal="left" vertical="center"/>
    </xf>
    <xf numFmtId="0" fontId="56" fillId="24" borderId="110" xfId="67" applyFont="1" applyFill="1" applyBorder="1" applyAlignment="1">
      <alignment horizontal="left" vertical="center"/>
    </xf>
    <xf numFmtId="0" fontId="56" fillId="24" borderId="141" xfId="67" applyFont="1" applyFill="1" applyBorder="1" applyAlignment="1">
      <alignment horizontal="left" vertical="center"/>
    </xf>
    <xf numFmtId="0" fontId="56" fillId="24" borderId="142" xfId="67" applyFont="1" applyFill="1" applyBorder="1" applyAlignment="1">
      <alignment horizontal="left" vertical="center"/>
    </xf>
    <xf numFmtId="0" fontId="56" fillId="24" borderId="143" xfId="67" applyFont="1" applyFill="1" applyBorder="1" applyAlignment="1">
      <alignment horizontal="left" vertical="center"/>
    </xf>
    <xf numFmtId="0" fontId="57" fillId="24" borderId="58" xfId="67" applyFont="1" applyFill="1" applyBorder="1" applyAlignment="1">
      <alignment horizontal="center" vertical="center"/>
    </xf>
    <xf numFmtId="0" fontId="57" fillId="24" borderId="137" xfId="67" applyFont="1" applyFill="1" applyBorder="1" applyAlignment="1">
      <alignment horizontal="center" vertical="center"/>
    </xf>
    <xf numFmtId="0" fontId="57" fillId="24" borderId="115" xfId="67" applyFont="1" applyFill="1" applyBorder="1" applyAlignment="1">
      <alignment horizontal="center" vertical="center"/>
    </xf>
    <xf numFmtId="0" fontId="56" fillId="24" borderId="10" xfId="67" applyFont="1" applyFill="1" applyBorder="1" applyAlignment="1">
      <alignment horizontal="center" vertical="center"/>
    </xf>
    <xf numFmtId="0" fontId="56" fillId="24" borderId="94" xfId="67" applyFont="1" applyFill="1" applyBorder="1" applyAlignment="1">
      <alignment horizontal="left" vertical="center"/>
    </xf>
    <xf numFmtId="0" fontId="56" fillId="24" borderId="14" xfId="67" applyFont="1" applyFill="1" applyBorder="1" applyAlignment="1">
      <alignment horizontal="left" vertical="center"/>
    </xf>
    <xf numFmtId="0" fontId="56" fillId="24" borderId="37" xfId="67" applyFont="1" applyFill="1" applyBorder="1" applyAlignment="1">
      <alignment horizontal="left" vertical="center"/>
    </xf>
    <xf numFmtId="0" fontId="56" fillId="24" borderId="69" xfId="67" applyFont="1" applyFill="1" applyBorder="1" applyAlignment="1">
      <alignment horizontal="left" vertical="center"/>
    </xf>
    <xf numFmtId="0" fontId="56" fillId="24" borderId="20" xfId="67" applyFont="1" applyFill="1" applyBorder="1" applyAlignment="1">
      <alignment horizontal="left" vertical="center"/>
    </xf>
    <xf numFmtId="0" fontId="56" fillId="24" borderId="34" xfId="67" applyFont="1" applyFill="1" applyBorder="1" applyAlignment="1">
      <alignment horizontal="left" vertical="center"/>
    </xf>
    <xf numFmtId="0" fontId="56" fillId="24" borderId="64" xfId="67" applyFont="1" applyFill="1" applyBorder="1" applyAlignment="1">
      <alignment horizontal="left" vertical="center"/>
    </xf>
    <xf numFmtId="0" fontId="56" fillId="24" borderId="67" xfId="67" applyFont="1" applyFill="1" applyBorder="1" applyAlignment="1">
      <alignment horizontal="left" vertical="center" wrapText="1"/>
    </xf>
    <xf numFmtId="0" fontId="28" fillId="24" borderId="10" xfId="75" applyFont="1" applyFill="1" applyBorder="1" applyAlignment="1">
      <alignment horizontal="center" vertical="center"/>
    </xf>
    <xf numFmtId="0" fontId="56" fillId="24" borderId="136" xfId="67" applyFont="1" applyFill="1" applyBorder="1" applyAlignment="1">
      <alignment horizontal="left" vertical="center"/>
    </xf>
    <xf numFmtId="0" fontId="56" fillId="24" borderId="17" xfId="67" applyFont="1" applyFill="1" applyBorder="1" applyAlignment="1">
      <alignment horizontal="left" vertical="center"/>
    </xf>
    <xf numFmtId="0" fontId="56" fillId="24" borderId="12" xfId="67" applyFont="1" applyFill="1" applyBorder="1" applyAlignment="1">
      <alignment horizontal="left" vertical="center"/>
    </xf>
    <xf numFmtId="0" fontId="57" fillId="24" borderId="29" xfId="67" applyFont="1" applyFill="1" applyBorder="1" applyAlignment="1">
      <alignment horizontal="center" vertical="center"/>
    </xf>
    <xf numFmtId="0" fontId="57" fillId="24" borderId="23" xfId="67" applyFont="1" applyFill="1" applyBorder="1" applyAlignment="1">
      <alignment horizontal="center" vertical="center"/>
    </xf>
    <xf numFmtId="0" fontId="57" fillId="24" borderId="24" xfId="67" applyFont="1" applyFill="1" applyBorder="1" applyAlignment="1">
      <alignment horizontal="center" vertical="center"/>
    </xf>
    <xf numFmtId="0" fontId="57" fillId="24" borderId="0" xfId="67" applyFont="1" applyFill="1" applyBorder="1" applyAlignment="1">
      <alignment horizontal="left"/>
    </xf>
    <xf numFmtId="0" fontId="93" fillId="24" borderId="0" xfId="0" applyFont="1" applyFill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93" fillId="24" borderId="11" xfId="0" applyFont="1" applyFill="1" applyBorder="1" applyAlignment="1">
      <alignment horizontal="center" vertical="center" wrapText="1"/>
    </xf>
    <xf numFmtId="174" fontId="23" fillId="24" borderId="0" xfId="70" applyNumberFormat="1" applyFont="1" applyFill="1" applyAlignment="1">
      <alignment horizontal="center" vertical="center" wrapText="1"/>
    </xf>
    <xf numFmtId="0" fontId="56" fillId="24" borderId="11" xfId="7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27" borderId="144" xfId="0" applyFill="1" applyBorder="1" applyAlignment="1">
      <alignment wrapText="1"/>
    </xf>
    <xf numFmtId="204" fontId="28" fillId="27" borderId="145" xfId="0" applyNumberFormat="1" applyFont="1" applyFill="1" applyBorder="1" applyAlignment="1">
      <alignment horizontal="left" vertical="center" wrapText="1" indent="2"/>
    </xf>
    <xf numFmtId="204" fontId="28" fillId="27" borderId="99" xfId="0" applyNumberFormat="1" applyFont="1" applyFill="1" applyBorder="1" applyAlignment="1">
      <alignment horizontal="left" vertical="center" wrapText="1" indent="2"/>
    </xf>
    <xf numFmtId="204" fontId="26" fillId="27" borderId="0" xfId="0" applyNumberFormat="1" applyFont="1" applyFill="1" applyAlignment="1">
      <alignment horizontal="center" vertical="center" wrapText="1"/>
    </xf>
    <xf numFmtId="204" fontId="28" fillId="27" borderId="123" xfId="0" applyNumberFormat="1" applyFont="1" applyFill="1" applyBorder="1" applyAlignment="1">
      <alignment horizontal="center" vertical="center" wrapText="1"/>
    </xf>
    <xf numFmtId="204" fontId="28" fillId="27" borderId="97" xfId="0" applyNumberFormat="1" applyFont="1" applyFill="1" applyBorder="1" applyAlignment="1">
      <alignment horizontal="center" vertical="center" wrapText="1"/>
    </xf>
    <xf numFmtId="204" fontId="28" fillId="27" borderId="124" xfId="0" applyNumberFormat="1" applyFont="1" applyFill="1" applyBorder="1" applyAlignment="1">
      <alignment horizontal="center" vertical="center"/>
    </xf>
    <xf numFmtId="204" fontId="28" fillId="27" borderId="10" xfId="0" applyNumberFormat="1" applyFont="1" applyFill="1" applyBorder="1" applyAlignment="1">
      <alignment horizontal="center" vertical="center"/>
    </xf>
    <xf numFmtId="204" fontId="28" fillId="27" borderId="124" xfId="0" applyNumberFormat="1" applyFont="1" applyFill="1" applyBorder="1" applyAlignment="1">
      <alignment horizontal="center" vertical="center" wrapText="1"/>
    </xf>
    <xf numFmtId="204" fontId="28" fillId="27" borderId="10" xfId="0" applyNumberFormat="1" applyFont="1" applyFill="1" applyBorder="1" applyAlignment="1">
      <alignment horizontal="center" vertical="center" wrapText="1"/>
    </xf>
    <xf numFmtId="204" fontId="28" fillId="27" borderId="126" xfId="0" applyNumberFormat="1" applyFont="1" applyFill="1" applyBorder="1" applyAlignment="1">
      <alignment horizontal="center" vertical="center"/>
    </xf>
    <xf numFmtId="204" fontId="28" fillId="27" borderId="98" xfId="0" applyNumberFormat="1" applyFont="1" applyFill="1" applyBorder="1" applyAlignment="1">
      <alignment horizontal="center" vertical="center"/>
    </xf>
    <xf numFmtId="0" fontId="79" fillId="0" borderId="0" xfId="64" applyFont="1" applyAlignment="1">
      <alignment horizontal="left" wrapText="1"/>
    </xf>
    <xf numFmtId="0" fontId="70" fillId="0" borderId="0" xfId="64" applyFont="1" applyAlignment="1">
      <alignment horizontal="center" wrapText="1"/>
    </xf>
    <xf numFmtId="0" fontId="70" fillId="0" borderId="0" xfId="64" applyFont="1" applyAlignment="1">
      <alignment horizontal="center"/>
    </xf>
    <xf numFmtId="3" fontId="72" fillId="0" borderId="10" xfId="64" applyNumberFormat="1" applyFont="1" applyBorder="1" applyAlignment="1">
      <alignment horizontal="center" vertical="center"/>
    </xf>
    <xf numFmtId="3" fontId="71" fillId="0" borderId="10" xfId="64" applyNumberFormat="1" applyFont="1" applyBorder="1" applyAlignment="1">
      <alignment horizontal="center" vertical="center"/>
    </xf>
    <xf numFmtId="3" fontId="73" fillId="0" borderId="10" xfId="64" applyNumberFormat="1" applyFont="1" applyBorder="1" applyAlignment="1">
      <alignment horizontal="center" vertical="center" wrapText="1"/>
    </xf>
    <xf numFmtId="3" fontId="73" fillId="0" borderId="66" xfId="64" applyNumberFormat="1" applyFont="1" applyBorder="1" applyAlignment="1">
      <alignment horizontal="center" vertical="center"/>
    </xf>
    <xf numFmtId="3" fontId="73" fillId="0" borderId="96" xfId="64" applyNumberFormat="1" applyFont="1" applyBorder="1" applyAlignment="1">
      <alignment horizontal="center" vertical="center"/>
    </xf>
    <xf numFmtId="3" fontId="73" fillId="0" borderId="71" xfId="64" applyNumberFormat="1" applyFont="1" applyBorder="1" applyAlignment="1">
      <alignment horizontal="center" vertical="center"/>
    </xf>
    <xf numFmtId="0" fontId="40" fillId="0" borderId="11" xfId="68" applyFont="1" applyFill="1" applyBorder="1" applyAlignment="1">
      <alignment horizontal="center" vertical="center" wrapText="1"/>
    </xf>
    <xf numFmtId="0" fontId="39" fillId="0" borderId="117" xfId="68" applyFont="1" applyBorder="1" applyAlignment="1">
      <alignment horizontal="center" vertical="center" wrapText="1"/>
    </xf>
    <xf numFmtId="0" fontId="39" fillId="0" borderId="27" xfId="68" applyFont="1" applyBorder="1" applyAlignment="1">
      <alignment horizontal="center" vertical="center" wrapText="1"/>
    </xf>
    <xf numFmtId="174" fontId="24" fillId="24" borderId="0" xfId="70" applyNumberFormat="1" applyFont="1" applyFill="1" applyAlignment="1">
      <alignment horizontal="center" vertical="center" wrapText="1"/>
    </xf>
    <xf numFmtId="174" fontId="57" fillId="24" borderId="146" xfId="70" applyNumberFormat="1" applyFont="1" applyFill="1" applyBorder="1" applyAlignment="1">
      <alignment vertical="center" wrapText="1"/>
    </xf>
    <xf numFmtId="0" fontId="40" fillId="0" borderId="147" xfId="68" applyFont="1" applyBorder="1" applyAlignment="1">
      <alignment vertical="center" wrapText="1"/>
    </xf>
    <xf numFmtId="0" fontId="40" fillId="0" borderId="148" xfId="68" applyFont="1" applyBorder="1" applyAlignment="1">
      <alignment vertical="center" wrapText="1"/>
    </xf>
    <xf numFmtId="0" fontId="40" fillId="0" borderId="149" xfId="68" applyFont="1" applyBorder="1" applyAlignment="1">
      <alignment vertical="center" wrapText="1"/>
    </xf>
    <xf numFmtId="0" fontId="40" fillId="0" borderId="150" xfId="68" applyFont="1" applyBorder="1" applyAlignment="1">
      <alignment vertical="center" wrapText="1"/>
    </xf>
    <xf numFmtId="0" fontId="40" fillId="0" borderId="151" xfId="68" applyFont="1" applyBorder="1" applyAlignment="1">
      <alignment vertical="center" wrapText="1"/>
    </xf>
    <xf numFmtId="0" fontId="81" fillId="24" borderId="117" xfId="70" applyFont="1" applyFill="1" applyBorder="1" applyAlignment="1">
      <alignment horizontal="center" vertical="center" wrapText="1"/>
    </xf>
    <xf numFmtId="0" fontId="81" fillId="24" borderId="27" xfId="70" applyFont="1" applyFill="1" applyBorder="1" applyAlignment="1">
      <alignment horizontal="center" vertical="center" wrapText="1"/>
    </xf>
    <xf numFmtId="0" fontId="81" fillId="24" borderId="35" xfId="70" applyFont="1" applyFill="1" applyBorder="1" applyAlignment="1">
      <alignment horizontal="center" vertical="center" wrapText="1"/>
    </xf>
    <xf numFmtId="0" fontId="28" fillId="0" borderId="10" xfId="70" applyFont="1" applyBorder="1" applyAlignment="1">
      <alignment horizontal="center" vertical="center" wrapText="1"/>
    </xf>
    <xf numFmtId="0" fontId="40" fillId="0" borderId="10" xfId="68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45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</cellXfs>
  <cellStyles count="91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Ezres" xfId="41" builtinId="3"/>
    <cellStyle name="Ezres 2" xfId="42"/>
    <cellStyle name="Ezres 2 2" xfId="43"/>
    <cellStyle name="Ezres 3" xfId="44"/>
    <cellStyle name="Ezres 4" xfId="45"/>
    <cellStyle name="Ezres 5" xfId="46"/>
    <cellStyle name="Ezres 5 2" xfId="47"/>
    <cellStyle name="Ezres 6" xfId="48"/>
    <cellStyle name="Ezres 7" xfId="49"/>
    <cellStyle name="Ezres 7 2" xfId="50"/>
    <cellStyle name="Ezres 7 3" xfId="51"/>
    <cellStyle name="Ezres 8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ál" xfId="0" builtinId="0"/>
    <cellStyle name="Normál 2" xfId="61"/>
    <cellStyle name="Normál 2 2" xfId="62"/>
    <cellStyle name="Normál 2 3" xfId="63"/>
    <cellStyle name="Normál 2 4" xfId="64"/>
    <cellStyle name="Normál 2_4.4.5 utca Könyvvizsgálói tábla" xfId="65"/>
    <cellStyle name="Normál 3" xfId="66"/>
    <cellStyle name="Normál 4" xfId="67"/>
    <cellStyle name="Normál 5" xfId="68"/>
    <cellStyle name="Normál 5 2" xfId="69"/>
    <cellStyle name="Normál 6" xfId="70"/>
    <cellStyle name="Normál 7" xfId="71"/>
    <cellStyle name="Normál 7 2" xfId="72"/>
    <cellStyle name="Normál 7 2 2" xfId="73"/>
    <cellStyle name="Normál 8" xfId="74"/>
    <cellStyle name="Normál_2005.2.a-2.etábl. terv" xfId="75"/>
    <cellStyle name="Note" xfId="76"/>
    <cellStyle name="Note 2" xfId="77"/>
    <cellStyle name="Output" xfId="78"/>
    <cellStyle name="Pénznem" xfId="79" builtinId="4"/>
    <cellStyle name="Pénznem 2" xfId="80"/>
    <cellStyle name="Pénznem 2 2" xfId="81"/>
    <cellStyle name="Pénznem 3" xfId="82"/>
    <cellStyle name="Pénznem 3 2" xfId="83"/>
    <cellStyle name="Százalék" xfId="84" builtinId="5"/>
    <cellStyle name="Százalék 2" xfId="85"/>
    <cellStyle name="Százalék 3" xfId="86"/>
    <cellStyle name="Százalék 3 2" xfId="87"/>
    <cellStyle name="Title" xfId="88"/>
    <cellStyle name="Total" xfId="89"/>
    <cellStyle name="Warning Text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Company%20Shared%20Folders\K&#246;z&#246;s\K&#201;PVISEL&#336;-TEST&#220;LET%20IRATAI\EL&#336;TERJESZT&#201;SEK\2015\2015.%2002.%2023\2.%20napirendi%20pont%202.%20mell&#233;kletem&#243;d&#225;llamivalv&#233;glegeseim&#243;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Users\Erika\AppData\Local\Temp\Rar$DIa0.800\2019.%20&#233;vi%20k&#246;lts&#233;gvet&#233;shez%20maradv&#225;ny\&#246;sszehasonl&#237;t&#243;%2001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P&#233;nz&#252;gy\2018\El&#337;ir&#225;nyzat%20m&#243;dos&#237;t&#225;s\janu&#225;r-m&#225;rcius%2031ig\2018.%20&#233;vi%20k&#246;lts&#233;gvet&#233;s%2005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K&#201;PVISEL&#336;-TEST&#220;LET%20IRATAI/EL&#336;TERJESZT&#201;SEK/2020/2020.%2002.%2024/3.%20sz.%20el&#337;terjeszt&#233;s%201.%20mell&#233;klete%20V&#201;GLEGES%20TEST&#220;LETIN%20ELFOGADOT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2017.%20k&#246;lts&#233;gvet&#233;s\3.%20napirendi%20pont%201.%20mell&#233;klete%20m&#243;dos&#237;tot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Users\gerstenbreinerika\Desktop\2019.%20&#201;VI%20K&#214;LTS&#201;GVET&#201;S\HAZAFEL&#201;p&#243;t1\2018.%2002.%2026\El&#337;sz&#246;r%20bevitt%202017%20&#233;s%202018.%20k&#246;lts&#233;gvet&#233;si%20rendelet\1.%20napirendi%20pont%20mell&#233;klete2018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sz.mell. Beruházások"/>
      <sheetName val="31.sz.mell. Felh.átadott pe"/>
      <sheetName val="32.sz.mell. Műk. tám I."/>
      <sheetName val="33.sz.mell. Műk. tám II."/>
      <sheetName val="34.sz.mell. Tartalékok"/>
      <sheetName val="35.sz.mell. Szociális"/>
      <sheetName val="36.sz.mell. Intézm.fin."/>
      <sheetName val="37.sz.mell.Felújítások"/>
      <sheetName val="1.sz.függelék Normatíva"/>
      <sheetName val="2.sz.függelék.Mérlegszerű"/>
      <sheetName val="3.sz.függelék.Ütemterv"/>
      <sheetName val="4.sz.függelék többéves "/>
      <sheetName val="5.sz.függelék.Hitelképesség"/>
      <sheetName val="6.szfüggelékEU-Szivárvány Óvoda"/>
      <sheetName val="7.sz.függ.Önkormány bev-kiad"/>
      <sheetName val="8.sz.függ.PMH bev-kiad"/>
      <sheetName val="9.sz.függ.Ter.Gond. "/>
      <sheetName val="10.sz.függ.Könyvtár "/>
      <sheetName val="11.sz.függ.Hétszínvirág Ó. (2)"/>
      <sheetName val="12.sz.függ.Mese Ó.  "/>
      <sheetName val="13.sz.függ.Bölcsőde"/>
      <sheetName val="14.sz.függ.Gyermekjóléti  "/>
      <sheetName val="15.sz.függ.Mindösszesen"/>
      <sheetName val="16.sz.függ.Közhat.be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ézmények"/>
      <sheetName val="maradvánnyal"/>
      <sheetName val="Munka1"/>
    </sheetNames>
    <sheetDataSet>
      <sheetData sheetId="0" refreshError="1"/>
      <sheetData sheetId="1" refreshError="1"/>
      <sheetData sheetId="2">
        <row r="94">
          <cell r="D94">
            <v>2351625349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Önkormányzat 2018. "/>
      <sheetName val="1. sz. Önkormányzat 2018. B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ség"/>
      <sheetName val="7.sz.tájék.táb.Likviditási terv"/>
      <sheetName val="8.sz.tájék.tábla Ütemterv"/>
      <sheetName val="9. sz. tájék.tábla EU-s pály."/>
      <sheetName val="10. sz.tájék.Nem EU-s pály."/>
      <sheetName val="1.sz.függ.Önkormány bev-kiad"/>
      <sheetName val="2.sz.függ.PMH bev-kiad"/>
      <sheetName val="3.sz.függ.Ter.Gond. "/>
      <sheetName val="4.sz.függ.Könyvtár "/>
      <sheetName val="5.sz.függ.Hétszínvirág Ó. "/>
      <sheetName val="6.sz.függ.Mese Ó.  "/>
      <sheetName val="7.sz.függ.Bölcsőde"/>
      <sheetName val="8.sz.függ.Gyermekjóléti  "/>
      <sheetName val="9.sz.függ.Szivárvány Ó."/>
      <sheetName val="10.sz.függ.József A.Műv.Ház"/>
      <sheetName val="11.sz.függ.Mindössze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sz. Önkormányzat 2020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 "/>
      <sheetName val="7.sz.tájék.táb.Likviditási terv"/>
      <sheetName val="8.sz.tájék.tábla Ütemterv"/>
      <sheetName val="9. sz. tájék.tábla EU-s pály."/>
      <sheetName val="10. sz.tájék.Nem EU-s pály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9">
          <cell r="G29">
            <v>10344621437</v>
          </cell>
        </row>
        <row r="39">
          <cell r="G39">
            <v>0</v>
          </cell>
        </row>
        <row r="44">
          <cell r="G44">
            <v>0</v>
          </cell>
        </row>
        <row r="45">
          <cell r="G4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sz.tájék.tábla Gördülő (2)"/>
      <sheetName val="1. sz. Önkormányzat 2016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Normatíva"/>
      <sheetName val="12.sz.mell. Létszámtábla"/>
      <sheetName val="1.sz.tájék.tábla Közvetett tám"/>
      <sheetName val="2.sz.tájék.tábla Mérlegszerű"/>
      <sheetName val="3.sz.tájék.tábla Gördülő"/>
      <sheetName val="4.sz.tájék.tábla Többéves"/>
      <sheetName val="5.sz.tájék.táb Adósságszolgálat"/>
      <sheetName val="6.sz.tájék.tábla Hitelképesség"/>
      <sheetName val="7.sz.tájék.táb.Likviditási terv"/>
      <sheetName val="8.sz.tájék.tábla Ütemterv"/>
      <sheetName val="9.sz.tájék.EUNapelemes korsz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Önkormányzat 2018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la Többéves"/>
      <sheetName val="5.sz.tájék.táb Adósságszolgálat"/>
      <sheetName val="6.sz.tájék.tábla Hitelképesség"/>
      <sheetName val="7.sz.tájék.táb.Likviditási terv"/>
      <sheetName val="8.sz.tájék.tábla Ütemterv"/>
      <sheetName val="Pályázatok"/>
      <sheetName val="Nem EUS"/>
      <sheetName val="Több é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N61"/>
  <sheetViews>
    <sheetView zoomScale="70" zoomScaleNormal="100" zoomScaleSheetLayoutView="70" workbookViewId="0">
      <pane xSplit="3" ySplit="7" topLeftCell="EE32" activePane="bottomRight" state="frozen"/>
      <selection pane="topRight" activeCell="D1" sqref="D1"/>
      <selection pane="bottomLeft" activeCell="A8" sqref="A8"/>
      <selection pane="bottomRight" activeCell="EF34" sqref="EF34"/>
    </sheetView>
  </sheetViews>
  <sheetFormatPr defaultColWidth="16.5703125" defaultRowHeight="15.75" x14ac:dyDescent="0.25"/>
  <cols>
    <col min="1" max="1" width="7" style="344" customWidth="1"/>
    <col min="2" max="2" width="69.5703125" style="316" customWidth="1"/>
    <col min="3" max="3" width="7.42578125" style="341" customWidth="1"/>
    <col min="4" max="4" width="17.7109375" style="316" customWidth="1"/>
    <col min="5" max="5" width="16.42578125" style="316" customWidth="1"/>
    <col min="6" max="7" width="19.28515625" style="316" customWidth="1"/>
    <col min="8" max="8" width="18.42578125" style="316" customWidth="1"/>
    <col min="9" max="10" width="19.140625" style="316" customWidth="1"/>
    <col min="11" max="11" width="19" style="316" customWidth="1"/>
    <col min="12" max="12" width="18.7109375" style="316" customWidth="1"/>
    <col min="13" max="13" width="17" style="316" customWidth="1"/>
    <col min="14" max="14" width="20.5703125" style="316" customWidth="1"/>
    <col min="15" max="15" width="17" style="316" customWidth="1"/>
    <col min="16" max="16" width="17" style="366" customWidth="1"/>
    <col min="17" max="17" width="18.42578125" style="316" customWidth="1"/>
    <col min="18" max="18" width="18.85546875" style="316" customWidth="1"/>
    <col min="19" max="19" width="18.28515625" style="317" customWidth="1"/>
    <col min="20" max="20" width="19.85546875" style="317" customWidth="1"/>
    <col min="21" max="21" width="19.140625" style="317" customWidth="1"/>
    <col min="22" max="22" width="20.5703125" style="317" customWidth="1"/>
    <col min="23" max="23" width="18.42578125" style="317" customWidth="1"/>
    <col min="24" max="25" width="18.28515625" style="316" customWidth="1"/>
    <col min="26" max="26" width="19.5703125" style="316" customWidth="1"/>
    <col min="27" max="27" width="18.85546875" style="316" customWidth="1"/>
    <col min="28" max="28" width="20.7109375" style="316" customWidth="1"/>
    <col min="29" max="29" width="17.85546875" style="316" customWidth="1"/>
    <col min="30" max="30" width="19.140625" style="316" customWidth="1"/>
    <col min="31" max="31" width="25.85546875" style="316" customWidth="1"/>
    <col min="32" max="32" width="25.5703125" style="317" customWidth="1"/>
    <col min="33" max="33" width="18.7109375" style="317" customWidth="1"/>
    <col min="34" max="34" width="18.140625" style="317" customWidth="1"/>
    <col min="35" max="35" width="19.42578125" style="317" customWidth="1"/>
    <col min="36" max="36" width="19.140625" style="316" customWidth="1"/>
    <col min="37" max="37" width="18.28515625" style="316" customWidth="1"/>
    <col min="38" max="38" width="18.140625" style="316" customWidth="1"/>
    <col min="39" max="39" width="17.28515625" style="317" customWidth="1"/>
    <col min="40" max="40" width="17.28515625" style="316" customWidth="1"/>
    <col min="41" max="41" width="17.42578125" style="316" customWidth="1"/>
    <col min="42" max="43" width="18.140625" style="316" customWidth="1"/>
    <col min="44" max="44" width="18.28515625" style="317" customWidth="1"/>
    <col min="45" max="45" width="18.7109375" style="316" customWidth="1"/>
    <col min="46" max="46" width="18.140625" style="316" customWidth="1"/>
    <col min="47" max="48" width="17" style="316" customWidth="1"/>
    <col min="49" max="49" width="24" style="316" customWidth="1"/>
    <col min="50" max="50" width="17.7109375" style="316" customWidth="1"/>
    <col min="51" max="51" width="18" style="316" customWidth="1"/>
    <col min="52" max="52" width="18.7109375" style="316" customWidth="1"/>
    <col min="53" max="54" width="19.42578125" style="317" customWidth="1"/>
    <col min="55" max="55" width="17.5703125" style="316" customWidth="1"/>
    <col min="56" max="56" width="18.140625" style="316" customWidth="1"/>
    <col min="57" max="58" width="18.140625" style="317" customWidth="1"/>
    <col min="59" max="59" width="18.7109375" style="366" customWidth="1"/>
    <col min="60" max="60" width="17.7109375" style="316" customWidth="1"/>
    <col min="61" max="63" width="17.42578125" style="316" customWidth="1"/>
    <col min="64" max="64" width="19.85546875" style="316" customWidth="1"/>
    <col min="65" max="65" width="18.85546875" style="316" customWidth="1"/>
    <col min="66" max="66" width="19.28515625" style="366" customWidth="1"/>
    <col min="67" max="67" width="17.140625" style="316" customWidth="1"/>
    <col min="68" max="68" width="18.140625" style="316" customWidth="1"/>
    <col min="69" max="69" width="17.5703125" style="316" customWidth="1"/>
    <col min="70" max="70" width="18.140625" style="316" customWidth="1"/>
    <col min="71" max="72" width="22.140625" style="316" customWidth="1"/>
    <col min="73" max="73" width="21.7109375" style="316" customWidth="1"/>
    <col min="74" max="74" width="15.85546875" style="316" customWidth="1"/>
    <col min="75" max="75" width="18.7109375" style="316" customWidth="1"/>
    <col min="76" max="76" width="19.5703125" style="316" customWidth="1"/>
    <col min="77" max="79" width="19.28515625" style="316" customWidth="1"/>
    <col min="80" max="80" width="17.7109375" style="366" customWidth="1"/>
    <col min="81" max="81" width="18.7109375" style="317" customWidth="1"/>
    <col min="82" max="83" width="21" style="317" customWidth="1"/>
    <col min="84" max="84" width="19.140625" style="317" customWidth="1"/>
    <col min="85" max="85" width="17.5703125" style="317" customWidth="1"/>
    <col min="86" max="86" width="18.7109375" style="317" customWidth="1"/>
    <col min="87" max="89" width="17.85546875" style="316" customWidth="1"/>
    <col min="90" max="91" width="19.42578125" style="317" customWidth="1"/>
    <col min="92" max="92" width="20.7109375" style="371" customWidth="1"/>
    <col min="93" max="93" width="20.85546875" style="371" customWidth="1"/>
    <col min="94" max="94" width="21.28515625" style="371" customWidth="1"/>
    <col min="95" max="95" width="21.7109375" style="371" customWidth="1"/>
    <col min="96" max="96" width="21.28515625" style="371" customWidth="1"/>
    <col min="97" max="97" width="17" style="316" customWidth="1"/>
    <col min="98" max="98" width="22.5703125" style="316" customWidth="1"/>
    <col min="99" max="99" width="17.85546875" style="316" customWidth="1"/>
    <col min="100" max="101" width="19.42578125" style="317" customWidth="1"/>
    <col min="102" max="104" width="18.42578125" style="317" customWidth="1"/>
    <col min="105" max="105" width="19.85546875" style="317" customWidth="1"/>
    <col min="106" max="107" width="19.5703125" style="317" customWidth="1"/>
    <col min="108" max="108" width="20.5703125" style="317" customWidth="1"/>
    <col min="109" max="109" width="21" style="316" customWidth="1"/>
    <col min="110" max="110" width="19" style="316" customWidth="1"/>
    <col min="111" max="111" width="22" style="316" customWidth="1"/>
    <col min="112" max="112" width="20.5703125" style="316" customWidth="1"/>
    <col min="113" max="113" width="19" style="316" customWidth="1"/>
    <col min="114" max="115" width="18" style="316" customWidth="1"/>
    <col min="116" max="118" width="18.28515625" style="316" customWidth="1"/>
    <col min="119" max="119" width="18.85546875" style="316" customWidth="1"/>
    <col min="120" max="120" width="23.140625" style="316" customWidth="1"/>
    <col min="121" max="121" width="18.7109375" style="316" customWidth="1"/>
    <col min="122" max="122" width="18.28515625" style="316" customWidth="1"/>
    <col min="123" max="123" width="19.28515625" style="316" customWidth="1"/>
    <col min="124" max="124" width="18" style="316" customWidth="1"/>
    <col min="125" max="125" width="20.140625" style="356" customWidth="1"/>
    <col min="126" max="126" width="19" style="356" customWidth="1"/>
    <col min="127" max="127" width="23.140625" style="317" customWidth="1"/>
    <col min="128" max="129" width="18.42578125" style="316" customWidth="1"/>
    <col min="130" max="130" width="19.42578125" style="316" customWidth="1"/>
    <col min="131" max="131" width="18.5703125" style="316" customWidth="1"/>
    <col min="132" max="132" width="18.85546875" style="316" customWidth="1"/>
    <col min="133" max="134" width="19.85546875" style="316" customWidth="1"/>
    <col min="135" max="135" width="18.85546875" style="316" customWidth="1"/>
    <col min="136" max="136" width="21.42578125" style="316" customWidth="1"/>
    <col min="137" max="137" width="22" style="316" customWidth="1"/>
    <col min="138" max="138" width="20.140625" style="316" customWidth="1"/>
    <col min="139" max="139" width="19.85546875" style="316" customWidth="1"/>
    <col min="140" max="140" width="20.5703125" style="316" customWidth="1"/>
    <col min="141" max="141" width="19.42578125" style="316" customWidth="1"/>
    <col min="142" max="142" width="20.7109375" style="316" customWidth="1"/>
    <col min="143" max="143" width="18.42578125" style="316" bestFit="1" customWidth="1"/>
    <col min="144" max="144" width="16.5703125" style="316" bestFit="1"/>
    <col min="145" max="16384" width="16.5703125" style="316"/>
  </cols>
  <sheetData>
    <row r="1" spans="1:144" ht="22.5" customHeight="1" x14ac:dyDescent="0.25">
      <c r="A1" s="314"/>
      <c r="B1" s="314"/>
      <c r="C1" s="315"/>
      <c r="D1" s="373"/>
      <c r="E1" s="358"/>
      <c r="F1" s="358"/>
      <c r="G1" s="358" t="s">
        <v>458</v>
      </c>
      <c r="H1" s="358"/>
      <c r="I1" s="358"/>
      <c r="J1" s="358"/>
      <c r="K1" s="358" t="s">
        <v>458</v>
      </c>
      <c r="L1" s="358"/>
      <c r="M1" s="358"/>
      <c r="N1" s="358"/>
      <c r="O1" s="358" t="s">
        <v>458</v>
      </c>
      <c r="P1" s="358"/>
      <c r="Q1" s="358"/>
      <c r="R1" s="358"/>
      <c r="S1" s="358"/>
      <c r="T1" s="358" t="s">
        <v>458</v>
      </c>
      <c r="U1" s="358"/>
      <c r="V1" s="358"/>
      <c r="W1" s="358"/>
      <c r="X1" s="358" t="s">
        <v>458</v>
      </c>
      <c r="Y1" s="366"/>
      <c r="Z1" s="358"/>
      <c r="AA1" s="358"/>
      <c r="AB1" s="358" t="s">
        <v>458</v>
      </c>
      <c r="AC1" s="358"/>
      <c r="AD1" s="358"/>
      <c r="AE1" s="358"/>
      <c r="AF1" s="358" t="s">
        <v>458</v>
      </c>
      <c r="AG1" s="358"/>
      <c r="AH1" s="358"/>
      <c r="AI1" s="358"/>
      <c r="AJ1" s="358" t="s">
        <v>458</v>
      </c>
      <c r="AK1" s="358"/>
      <c r="AL1" s="358"/>
      <c r="AM1" s="358"/>
      <c r="AN1" s="358" t="s">
        <v>458</v>
      </c>
      <c r="AO1" s="358"/>
      <c r="AP1" s="358"/>
      <c r="AQ1" s="358"/>
      <c r="AR1" s="358" t="s">
        <v>458</v>
      </c>
      <c r="AS1" s="358"/>
      <c r="AT1" s="358"/>
      <c r="AU1" s="366"/>
      <c r="AV1" s="358" t="s">
        <v>458</v>
      </c>
      <c r="AW1" s="358"/>
      <c r="AX1" s="358"/>
      <c r="AY1" s="358"/>
      <c r="AZ1" s="358" t="s">
        <v>458</v>
      </c>
      <c r="BA1" s="358"/>
      <c r="BB1" s="358"/>
      <c r="BC1" s="358"/>
      <c r="BD1" s="358" t="s">
        <v>458</v>
      </c>
      <c r="BE1" s="358"/>
      <c r="BF1" s="358"/>
      <c r="BG1" s="358"/>
      <c r="BH1" s="358" t="s">
        <v>458</v>
      </c>
      <c r="BI1" s="358"/>
      <c r="BJ1" s="358"/>
      <c r="BK1" s="358"/>
      <c r="BL1" s="358" t="s">
        <v>458</v>
      </c>
      <c r="BM1" s="358"/>
      <c r="BN1" s="358"/>
      <c r="BO1" s="358"/>
      <c r="BP1" s="358" t="s">
        <v>458</v>
      </c>
      <c r="BQ1" s="358"/>
      <c r="BR1" s="358"/>
      <c r="BS1" s="358"/>
      <c r="BT1" s="358" t="s">
        <v>458</v>
      </c>
      <c r="BU1" s="358"/>
      <c r="BV1" s="358"/>
      <c r="BW1" s="358"/>
      <c r="BX1" s="358" t="s">
        <v>458</v>
      </c>
      <c r="BY1" s="358"/>
      <c r="BZ1" s="358"/>
      <c r="CA1" s="366"/>
      <c r="CB1" s="358" t="s">
        <v>458</v>
      </c>
      <c r="CC1" s="358"/>
      <c r="CD1" s="358"/>
      <c r="CE1" s="358"/>
      <c r="CF1" s="358" t="s">
        <v>458</v>
      </c>
      <c r="CG1" s="358"/>
      <c r="CH1" s="358"/>
      <c r="CI1" s="358"/>
      <c r="CJ1" s="358" t="s">
        <v>458</v>
      </c>
      <c r="CK1" s="358"/>
      <c r="CL1" s="358"/>
      <c r="CM1" s="358"/>
      <c r="CN1" s="358"/>
      <c r="CO1" s="358" t="s">
        <v>458</v>
      </c>
      <c r="CP1" s="358"/>
      <c r="CQ1" s="358"/>
      <c r="CR1" s="358"/>
      <c r="CS1" s="358" t="s">
        <v>458</v>
      </c>
      <c r="CT1" s="358"/>
      <c r="CU1" s="358"/>
      <c r="CW1" s="358" t="s">
        <v>458</v>
      </c>
      <c r="CX1" s="358"/>
      <c r="CY1" s="358"/>
      <c r="CZ1" s="358"/>
      <c r="DA1" s="358"/>
      <c r="DC1" s="358" t="s">
        <v>458</v>
      </c>
      <c r="DD1" s="358"/>
      <c r="DG1" s="358" t="s">
        <v>458</v>
      </c>
      <c r="DH1" s="358"/>
      <c r="DK1" s="358" t="s">
        <v>458</v>
      </c>
      <c r="DO1" s="358" t="s">
        <v>458</v>
      </c>
      <c r="DS1" s="358" t="s">
        <v>458</v>
      </c>
      <c r="DU1" s="366"/>
      <c r="DV1" s="358"/>
      <c r="DW1" s="358" t="s">
        <v>458</v>
      </c>
      <c r="DY1" s="358"/>
      <c r="DZ1" s="358" t="s">
        <v>458</v>
      </c>
      <c r="EA1" s="358"/>
      <c r="EC1" s="358" t="s">
        <v>458</v>
      </c>
      <c r="EF1" s="358" t="s">
        <v>458</v>
      </c>
      <c r="EK1" s="358" t="s">
        <v>458</v>
      </c>
    </row>
    <row r="2" spans="1:144" ht="36" customHeight="1" x14ac:dyDescent="0.25">
      <c r="A2" s="1082" t="s">
        <v>267</v>
      </c>
      <c r="B2" s="1082"/>
      <c r="C2" s="1082"/>
      <c r="D2" s="359" t="s">
        <v>289</v>
      </c>
      <c r="E2" s="359" t="s">
        <v>289</v>
      </c>
      <c r="F2" s="359" t="s">
        <v>289</v>
      </c>
      <c r="G2" s="359" t="s">
        <v>289</v>
      </c>
      <c r="H2" s="359" t="s">
        <v>289</v>
      </c>
      <c r="I2" s="359" t="s">
        <v>289</v>
      </c>
      <c r="J2" s="359" t="s">
        <v>289</v>
      </c>
      <c r="K2" s="359" t="s">
        <v>289</v>
      </c>
      <c r="L2" s="359" t="s">
        <v>289</v>
      </c>
      <c r="M2" s="359" t="s">
        <v>289</v>
      </c>
      <c r="N2" s="359" t="s">
        <v>289</v>
      </c>
      <c r="O2" s="359" t="s">
        <v>289</v>
      </c>
      <c r="P2" s="359" t="s">
        <v>289</v>
      </c>
      <c r="Q2" s="359" t="s">
        <v>289</v>
      </c>
      <c r="R2" s="359" t="s">
        <v>289</v>
      </c>
      <c r="S2" s="359" t="s">
        <v>289</v>
      </c>
      <c r="T2" s="359" t="s">
        <v>289</v>
      </c>
      <c r="U2" s="359" t="s">
        <v>289</v>
      </c>
      <c r="V2" s="359" t="s">
        <v>289</v>
      </c>
      <c r="W2" s="359" t="s">
        <v>289</v>
      </c>
      <c r="X2" s="359" t="s">
        <v>289</v>
      </c>
      <c r="Y2" s="359" t="s">
        <v>289</v>
      </c>
      <c r="Z2" s="359" t="s">
        <v>289</v>
      </c>
      <c r="AA2" s="359" t="s">
        <v>289</v>
      </c>
      <c r="AB2" s="359" t="s">
        <v>289</v>
      </c>
      <c r="AC2" s="359" t="s">
        <v>289</v>
      </c>
      <c r="AD2" s="359" t="s">
        <v>289</v>
      </c>
      <c r="AE2" s="359" t="s">
        <v>289</v>
      </c>
      <c r="AF2" s="359" t="s">
        <v>289</v>
      </c>
      <c r="AG2" s="359" t="s">
        <v>289</v>
      </c>
      <c r="AH2" s="359" t="s">
        <v>289</v>
      </c>
      <c r="AI2" s="359" t="s">
        <v>289</v>
      </c>
      <c r="AJ2" s="359" t="s">
        <v>289</v>
      </c>
      <c r="AK2" s="359" t="s">
        <v>289</v>
      </c>
      <c r="AL2" s="359" t="s">
        <v>289</v>
      </c>
      <c r="AM2" s="359" t="s">
        <v>289</v>
      </c>
      <c r="AN2" s="359" t="s">
        <v>289</v>
      </c>
      <c r="AO2" s="359" t="s">
        <v>289</v>
      </c>
      <c r="AP2" s="359" t="s">
        <v>289</v>
      </c>
      <c r="AQ2" s="359" t="s">
        <v>289</v>
      </c>
      <c r="AR2" s="359" t="s">
        <v>289</v>
      </c>
      <c r="AS2" s="359" t="s">
        <v>289</v>
      </c>
      <c r="AT2" s="359" t="s">
        <v>289</v>
      </c>
      <c r="AU2" s="359" t="s">
        <v>289</v>
      </c>
      <c r="AV2" s="359" t="s">
        <v>289</v>
      </c>
      <c r="AW2" s="359" t="s">
        <v>289</v>
      </c>
      <c r="AX2" s="359" t="s">
        <v>289</v>
      </c>
      <c r="AY2" s="359" t="s">
        <v>289</v>
      </c>
      <c r="AZ2" s="359" t="s">
        <v>289</v>
      </c>
      <c r="BA2" s="359" t="s">
        <v>289</v>
      </c>
      <c r="BB2" s="359" t="s">
        <v>289</v>
      </c>
      <c r="BC2" s="359" t="s">
        <v>289</v>
      </c>
      <c r="BD2" s="359" t="s">
        <v>289</v>
      </c>
      <c r="BE2" s="359" t="s">
        <v>289</v>
      </c>
      <c r="BF2" s="359" t="s">
        <v>289</v>
      </c>
      <c r="BG2" s="359" t="s">
        <v>289</v>
      </c>
      <c r="BH2" s="359" t="s">
        <v>289</v>
      </c>
      <c r="BI2" s="359" t="s">
        <v>289</v>
      </c>
      <c r="BJ2" s="359" t="s">
        <v>289</v>
      </c>
      <c r="BK2" s="359" t="s">
        <v>289</v>
      </c>
      <c r="BL2" s="359" t="s">
        <v>289</v>
      </c>
      <c r="BM2" s="359" t="s">
        <v>289</v>
      </c>
      <c r="BN2" s="359" t="s">
        <v>289</v>
      </c>
      <c r="BO2" s="359" t="s">
        <v>289</v>
      </c>
      <c r="BP2" s="359" t="s">
        <v>289</v>
      </c>
      <c r="BQ2" s="359" t="s">
        <v>289</v>
      </c>
      <c r="BR2" s="359" t="s">
        <v>289</v>
      </c>
      <c r="BS2" s="359" t="s">
        <v>289</v>
      </c>
      <c r="BT2" s="359" t="s">
        <v>289</v>
      </c>
      <c r="BU2" s="359" t="s">
        <v>289</v>
      </c>
      <c r="BV2" s="359" t="s">
        <v>289</v>
      </c>
      <c r="BW2" s="359" t="s">
        <v>289</v>
      </c>
      <c r="BX2" s="359" t="s">
        <v>289</v>
      </c>
      <c r="BY2" s="359" t="s">
        <v>289</v>
      </c>
      <c r="BZ2" s="359" t="s">
        <v>289</v>
      </c>
      <c r="CA2" s="359" t="s">
        <v>289</v>
      </c>
      <c r="CB2" s="359" t="s">
        <v>289</v>
      </c>
      <c r="CC2" s="359" t="s">
        <v>289</v>
      </c>
      <c r="CD2" s="359" t="s">
        <v>289</v>
      </c>
      <c r="CE2" s="359" t="s">
        <v>289</v>
      </c>
      <c r="CF2" s="359" t="s">
        <v>289</v>
      </c>
      <c r="CG2" s="359" t="s">
        <v>289</v>
      </c>
      <c r="CH2" s="359" t="s">
        <v>289</v>
      </c>
      <c r="CI2" s="359" t="s">
        <v>289</v>
      </c>
      <c r="CJ2" s="359" t="s">
        <v>289</v>
      </c>
      <c r="CK2" s="359" t="s">
        <v>289</v>
      </c>
      <c r="CL2" s="359" t="s">
        <v>289</v>
      </c>
      <c r="CM2" s="359" t="s">
        <v>289</v>
      </c>
      <c r="CN2" s="359" t="s">
        <v>289</v>
      </c>
      <c r="CO2" s="359" t="s">
        <v>289</v>
      </c>
      <c r="CP2" s="359" t="s">
        <v>289</v>
      </c>
      <c r="CQ2" s="359" t="s">
        <v>289</v>
      </c>
      <c r="CR2" s="359" t="s">
        <v>289</v>
      </c>
      <c r="CS2" s="359" t="s">
        <v>289</v>
      </c>
      <c r="CT2" s="359" t="s">
        <v>289</v>
      </c>
      <c r="CU2" s="359" t="s">
        <v>289</v>
      </c>
      <c r="CV2" s="359" t="s">
        <v>289</v>
      </c>
      <c r="CW2" s="359" t="s">
        <v>289</v>
      </c>
      <c r="CX2" s="359" t="s">
        <v>289</v>
      </c>
      <c r="CY2" s="359" t="s">
        <v>289</v>
      </c>
      <c r="CZ2" s="359" t="s">
        <v>289</v>
      </c>
      <c r="DA2" s="359" t="s">
        <v>289</v>
      </c>
      <c r="DB2" s="359" t="s">
        <v>289</v>
      </c>
      <c r="DC2" s="359" t="s">
        <v>289</v>
      </c>
      <c r="DD2" s="359" t="s">
        <v>289</v>
      </c>
      <c r="DE2" s="359" t="s">
        <v>289</v>
      </c>
      <c r="DF2" s="359" t="s">
        <v>289</v>
      </c>
      <c r="DG2" s="359" t="s">
        <v>289</v>
      </c>
      <c r="DH2" s="359" t="s">
        <v>289</v>
      </c>
      <c r="DI2" s="359" t="s">
        <v>289</v>
      </c>
      <c r="DJ2" s="359" t="s">
        <v>289</v>
      </c>
      <c r="DK2" s="359" t="s">
        <v>289</v>
      </c>
      <c r="DL2" s="359" t="s">
        <v>289</v>
      </c>
      <c r="DM2" s="359" t="s">
        <v>289</v>
      </c>
      <c r="DN2" s="359" t="s">
        <v>289</v>
      </c>
      <c r="DO2" s="359" t="s">
        <v>289</v>
      </c>
      <c r="DP2" s="359" t="s">
        <v>289</v>
      </c>
      <c r="DQ2" s="359" t="s">
        <v>289</v>
      </c>
      <c r="DR2" s="359" t="s">
        <v>289</v>
      </c>
      <c r="DS2" s="359" t="s">
        <v>289</v>
      </c>
      <c r="DT2" s="359" t="s">
        <v>289</v>
      </c>
      <c r="DU2" s="359" t="s">
        <v>289</v>
      </c>
      <c r="DV2" s="359" t="s">
        <v>289</v>
      </c>
      <c r="DW2" s="359" t="s">
        <v>289</v>
      </c>
      <c r="DX2" s="359" t="s">
        <v>289</v>
      </c>
      <c r="DY2" s="359" t="s">
        <v>289</v>
      </c>
      <c r="DZ2" s="359" t="s">
        <v>289</v>
      </c>
      <c r="EA2" s="359" t="s">
        <v>289</v>
      </c>
      <c r="EB2" s="359" t="s">
        <v>289</v>
      </c>
      <c r="EC2" s="359" t="s">
        <v>289</v>
      </c>
      <c r="ED2" s="359" t="s">
        <v>289</v>
      </c>
      <c r="EE2" s="359" t="s">
        <v>289</v>
      </c>
      <c r="EF2" s="359" t="s">
        <v>289</v>
      </c>
      <c r="EG2" s="1075" t="s">
        <v>289</v>
      </c>
      <c r="EH2" s="1075"/>
      <c r="EI2" s="1075"/>
      <c r="EJ2" s="1075"/>
      <c r="EK2" s="1075" t="s">
        <v>1509</v>
      </c>
      <c r="EL2" s="318"/>
    </row>
    <row r="3" spans="1:144" ht="134.25" customHeight="1" x14ac:dyDescent="0.25">
      <c r="A3" s="1083" t="s">
        <v>201</v>
      </c>
      <c r="B3" s="1082" t="s">
        <v>259</v>
      </c>
      <c r="C3" s="1082"/>
      <c r="D3" s="85" t="s">
        <v>385</v>
      </c>
      <c r="E3" s="85" t="s">
        <v>512</v>
      </c>
      <c r="F3" s="85" t="s">
        <v>659</v>
      </c>
      <c r="G3" s="85" t="s">
        <v>659</v>
      </c>
      <c r="H3" s="85" t="s">
        <v>449</v>
      </c>
      <c r="I3" s="85" t="s">
        <v>957</v>
      </c>
      <c r="J3" s="85" t="s">
        <v>662</v>
      </c>
      <c r="K3" s="359" t="s">
        <v>387</v>
      </c>
      <c r="L3" s="359" t="s">
        <v>387</v>
      </c>
      <c r="M3" s="359" t="s">
        <v>386</v>
      </c>
      <c r="N3" s="359" t="s">
        <v>529</v>
      </c>
      <c r="O3" s="85" t="s">
        <v>965</v>
      </c>
      <c r="P3" s="85" t="s">
        <v>1028</v>
      </c>
      <c r="Q3" s="357" t="s">
        <v>349</v>
      </c>
      <c r="R3" s="357" t="s">
        <v>349</v>
      </c>
      <c r="S3" s="85" t="s">
        <v>390</v>
      </c>
      <c r="T3" s="85" t="s">
        <v>389</v>
      </c>
      <c r="U3" s="85" t="s">
        <v>891</v>
      </c>
      <c r="V3" s="85" t="s">
        <v>389</v>
      </c>
      <c r="W3" s="85" t="s">
        <v>388</v>
      </c>
      <c r="X3" s="85" t="s">
        <v>958</v>
      </c>
      <c r="Y3" s="85" t="s">
        <v>262</v>
      </c>
      <c r="Z3" s="85" t="s">
        <v>890</v>
      </c>
      <c r="AA3" s="85" t="s">
        <v>402</v>
      </c>
      <c r="AB3" s="85" t="s">
        <v>268</v>
      </c>
      <c r="AC3" s="85" t="s">
        <v>400</v>
      </c>
      <c r="AD3" s="85" t="s">
        <v>439</v>
      </c>
      <c r="AE3" s="85" t="s">
        <v>557</v>
      </c>
      <c r="AF3" s="85" t="s">
        <v>399</v>
      </c>
      <c r="AG3" s="85" t="s">
        <v>399</v>
      </c>
      <c r="AH3" s="85" t="s">
        <v>514</v>
      </c>
      <c r="AI3" s="85" t="s">
        <v>453</v>
      </c>
      <c r="AJ3" s="85" t="s">
        <v>441</v>
      </c>
      <c r="AK3" s="85" t="s">
        <v>398</v>
      </c>
      <c r="AL3" s="85" t="s">
        <v>785</v>
      </c>
      <c r="AM3" s="85" t="s">
        <v>263</v>
      </c>
      <c r="AN3" s="85" t="s">
        <v>436</v>
      </c>
      <c r="AO3" s="85" t="s">
        <v>269</v>
      </c>
      <c r="AP3" s="85" t="s">
        <v>397</v>
      </c>
      <c r="AQ3" s="85" t="s">
        <v>515</v>
      </c>
      <c r="AR3" s="85" t="s">
        <v>443</v>
      </c>
      <c r="AS3" s="85" t="s">
        <v>396</v>
      </c>
      <c r="AT3" s="85" t="s">
        <v>264</v>
      </c>
      <c r="AU3" s="85" t="s">
        <v>505</v>
      </c>
      <c r="AV3" s="85" t="s">
        <v>505</v>
      </c>
      <c r="AW3" s="85" t="s">
        <v>395</v>
      </c>
      <c r="AX3" s="85" t="s">
        <v>394</v>
      </c>
      <c r="AY3" s="85" t="s">
        <v>393</v>
      </c>
      <c r="AZ3" s="85" t="s">
        <v>959</v>
      </c>
      <c r="BA3" s="85" t="s">
        <v>646</v>
      </c>
      <c r="BB3" s="85" t="s">
        <v>964</v>
      </c>
      <c r="BC3" s="85" t="s">
        <v>788</v>
      </c>
      <c r="BD3" s="85" t="s">
        <v>961</v>
      </c>
      <c r="BE3" s="85" t="s">
        <v>960</v>
      </c>
      <c r="BF3" s="85" t="s">
        <v>453</v>
      </c>
      <c r="BG3" s="372" t="s">
        <v>552</v>
      </c>
      <c r="BH3" s="372" t="s">
        <v>580</v>
      </c>
      <c r="BI3" s="372" t="s">
        <v>580</v>
      </c>
      <c r="BJ3" s="372" t="s">
        <v>578</v>
      </c>
      <c r="BK3" s="372" t="s">
        <v>578</v>
      </c>
      <c r="BL3" s="85" t="s">
        <v>392</v>
      </c>
      <c r="BM3" s="85" t="s">
        <v>445</v>
      </c>
      <c r="BN3" s="85" t="s">
        <v>444</v>
      </c>
      <c r="BO3" s="85" t="s">
        <v>446</v>
      </c>
      <c r="BP3" s="85" t="s">
        <v>676</v>
      </c>
      <c r="BQ3" s="372" t="s">
        <v>550</v>
      </c>
      <c r="BR3" s="85" t="s">
        <v>692</v>
      </c>
      <c r="BS3" s="85" t="s">
        <v>789</v>
      </c>
      <c r="BT3" s="85" t="s">
        <v>790</v>
      </c>
      <c r="BU3" s="85" t="s">
        <v>791</v>
      </c>
      <c r="BV3" s="85" t="s">
        <v>794</v>
      </c>
      <c r="BW3" s="85" t="s">
        <v>877</v>
      </c>
      <c r="BX3" s="85" t="s">
        <v>290</v>
      </c>
      <c r="BY3" s="85" t="s">
        <v>526</v>
      </c>
      <c r="BZ3" s="357" t="s">
        <v>188</v>
      </c>
      <c r="CA3" s="85" t="s">
        <v>601</v>
      </c>
      <c r="CB3" s="372" t="s">
        <v>1462</v>
      </c>
      <c r="CC3" s="85" t="s">
        <v>290</v>
      </c>
      <c r="CD3" s="374" t="s">
        <v>956</v>
      </c>
      <c r="CE3" s="357" t="s">
        <v>349</v>
      </c>
      <c r="CF3" s="372" t="s">
        <v>962</v>
      </c>
      <c r="CG3" s="375" t="s">
        <v>613</v>
      </c>
      <c r="CH3" s="85" t="s">
        <v>369</v>
      </c>
      <c r="CI3" s="372" t="s">
        <v>602</v>
      </c>
      <c r="CJ3" s="372" t="s">
        <v>910</v>
      </c>
      <c r="CK3" s="374" t="s">
        <v>956</v>
      </c>
      <c r="CL3" s="359" t="s">
        <v>576</v>
      </c>
      <c r="CM3" s="622" t="s">
        <v>1003</v>
      </c>
      <c r="CN3" s="372" t="s">
        <v>962</v>
      </c>
      <c r="CO3" s="372" t="s">
        <v>962</v>
      </c>
      <c r="CP3" s="85" t="s">
        <v>789</v>
      </c>
      <c r="CQ3" s="85" t="s">
        <v>790</v>
      </c>
      <c r="CR3" s="85" t="s">
        <v>877</v>
      </c>
      <c r="CS3" s="85" t="s">
        <v>397</v>
      </c>
      <c r="CT3" s="85" t="s">
        <v>403</v>
      </c>
      <c r="CU3" s="85" t="s">
        <v>378</v>
      </c>
      <c r="CV3" s="85" t="s">
        <v>403</v>
      </c>
      <c r="CW3" s="85" t="s">
        <v>378</v>
      </c>
      <c r="CX3" s="85" t="s">
        <v>378</v>
      </c>
      <c r="CY3" s="85" t="s">
        <v>403</v>
      </c>
      <c r="CZ3" s="85" t="s">
        <v>403</v>
      </c>
      <c r="DA3" s="85" t="s">
        <v>407</v>
      </c>
      <c r="DB3" s="85" t="s">
        <v>407</v>
      </c>
      <c r="DC3" s="85" t="s">
        <v>407</v>
      </c>
      <c r="DD3" s="85" t="s">
        <v>407</v>
      </c>
      <c r="DE3" s="85" t="s">
        <v>384</v>
      </c>
      <c r="DF3" s="85" t="s">
        <v>513</v>
      </c>
      <c r="DG3" s="85" t="s">
        <v>448</v>
      </c>
      <c r="DH3" s="85" t="s">
        <v>265</v>
      </c>
      <c r="DI3" s="85" t="s">
        <v>266</v>
      </c>
      <c r="DJ3" s="85" t="s">
        <v>405</v>
      </c>
      <c r="DK3" s="85" t="s">
        <v>291</v>
      </c>
      <c r="DL3" s="85" t="s">
        <v>963</v>
      </c>
      <c r="DM3" s="85" t="s">
        <v>454</v>
      </c>
      <c r="DN3" s="85" t="s">
        <v>383</v>
      </c>
      <c r="DO3" s="85" t="s">
        <v>382</v>
      </c>
      <c r="DP3" s="85" t="s">
        <v>384</v>
      </c>
      <c r="DQ3" s="85" t="s">
        <v>381</v>
      </c>
      <c r="DR3" s="85" t="s">
        <v>403</v>
      </c>
      <c r="DS3" s="85" t="s">
        <v>979</v>
      </c>
      <c r="DT3" s="85" t="s">
        <v>440</v>
      </c>
      <c r="DU3" s="85" t="s">
        <v>438</v>
      </c>
      <c r="DV3" s="259" t="s">
        <v>354</v>
      </c>
      <c r="DW3" s="85" t="s">
        <v>599</v>
      </c>
      <c r="DX3" s="85" t="s">
        <v>965</v>
      </c>
      <c r="DY3" s="85" t="s">
        <v>965</v>
      </c>
      <c r="DZ3" s="85" t="s">
        <v>965</v>
      </c>
      <c r="EA3" s="85" t="s">
        <v>965</v>
      </c>
      <c r="EB3" s="85" t="s">
        <v>965</v>
      </c>
      <c r="EC3" s="85" t="s">
        <v>965</v>
      </c>
      <c r="ED3" s="85" t="s">
        <v>965</v>
      </c>
      <c r="EE3" s="359" t="s">
        <v>261</v>
      </c>
      <c r="EF3" s="359" t="s">
        <v>261</v>
      </c>
      <c r="EG3" s="1075" t="s">
        <v>165</v>
      </c>
      <c r="EH3" s="1075"/>
      <c r="EI3" s="1075"/>
      <c r="EJ3" s="1075"/>
      <c r="EK3" s="1075"/>
      <c r="EL3" s="318"/>
    </row>
    <row r="4" spans="1:144" ht="28.5" customHeight="1" x14ac:dyDescent="0.25">
      <c r="A4" s="1083"/>
      <c r="B4" s="1082" t="s">
        <v>11</v>
      </c>
      <c r="C4" s="1082"/>
      <c r="D4" s="85" t="s">
        <v>237</v>
      </c>
      <c r="E4" s="85" t="s">
        <v>237</v>
      </c>
      <c r="F4" s="85" t="s">
        <v>237</v>
      </c>
      <c r="G4" s="85" t="s">
        <v>238</v>
      </c>
      <c r="H4" s="85" t="s">
        <v>237</v>
      </c>
      <c r="I4" s="85" t="s">
        <v>237</v>
      </c>
      <c r="J4" s="85" t="s">
        <v>237</v>
      </c>
      <c r="K4" s="85" t="s">
        <v>237</v>
      </c>
      <c r="L4" s="359" t="s">
        <v>238</v>
      </c>
      <c r="M4" s="359" t="s">
        <v>238</v>
      </c>
      <c r="N4" s="359" t="s">
        <v>237</v>
      </c>
      <c r="O4" s="359" t="s">
        <v>237</v>
      </c>
      <c r="P4" s="85" t="s">
        <v>237</v>
      </c>
      <c r="Q4" s="85" t="s">
        <v>237</v>
      </c>
      <c r="R4" s="85" t="s">
        <v>237</v>
      </c>
      <c r="S4" s="85" t="s">
        <v>237</v>
      </c>
      <c r="T4" s="85" t="s">
        <v>237</v>
      </c>
      <c r="U4" s="85" t="s">
        <v>237</v>
      </c>
      <c r="V4" s="85" t="s">
        <v>238</v>
      </c>
      <c r="W4" s="85" t="s">
        <v>238</v>
      </c>
      <c r="X4" s="85" t="s">
        <v>237</v>
      </c>
      <c r="Y4" s="85" t="s">
        <v>237</v>
      </c>
      <c r="Z4" s="85" t="s">
        <v>237</v>
      </c>
      <c r="AA4" s="85" t="s">
        <v>237</v>
      </c>
      <c r="AB4" s="85" t="s">
        <v>237</v>
      </c>
      <c r="AC4" s="85" t="s">
        <v>237</v>
      </c>
      <c r="AD4" s="85" t="s">
        <v>237</v>
      </c>
      <c r="AE4" s="85" t="s">
        <v>237</v>
      </c>
      <c r="AF4" s="85" t="s">
        <v>237</v>
      </c>
      <c r="AG4" s="85" t="s">
        <v>238</v>
      </c>
      <c r="AH4" s="85" t="s">
        <v>238</v>
      </c>
      <c r="AI4" s="85" t="s">
        <v>237</v>
      </c>
      <c r="AJ4" s="85" t="s">
        <v>237</v>
      </c>
      <c r="AK4" s="85" t="s">
        <v>237</v>
      </c>
      <c r="AL4" s="85" t="s">
        <v>237</v>
      </c>
      <c r="AM4" s="85" t="s">
        <v>238</v>
      </c>
      <c r="AN4" s="85" t="s">
        <v>238</v>
      </c>
      <c r="AO4" s="85" t="s">
        <v>238</v>
      </c>
      <c r="AP4" s="85" t="s">
        <v>237</v>
      </c>
      <c r="AQ4" s="85" t="s">
        <v>237</v>
      </c>
      <c r="AR4" s="85" t="s">
        <v>237</v>
      </c>
      <c r="AS4" s="85" t="s">
        <v>237</v>
      </c>
      <c r="AT4" s="85" t="s">
        <v>237</v>
      </c>
      <c r="AU4" s="85" t="s">
        <v>237</v>
      </c>
      <c r="AV4" s="85" t="s">
        <v>237</v>
      </c>
      <c r="AW4" s="85" t="s">
        <v>237</v>
      </c>
      <c r="AX4" s="85" t="s">
        <v>238</v>
      </c>
      <c r="AY4" s="85" t="s">
        <v>238</v>
      </c>
      <c r="AZ4" s="85" t="s">
        <v>238</v>
      </c>
      <c r="BA4" s="359" t="s">
        <v>238</v>
      </c>
      <c r="BB4" s="359" t="s">
        <v>238</v>
      </c>
      <c r="BC4" s="85" t="s">
        <v>237</v>
      </c>
      <c r="BD4" s="85" t="s">
        <v>238</v>
      </c>
      <c r="BE4" s="85" t="s">
        <v>237</v>
      </c>
      <c r="BF4" s="359" t="s">
        <v>238</v>
      </c>
      <c r="BG4" s="85" t="s">
        <v>237</v>
      </c>
      <c r="BH4" s="85" t="s">
        <v>237</v>
      </c>
      <c r="BI4" s="85" t="s">
        <v>237</v>
      </c>
      <c r="BJ4" s="85" t="s">
        <v>237</v>
      </c>
      <c r="BK4" s="85" t="s">
        <v>237</v>
      </c>
      <c r="BL4" s="85" t="s">
        <v>238</v>
      </c>
      <c r="BM4" s="85" t="s">
        <v>238</v>
      </c>
      <c r="BN4" s="85" t="s">
        <v>238</v>
      </c>
      <c r="BO4" s="85" t="s">
        <v>238</v>
      </c>
      <c r="BP4" s="359" t="s">
        <v>237</v>
      </c>
      <c r="BQ4" s="85" t="s">
        <v>237</v>
      </c>
      <c r="BR4" s="359" t="s">
        <v>237</v>
      </c>
      <c r="BS4" s="85" t="s">
        <v>238</v>
      </c>
      <c r="BT4" s="85" t="s">
        <v>238</v>
      </c>
      <c r="BU4" s="85" t="s">
        <v>238</v>
      </c>
      <c r="BV4" s="85" t="s">
        <v>238</v>
      </c>
      <c r="BW4" s="85" t="s">
        <v>238</v>
      </c>
      <c r="BX4" s="85" t="s">
        <v>237</v>
      </c>
      <c r="BY4" s="85" t="s">
        <v>237</v>
      </c>
      <c r="BZ4" s="85" t="s">
        <v>237</v>
      </c>
      <c r="CA4" s="85" t="s">
        <v>238</v>
      </c>
      <c r="CB4" s="85" t="s">
        <v>238</v>
      </c>
      <c r="CC4" s="85" t="s">
        <v>237</v>
      </c>
      <c r="CD4" s="85" t="s">
        <v>237</v>
      </c>
      <c r="CE4" s="85" t="s">
        <v>238</v>
      </c>
      <c r="CF4" s="85" t="s">
        <v>237</v>
      </c>
      <c r="CG4" s="85" t="s">
        <v>237</v>
      </c>
      <c r="CH4" s="85" t="s">
        <v>237</v>
      </c>
      <c r="CI4" s="85" t="s">
        <v>237</v>
      </c>
      <c r="CJ4" s="85" t="s">
        <v>238</v>
      </c>
      <c r="CK4" s="85" t="s">
        <v>237</v>
      </c>
      <c r="CL4" s="359" t="s">
        <v>237</v>
      </c>
      <c r="CM4" s="359" t="s">
        <v>237</v>
      </c>
      <c r="CN4" s="85" t="s">
        <v>237</v>
      </c>
      <c r="CO4" s="85" t="s">
        <v>237</v>
      </c>
      <c r="CP4" s="85" t="s">
        <v>238</v>
      </c>
      <c r="CQ4" s="85" t="s">
        <v>238</v>
      </c>
      <c r="CR4" s="85" t="s">
        <v>238</v>
      </c>
      <c r="CS4" s="85" t="s">
        <v>238</v>
      </c>
      <c r="CT4" s="85" t="s">
        <v>237</v>
      </c>
      <c r="CU4" s="85" t="s">
        <v>237</v>
      </c>
      <c r="CV4" s="85" t="s">
        <v>237</v>
      </c>
      <c r="CW4" s="85" t="s">
        <v>237</v>
      </c>
      <c r="CX4" s="85" t="s">
        <v>237</v>
      </c>
      <c r="CY4" s="85" t="s">
        <v>237</v>
      </c>
      <c r="CZ4" s="85" t="s">
        <v>237</v>
      </c>
      <c r="DA4" s="85" t="s">
        <v>237</v>
      </c>
      <c r="DB4" s="85" t="s">
        <v>237</v>
      </c>
      <c r="DC4" s="85" t="s">
        <v>237</v>
      </c>
      <c r="DD4" s="85" t="s">
        <v>237</v>
      </c>
      <c r="DE4" s="85" t="s">
        <v>238</v>
      </c>
      <c r="DF4" s="85" t="s">
        <v>238</v>
      </c>
      <c r="DG4" s="85" t="s">
        <v>238</v>
      </c>
      <c r="DH4" s="85" t="s">
        <v>238</v>
      </c>
      <c r="DI4" s="85" t="s">
        <v>238</v>
      </c>
      <c r="DJ4" s="85" t="s">
        <v>238</v>
      </c>
      <c r="DK4" s="85" t="s">
        <v>238</v>
      </c>
      <c r="DL4" s="85" t="s">
        <v>238</v>
      </c>
      <c r="DM4" s="85" t="s">
        <v>238</v>
      </c>
      <c r="DN4" s="85" t="s">
        <v>238</v>
      </c>
      <c r="DO4" s="85" t="s">
        <v>238</v>
      </c>
      <c r="DP4" s="85" t="s">
        <v>238</v>
      </c>
      <c r="DQ4" s="85" t="s">
        <v>237</v>
      </c>
      <c r="DR4" s="85" t="s">
        <v>238</v>
      </c>
      <c r="DS4" s="85" t="s">
        <v>238</v>
      </c>
      <c r="DT4" s="85" t="s">
        <v>238</v>
      </c>
      <c r="DU4" s="85" t="s">
        <v>237</v>
      </c>
      <c r="DV4" s="85" t="s">
        <v>238</v>
      </c>
      <c r="DW4" s="85" t="s">
        <v>238</v>
      </c>
      <c r="DX4" s="359" t="s">
        <v>237</v>
      </c>
      <c r="DY4" s="359" t="s">
        <v>237</v>
      </c>
      <c r="DZ4" s="359" t="s">
        <v>237</v>
      </c>
      <c r="EA4" s="359" t="s">
        <v>237</v>
      </c>
      <c r="EB4" s="359" t="s">
        <v>237</v>
      </c>
      <c r="EC4" s="359" t="s">
        <v>237</v>
      </c>
      <c r="ED4" s="359" t="s">
        <v>237</v>
      </c>
      <c r="EE4" s="359" t="s">
        <v>237</v>
      </c>
      <c r="EF4" s="359" t="s">
        <v>237</v>
      </c>
      <c r="EG4" s="1075" t="s">
        <v>237</v>
      </c>
      <c r="EH4" s="1075" t="s">
        <v>342</v>
      </c>
      <c r="EI4" s="1075" t="s">
        <v>239</v>
      </c>
      <c r="EJ4" s="1075" t="s">
        <v>258</v>
      </c>
      <c r="EK4" s="1075"/>
      <c r="EL4" s="318"/>
    </row>
    <row r="5" spans="1:144" ht="30" customHeight="1" x14ac:dyDescent="0.25">
      <c r="A5" s="1083"/>
      <c r="B5" s="1082" t="s">
        <v>776</v>
      </c>
      <c r="C5" s="1082"/>
      <c r="D5" s="1076" t="s">
        <v>1448</v>
      </c>
      <c r="E5" s="1076" t="s">
        <v>1449</v>
      </c>
      <c r="F5" s="1076" t="s">
        <v>685</v>
      </c>
      <c r="G5" s="1076" t="s">
        <v>658</v>
      </c>
      <c r="H5" s="1076" t="s">
        <v>566</v>
      </c>
      <c r="I5" s="1076" t="s">
        <v>977</v>
      </c>
      <c r="J5" s="1076" t="s">
        <v>698</v>
      </c>
      <c r="K5" s="1074" t="s">
        <v>699</v>
      </c>
      <c r="L5" s="1074" t="s">
        <v>748</v>
      </c>
      <c r="M5" s="1074" t="s">
        <v>1038</v>
      </c>
      <c r="N5" s="1074" t="s">
        <v>747</v>
      </c>
      <c r="O5" s="1074" t="s">
        <v>746</v>
      </c>
      <c r="P5" s="1084" t="s">
        <v>1027</v>
      </c>
      <c r="Q5" s="1074" t="s">
        <v>463</v>
      </c>
      <c r="R5" s="1074" t="s">
        <v>559</v>
      </c>
      <c r="S5" s="1074" t="s">
        <v>700</v>
      </c>
      <c r="T5" s="1074" t="s">
        <v>701</v>
      </c>
      <c r="U5" s="1074" t="s">
        <v>702</v>
      </c>
      <c r="V5" s="1074" t="s">
        <v>703</v>
      </c>
      <c r="W5" s="1074" t="s">
        <v>704</v>
      </c>
      <c r="X5" s="1074" t="s">
        <v>705</v>
      </c>
      <c r="Y5" s="1074" t="s">
        <v>270</v>
      </c>
      <c r="Z5" s="1074" t="s">
        <v>435</v>
      </c>
      <c r="AA5" s="1074" t="s">
        <v>404</v>
      </c>
      <c r="AB5" s="1074" t="s">
        <v>921</v>
      </c>
      <c r="AC5" s="1074" t="s">
        <v>401</v>
      </c>
      <c r="AD5" s="1074" t="s">
        <v>930</v>
      </c>
      <c r="AE5" s="1074" t="s">
        <v>924</v>
      </c>
      <c r="AF5" s="1074" t="s">
        <v>928</v>
      </c>
      <c r="AG5" s="1074" t="s">
        <v>688</v>
      </c>
      <c r="AH5" s="1074" t="s">
        <v>271</v>
      </c>
      <c r="AI5" s="1074" t="s">
        <v>1483</v>
      </c>
      <c r="AJ5" s="1074" t="s">
        <v>691</v>
      </c>
      <c r="AK5" s="1074" t="s">
        <v>272</v>
      </c>
      <c r="AL5" s="1074" t="s">
        <v>951</v>
      </c>
      <c r="AM5" s="1074" t="s">
        <v>503</v>
      </c>
      <c r="AN5" s="1074" t="s">
        <v>786</v>
      </c>
      <c r="AO5" s="1074" t="s">
        <v>273</v>
      </c>
      <c r="AP5" s="1074" t="s">
        <v>274</v>
      </c>
      <c r="AQ5" s="1074" t="s">
        <v>697</v>
      </c>
      <c r="AR5" s="1074" t="s">
        <v>707</v>
      </c>
      <c r="AS5" s="1074" t="s">
        <v>600</v>
      </c>
      <c r="AT5" s="1074" t="s">
        <v>677</v>
      </c>
      <c r="AU5" s="1074" t="s">
        <v>275</v>
      </c>
      <c r="AV5" s="1074" t="s">
        <v>504</v>
      </c>
      <c r="AW5" s="1074" t="s">
        <v>1519</v>
      </c>
      <c r="AX5" s="1074" t="s">
        <v>787</v>
      </c>
      <c r="AY5" s="1074" t="s">
        <v>442</v>
      </c>
      <c r="AZ5" s="1074" t="s">
        <v>437</v>
      </c>
      <c r="BA5" s="1074" t="s">
        <v>706</v>
      </c>
      <c r="BB5" s="1074" t="s">
        <v>708</v>
      </c>
      <c r="BC5" s="1074" t="s">
        <v>418</v>
      </c>
      <c r="BD5" s="1074" t="s">
        <v>603</v>
      </c>
      <c r="BE5" s="1074" t="s">
        <v>709</v>
      </c>
      <c r="BF5" s="1074" t="s">
        <v>1529</v>
      </c>
      <c r="BG5" s="1074" t="s">
        <v>551</v>
      </c>
      <c r="BH5" s="1074" t="s">
        <v>710</v>
      </c>
      <c r="BI5" s="1074" t="s">
        <v>997</v>
      </c>
      <c r="BJ5" s="1074" t="s">
        <v>711</v>
      </c>
      <c r="BK5" s="1074" t="s">
        <v>996</v>
      </c>
      <c r="BL5" s="1074" t="s">
        <v>391</v>
      </c>
      <c r="BM5" s="1074" t="s">
        <v>657</v>
      </c>
      <c r="BN5" s="1074" t="s">
        <v>689</v>
      </c>
      <c r="BO5" s="1074" t="s">
        <v>447</v>
      </c>
      <c r="BP5" s="1074" t="s">
        <v>712</v>
      </c>
      <c r="BQ5" s="1074" t="s">
        <v>714</v>
      </c>
      <c r="BR5" s="1074" t="s">
        <v>713</v>
      </c>
      <c r="BS5" s="1074" t="s">
        <v>715</v>
      </c>
      <c r="BT5" s="1074" t="s">
        <v>716</v>
      </c>
      <c r="BU5" s="1074" t="s">
        <v>792</v>
      </c>
      <c r="BV5" s="1074" t="s">
        <v>793</v>
      </c>
      <c r="BW5" s="1074" t="s">
        <v>883</v>
      </c>
      <c r="BX5" s="1074" t="s">
        <v>457</v>
      </c>
      <c r="BY5" s="1074" t="s">
        <v>506</v>
      </c>
      <c r="BZ5" s="1074" t="s">
        <v>1457</v>
      </c>
      <c r="CA5" s="1074" t="s">
        <v>553</v>
      </c>
      <c r="CB5" s="1074" t="s">
        <v>717</v>
      </c>
      <c r="CC5" s="1074" t="s">
        <v>1042</v>
      </c>
      <c r="CD5" s="1074" t="s">
        <v>1461</v>
      </c>
      <c r="CE5" s="1074" t="s">
        <v>929</v>
      </c>
      <c r="CF5" s="1074" t="s">
        <v>718</v>
      </c>
      <c r="CG5" s="1074" t="s">
        <v>719</v>
      </c>
      <c r="CH5" s="1074" t="s">
        <v>720</v>
      </c>
      <c r="CI5" s="1074" t="s">
        <v>721</v>
      </c>
      <c r="CJ5" s="1074" t="s">
        <v>925</v>
      </c>
      <c r="CK5" s="1074" t="s">
        <v>1002</v>
      </c>
      <c r="CL5" s="1074" t="s">
        <v>722</v>
      </c>
      <c r="CM5" s="1078" t="s">
        <v>1004</v>
      </c>
      <c r="CN5" s="1074" t="s">
        <v>1463</v>
      </c>
      <c r="CO5" s="1074" t="s">
        <v>1464</v>
      </c>
      <c r="CP5" s="1074" t="s">
        <v>935</v>
      </c>
      <c r="CQ5" s="1074" t="s">
        <v>936</v>
      </c>
      <c r="CR5" s="1074" t="s">
        <v>937</v>
      </c>
      <c r="CS5" s="1074" t="s">
        <v>878</v>
      </c>
      <c r="CT5" s="1076" t="s">
        <v>1506</v>
      </c>
      <c r="CU5" s="1076" t="s">
        <v>723</v>
      </c>
      <c r="CV5" s="1080" t="s">
        <v>824</v>
      </c>
      <c r="CW5" s="1076" t="s">
        <v>724</v>
      </c>
      <c r="CX5" s="1076" t="s">
        <v>725</v>
      </c>
      <c r="CY5" s="1076" t="s">
        <v>1507</v>
      </c>
      <c r="CZ5" s="1076" t="s">
        <v>1508</v>
      </c>
      <c r="DA5" s="1076" t="s">
        <v>726</v>
      </c>
      <c r="DB5" s="1076" t="s">
        <v>409</v>
      </c>
      <c r="DC5" s="1076" t="s">
        <v>408</v>
      </c>
      <c r="DD5" s="1076" t="s">
        <v>560</v>
      </c>
      <c r="DE5" s="1076" t="s">
        <v>727</v>
      </c>
      <c r="DF5" s="1076" t="s">
        <v>728</v>
      </c>
      <c r="DG5" s="1076" t="s">
        <v>729</v>
      </c>
      <c r="DH5" s="1077" t="s">
        <v>730</v>
      </c>
      <c r="DI5" s="1077" t="s">
        <v>731</v>
      </c>
      <c r="DJ5" s="1076" t="s">
        <v>825</v>
      </c>
      <c r="DK5" s="1076"/>
      <c r="DL5" s="1076" t="s">
        <v>826</v>
      </c>
      <c r="DM5" s="1076"/>
      <c r="DN5" s="1076"/>
      <c r="DO5" s="1076" t="s">
        <v>732</v>
      </c>
      <c r="DP5" s="1076" t="s">
        <v>733</v>
      </c>
      <c r="DQ5" s="1076" t="s">
        <v>734</v>
      </c>
      <c r="DR5" s="1076" t="s">
        <v>735</v>
      </c>
      <c r="DS5" s="1076" t="s">
        <v>736</v>
      </c>
      <c r="DT5" s="1075" t="s">
        <v>827</v>
      </c>
      <c r="DU5" s="1075" t="s">
        <v>737</v>
      </c>
      <c r="DV5" s="1075" t="s">
        <v>817</v>
      </c>
      <c r="DW5" s="1075" t="s">
        <v>738</v>
      </c>
      <c r="DX5" s="1075" t="s">
        <v>739</v>
      </c>
      <c r="DY5" s="1075" t="s">
        <v>740</v>
      </c>
      <c r="DZ5" s="1075" t="s">
        <v>741</v>
      </c>
      <c r="EA5" s="1081" t="s">
        <v>742</v>
      </c>
      <c r="EB5" s="1075" t="s">
        <v>743</v>
      </c>
      <c r="EC5" s="1075" t="s">
        <v>744</v>
      </c>
      <c r="ED5" s="1075" t="s">
        <v>828</v>
      </c>
      <c r="EE5" s="1075" t="s">
        <v>745</v>
      </c>
      <c r="EF5" s="1075" t="s">
        <v>892</v>
      </c>
      <c r="EG5" s="1075"/>
      <c r="EH5" s="1075"/>
      <c r="EI5" s="1075"/>
      <c r="EJ5" s="1075"/>
      <c r="EK5" s="1075"/>
      <c r="EL5" s="318"/>
    </row>
    <row r="6" spans="1:144" ht="110.25" customHeight="1" x14ac:dyDescent="0.25">
      <c r="A6" s="1083"/>
      <c r="B6" s="319" t="s">
        <v>202</v>
      </c>
      <c r="C6" s="320" t="s">
        <v>260</v>
      </c>
      <c r="D6" s="1076"/>
      <c r="E6" s="1076"/>
      <c r="F6" s="1076"/>
      <c r="G6" s="1076"/>
      <c r="H6" s="1076"/>
      <c r="I6" s="1076"/>
      <c r="J6" s="1076"/>
      <c r="K6" s="1075"/>
      <c r="L6" s="1075"/>
      <c r="M6" s="1075"/>
      <c r="N6" s="1075"/>
      <c r="O6" s="1075"/>
      <c r="P6" s="108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5"/>
      <c r="AN6" s="1075"/>
      <c r="AO6" s="1075"/>
      <c r="AP6" s="1075"/>
      <c r="AQ6" s="1075"/>
      <c r="AR6" s="1075"/>
      <c r="AS6" s="1075"/>
      <c r="AT6" s="1075"/>
      <c r="AU6" s="1075"/>
      <c r="AV6" s="1075"/>
      <c r="AW6" s="1075"/>
      <c r="AX6" s="1075"/>
      <c r="AY6" s="1075"/>
      <c r="AZ6" s="1075"/>
      <c r="BA6" s="1075"/>
      <c r="BB6" s="1075"/>
      <c r="BC6" s="1075"/>
      <c r="BD6" s="1075"/>
      <c r="BE6" s="1075"/>
      <c r="BF6" s="1074"/>
      <c r="BG6" s="1075"/>
      <c r="BH6" s="1075"/>
      <c r="BI6" s="1075"/>
      <c r="BJ6" s="1075"/>
      <c r="BK6" s="1075"/>
      <c r="BL6" s="1075"/>
      <c r="BM6" s="1075"/>
      <c r="BN6" s="1075"/>
      <c r="BO6" s="1075"/>
      <c r="BP6" s="1075"/>
      <c r="BQ6" s="1075"/>
      <c r="BR6" s="1075"/>
      <c r="BS6" s="1075"/>
      <c r="BT6" s="1075"/>
      <c r="BU6" s="1075"/>
      <c r="BV6" s="1075"/>
      <c r="BW6" s="1075"/>
      <c r="BX6" s="1075"/>
      <c r="BY6" s="1075"/>
      <c r="BZ6" s="1074"/>
      <c r="CA6" s="1075"/>
      <c r="CB6" s="1075"/>
      <c r="CC6" s="1075"/>
      <c r="CD6" s="1075"/>
      <c r="CE6" s="1074"/>
      <c r="CF6" s="1075"/>
      <c r="CG6" s="1075"/>
      <c r="CH6" s="1075"/>
      <c r="CI6" s="1075"/>
      <c r="CJ6" s="1074"/>
      <c r="CK6" s="1074"/>
      <c r="CL6" s="1075"/>
      <c r="CM6" s="1079"/>
      <c r="CN6" s="1074"/>
      <c r="CO6" s="1074"/>
      <c r="CP6" s="1075"/>
      <c r="CQ6" s="1075"/>
      <c r="CR6" s="1075"/>
      <c r="CS6" s="1075"/>
      <c r="CT6" s="1076"/>
      <c r="CU6" s="1076"/>
      <c r="CV6" s="1076"/>
      <c r="CW6" s="1076"/>
      <c r="CX6" s="1076"/>
      <c r="CY6" s="1076"/>
      <c r="CZ6" s="1076"/>
      <c r="DA6" s="1076"/>
      <c r="DB6" s="1076"/>
      <c r="DC6" s="1076"/>
      <c r="DD6" s="1076"/>
      <c r="DE6" s="1076"/>
      <c r="DF6" s="1076"/>
      <c r="DG6" s="1076"/>
      <c r="DH6" s="1077"/>
      <c r="DI6" s="1077"/>
      <c r="DJ6" s="1076"/>
      <c r="DK6" s="1076"/>
      <c r="DL6" s="1076"/>
      <c r="DM6" s="1076"/>
      <c r="DN6" s="1076"/>
      <c r="DO6" s="1076"/>
      <c r="DP6" s="1076"/>
      <c r="DQ6" s="1076"/>
      <c r="DR6" s="1076"/>
      <c r="DS6" s="1076"/>
      <c r="DT6" s="1075"/>
      <c r="DU6" s="1075"/>
      <c r="DV6" s="1075"/>
      <c r="DW6" s="1075"/>
      <c r="DX6" s="1075"/>
      <c r="DY6" s="1075"/>
      <c r="DZ6" s="1075"/>
      <c r="EA6" s="1081"/>
      <c r="EB6" s="1075"/>
      <c r="EC6" s="1075"/>
      <c r="ED6" s="1075"/>
      <c r="EE6" s="1075"/>
      <c r="EF6" s="1075"/>
      <c r="EG6" s="1075"/>
      <c r="EH6" s="1075"/>
      <c r="EI6" s="1075"/>
      <c r="EJ6" s="1075"/>
      <c r="EK6" s="1075"/>
      <c r="EL6" s="628"/>
    </row>
    <row r="7" spans="1:144" ht="16.5" customHeight="1" x14ac:dyDescent="0.25">
      <c r="A7" s="321" t="s">
        <v>203</v>
      </c>
      <c r="B7" s="322" t="s">
        <v>204</v>
      </c>
      <c r="C7" s="322" t="s">
        <v>205</v>
      </c>
      <c r="D7" s="593" t="s">
        <v>206</v>
      </c>
      <c r="E7" s="593" t="s">
        <v>207</v>
      </c>
      <c r="F7" s="593" t="s">
        <v>208</v>
      </c>
      <c r="G7" s="593" t="s">
        <v>209</v>
      </c>
      <c r="H7" s="593" t="s">
        <v>210</v>
      </c>
      <c r="I7" s="593" t="s">
        <v>211</v>
      </c>
      <c r="J7" s="593" t="s">
        <v>212</v>
      </c>
      <c r="K7" s="593" t="s">
        <v>213</v>
      </c>
      <c r="L7" s="593" t="s">
        <v>240</v>
      </c>
      <c r="M7" s="593" t="s">
        <v>241</v>
      </c>
      <c r="N7" s="593" t="s">
        <v>242</v>
      </c>
      <c r="O7" s="593" t="s">
        <v>243</v>
      </c>
      <c r="P7" s="593" t="s">
        <v>244</v>
      </c>
      <c r="Q7" s="593" t="s">
        <v>245</v>
      </c>
      <c r="R7" s="593" t="s">
        <v>246</v>
      </c>
      <c r="S7" s="593" t="s">
        <v>247</v>
      </c>
      <c r="T7" s="593" t="s">
        <v>248</v>
      </c>
      <c r="U7" s="593" t="s">
        <v>276</v>
      </c>
      <c r="V7" s="593" t="s">
        <v>277</v>
      </c>
      <c r="W7" s="593" t="s">
        <v>278</v>
      </c>
      <c r="X7" s="593" t="s">
        <v>279</v>
      </c>
      <c r="Y7" s="593" t="s">
        <v>280</v>
      </c>
      <c r="Z7" s="593" t="s">
        <v>281</v>
      </c>
      <c r="AA7" s="593" t="s">
        <v>282</v>
      </c>
      <c r="AB7" s="593" t="s">
        <v>283</v>
      </c>
      <c r="AC7" s="593" t="s">
        <v>284</v>
      </c>
      <c r="AD7" s="593" t="s">
        <v>285</v>
      </c>
      <c r="AE7" s="593" t="s">
        <v>286</v>
      </c>
      <c r="AF7" s="593" t="s">
        <v>287</v>
      </c>
      <c r="AG7" s="593" t="s">
        <v>288</v>
      </c>
      <c r="AH7" s="593" t="s">
        <v>292</v>
      </c>
      <c r="AI7" s="593" t="s">
        <v>293</v>
      </c>
      <c r="AJ7" s="593" t="s">
        <v>294</v>
      </c>
      <c r="AK7" s="593" t="s">
        <v>295</v>
      </c>
      <c r="AL7" s="593" t="s">
        <v>296</v>
      </c>
      <c r="AM7" s="593" t="s">
        <v>297</v>
      </c>
      <c r="AN7" s="593" t="s">
        <v>298</v>
      </c>
      <c r="AO7" s="593" t="s">
        <v>299</v>
      </c>
      <c r="AP7" s="593" t="s">
        <v>300</v>
      </c>
      <c r="AQ7" s="593" t="s">
        <v>301</v>
      </c>
      <c r="AR7" s="593" t="s">
        <v>302</v>
      </c>
      <c r="AS7" s="593" t="s">
        <v>303</v>
      </c>
      <c r="AT7" s="593" t="s">
        <v>304</v>
      </c>
      <c r="AU7" s="593" t="s">
        <v>305</v>
      </c>
      <c r="AV7" s="593" t="s">
        <v>306</v>
      </c>
      <c r="AW7" s="593" t="s">
        <v>307</v>
      </c>
      <c r="AX7" s="593" t="s">
        <v>308</v>
      </c>
      <c r="AY7" s="593" t="s">
        <v>309</v>
      </c>
      <c r="AZ7" s="593" t="s">
        <v>310</v>
      </c>
      <c r="BA7" s="593" t="s">
        <v>795</v>
      </c>
      <c r="BB7" s="593" t="s">
        <v>311</v>
      </c>
      <c r="BC7" s="593" t="s">
        <v>796</v>
      </c>
      <c r="BD7" s="593" t="s">
        <v>312</v>
      </c>
      <c r="BE7" s="593" t="s">
        <v>313</v>
      </c>
      <c r="BF7" s="593" t="s">
        <v>314</v>
      </c>
      <c r="BG7" s="593" t="s">
        <v>315</v>
      </c>
      <c r="BH7" s="593" t="s">
        <v>316</v>
      </c>
      <c r="BI7" s="593" t="s">
        <v>317</v>
      </c>
      <c r="BJ7" s="593" t="s">
        <v>318</v>
      </c>
      <c r="BK7" s="593" t="s">
        <v>319</v>
      </c>
      <c r="BL7" s="593" t="s">
        <v>320</v>
      </c>
      <c r="BM7" s="593" t="s">
        <v>321</v>
      </c>
      <c r="BN7" s="593" t="s">
        <v>322</v>
      </c>
      <c r="BO7" s="593" t="s">
        <v>323</v>
      </c>
      <c r="BP7" s="593" t="s">
        <v>324</v>
      </c>
      <c r="BQ7" s="593" t="s">
        <v>325</v>
      </c>
      <c r="BR7" s="593" t="s">
        <v>797</v>
      </c>
      <c r="BS7" s="593" t="s">
        <v>326</v>
      </c>
      <c r="BT7" s="593" t="s">
        <v>327</v>
      </c>
      <c r="BU7" s="593" t="s">
        <v>798</v>
      </c>
      <c r="BV7" s="593" t="s">
        <v>799</v>
      </c>
      <c r="BW7" s="593" t="s">
        <v>163</v>
      </c>
      <c r="BX7" s="593" t="s">
        <v>328</v>
      </c>
      <c r="BY7" s="593" t="s">
        <v>800</v>
      </c>
      <c r="BZ7" s="593" t="s">
        <v>801</v>
      </c>
      <c r="CA7" s="593" t="s">
        <v>329</v>
      </c>
      <c r="CB7" s="593" t="s">
        <v>330</v>
      </c>
      <c r="CC7" s="593" t="s">
        <v>331</v>
      </c>
      <c r="CD7" s="593" t="s">
        <v>332</v>
      </c>
      <c r="CE7" s="593" t="s">
        <v>333</v>
      </c>
      <c r="CF7" s="593" t="s">
        <v>334</v>
      </c>
      <c r="CG7" s="593" t="s">
        <v>335</v>
      </c>
      <c r="CH7" s="593" t="s">
        <v>336</v>
      </c>
      <c r="CI7" s="593" t="s">
        <v>802</v>
      </c>
      <c r="CJ7" s="593" t="s">
        <v>803</v>
      </c>
      <c r="CK7" s="593" t="s">
        <v>804</v>
      </c>
      <c r="CL7" s="593" t="s">
        <v>805</v>
      </c>
      <c r="CM7" s="593" t="s">
        <v>806</v>
      </c>
      <c r="CN7" s="593" t="s">
        <v>807</v>
      </c>
      <c r="CO7" s="593" t="s">
        <v>808</v>
      </c>
      <c r="CP7" s="593" t="s">
        <v>809</v>
      </c>
      <c r="CQ7" s="593" t="s">
        <v>978</v>
      </c>
      <c r="CR7" s="593" t="s">
        <v>337</v>
      </c>
      <c r="CS7" s="593" t="s">
        <v>338</v>
      </c>
      <c r="CT7" s="593" t="s">
        <v>339</v>
      </c>
      <c r="CU7" s="593" t="s">
        <v>340</v>
      </c>
      <c r="CV7" s="593" t="s">
        <v>341</v>
      </c>
      <c r="CW7" s="593" t="s">
        <v>810</v>
      </c>
      <c r="CX7" s="593" t="s">
        <v>838</v>
      </c>
      <c r="CY7" s="593" t="s">
        <v>839</v>
      </c>
      <c r="CZ7" s="593" t="s">
        <v>840</v>
      </c>
      <c r="DA7" s="593" t="s">
        <v>843</v>
      </c>
      <c r="DB7" s="593" t="s">
        <v>844</v>
      </c>
      <c r="DC7" s="593" t="s">
        <v>845</v>
      </c>
      <c r="DD7" s="593" t="s">
        <v>846</v>
      </c>
      <c r="DE7" s="593" t="s">
        <v>841</v>
      </c>
      <c r="DF7" s="593" t="s">
        <v>842</v>
      </c>
      <c r="DG7" s="593" t="s">
        <v>847</v>
      </c>
      <c r="DH7" s="593" t="s">
        <v>848</v>
      </c>
      <c r="DI7" s="593" t="s">
        <v>849</v>
      </c>
      <c r="DJ7" s="593" t="s">
        <v>850</v>
      </c>
      <c r="DK7" s="593" t="s">
        <v>853</v>
      </c>
      <c r="DL7" s="593" t="s">
        <v>854</v>
      </c>
      <c r="DM7" s="593" t="s">
        <v>855</v>
      </c>
      <c r="DN7" s="593" t="s">
        <v>856</v>
      </c>
      <c r="DO7" s="593" t="s">
        <v>857</v>
      </c>
      <c r="DP7" s="593" t="s">
        <v>858</v>
      </c>
      <c r="DQ7" s="593" t="s">
        <v>859</v>
      </c>
      <c r="DR7" s="593" t="s">
        <v>860</v>
      </c>
      <c r="DS7" s="593" t="s">
        <v>861</v>
      </c>
      <c r="DT7" s="593" t="s">
        <v>862</v>
      </c>
      <c r="DU7" s="593" t="s">
        <v>863</v>
      </c>
      <c r="DV7" s="593" t="s">
        <v>864</v>
      </c>
      <c r="DW7" s="593" t="s">
        <v>865</v>
      </c>
      <c r="DX7" s="593" t="s">
        <v>873</v>
      </c>
      <c r="DY7" s="593" t="s">
        <v>872</v>
      </c>
      <c r="DZ7" s="593" t="s">
        <v>874</v>
      </c>
      <c r="EA7" s="593" t="s">
        <v>871</v>
      </c>
      <c r="EB7" s="593" t="s">
        <v>876</v>
      </c>
      <c r="EC7" s="593" t="s">
        <v>870</v>
      </c>
      <c r="ED7" s="593" t="s">
        <v>869</v>
      </c>
      <c r="EE7" s="593" t="s">
        <v>879</v>
      </c>
      <c r="EF7" s="593" t="s">
        <v>868</v>
      </c>
      <c r="EG7" s="593" t="s">
        <v>867</v>
      </c>
      <c r="EH7" s="593" t="s">
        <v>866</v>
      </c>
      <c r="EI7" s="593" t="s">
        <v>880</v>
      </c>
      <c r="EJ7" s="593" t="s">
        <v>881</v>
      </c>
      <c r="EK7" s="593" t="s">
        <v>882</v>
      </c>
      <c r="EL7" s="323"/>
    </row>
    <row r="8" spans="1:144" ht="21.75" customHeight="1" x14ac:dyDescent="0.25">
      <c r="A8" s="324" t="s">
        <v>203</v>
      </c>
      <c r="B8" s="325" t="s">
        <v>345</v>
      </c>
      <c r="C8" s="326" t="s">
        <v>214</v>
      </c>
      <c r="D8" s="347"/>
      <c r="E8" s="347"/>
      <c r="F8" s="347"/>
      <c r="G8" s="347"/>
      <c r="H8" s="347"/>
      <c r="I8" s="347"/>
      <c r="J8" s="347"/>
      <c r="K8" s="362"/>
      <c r="L8" s="362"/>
      <c r="M8" s="362"/>
      <c r="N8" s="362"/>
      <c r="O8" s="362"/>
      <c r="P8" s="362"/>
      <c r="Q8" s="347">
        <v>65976800</v>
      </c>
      <c r="R8" s="347">
        <v>15060000</v>
      </c>
      <c r="S8" s="347"/>
      <c r="T8" s="347"/>
      <c r="U8" s="347"/>
      <c r="V8" s="347"/>
      <c r="W8" s="347">
        <v>1212000</v>
      </c>
      <c r="X8" s="347"/>
      <c r="Y8" s="347"/>
      <c r="Z8" s="347"/>
      <c r="AA8" s="347"/>
      <c r="AB8" s="347"/>
      <c r="AC8" s="347"/>
      <c r="AD8" s="347"/>
      <c r="AE8" s="347"/>
      <c r="AF8" s="347"/>
      <c r="AG8" s="347">
        <v>1500000</v>
      </c>
      <c r="AH8" s="347">
        <f>11940000+240500</f>
        <v>12180500</v>
      </c>
      <c r="AI8" s="347"/>
      <c r="AJ8" s="347"/>
      <c r="AK8" s="347">
        <v>9774000</v>
      </c>
      <c r="AL8" s="362"/>
      <c r="AM8" s="347"/>
      <c r="AN8" s="347"/>
      <c r="AO8" s="347">
        <v>3000000</v>
      </c>
      <c r="AP8" s="347">
        <v>9832000</v>
      </c>
      <c r="AQ8" s="347">
        <v>11332000</v>
      </c>
      <c r="AR8" s="347"/>
      <c r="AS8" s="347"/>
      <c r="AT8" s="347"/>
      <c r="AU8" s="347">
        <v>7840000</v>
      </c>
      <c r="AV8" s="347">
        <v>26492000</v>
      </c>
      <c r="AW8" s="347"/>
      <c r="AX8" s="347"/>
      <c r="AY8" s="347">
        <v>8658009</v>
      </c>
      <c r="AZ8" s="347"/>
      <c r="BA8" s="361">
        <v>34640000</v>
      </c>
      <c r="BB8" s="362"/>
      <c r="BC8" s="347"/>
      <c r="BD8" s="347">
        <v>562771</v>
      </c>
      <c r="BE8" s="347"/>
      <c r="BF8" s="347"/>
      <c r="BG8" s="347"/>
      <c r="BH8" s="347"/>
      <c r="BI8" s="347"/>
      <c r="BJ8" s="347"/>
      <c r="BK8" s="347"/>
      <c r="BL8" s="347"/>
      <c r="BM8" s="347">
        <v>300000</v>
      </c>
      <c r="BN8" s="882">
        <v>2800000</v>
      </c>
      <c r="BO8" s="347"/>
      <c r="BP8" s="347"/>
      <c r="BQ8" s="347">
        <v>720000</v>
      </c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>
        <v>6848000</v>
      </c>
      <c r="CC8" s="347"/>
      <c r="CD8" s="347"/>
      <c r="CE8" s="347"/>
      <c r="CF8" s="347"/>
      <c r="CG8" s="347"/>
      <c r="CH8" s="347"/>
      <c r="CI8" s="347"/>
      <c r="CJ8" s="347"/>
      <c r="CK8" s="347"/>
      <c r="CL8" s="362"/>
      <c r="CM8" s="362"/>
      <c r="CN8" s="362"/>
      <c r="CO8" s="362"/>
      <c r="CP8" s="362"/>
      <c r="CQ8" s="362"/>
      <c r="CR8" s="362"/>
      <c r="CS8" s="347"/>
      <c r="CT8" s="347"/>
      <c r="CU8" s="347"/>
      <c r="CV8" s="347"/>
      <c r="CW8" s="347"/>
      <c r="CX8" s="347"/>
      <c r="CY8" s="347"/>
      <c r="CZ8" s="347"/>
      <c r="DA8" s="386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62"/>
      <c r="DY8" s="362"/>
      <c r="DZ8" s="362"/>
      <c r="EA8" s="362"/>
      <c r="EB8" s="362"/>
      <c r="EC8" s="362"/>
      <c r="ED8" s="362"/>
      <c r="EE8" s="362"/>
      <c r="EF8" s="362"/>
      <c r="EG8" s="362">
        <f t="shared" ref="EG8:EG50" si="0">SUMIFS(D8:EF8,$D$4:$EF$4,"kötelező")</f>
        <v>147026800</v>
      </c>
      <c r="EH8" s="362">
        <f t="shared" ref="EH8:EH50" si="1">SUMIFS(D8:EF8,$D$4:$EF$4,"önként vállalt")</f>
        <v>71701280</v>
      </c>
      <c r="EI8" s="362">
        <f t="shared" ref="EI8:EI50" si="2">SUMIFS(D8:EF8,$D$4:$EF$4,"államigazgatási")</f>
        <v>0</v>
      </c>
      <c r="EJ8" s="362">
        <f>EG8+EH8+EI8</f>
        <v>218728080</v>
      </c>
      <c r="EK8" s="362"/>
      <c r="EL8" s="328" t="e">
        <f>+EK8-#REF!</f>
        <v>#REF!</v>
      </c>
      <c r="EM8" s="329"/>
    </row>
    <row r="9" spans="1:144" s="331" customFormat="1" ht="21.75" customHeight="1" x14ac:dyDescent="0.25">
      <c r="A9" s="324" t="s">
        <v>204</v>
      </c>
      <c r="B9" s="330" t="s">
        <v>215</v>
      </c>
      <c r="C9" s="326" t="s">
        <v>216</v>
      </c>
      <c r="D9" s="347"/>
      <c r="E9" s="347"/>
      <c r="F9" s="347"/>
      <c r="G9" s="347"/>
      <c r="H9" s="347"/>
      <c r="I9" s="347"/>
      <c r="J9" s="347"/>
      <c r="K9" s="361"/>
      <c r="L9" s="361"/>
      <c r="M9" s="361"/>
      <c r="N9" s="361"/>
      <c r="O9" s="361"/>
      <c r="P9" s="361"/>
      <c r="Q9" s="347">
        <v>10374654</v>
      </c>
      <c r="R9" s="347">
        <f>2402300+1750832</f>
        <v>4153132</v>
      </c>
      <c r="S9" s="347"/>
      <c r="T9" s="347"/>
      <c r="U9" s="347"/>
      <c r="V9" s="347"/>
      <c r="W9" s="347">
        <v>188000</v>
      </c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>
        <f>1918700+37278</f>
        <v>1955978</v>
      </c>
      <c r="AI9" s="347"/>
      <c r="AJ9" s="347"/>
      <c r="AK9" s="347">
        <v>1554070</v>
      </c>
      <c r="AL9" s="361"/>
      <c r="AM9" s="347"/>
      <c r="AN9" s="347"/>
      <c r="AO9" s="347">
        <v>525000</v>
      </c>
      <c r="AP9" s="347">
        <v>1591960</v>
      </c>
      <c r="AQ9" s="347">
        <v>1815960</v>
      </c>
      <c r="AR9" s="347"/>
      <c r="AS9" s="347"/>
      <c r="AT9" s="347"/>
      <c r="AU9" s="347">
        <v>1283200</v>
      </c>
      <c r="AV9" s="347">
        <v>4276260</v>
      </c>
      <c r="AW9" s="347"/>
      <c r="AX9" s="347"/>
      <c r="AY9" s="347">
        <v>1341991</v>
      </c>
      <c r="AZ9" s="347"/>
      <c r="BA9" s="361">
        <v>5607200</v>
      </c>
      <c r="BB9" s="361"/>
      <c r="BC9" s="347"/>
      <c r="BD9" s="347">
        <v>87229</v>
      </c>
      <c r="BE9" s="347"/>
      <c r="BF9" s="347"/>
      <c r="BG9" s="347"/>
      <c r="BH9" s="347"/>
      <c r="BI9" s="347"/>
      <c r="BJ9" s="347"/>
      <c r="BK9" s="347"/>
      <c r="BL9" s="347"/>
      <c r="BM9" s="347">
        <v>60000</v>
      </c>
      <c r="BN9" s="882">
        <v>540000</v>
      </c>
      <c r="BO9" s="347"/>
      <c r="BP9" s="347"/>
      <c r="BQ9" s="347">
        <v>297360</v>
      </c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>
        <v>1129440</v>
      </c>
      <c r="CC9" s="347"/>
      <c r="CD9" s="347"/>
      <c r="CE9" s="347"/>
      <c r="CF9" s="347"/>
      <c r="CG9" s="347"/>
      <c r="CH9" s="347"/>
      <c r="CI9" s="347"/>
      <c r="CJ9" s="347"/>
      <c r="CK9" s="347"/>
      <c r="CL9" s="361"/>
      <c r="CM9" s="361"/>
      <c r="CN9" s="361"/>
      <c r="CO9" s="361"/>
      <c r="CP9" s="361"/>
      <c r="CQ9" s="361"/>
      <c r="CR9" s="361"/>
      <c r="CS9" s="347"/>
      <c r="CT9" s="347"/>
      <c r="CU9" s="347"/>
      <c r="CV9" s="347"/>
      <c r="CW9" s="347"/>
      <c r="CX9" s="347"/>
      <c r="CY9" s="347"/>
      <c r="CZ9" s="347"/>
      <c r="DA9" s="386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61"/>
      <c r="DY9" s="361"/>
      <c r="DZ9" s="361"/>
      <c r="EA9" s="361"/>
      <c r="EB9" s="361"/>
      <c r="EC9" s="361"/>
      <c r="ED9" s="361"/>
      <c r="EE9" s="361"/>
      <c r="EF9" s="361"/>
      <c r="EG9" s="362">
        <f t="shared" si="0"/>
        <v>25346596</v>
      </c>
      <c r="EH9" s="362">
        <f t="shared" si="1"/>
        <v>11434838</v>
      </c>
      <c r="EI9" s="362">
        <f t="shared" si="2"/>
        <v>0</v>
      </c>
      <c r="EJ9" s="362">
        <f t="shared" ref="EJ9:EJ50" si="3">EG9+EH9+EI9</f>
        <v>36781434</v>
      </c>
      <c r="EK9" s="362"/>
      <c r="EL9" s="328" t="e">
        <f>+EK9-#REF!</f>
        <v>#REF!</v>
      </c>
      <c r="EM9" s="329"/>
    </row>
    <row r="10" spans="1:144" ht="21.75" customHeight="1" x14ac:dyDescent="0.25">
      <c r="A10" s="324" t="s">
        <v>205</v>
      </c>
      <c r="B10" s="330" t="s">
        <v>346</v>
      </c>
      <c r="C10" s="326" t="s">
        <v>217</v>
      </c>
      <c r="D10" s="386"/>
      <c r="E10" s="386"/>
      <c r="F10" s="386"/>
      <c r="G10" s="386"/>
      <c r="H10" s="386"/>
      <c r="I10" s="386"/>
      <c r="J10" s="347">
        <v>1000000</v>
      </c>
      <c r="K10" s="415">
        <f>10000000</f>
        <v>10000000</v>
      </c>
      <c r="L10" s="327"/>
      <c r="M10" s="327"/>
      <c r="N10" s="327"/>
      <c r="O10" s="327"/>
      <c r="P10" s="362"/>
      <c r="Q10" s="386">
        <v>3063000</v>
      </c>
      <c r="R10" s="386">
        <f>45842500+372656</f>
        <v>46215156</v>
      </c>
      <c r="S10" s="386"/>
      <c r="T10" s="386">
        <v>5000000</v>
      </c>
      <c r="U10" s="347"/>
      <c r="V10" s="386"/>
      <c r="W10" s="386">
        <f>4572000</f>
        <v>4572000</v>
      </c>
      <c r="X10" s="386">
        <v>10000000</v>
      </c>
      <c r="Y10" s="386">
        <v>20000000</v>
      </c>
      <c r="Z10" s="386">
        <f>(10000000+(150000000+7620000)+5000000+2000000+5000000+8000000+32000000+10000000+6000000+5000000+3000000+8000000+6000000+1200000)+8318945+312420</f>
        <v>267451365</v>
      </c>
      <c r="AA10" s="386">
        <f>(10000000+12000000+12000000+1200000+1200000)+15240</f>
        <v>36415240</v>
      </c>
      <c r="AB10" s="386">
        <f>32500000+19000000</f>
        <v>51500000</v>
      </c>
      <c r="AC10" s="386">
        <v>5000000</v>
      </c>
      <c r="AD10" s="386">
        <f>(147000000+10000000)+2691003+2562993</f>
        <v>162253996</v>
      </c>
      <c r="AE10" s="386">
        <f>(40000000+40000000+1000000)+658639+3449396</f>
        <v>85108035</v>
      </c>
      <c r="AF10" s="386">
        <v>25000000</v>
      </c>
      <c r="AG10" s="386">
        <f>1300000+830000</f>
        <v>2130000</v>
      </c>
      <c r="AH10" s="386">
        <f>16200000+300000+315000</f>
        <v>16815000</v>
      </c>
      <c r="AI10" s="347">
        <f>5000000+3600000</f>
        <v>8600000</v>
      </c>
      <c r="AJ10" s="347">
        <f>5000000+863600+2032000+2286000</f>
        <v>10181600</v>
      </c>
      <c r="AK10" s="386">
        <f>24218100+176530+810787</f>
        <v>25205417</v>
      </c>
      <c r="AL10" s="327"/>
      <c r="AM10" s="386">
        <v>2000000</v>
      </c>
      <c r="AN10" s="347">
        <v>500000</v>
      </c>
      <c r="AO10" s="386"/>
      <c r="AP10" s="386">
        <v>2452000</v>
      </c>
      <c r="AQ10" s="386">
        <f>14705000+12700+1620774</f>
        <v>16338474</v>
      </c>
      <c r="AR10" s="386">
        <v>1500000</v>
      </c>
      <c r="AS10" s="386">
        <v>2000000</v>
      </c>
      <c r="AT10" s="386">
        <v>1000000</v>
      </c>
      <c r="AU10" s="386">
        <v>15980250</v>
      </c>
      <c r="AV10" s="386">
        <f>24958830+526415</f>
        <v>25485245</v>
      </c>
      <c r="AW10" s="386">
        <f>60000000+1000000+5500000+5000000</f>
        <v>71500000</v>
      </c>
      <c r="AX10" s="347">
        <v>21600000</v>
      </c>
      <c r="AY10" s="386">
        <v>30000000</v>
      </c>
      <c r="AZ10" s="386">
        <v>2000000</v>
      </c>
      <c r="BA10" s="415">
        <v>35672700</v>
      </c>
      <c r="BB10" s="361">
        <v>0</v>
      </c>
      <c r="BC10" s="386">
        <v>21000000</v>
      </c>
      <c r="BD10" s="386">
        <v>1600000</v>
      </c>
      <c r="BE10" s="386">
        <v>300000</v>
      </c>
      <c r="BF10" s="386">
        <v>3240000</v>
      </c>
      <c r="BG10" s="386"/>
      <c r="BH10" s="386"/>
      <c r="BI10" s="386"/>
      <c r="BJ10" s="386"/>
      <c r="BK10" s="386"/>
      <c r="BL10" s="386">
        <v>2400000</v>
      </c>
      <c r="BM10" s="347">
        <f>4000000+794675+2344282</f>
        <v>7138957</v>
      </c>
      <c r="BN10" s="347">
        <f>460000+900000+1500000</f>
        <v>2860000</v>
      </c>
      <c r="BO10" s="386">
        <f>1000000+500000</f>
        <v>1500000</v>
      </c>
      <c r="BP10" s="386">
        <f>7400000+378970+378970</f>
        <v>8157940</v>
      </c>
      <c r="BQ10" s="347">
        <v>1000000</v>
      </c>
      <c r="BR10" s="386">
        <v>5000000</v>
      </c>
      <c r="BS10" s="386"/>
      <c r="BT10" s="386"/>
      <c r="BU10" s="386"/>
      <c r="BV10" s="386"/>
      <c r="BW10" s="386"/>
      <c r="BX10" s="386"/>
      <c r="BY10" s="386"/>
      <c r="BZ10" s="347"/>
      <c r="CA10" s="386">
        <v>2500000</v>
      </c>
      <c r="CB10" s="386">
        <f>21107400</f>
        <v>21107400</v>
      </c>
      <c r="CC10" s="386">
        <f>6963024+2168504+7637000</f>
        <v>16768528</v>
      </c>
      <c r="CD10" s="347"/>
      <c r="CE10" s="347"/>
      <c r="CF10" s="386"/>
      <c r="CG10" s="386"/>
      <c r="CH10" s="386"/>
      <c r="CI10" s="386"/>
      <c r="CJ10" s="386">
        <v>1300000</v>
      </c>
      <c r="CK10" s="386"/>
      <c r="CL10" s="327"/>
      <c r="CM10" s="362">
        <v>5000000</v>
      </c>
      <c r="CN10" s="361">
        <v>13614933</v>
      </c>
      <c r="CO10" s="361"/>
      <c r="CP10" s="361"/>
      <c r="CQ10" s="361"/>
      <c r="CR10" s="361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6"/>
      <c r="DM10" s="386"/>
      <c r="DN10" s="386"/>
      <c r="DO10" s="386"/>
      <c r="DP10" s="386"/>
      <c r="DQ10" s="347">
        <f>1500000+3600000</f>
        <v>5100000</v>
      </c>
      <c r="DR10" s="386"/>
      <c r="DS10" s="386"/>
      <c r="DT10" s="386">
        <v>14610080</v>
      </c>
      <c r="DU10" s="386">
        <v>15450000</v>
      </c>
      <c r="DV10" s="347">
        <v>862500</v>
      </c>
      <c r="DW10" s="386">
        <v>40000000</v>
      </c>
      <c r="DX10" s="327"/>
      <c r="DY10" s="327"/>
      <c r="DZ10" s="327"/>
      <c r="EA10" s="327"/>
      <c r="EB10" s="327"/>
      <c r="EC10" s="327"/>
      <c r="ED10" s="327"/>
      <c r="EE10" s="327"/>
      <c r="EF10" s="327"/>
      <c r="EG10" s="362">
        <f t="shared" si="0"/>
        <v>999641179</v>
      </c>
      <c r="EH10" s="362">
        <f t="shared" si="1"/>
        <v>214408637</v>
      </c>
      <c r="EI10" s="362">
        <f t="shared" si="2"/>
        <v>0</v>
      </c>
      <c r="EJ10" s="362">
        <f t="shared" si="3"/>
        <v>1214049816</v>
      </c>
      <c r="EK10" s="362"/>
      <c r="EL10" s="328" t="e">
        <f>+EK10-#REF!</f>
        <v>#REF!</v>
      </c>
      <c r="EM10" s="329">
        <v>1288029137</v>
      </c>
      <c r="EN10" s="329" t="e">
        <f>+EM10-#REF!</f>
        <v>#REF!</v>
      </c>
    </row>
    <row r="11" spans="1:144" ht="21.75" customHeight="1" x14ac:dyDescent="0.25">
      <c r="A11" s="324" t="s">
        <v>206</v>
      </c>
      <c r="B11" s="333" t="s">
        <v>347</v>
      </c>
      <c r="C11" s="326" t="s">
        <v>218</v>
      </c>
      <c r="D11" s="347"/>
      <c r="E11" s="347"/>
      <c r="F11" s="347"/>
      <c r="G11" s="347"/>
      <c r="H11" s="347"/>
      <c r="I11" s="347"/>
      <c r="J11" s="347"/>
      <c r="K11" s="362"/>
      <c r="L11" s="362"/>
      <c r="M11" s="362"/>
      <c r="N11" s="362"/>
      <c r="O11" s="362"/>
      <c r="P11" s="362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62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62"/>
      <c r="BB11" s="362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62"/>
      <c r="CM11" s="362"/>
      <c r="CN11" s="362"/>
      <c r="CO11" s="362"/>
      <c r="CP11" s="362"/>
      <c r="CQ11" s="362"/>
      <c r="CR11" s="362"/>
      <c r="CS11" s="347"/>
      <c r="CT11" s="347">
        <f>+'9.sz. Szociális'!E8+'9.sz. Szociális'!E9</f>
        <v>23000000</v>
      </c>
      <c r="CU11" s="347">
        <f>+'9.sz. Szociális'!E12</f>
        <v>1500000</v>
      </c>
      <c r="CV11" s="347">
        <f>+'9.sz. Szociális'!E13</f>
        <v>2300000</v>
      </c>
      <c r="CW11" s="347">
        <f>+'9.sz. Szociális'!E14</f>
        <v>2000000</v>
      </c>
      <c r="CX11" s="347">
        <f>+'9.sz. Szociális'!E15</f>
        <v>3000000</v>
      </c>
      <c r="CY11" s="347">
        <f>+'9.sz. Szociális'!E10</f>
        <v>4000000</v>
      </c>
      <c r="CZ11" s="347">
        <f>+'9.sz. Szociális'!E11</f>
        <v>500000</v>
      </c>
      <c r="DA11" s="386"/>
      <c r="DB11" s="347">
        <f>+'9.sz. Szociális'!E16</f>
        <v>500000</v>
      </c>
      <c r="DC11" s="347">
        <f>+'9.sz. Szociális'!E17</f>
        <v>200000</v>
      </c>
      <c r="DD11" s="347">
        <f>+'9.sz. Szociális'!E18</f>
        <v>4000000</v>
      </c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>
        <f t="shared" si="0"/>
        <v>41000000</v>
      </c>
      <c r="EH11" s="362">
        <f t="shared" si="1"/>
        <v>0</v>
      </c>
      <c r="EI11" s="362">
        <f t="shared" si="2"/>
        <v>0</v>
      </c>
      <c r="EJ11" s="362">
        <f t="shared" si="3"/>
        <v>41000000</v>
      </c>
      <c r="EK11" s="362"/>
      <c r="EL11" s="328" t="e">
        <f>+EK11-#REF!</f>
        <v>#REF!</v>
      </c>
      <c r="EM11" s="316">
        <v>43456000</v>
      </c>
      <c r="EN11" s="329" t="e">
        <f>+EM11-#REF!</f>
        <v>#REF!</v>
      </c>
    </row>
    <row r="12" spans="1:144" ht="21.75" customHeight="1" x14ac:dyDescent="0.25">
      <c r="A12" s="324" t="s">
        <v>207</v>
      </c>
      <c r="B12" s="333" t="s">
        <v>249</v>
      </c>
      <c r="C12" s="326" t="s">
        <v>219</v>
      </c>
      <c r="D12" s="347">
        <f>+D13+D14+D15</f>
        <v>0</v>
      </c>
      <c r="E12" s="347">
        <f t="shared" ref="E12:BO12" si="4">+E13+E14+E15</f>
        <v>0</v>
      </c>
      <c r="F12" s="347">
        <f t="shared" si="4"/>
        <v>0</v>
      </c>
      <c r="G12" s="347">
        <f t="shared" si="4"/>
        <v>0</v>
      </c>
      <c r="H12" s="347">
        <f t="shared" si="4"/>
        <v>0</v>
      </c>
      <c r="I12" s="347">
        <f t="shared" si="4"/>
        <v>0</v>
      </c>
      <c r="J12" s="347">
        <f t="shared" si="4"/>
        <v>0</v>
      </c>
      <c r="K12" s="347">
        <f t="shared" si="4"/>
        <v>0</v>
      </c>
      <c r="L12" s="347">
        <f t="shared" si="4"/>
        <v>0</v>
      </c>
      <c r="M12" s="347">
        <f t="shared" si="4"/>
        <v>0</v>
      </c>
      <c r="N12" s="347">
        <f t="shared" si="4"/>
        <v>0</v>
      </c>
      <c r="O12" s="347">
        <f t="shared" si="4"/>
        <v>0</v>
      </c>
      <c r="P12" s="347">
        <f t="shared" si="4"/>
        <v>0</v>
      </c>
      <c r="Q12" s="347">
        <f t="shared" si="4"/>
        <v>0</v>
      </c>
      <c r="R12" s="347">
        <f t="shared" si="4"/>
        <v>0</v>
      </c>
      <c r="S12" s="347">
        <f t="shared" si="4"/>
        <v>0</v>
      </c>
      <c r="T12" s="347">
        <f t="shared" si="4"/>
        <v>0</v>
      </c>
      <c r="U12" s="347">
        <f t="shared" si="4"/>
        <v>0</v>
      </c>
      <c r="V12" s="347">
        <f t="shared" si="4"/>
        <v>0</v>
      </c>
      <c r="W12" s="347">
        <f t="shared" si="4"/>
        <v>0</v>
      </c>
      <c r="X12" s="347">
        <f t="shared" si="4"/>
        <v>0</v>
      </c>
      <c r="Y12" s="347">
        <f t="shared" si="4"/>
        <v>0</v>
      </c>
      <c r="Z12" s="347">
        <f t="shared" si="4"/>
        <v>0</v>
      </c>
      <c r="AA12" s="347">
        <f t="shared" si="4"/>
        <v>0</v>
      </c>
      <c r="AB12" s="347">
        <f t="shared" si="4"/>
        <v>0</v>
      </c>
      <c r="AC12" s="347">
        <f t="shared" si="4"/>
        <v>0</v>
      </c>
      <c r="AD12" s="347">
        <f t="shared" si="4"/>
        <v>0</v>
      </c>
      <c r="AE12" s="347">
        <f t="shared" si="4"/>
        <v>0</v>
      </c>
      <c r="AF12" s="347">
        <f t="shared" si="4"/>
        <v>0</v>
      </c>
      <c r="AG12" s="347">
        <f t="shared" si="4"/>
        <v>0</v>
      </c>
      <c r="AH12" s="347">
        <f t="shared" si="4"/>
        <v>0</v>
      </c>
      <c r="AI12" s="347">
        <f t="shared" si="4"/>
        <v>0</v>
      </c>
      <c r="AJ12" s="347">
        <f t="shared" si="4"/>
        <v>0</v>
      </c>
      <c r="AK12" s="347">
        <f t="shared" si="4"/>
        <v>0</v>
      </c>
      <c r="AL12" s="347">
        <f t="shared" si="4"/>
        <v>0</v>
      </c>
      <c r="AM12" s="347">
        <f t="shared" si="4"/>
        <v>0</v>
      </c>
      <c r="AN12" s="347">
        <f t="shared" si="4"/>
        <v>0</v>
      </c>
      <c r="AO12" s="347">
        <f t="shared" si="4"/>
        <v>0</v>
      </c>
      <c r="AP12" s="347">
        <f t="shared" si="4"/>
        <v>0</v>
      </c>
      <c r="AQ12" s="347">
        <f t="shared" si="4"/>
        <v>0</v>
      </c>
      <c r="AR12" s="347">
        <f t="shared" si="4"/>
        <v>0</v>
      </c>
      <c r="AS12" s="347">
        <f t="shared" si="4"/>
        <v>0</v>
      </c>
      <c r="AT12" s="347">
        <f t="shared" si="4"/>
        <v>0</v>
      </c>
      <c r="AU12" s="347">
        <f t="shared" si="4"/>
        <v>0</v>
      </c>
      <c r="AV12" s="347">
        <f t="shared" si="4"/>
        <v>0</v>
      </c>
      <c r="AW12" s="347">
        <f t="shared" si="4"/>
        <v>0</v>
      </c>
      <c r="AX12" s="347">
        <f t="shared" si="4"/>
        <v>0</v>
      </c>
      <c r="AY12" s="347">
        <f t="shared" si="4"/>
        <v>0</v>
      </c>
      <c r="AZ12" s="347">
        <f t="shared" si="4"/>
        <v>0</v>
      </c>
      <c r="BA12" s="347">
        <f t="shared" si="4"/>
        <v>0</v>
      </c>
      <c r="BB12" s="347">
        <f t="shared" si="4"/>
        <v>0</v>
      </c>
      <c r="BC12" s="347">
        <f t="shared" si="4"/>
        <v>0</v>
      </c>
      <c r="BD12" s="347">
        <f t="shared" si="4"/>
        <v>0</v>
      </c>
      <c r="BE12" s="347">
        <f t="shared" si="4"/>
        <v>0</v>
      </c>
      <c r="BF12" s="347">
        <f t="shared" si="4"/>
        <v>0</v>
      </c>
      <c r="BG12" s="347">
        <f t="shared" si="4"/>
        <v>0</v>
      </c>
      <c r="BH12" s="347">
        <f t="shared" si="4"/>
        <v>0</v>
      </c>
      <c r="BI12" s="347">
        <f t="shared" si="4"/>
        <v>0</v>
      </c>
      <c r="BJ12" s="347">
        <f t="shared" si="4"/>
        <v>0</v>
      </c>
      <c r="BK12" s="347">
        <f t="shared" si="4"/>
        <v>0</v>
      </c>
      <c r="BL12" s="347">
        <f t="shared" si="4"/>
        <v>0</v>
      </c>
      <c r="BM12" s="347">
        <f t="shared" si="4"/>
        <v>0</v>
      </c>
      <c r="BN12" s="347">
        <f t="shared" si="4"/>
        <v>0</v>
      </c>
      <c r="BO12" s="347">
        <f t="shared" si="4"/>
        <v>0</v>
      </c>
      <c r="BP12" s="347">
        <f t="shared" ref="BP12:DT12" si="5">+BP13+BP14+BP15</f>
        <v>0</v>
      </c>
      <c r="BQ12" s="347">
        <f t="shared" si="5"/>
        <v>0</v>
      </c>
      <c r="BR12" s="347">
        <f t="shared" si="5"/>
        <v>0</v>
      </c>
      <c r="BS12" s="347">
        <f t="shared" si="5"/>
        <v>0</v>
      </c>
      <c r="BT12" s="347">
        <f t="shared" si="5"/>
        <v>0</v>
      </c>
      <c r="BU12" s="347">
        <f t="shared" si="5"/>
        <v>0</v>
      </c>
      <c r="BV12" s="347">
        <f t="shared" si="5"/>
        <v>0</v>
      </c>
      <c r="BW12" s="347">
        <f t="shared" si="5"/>
        <v>0</v>
      </c>
      <c r="BX12" s="347">
        <f t="shared" si="5"/>
        <v>938291429</v>
      </c>
      <c r="BY12" s="347">
        <f t="shared" si="5"/>
        <v>0</v>
      </c>
      <c r="BZ12" s="347">
        <f t="shared" si="5"/>
        <v>0</v>
      </c>
      <c r="CA12" s="347">
        <f t="shared" si="5"/>
        <v>0</v>
      </c>
      <c r="CB12" s="347">
        <f t="shared" si="5"/>
        <v>0</v>
      </c>
      <c r="CC12" s="347">
        <f t="shared" si="5"/>
        <v>0</v>
      </c>
      <c r="CD12" s="347">
        <f t="shared" si="5"/>
        <v>0</v>
      </c>
      <c r="CE12" s="347">
        <f t="shared" si="5"/>
        <v>0</v>
      </c>
      <c r="CF12" s="347">
        <f t="shared" si="5"/>
        <v>0</v>
      </c>
      <c r="CG12" s="347">
        <f t="shared" si="5"/>
        <v>0</v>
      </c>
      <c r="CH12" s="347">
        <f t="shared" si="5"/>
        <v>0</v>
      </c>
      <c r="CI12" s="347">
        <f t="shared" si="5"/>
        <v>0</v>
      </c>
      <c r="CJ12" s="347">
        <f t="shared" si="5"/>
        <v>0</v>
      </c>
      <c r="CK12" s="347">
        <f t="shared" si="5"/>
        <v>1350000</v>
      </c>
      <c r="CL12" s="347">
        <f t="shared" si="5"/>
        <v>950309686</v>
      </c>
      <c r="CM12" s="347">
        <f t="shared" si="5"/>
        <v>0</v>
      </c>
      <c r="CN12" s="347">
        <f t="shared" si="5"/>
        <v>0</v>
      </c>
      <c r="CO12" s="347">
        <f t="shared" si="5"/>
        <v>0</v>
      </c>
      <c r="CP12" s="347">
        <f t="shared" si="5"/>
        <v>0</v>
      </c>
      <c r="CQ12" s="347">
        <f t="shared" si="5"/>
        <v>0</v>
      </c>
      <c r="CR12" s="347">
        <f t="shared" si="5"/>
        <v>0</v>
      </c>
      <c r="CS12" s="347">
        <f t="shared" si="5"/>
        <v>0</v>
      </c>
      <c r="CT12" s="347">
        <f t="shared" si="5"/>
        <v>0</v>
      </c>
      <c r="CU12" s="347">
        <f t="shared" si="5"/>
        <v>0</v>
      </c>
      <c r="CV12" s="347">
        <f t="shared" si="5"/>
        <v>0</v>
      </c>
      <c r="CW12" s="347">
        <f t="shared" si="5"/>
        <v>0</v>
      </c>
      <c r="CX12" s="347">
        <f t="shared" si="5"/>
        <v>0</v>
      </c>
      <c r="CY12" s="347">
        <f t="shared" si="5"/>
        <v>0</v>
      </c>
      <c r="CZ12" s="347">
        <f t="shared" si="5"/>
        <v>0</v>
      </c>
      <c r="DA12" s="347">
        <f t="shared" si="5"/>
        <v>0</v>
      </c>
      <c r="DB12" s="347">
        <f t="shared" si="5"/>
        <v>0</v>
      </c>
      <c r="DC12" s="347">
        <f t="shared" si="5"/>
        <v>0</v>
      </c>
      <c r="DD12" s="347">
        <f t="shared" si="5"/>
        <v>0</v>
      </c>
      <c r="DE12" s="347">
        <f t="shared" si="5"/>
        <v>0</v>
      </c>
      <c r="DF12" s="347">
        <f t="shared" si="5"/>
        <v>0</v>
      </c>
      <c r="DG12" s="347">
        <f t="shared" si="5"/>
        <v>0</v>
      </c>
      <c r="DH12" s="347">
        <f t="shared" si="5"/>
        <v>11532529</v>
      </c>
      <c r="DI12" s="347">
        <f t="shared" si="5"/>
        <v>97782335</v>
      </c>
      <c r="DJ12" s="347">
        <f t="shared" si="5"/>
        <v>2890000</v>
      </c>
      <c r="DK12" s="347">
        <f t="shared" si="5"/>
        <v>0</v>
      </c>
      <c r="DL12" s="347">
        <f t="shared" si="5"/>
        <v>0</v>
      </c>
      <c r="DM12" s="347">
        <f t="shared" si="5"/>
        <v>1500000</v>
      </c>
      <c r="DN12" s="347">
        <f t="shared" si="5"/>
        <v>0</v>
      </c>
      <c r="DO12" s="347">
        <f t="shared" si="5"/>
        <v>3080000</v>
      </c>
      <c r="DP12" s="347">
        <f t="shared" si="5"/>
        <v>70000</v>
      </c>
      <c r="DQ12" s="347">
        <f t="shared" si="5"/>
        <v>79620000</v>
      </c>
      <c r="DR12" s="347">
        <f t="shared" si="5"/>
        <v>4000000</v>
      </c>
      <c r="DS12" s="347">
        <f t="shared" si="5"/>
        <v>26600000</v>
      </c>
      <c r="DT12" s="347">
        <f t="shared" si="5"/>
        <v>25216800</v>
      </c>
      <c r="DU12" s="347">
        <f t="shared" ref="DU12:EF12" si="6">+DU13+DU14+DU15</f>
        <v>14856000</v>
      </c>
      <c r="DV12" s="347">
        <f t="shared" si="6"/>
        <v>0</v>
      </c>
      <c r="DW12" s="347">
        <f t="shared" si="6"/>
        <v>0</v>
      </c>
      <c r="DX12" s="347">
        <f t="shared" si="6"/>
        <v>0</v>
      </c>
      <c r="DY12" s="347">
        <f t="shared" si="6"/>
        <v>0</v>
      </c>
      <c r="DZ12" s="347">
        <f t="shared" si="6"/>
        <v>0</v>
      </c>
      <c r="EA12" s="347">
        <f t="shared" si="6"/>
        <v>0</v>
      </c>
      <c r="EB12" s="347">
        <f t="shared" si="6"/>
        <v>0</v>
      </c>
      <c r="EC12" s="347">
        <f t="shared" si="6"/>
        <v>0</v>
      </c>
      <c r="ED12" s="347">
        <f t="shared" si="6"/>
        <v>0</v>
      </c>
      <c r="EE12" s="347">
        <f t="shared" si="6"/>
        <v>0</v>
      </c>
      <c r="EF12" s="347">
        <f t="shared" si="6"/>
        <v>0</v>
      </c>
      <c r="EG12" s="362">
        <f t="shared" si="0"/>
        <v>1984427115</v>
      </c>
      <c r="EH12" s="362">
        <f t="shared" si="1"/>
        <v>172671664</v>
      </c>
      <c r="EI12" s="362">
        <f t="shared" si="2"/>
        <v>0</v>
      </c>
      <c r="EJ12" s="362">
        <f t="shared" si="3"/>
        <v>2157098779</v>
      </c>
      <c r="EK12" s="362"/>
      <c r="EL12" s="328" t="e">
        <f>+EK12-#REF!</f>
        <v>#REF!</v>
      </c>
      <c r="EN12" s="329"/>
    </row>
    <row r="13" spans="1:144" ht="21.75" customHeight="1" x14ac:dyDescent="0.25">
      <c r="A13" s="324" t="s">
        <v>208</v>
      </c>
      <c r="B13" s="334" t="s">
        <v>594</v>
      </c>
      <c r="C13" s="326"/>
      <c r="D13" s="347"/>
      <c r="E13" s="347"/>
      <c r="F13" s="347"/>
      <c r="G13" s="347"/>
      <c r="H13" s="347"/>
      <c r="I13" s="347"/>
      <c r="J13" s="347"/>
      <c r="K13" s="362"/>
      <c r="L13" s="362"/>
      <c r="M13" s="362"/>
      <c r="N13" s="362"/>
      <c r="O13" s="362"/>
      <c r="P13" s="362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62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62"/>
      <c r="BB13" s="362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>
        <f>+'5.sz.Műk.c.pe.átadás'!G26</f>
        <v>1350000</v>
      </c>
      <c r="CL13" s="362"/>
      <c r="CM13" s="362"/>
      <c r="CN13" s="362"/>
      <c r="CO13" s="362"/>
      <c r="CP13" s="362"/>
      <c r="CQ13" s="362"/>
      <c r="CR13" s="362"/>
      <c r="CS13" s="347"/>
      <c r="CT13" s="347"/>
      <c r="CU13" s="347"/>
      <c r="CV13" s="347"/>
      <c r="CW13" s="347"/>
      <c r="CX13" s="347"/>
      <c r="CY13" s="347"/>
      <c r="CZ13" s="347"/>
      <c r="DA13" s="386"/>
      <c r="DB13" s="347"/>
      <c r="DC13" s="347"/>
      <c r="DD13" s="347"/>
      <c r="DE13" s="347"/>
      <c r="DF13" s="347"/>
      <c r="DG13" s="347"/>
      <c r="DH13" s="347">
        <f>+'5.sz.Műk.c.pe.átadás'!G30</f>
        <v>11532529</v>
      </c>
      <c r="DI13" s="347">
        <f>+'5.sz.Műk.c.pe.átadás'!G33</f>
        <v>97782335</v>
      </c>
      <c r="DJ13" s="347">
        <f>+'5.sz.Műk.c.pe.átadás'!G14+'5.sz.Műk.c.pe.átadás'!G10+'5.sz.Műk.c.pe.átadás'!G11+'5.sz.Műk.c.pe.átadás'!G12+'5.sz.Műk.c.pe.átadás'!G8+'5.sz.Műk.c.pe.átadás'!G13</f>
        <v>2890000</v>
      </c>
      <c r="DK13" s="347"/>
      <c r="DL13" s="347"/>
      <c r="DM13" s="347">
        <f>+'5.sz.Műk.c.pe.átadás'!G23</f>
        <v>1500000</v>
      </c>
      <c r="DN13" s="347"/>
      <c r="DO13" s="347">
        <f>+'5.sz.Műk.c.pe.átadás'!G16</f>
        <v>3080000</v>
      </c>
      <c r="DP13" s="347">
        <f>+'5.sz.Műk.c.pe.átadás'!E18</f>
        <v>70000</v>
      </c>
      <c r="DQ13" s="347">
        <f>+'5.sz.Műk.c.pe.átadás'!G20</f>
        <v>79620000</v>
      </c>
      <c r="DR13" s="347">
        <f>+'5.sz.Műk.c.pe.átadás'!E22</f>
        <v>4000000</v>
      </c>
      <c r="DS13" s="347">
        <f>+'5.sz.Műk.c.pe.átadás'!E45</f>
        <v>26600000</v>
      </c>
      <c r="DT13" s="347">
        <f>+'5.sz.Műk.c.pe.átadás'!G7</f>
        <v>25216800</v>
      </c>
      <c r="DU13" s="347">
        <f>+'5.sz.Műk.c.pe.átadás'!G9</f>
        <v>14856000</v>
      </c>
      <c r="DV13" s="347"/>
      <c r="DW13" s="347"/>
      <c r="DX13" s="362"/>
      <c r="DY13" s="362"/>
      <c r="DZ13" s="362"/>
      <c r="EA13" s="362"/>
      <c r="EB13" s="362"/>
      <c r="EC13" s="362"/>
      <c r="ED13" s="362"/>
      <c r="EE13" s="362"/>
      <c r="EF13" s="362"/>
      <c r="EG13" s="362">
        <f t="shared" si="0"/>
        <v>95826000</v>
      </c>
      <c r="EH13" s="362">
        <f t="shared" si="1"/>
        <v>172671664</v>
      </c>
      <c r="EI13" s="362">
        <f t="shared" si="2"/>
        <v>0</v>
      </c>
      <c r="EJ13" s="362">
        <f t="shared" si="3"/>
        <v>268497664</v>
      </c>
      <c r="EK13" s="362"/>
      <c r="EL13" s="328" t="e">
        <f>+EK13-#REF!</f>
        <v>#REF!</v>
      </c>
      <c r="EN13" s="329"/>
    </row>
    <row r="14" spans="1:144" s="336" customFormat="1" ht="21.75" customHeight="1" x14ac:dyDescent="0.25">
      <c r="A14" s="324" t="s">
        <v>209</v>
      </c>
      <c r="B14" s="334" t="s">
        <v>595</v>
      </c>
      <c r="C14" s="335"/>
      <c r="D14" s="360"/>
      <c r="E14" s="360"/>
      <c r="F14" s="360"/>
      <c r="G14" s="360"/>
      <c r="H14" s="360"/>
      <c r="I14" s="360"/>
      <c r="J14" s="360"/>
      <c r="K14" s="370"/>
      <c r="L14" s="370"/>
      <c r="M14" s="370"/>
      <c r="N14" s="370"/>
      <c r="O14" s="370"/>
      <c r="P14" s="37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7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70"/>
      <c r="BB14" s="37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>
        <f>+'8.sz.Tartalékok'!C67</f>
        <v>938291429</v>
      </c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70"/>
      <c r="CM14" s="370"/>
      <c r="CN14" s="370"/>
      <c r="CO14" s="370"/>
      <c r="CP14" s="370"/>
      <c r="CQ14" s="370"/>
      <c r="CR14" s="370"/>
      <c r="CS14" s="360"/>
      <c r="CT14" s="360"/>
      <c r="CU14" s="360"/>
      <c r="CV14" s="360"/>
      <c r="CW14" s="360"/>
      <c r="CX14" s="360"/>
      <c r="CY14" s="360"/>
      <c r="CZ14" s="360"/>
      <c r="DA14" s="414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70"/>
      <c r="DY14" s="370"/>
      <c r="DZ14" s="370"/>
      <c r="EA14" s="370"/>
      <c r="EB14" s="370"/>
      <c r="EC14" s="370"/>
      <c r="ED14" s="370"/>
      <c r="EE14" s="370"/>
      <c r="EF14" s="370"/>
      <c r="EG14" s="362">
        <f t="shared" si="0"/>
        <v>938291429</v>
      </c>
      <c r="EH14" s="362">
        <f t="shared" si="1"/>
        <v>0</v>
      </c>
      <c r="EI14" s="362">
        <f t="shared" si="2"/>
        <v>0</v>
      </c>
      <c r="EJ14" s="362">
        <f t="shared" si="3"/>
        <v>938291429</v>
      </c>
      <c r="EK14" s="362"/>
      <c r="EL14" s="328" t="e">
        <f>+EK14-#REF!</f>
        <v>#REF!</v>
      </c>
      <c r="EN14" s="329"/>
    </row>
    <row r="15" spans="1:144" s="336" customFormat="1" ht="21.75" customHeight="1" x14ac:dyDescent="0.25">
      <c r="A15" s="324" t="s">
        <v>210</v>
      </c>
      <c r="B15" s="334" t="s">
        <v>596</v>
      </c>
      <c r="C15" s="335"/>
      <c r="D15" s="360"/>
      <c r="E15" s="360"/>
      <c r="F15" s="360"/>
      <c r="G15" s="360"/>
      <c r="H15" s="360"/>
      <c r="I15" s="360"/>
      <c r="J15" s="360"/>
      <c r="K15" s="370"/>
      <c r="L15" s="370"/>
      <c r="M15" s="370"/>
      <c r="N15" s="370"/>
      <c r="O15" s="370"/>
      <c r="P15" s="37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7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70"/>
      <c r="BB15" s="37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1">
        <v>950309686</v>
      </c>
      <c r="CM15" s="361"/>
      <c r="CN15" s="370"/>
      <c r="CO15" s="370"/>
      <c r="CP15" s="370"/>
      <c r="CQ15" s="370"/>
      <c r="CR15" s="370"/>
      <c r="CS15" s="360"/>
      <c r="CT15" s="360"/>
      <c r="CU15" s="360"/>
      <c r="CV15" s="360"/>
      <c r="CW15" s="360"/>
      <c r="CX15" s="360"/>
      <c r="CY15" s="360"/>
      <c r="CZ15" s="360"/>
      <c r="DA15" s="414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70"/>
      <c r="DY15" s="370"/>
      <c r="DZ15" s="370"/>
      <c r="EA15" s="370"/>
      <c r="EB15" s="370"/>
      <c r="EC15" s="370"/>
      <c r="ED15" s="370"/>
      <c r="EE15" s="361"/>
      <c r="EF15" s="361"/>
      <c r="EG15" s="362">
        <f t="shared" si="0"/>
        <v>950309686</v>
      </c>
      <c r="EH15" s="362">
        <f t="shared" si="1"/>
        <v>0</v>
      </c>
      <c r="EI15" s="362">
        <f t="shared" si="2"/>
        <v>0</v>
      </c>
      <c r="EJ15" s="362">
        <f t="shared" si="3"/>
        <v>950309686</v>
      </c>
      <c r="EK15" s="362"/>
      <c r="EL15" s="328"/>
      <c r="EN15" s="329"/>
    </row>
    <row r="16" spans="1:144" s="331" customFormat="1" ht="21.75" customHeight="1" x14ac:dyDescent="0.25">
      <c r="A16" s="324" t="s">
        <v>211</v>
      </c>
      <c r="B16" s="337" t="s">
        <v>256</v>
      </c>
      <c r="C16" s="326" t="s">
        <v>220</v>
      </c>
      <c r="D16" s="347">
        <f>+'6.sz. Beruházások'!E12+'6.sz. Beruházások'!E13+'6.sz. Beruházások'!E14+'6.sz. Beruházások'!E15+'6.sz. Beruházások'!E16+'6.sz. Beruházások'!E17+'6.sz. Beruházások'!E19+'6.sz. Beruházások'!E20+'6.sz. Beruházások'!E11+'6.sz. Beruházások'!E18</f>
        <v>42908300</v>
      </c>
      <c r="E16" s="347">
        <f>+'6.sz. Beruházások'!E23+'6.sz. Beruházások'!E24+'6.sz. Beruházások'!E25+'6.sz. Beruházások'!E26+'6.sz. Beruházások'!E27+'6.sz. Beruházások'!E28+'6.sz. Beruházások'!E29+'6.sz. Beruházások'!E30+'6.sz. Beruházások'!E31+'6.sz. Beruházások'!E32+'6.sz. Beruházások'!E33+'6.sz. Beruházások'!E34+'6.sz. Beruházások'!E22</f>
        <v>96000000</v>
      </c>
      <c r="F16" s="347"/>
      <c r="G16" s="347"/>
      <c r="H16" s="347">
        <f>+'6.sz. Beruházások'!E36+'6.sz. Beruházások'!E39+'6.sz. Beruházások'!E37+'6.sz. Beruházások'!E38</f>
        <v>148283952</v>
      </c>
      <c r="I16" s="347">
        <f>+'6.sz. Beruházások'!E45+'6.sz. Beruházások'!E46+'6.sz. Beruházások'!E47+'6.sz. Beruházások'!E48</f>
        <v>6744600</v>
      </c>
      <c r="J16" s="347"/>
      <c r="K16" s="361"/>
      <c r="L16" s="361"/>
      <c r="M16" s="361"/>
      <c r="N16" s="361"/>
      <c r="O16" s="361"/>
      <c r="P16" s="361">
        <f>+'6.sz. Beruházások'!E40</f>
        <v>1000000</v>
      </c>
      <c r="Q16" s="347">
        <f>+'6.sz. Beruházások'!E49</f>
        <v>889000</v>
      </c>
      <c r="R16" s="347">
        <f>+'6.sz. Beruházások'!E50</f>
        <v>127000</v>
      </c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>
        <f>+'6.sz. Beruházások'!E51</f>
        <v>2000000</v>
      </c>
      <c r="AD16" s="347"/>
      <c r="AE16" s="347"/>
      <c r="AF16" s="347"/>
      <c r="AG16" s="347"/>
      <c r="AH16" s="347"/>
      <c r="AI16" s="347">
        <f>+'6.sz. Beruházások'!E52+'6.sz. Beruházások'!E53+'6.sz. Beruházások'!E54+'6.sz. Beruházások'!E55+'6.sz. Beruházások'!E56</f>
        <v>30000000</v>
      </c>
      <c r="AJ16" s="347">
        <f>+'6.sz. Beruházások'!E58+'6.sz. Beruházások'!E57</f>
        <v>5842000</v>
      </c>
      <c r="AK16" s="347">
        <f>+'6.sz. Beruházások'!E59+'6.sz. Beruházások'!E60</f>
        <v>254000</v>
      </c>
      <c r="AL16" s="361"/>
      <c r="AM16" s="347"/>
      <c r="AN16" s="347"/>
      <c r="AO16" s="347"/>
      <c r="AP16" s="347"/>
      <c r="AQ16" s="386">
        <f>+'6.sz. Beruházások'!E61+'6.sz. Beruházások'!E62</f>
        <v>6915045</v>
      </c>
      <c r="AR16" s="347"/>
      <c r="AS16" s="347"/>
      <c r="AT16" s="347"/>
      <c r="AU16" s="347">
        <f>+'6.sz. Beruházások'!E63</f>
        <v>254000</v>
      </c>
      <c r="AV16" s="347">
        <f>+'6.sz. Beruházások'!E64+'6.sz. Beruházások'!E65+'6.sz. Beruházások'!E66</f>
        <v>6477000</v>
      </c>
      <c r="AW16" s="347">
        <f>+'6.sz. Beruházások'!E67</f>
        <v>0</v>
      </c>
      <c r="AX16" s="347"/>
      <c r="AY16" s="347"/>
      <c r="AZ16" s="347"/>
      <c r="BA16" s="347">
        <f>+'6.sz. Beruházások'!E68+'6.sz. Beruházások'!E69+'6.sz. Beruházások'!E70+'6.sz. Beruházások'!E71</f>
        <v>5217160</v>
      </c>
      <c r="BB16" s="347"/>
      <c r="BC16" s="347"/>
      <c r="BD16" s="347"/>
      <c r="BE16" s="347"/>
      <c r="BF16" s="347">
        <f>+'6.sz. Beruházások'!E72+'6.sz. Beruházások'!E73+'6.sz. Beruházások'!E74+'6.sz. Beruházások'!E75</f>
        <v>21497250</v>
      </c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>
        <f>+'6.sz. Beruházások'!E76</f>
        <v>5000000</v>
      </c>
      <c r="BT16" s="347">
        <f>+'6.sz. Beruházások'!E77</f>
        <v>483616</v>
      </c>
      <c r="BU16" s="347"/>
      <c r="BV16" s="347"/>
      <c r="BW16" s="347"/>
      <c r="BX16" s="347"/>
      <c r="BY16" s="347"/>
      <c r="BZ16" s="347"/>
      <c r="CA16" s="347">
        <f>+'6.sz. Beruházások'!E41</f>
        <v>0</v>
      </c>
      <c r="CB16" s="347">
        <f>+'6.sz. Beruházások'!E78</f>
        <v>127000</v>
      </c>
      <c r="CC16" s="347"/>
      <c r="CD16" s="347">
        <f>+'6.sz. Beruházások'!E79</f>
        <v>500000</v>
      </c>
      <c r="CE16" s="347"/>
      <c r="CF16" s="347"/>
      <c r="CG16" s="347"/>
      <c r="CH16" s="347"/>
      <c r="CI16" s="347"/>
      <c r="CJ16" s="347"/>
      <c r="CK16" s="347"/>
      <c r="CL16" s="361"/>
      <c r="CM16" s="361"/>
      <c r="CN16" s="347">
        <f>+'6.sz. Beruházások'!E80</f>
        <v>479679727</v>
      </c>
      <c r="CO16" s="347"/>
      <c r="CP16" s="347">
        <f>+'6.sz. Beruházások'!E82</f>
        <v>140000</v>
      </c>
      <c r="CQ16" s="347">
        <f>+'6.sz. Beruházások'!E83</f>
        <v>140000</v>
      </c>
      <c r="CR16" s="347">
        <f>+'6.sz. Beruházások'!E84</f>
        <v>320000</v>
      </c>
      <c r="CS16" s="347"/>
      <c r="CT16" s="347"/>
      <c r="CU16" s="347"/>
      <c r="CV16" s="347"/>
      <c r="CW16" s="347"/>
      <c r="CX16" s="347"/>
      <c r="CY16" s="347"/>
      <c r="CZ16" s="347"/>
      <c r="DA16" s="386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61"/>
      <c r="DY16" s="361"/>
      <c r="DZ16" s="361"/>
      <c r="EA16" s="361"/>
      <c r="EB16" s="361"/>
      <c r="EC16" s="361"/>
      <c r="ED16" s="361"/>
      <c r="EE16" s="361"/>
      <c r="EF16" s="361"/>
      <c r="EG16" s="362">
        <f t="shared" si="0"/>
        <v>827874624</v>
      </c>
      <c r="EH16" s="362">
        <f t="shared" si="1"/>
        <v>32925026</v>
      </c>
      <c r="EI16" s="362">
        <f t="shared" si="2"/>
        <v>0</v>
      </c>
      <c r="EJ16" s="362">
        <f t="shared" si="3"/>
        <v>860799650</v>
      </c>
      <c r="EK16" s="362"/>
      <c r="EL16" s="328" t="e">
        <f>+EK16-#REF!</f>
        <v>#REF!</v>
      </c>
      <c r="EM16" s="331">
        <v>1335639616</v>
      </c>
      <c r="EN16" s="329" t="e">
        <f>+EM16-#REF!</f>
        <v>#REF!</v>
      </c>
    </row>
    <row r="17" spans="1:144" s="331" customFormat="1" ht="21.75" customHeight="1" x14ac:dyDescent="0.25">
      <c r="A17" s="324" t="s">
        <v>212</v>
      </c>
      <c r="B17" s="333" t="s">
        <v>348</v>
      </c>
      <c r="C17" s="326" t="s">
        <v>221</v>
      </c>
      <c r="D17" s="347">
        <f>+'7. sz. Felújítások'!E18</f>
        <v>0</v>
      </c>
      <c r="E17" s="347"/>
      <c r="F17" s="347"/>
      <c r="G17" s="347"/>
      <c r="H17" s="347">
        <f>+'7. sz. Felújítások'!E15+'7. sz. Felújítások'!E14+'7. sz. Felújítások'!E16+'7. sz. Felújítások'!E17</f>
        <v>62075195</v>
      </c>
      <c r="I17" s="347"/>
      <c r="J17" s="347"/>
      <c r="K17" s="361"/>
      <c r="L17" s="361"/>
      <c r="M17" s="361"/>
      <c r="N17" s="361"/>
      <c r="O17" s="361"/>
      <c r="P17" s="361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61"/>
      <c r="AM17" s="347"/>
      <c r="AN17" s="347"/>
      <c r="AO17" s="347"/>
      <c r="AP17" s="347"/>
      <c r="AQ17" s="347"/>
      <c r="AR17" s="347"/>
      <c r="AS17" s="347"/>
      <c r="AT17" s="347"/>
      <c r="AU17" s="347">
        <f>+'7. sz. Felújítások'!E19</f>
        <v>0</v>
      </c>
      <c r="AV17" s="347">
        <f>+'7. sz. Felújítások'!E20</f>
        <v>0</v>
      </c>
      <c r="AW17" s="347"/>
      <c r="AX17" s="347"/>
      <c r="AY17" s="347"/>
      <c r="AZ17" s="347"/>
      <c r="BA17" s="361"/>
      <c r="BB17" s="361"/>
      <c r="BC17" s="347"/>
      <c r="BD17" s="347"/>
      <c r="BE17" s="347"/>
      <c r="BF17" s="347"/>
      <c r="BG17" s="347"/>
      <c r="BH17" s="347"/>
      <c r="BI17" s="347">
        <f>+'7. sz. Felújítások'!E11</f>
        <v>65000000</v>
      </c>
      <c r="BJ17" s="347"/>
      <c r="BK17" s="347">
        <f>+'7. sz. Felújítások'!E13</f>
        <v>65000000</v>
      </c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>
        <f>+'7. sz. Felújítások'!E21</f>
        <v>350000</v>
      </c>
      <c r="CA17" s="347"/>
      <c r="CB17" s="347"/>
      <c r="CC17" s="347"/>
      <c r="CD17" s="347"/>
      <c r="CE17" s="347"/>
      <c r="CF17" s="347"/>
      <c r="CG17" s="347">
        <f>+'7. sz. Felújítások'!E22+'7. sz. Felújítások'!E23+'7. sz. Felújítások'!E24</f>
        <v>0</v>
      </c>
      <c r="CH17" s="347">
        <f>+'7. sz. Felújítások'!E25</f>
        <v>0</v>
      </c>
      <c r="CI17" s="347"/>
      <c r="CJ17" s="347"/>
      <c r="CK17" s="347"/>
      <c r="CL17" s="361"/>
      <c r="CM17" s="361"/>
      <c r="CN17" s="361"/>
      <c r="CO17" s="361"/>
      <c r="CP17" s="361"/>
      <c r="CQ17" s="361"/>
      <c r="CR17" s="361"/>
      <c r="CS17" s="347"/>
      <c r="CT17" s="347"/>
      <c r="CU17" s="347"/>
      <c r="CV17" s="347"/>
      <c r="CW17" s="347"/>
      <c r="CX17" s="347"/>
      <c r="CY17" s="347"/>
      <c r="CZ17" s="347"/>
      <c r="DA17" s="386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61"/>
      <c r="DY17" s="361"/>
      <c r="DZ17" s="361"/>
      <c r="EA17" s="361"/>
      <c r="EB17" s="361"/>
      <c r="EC17" s="361"/>
      <c r="ED17" s="361"/>
      <c r="EE17" s="361"/>
      <c r="EF17" s="361"/>
      <c r="EG17" s="362">
        <f t="shared" si="0"/>
        <v>192425195</v>
      </c>
      <c r="EH17" s="362">
        <f t="shared" si="1"/>
        <v>0</v>
      </c>
      <c r="EI17" s="362">
        <f t="shared" si="2"/>
        <v>0</v>
      </c>
      <c r="EJ17" s="362">
        <f t="shared" si="3"/>
        <v>192425195</v>
      </c>
      <c r="EK17" s="362"/>
      <c r="EL17" s="328" t="e">
        <f>+EK17-#REF!</f>
        <v>#REF!</v>
      </c>
      <c r="EM17" s="331">
        <v>475600396</v>
      </c>
      <c r="EN17" s="329" t="e">
        <f>+EM17-#REF!</f>
        <v>#REF!</v>
      </c>
    </row>
    <row r="18" spans="1:144" ht="21.75" customHeight="1" x14ac:dyDescent="0.25">
      <c r="A18" s="324" t="s">
        <v>213</v>
      </c>
      <c r="B18" s="333" t="s">
        <v>250</v>
      </c>
      <c r="C18" s="326" t="s">
        <v>222</v>
      </c>
      <c r="D18" s="347">
        <f>+D19</f>
        <v>0</v>
      </c>
      <c r="E18" s="347">
        <f t="shared" ref="E18:BO18" si="7">+E19</f>
        <v>0</v>
      </c>
      <c r="F18" s="347">
        <f t="shared" si="7"/>
        <v>0</v>
      </c>
      <c r="G18" s="347">
        <f t="shared" si="7"/>
        <v>0</v>
      </c>
      <c r="H18" s="347">
        <f t="shared" si="7"/>
        <v>0</v>
      </c>
      <c r="I18" s="347">
        <f t="shared" si="7"/>
        <v>0</v>
      </c>
      <c r="J18" s="347">
        <f t="shared" si="7"/>
        <v>0</v>
      </c>
      <c r="K18" s="347">
        <f t="shared" si="7"/>
        <v>0</v>
      </c>
      <c r="L18" s="347">
        <f t="shared" si="7"/>
        <v>3500000</v>
      </c>
      <c r="M18" s="347">
        <f t="shared" si="7"/>
        <v>0</v>
      </c>
      <c r="N18" s="347">
        <f t="shared" si="7"/>
        <v>0</v>
      </c>
      <c r="O18" s="347">
        <f t="shared" si="7"/>
        <v>0</v>
      </c>
      <c r="P18" s="347">
        <f t="shared" si="7"/>
        <v>0</v>
      </c>
      <c r="Q18" s="347">
        <f t="shared" si="7"/>
        <v>0</v>
      </c>
      <c r="R18" s="347">
        <f t="shared" si="7"/>
        <v>0</v>
      </c>
      <c r="S18" s="347">
        <f t="shared" si="7"/>
        <v>0</v>
      </c>
      <c r="T18" s="347">
        <f t="shared" si="7"/>
        <v>0</v>
      </c>
      <c r="U18" s="347">
        <f t="shared" si="7"/>
        <v>0</v>
      </c>
      <c r="V18" s="347">
        <f t="shared" si="7"/>
        <v>0</v>
      </c>
      <c r="W18" s="347">
        <f t="shared" si="7"/>
        <v>0</v>
      </c>
      <c r="X18" s="347">
        <f t="shared" si="7"/>
        <v>0</v>
      </c>
      <c r="Y18" s="347">
        <f t="shared" si="7"/>
        <v>0</v>
      </c>
      <c r="Z18" s="347">
        <f t="shared" si="7"/>
        <v>0</v>
      </c>
      <c r="AA18" s="347">
        <f t="shared" si="7"/>
        <v>0</v>
      </c>
      <c r="AB18" s="347">
        <f t="shared" si="7"/>
        <v>0</v>
      </c>
      <c r="AC18" s="347">
        <f t="shared" si="7"/>
        <v>0</v>
      </c>
      <c r="AD18" s="347">
        <f t="shared" si="7"/>
        <v>0</v>
      </c>
      <c r="AE18" s="347">
        <f t="shared" si="7"/>
        <v>0</v>
      </c>
      <c r="AF18" s="347">
        <f t="shared" si="7"/>
        <v>0</v>
      </c>
      <c r="AG18" s="347">
        <f t="shared" si="7"/>
        <v>0</v>
      </c>
      <c r="AH18" s="347">
        <f t="shared" si="7"/>
        <v>0</v>
      </c>
      <c r="AI18" s="347">
        <f t="shared" si="7"/>
        <v>0</v>
      </c>
      <c r="AJ18" s="347">
        <f t="shared" si="7"/>
        <v>0</v>
      </c>
      <c r="AK18" s="347">
        <f t="shared" si="7"/>
        <v>0</v>
      </c>
      <c r="AL18" s="347">
        <f t="shared" si="7"/>
        <v>0</v>
      </c>
      <c r="AM18" s="347">
        <f t="shared" si="7"/>
        <v>0</v>
      </c>
      <c r="AN18" s="347">
        <f t="shared" si="7"/>
        <v>0</v>
      </c>
      <c r="AO18" s="347">
        <f t="shared" si="7"/>
        <v>0</v>
      </c>
      <c r="AP18" s="347">
        <f t="shared" si="7"/>
        <v>0</v>
      </c>
      <c r="AQ18" s="347">
        <f t="shared" si="7"/>
        <v>0</v>
      </c>
      <c r="AR18" s="347">
        <f t="shared" si="7"/>
        <v>0</v>
      </c>
      <c r="AS18" s="347">
        <f t="shared" si="7"/>
        <v>0</v>
      </c>
      <c r="AT18" s="347">
        <f t="shared" si="7"/>
        <v>0</v>
      </c>
      <c r="AU18" s="347">
        <f t="shared" si="7"/>
        <v>0</v>
      </c>
      <c r="AV18" s="347">
        <f t="shared" si="7"/>
        <v>0</v>
      </c>
      <c r="AW18" s="347">
        <f t="shared" si="7"/>
        <v>0</v>
      </c>
      <c r="AX18" s="347">
        <f t="shared" si="7"/>
        <v>0</v>
      </c>
      <c r="AY18" s="347">
        <f t="shared" si="7"/>
        <v>0</v>
      </c>
      <c r="AZ18" s="347">
        <f t="shared" si="7"/>
        <v>0</v>
      </c>
      <c r="BA18" s="347">
        <f t="shared" si="7"/>
        <v>0</v>
      </c>
      <c r="BB18" s="347">
        <f t="shared" si="7"/>
        <v>0</v>
      </c>
      <c r="BC18" s="347">
        <f t="shared" si="7"/>
        <v>0</v>
      </c>
      <c r="BD18" s="347">
        <f t="shared" si="7"/>
        <v>0</v>
      </c>
      <c r="BE18" s="347">
        <f t="shared" si="7"/>
        <v>0</v>
      </c>
      <c r="BF18" s="347">
        <f t="shared" si="7"/>
        <v>0</v>
      </c>
      <c r="BG18" s="347">
        <f t="shared" si="7"/>
        <v>0</v>
      </c>
      <c r="BH18" s="347">
        <f t="shared" si="7"/>
        <v>0</v>
      </c>
      <c r="BI18" s="347">
        <f t="shared" si="7"/>
        <v>0</v>
      </c>
      <c r="BJ18" s="347">
        <f t="shared" si="7"/>
        <v>0</v>
      </c>
      <c r="BK18" s="347">
        <f t="shared" si="7"/>
        <v>0</v>
      </c>
      <c r="BL18" s="347">
        <f t="shared" si="7"/>
        <v>0</v>
      </c>
      <c r="BM18" s="347">
        <f t="shared" si="7"/>
        <v>0</v>
      </c>
      <c r="BN18" s="347">
        <f t="shared" si="7"/>
        <v>0</v>
      </c>
      <c r="BO18" s="347">
        <f t="shared" si="7"/>
        <v>0</v>
      </c>
      <c r="BP18" s="347">
        <f t="shared" ref="BP18:DT18" si="8">+BP19</f>
        <v>0</v>
      </c>
      <c r="BQ18" s="347">
        <f t="shared" si="8"/>
        <v>0</v>
      </c>
      <c r="BR18" s="347">
        <f t="shared" si="8"/>
        <v>0</v>
      </c>
      <c r="BS18" s="347">
        <f t="shared" si="8"/>
        <v>0</v>
      </c>
      <c r="BT18" s="347">
        <f t="shared" si="8"/>
        <v>0</v>
      </c>
      <c r="BU18" s="347">
        <f t="shared" si="8"/>
        <v>0</v>
      </c>
      <c r="BV18" s="347">
        <f t="shared" si="8"/>
        <v>0</v>
      </c>
      <c r="BW18" s="347">
        <f t="shared" si="8"/>
        <v>0</v>
      </c>
      <c r="BX18" s="347">
        <f t="shared" si="8"/>
        <v>0</v>
      </c>
      <c r="BY18" s="347">
        <f t="shared" si="8"/>
        <v>0</v>
      </c>
      <c r="BZ18" s="347">
        <f t="shared" si="8"/>
        <v>0</v>
      </c>
      <c r="CA18" s="347">
        <f t="shared" si="8"/>
        <v>0</v>
      </c>
      <c r="CB18" s="347">
        <f t="shared" si="8"/>
        <v>0</v>
      </c>
      <c r="CC18" s="347">
        <f t="shared" si="8"/>
        <v>0</v>
      </c>
      <c r="CD18" s="347">
        <f t="shared" si="8"/>
        <v>0</v>
      </c>
      <c r="CE18" s="347">
        <f t="shared" si="8"/>
        <v>0</v>
      </c>
      <c r="CF18" s="347">
        <f t="shared" si="8"/>
        <v>0</v>
      </c>
      <c r="CG18" s="347">
        <f t="shared" si="8"/>
        <v>0</v>
      </c>
      <c r="CH18" s="347">
        <f t="shared" si="8"/>
        <v>0</v>
      </c>
      <c r="CI18" s="347">
        <f t="shared" si="8"/>
        <v>0</v>
      </c>
      <c r="CJ18" s="347">
        <f t="shared" si="8"/>
        <v>0</v>
      </c>
      <c r="CK18" s="347">
        <f t="shared" si="8"/>
        <v>0</v>
      </c>
      <c r="CL18" s="347">
        <f t="shared" si="8"/>
        <v>0</v>
      </c>
      <c r="CM18" s="347">
        <f t="shared" si="8"/>
        <v>0</v>
      </c>
      <c r="CN18" s="347">
        <f t="shared" si="8"/>
        <v>0</v>
      </c>
      <c r="CO18" s="347">
        <f t="shared" si="8"/>
        <v>0</v>
      </c>
      <c r="CP18" s="347">
        <f t="shared" si="8"/>
        <v>0</v>
      </c>
      <c r="CQ18" s="347">
        <f t="shared" si="8"/>
        <v>0</v>
      </c>
      <c r="CR18" s="347">
        <f t="shared" si="8"/>
        <v>0</v>
      </c>
      <c r="CS18" s="347">
        <f t="shared" si="8"/>
        <v>0</v>
      </c>
      <c r="CT18" s="347">
        <f t="shared" si="8"/>
        <v>0</v>
      </c>
      <c r="CU18" s="347">
        <f t="shared" si="8"/>
        <v>0</v>
      </c>
      <c r="CV18" s="347">
        <f t="shared" si="8"/>
        <v>0</v>
      </c>
      <c r="CW18" s="347">
        <f t="shared" si="8"/>
        <v>0</v>
      </c>
      <c r="CX18" s="347">
        <f t="shared" si="8"/>
        <v>0</v>
      </c>
      <c r="CY18" s="347">
        <f t="shared" si="8"/>
        <v>0</v>
      </c>
      <c r="CZ18" s="347">
        <f t="shared" si="8"/>
        <v>0</v>
      </c>
      <c r="DA18" s="347">
        <f t="shared" si="8"/>
        <v>0</v>
      </c>
      <c r="DB18" s="347">
        <f t="shared" si="8"/>
        <v>0</v>
      </c>
      <c r="DC18" s="347">
        <f t="shared" si="8"/>
        <v>0</v>
      </c>
      <c r="DD18" s="347">
        <f t="shared" si="8"/>
        <v>0</v>
      </c>
      <c r="DE18" s="347">
        <f t="shared" si="8"/>
        <v>4500000</v>
      </c>
      <c r="DF18" s="347">
        <f t="shared" si="8"/>
        <v>4000000</v>
      </c>
      <c r="DG18" s="347">
        <f t="shared" si="8"/>
        <v>3000000</v>
      </c>
      <c r="DH18" s="347">
        <f t="shared" si="8"/>
        <v>0</v>
      </c>
      <c r="DI18" s="347">
        <f t="shared" si="8"/>
        <v>0</v>
      </c>
      <c r="DJ18" s="347">
        <f t="shared" si="8"/>
        <v>0</v>
      </c>
      <c r="DK18" s="347">
        <f t="shared" si="8"/>
        <v>0</v>
      </c>
      <c r="DL18" s="347">
        <f t="shared" si="8"/>
        <v>0</v>
      </c>
      <c r="DM18" s="347">
        <f t="shared" si="8"/>
        <v>0</v>
      </c>
      <c r="DN18" s="347">
        <f t="shared" si="8"/>
        <v>0</v>
      </c>
      <c r="DO18" s="347">
        <f t="shared" si="8"/>
        <v>1320000</v>
      </c>
      <c r="DP18" s="347">
        <f t="shared" si="8"/>
        <v>0</v>
      </c>
      <c r="DQ18" s="347">
        <f t="shared" si="8"/>
        <v>0</v>
      </c>
      <c r="DR18" s="347">
        <f t="shared" si="8"/>
        <v>0</v>
      </c>
      <c r="DS18" s="347">
        <f t="shared" si="8"/>
        <v>0</v>
      </c>
      <c r="DT18" s="347">
        <f t="shared" si="8"/>
        <v>0</v>
      </c>
      <c r="DU18" s="347">
        <f t="shared" ref="DU18:EF18" si="9">+DU19</f>
        <v>0</v>
      </c>
      <c r="DV18" s="347">
        <f t="shared" si="9"/>
        <v>0</v>
      </c>
      <c r="DW18" s="347">
        <f t="shared" si="9"/>
        <v>0</v>
      </c>
      <c r="DX18" s="347">
        <f t="shared" si="9"/>
        <v>0</v>
      </c>
      <c r="DY18" s="347">
        <f t="shared" si="9"/>
        <v>0</v>
      </c>
      <c r="DZ18" s="347">
        <f t="shared" si="9"/>
        <v>0</v>
      </c>
      <c r="EA18" s="347">
        <f t="shared" si="9"/>
        <v>0</v>
      </c>
      <c r="EB18" s="347">
        <f t="shared" si="9"/>
        <v>0</v>
      </c>
      <c r="EC18" s="347">
        <f t="shared" si="9"/>
        <v>0</v>
      </c>
      <c r="ED18" s="347">
        <f t="shared" si="9"/>
        <v>0</v>
      </c>
      <c r="EE18" s="347">
        <f t="shared" si="9"/>
        <v>0</v>
      </c>
      <c r="EF18" s="347">
        <f t="shared" si="9"/>
        <v>0</v>
      </c>
      <c r="EG18" s="362">
        <f t="shared" si="0"/>
        <v>0</v>
      </c>
      <c r="EH18" s="362">
        <f t="shared" si="1"/>
        <v>16320000</v>
      </c>
      <c r="EI18" s="362">
        <f t="shared" si="2"/>
        <v>0</v>
      </c>
      <c r="EJ18" s="362">
        <f t="shared" si="3"/>
        <v>16320000</v>
      </c>
      <c r="EK18" s="362"/>
      <c r="EL18" s="328" t="e">
        <f>+EK18-#REF!</f>
        <v>#REF!</v>
      </c>
      <c r="EN18" s="329" t="e">
        <f>SUM(EN10:IV17)</f>
        <v>#REF!</v>
      </c>
    </row>
    <row r="19" spans="1:144" ht="21.75" customHeight="1" x14ac:dyDescent="0.25">
      <c r="A19" s="324" t="s">
        <v>240</v>
      </c>
      <c r="B19" s="334" t="s">
        <v>607</v>
      </c>
      <c r="C19" s="326"/>
      <c r="D19" s="347"/>
      <c r="E19" s="347"/>
      <c r="F19" s="347"/>
      <c r="G19" s="347"/>
      <c r="H19" s="347"/>
      <c r="I19" s="347"/>
      <c r="J19" s="347"/>
      <c r="K19" s="362"/>
      <c r="L19" s="362">
        <f>+'4.sz.Felhalm.c.pe.átadás'!E10</f>
        <v>3500000</v>
      </c>
      <c r="M19" s="362"/>
      <c r="N19" s="362"/>
      <c r="O19" s="362"/>
      <c r="P19" s="362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62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62"/>
      <c r="BB19" s="362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62"/>
      <c r="CM19" s="362"/>
      <c r="CN19" s="362"/>
      <c r="CO19" s="362"/>
      <c r="CP19" s="362"/>
      <c r="CQ19" s="362"/>
      <c r="CR19" s="362"/>
      <c r="CS19" s="347"/>
      <c r="CT19" s="347"/>
      <c r="CU19" s="347"/>
      <c r="CV19" s="347"/>
      <c r="CW19" s="347"/>
      <c r="CX19" s="347"/>
      <c r="CY19" s="347"/>
      <c r="CZ19" s="347"/>
      <c r="DA19" s="386"/>
      <c r="DB19" s="347"/>
      <c r="DC19" s="347"/>
      <c r="DD19" s="347"/>
      <c r="DE19" s="347">
        <f>'4.sz.Felhalm.c.pe.átadás'!E6+'4.sz.Felhalm.c.pe.átadás'!E8</f>
        <v>4500000</v>
      </c>
      <c r="DF19" s="347">
        <f>+'4.sz.Felhalm.c.pe.átadás'!F7</f>
        <v>4000000</v>
      </c>
      <c r="DG19" s="347">
        <f>+'4.sz.Felhalm.c.pe.átadás'!H9</f>
        <v>3000000</v>
      </c>
      <c r="DH19" s="347"/>
      <c r="DI19" s="347"/>
      <c r="DJ19" s="347"/>
      <c r="DK19" s="347"/>
      <c r="DL19" s="347"/>
      <c r="DM19" s="347"/>
      <c r="DN19" s="347"/>
      <c r="DO19" s="347">
        <f>+'4.sz.Felhalm.c.pe.átadás'!G11</f>
        <v>1320000</v>
      </c>
      <c r="DP19" s="347"/>
      <c r="DQ19" s="347"/>
      <c r="DR19" s="347"/>
      <c r="DS19" s="347"/>
      <c r="DT19" s="347"/>
      <c r="DU19" s="347"/>
      <c r="DV19" s="347"/>
      <c r="DW19" s="347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>
        <f t="shared" si="0"/>
        <v>0</v>
      </c>
      <c r="EH19" s="362">
        <f t="shared" si="1"/>
        <v>16320000</v>
      </c>
      <c r="EI19" s="362">
        <f t="shared" si="2"/>
        <v>0</v>
      </c>
      <c r="EJ19" s="362">
        <f t="shared" si="3"/>
        <v>16320000</v>
      </c>
      <c r="EK19" s="362"/>
      <c r="EL19" s="328" t="e">
        <f>+EK19-#REF!</f>
        <v>#REF!</v>
      </c>
      <c r="EN19" s="316">
        <f>160237220+12180711</f>
        <v>172417931</v>
      </c>
    </row>
    <row r="20" spans="1:144" s="331" customFormat="1" ht="21.75" customHeight="1" x14ac:dyDescent="0.25">
      <c r="A20" s="324" t="s">
        <v>241</v>
      </c>
      <c r="B20" s="337" t="s">
        <v>251</v>
      </c>
      <c r="C20" s="326" t="s">
        <v>223</v>
      </c>
      <c r="D20" s="361">
        <f>+D18+D17+D16+D12+D11+D10+D9+D8</f>
        <v>42908300</v>
      </c>
      <c r="E20" s="361">
        <f t="shared" ref="E20:BO20" si="10">+E18+E17+E16+E12+E11+E10+E9+E8</f>
        <v>96000000</v>
      </c>
      <c r="F20" s="361">
        <f t="shared" si="10"/>
        <v>0</v>
      </c>
      <c r="G20" s="361">
        <f t="shared" si="10"/>
        <v>0</v>
      </c>
      <c r="H20" s="361">
        <f t="shared" si="10"/>
        <v>210359147</v>
      </c>
      <c r="I20" s="361">
        <f t="shared" si="10"/>
        <v>6744600</v>
      </c>
      <c r="J20" s="361">
        <f t="shared" si="10"/>
        <v>1000000</v>
      </c>
      <c r="K20" s="361">
        <f t="shared" si="10"/>
        <v>10000000</v>
      </c>
      <c r="L20" s="361">
        <f t="shared" si="10"/>
        <v>3500000</v>
      </c>
      <c r="M20" s="361">
        <f t="shared" si="10"/>
        <v>0</v>
      </c>
      <c r="N20" s="361">
        <f t="shared" si="10"/>
        <v>0</v>
      </c>
      <c r="O20" s="361">
        <f t="shared" si="10"/>
        <v>0</v>
      </c>
      <c r="P20" s="361">
        <f t="shared" si="10"/>
        <v>1000000</v>
      </c>
      <c r="Q20" s="361">
        <f t="shared" si="10"/>
        <v>80303454</v>
      </c>
      <c r="R20" s="361">
        <f t="shared" si="10"/>
        <v>65555288</v>
      </c>
      <c r="S20" s="361">
        <f t="shared" si="10"/>
        <v>0</v>
      </c>
      <c r="T20" s="361">
        <f t="shared" si="10"/>
        <v>5000000</v>
      </c>
      <c r="U20" s="361">
        <f t="shared" si="10"/>
        <v>0</v>
      </c>
      <c r="V20" s="361">
        <f t="shared" si="10"/>
        <v>0</v>
      </c>
      <c r="W20" s="361">
        <f t="shared" si="10"/>
        <v>5972000</v>
      </c>
      <c r="X20" s="361">
        <f t="shared" si="10"/>
        <v>10000000</v>
      </c>
      <c r="Y20" s="361">
        <f t="shared" si="10"/>
        <v>20000000</v>
      </c>
      <c r="Z20" s="361">
        <f t="shared" si="10"/>
        <v>267451365</v>
      </c>
      <c r="AA20" s="361">
        <f t="shared" si="10"/>
        <v>36415240</v>
      </c>
      <c r="AB20" s="361">
        <f t="shared" si="10"/>
        <v>51500000</v>
      </c>
      <c r="AC20" s="361">
        <f t="shared" si="10"/>
        <v>7000000</v>
      </c>
      <c r="AD20" s="361">
        <f t="shared" si="10"/>
        <v>162253996</v>
      </c>
      <c r="AE20" s="361">
        <f t="shared" si="10"/>
        <v>85108035</v>
      </c>
      <c r="AF20" s="361">
        <f t="shared" si="10"/>
        <v>25000000</v>
      </c>
      <c r="AG20" s="361">
        <f t="shared" si="10"/>
        <v>3630000</v>
      </c>
      <c r="AH20" s="361">
        <f t="shared" si="10"/>
        <v>30951478</v>
      </c>
      <c r="AI20" s="361">
        <f t="shared" si="10"/>
        <v>38600000</v>
      </c>
      <c r="AJ20" s="361">
        <f t="shared" si="10"/>
        <v>16023600</v>
      </c>
      <c r="AK20" s="361">
        <f t="shared" si="10"/>
        <v>36787487</v>
      </c>
      <c r="AL20" s="361">
        <f t="shared" si="10"/>
        <v>0</v>
      </c>
      <c r="AM20" s="361">
        <f t="shared" si="10"/>
        <v>2000000</v>
      </c>
      <c r="AN20" s="361">
        <f t="shared" si="10"/>
        <v>500000</v>
      </c>
      <c r="AO20" s="361">
        <f t="shared" si="10"/>
        <v>3525000</v>
      </c>
      <c r="AP20" s="361">
        <f t="shared" si="10"/>
        <v>13875960</v>
      </c>
      <c r="AQ20" s="361">
        <f t="shared" si="10"/>
        <v>36401479</v>
      </c>
      <c r="AR20" s="361">
        <f t="shared" si="10"/>
        <v>1500000</v>
      </c>
      <c r="AS20" s="361">
        <f t="shared" si="10"/>
        <v>2000000</v>
      </c>
      <c r="AT20" s="361">
        <f t="shared" si="10"/>
        <v>1000000</v>
      </c>
      <c r="AU20" s="361">
        <f t="shared" si="10"/>
        <v>25357450</v>
      </c>
      <c r="AV20" s="361">
        <f t="shared" si="10"/>
        <v>62730505</v>
      </c>
      <c r="AW20" s="361">
        <f t="shared" si="10"/>
        <v>71500000</v>
      </c>
      <c r="AX20" s="361">
        <f t="shared" si="10"/>
        <v>21600000</v>
      </c>
      <c r="AY20" s="361">
        <f t="shared" si="10"/>
        <v>40000000</v>
      </c>
      <c r="AZ20" s="361">
        <f t="shared" si="10"/>
        <v>2000000</v>
      </c>
      <c r="BA20" s="361">
        <f t="shared" si="10"/>
        <v>81137060</v>
      </c>
      <c r="BB20" s="361">
        <f t="shared" si="10"/>
        <v>0</v>
      </c>
      <c r="BC20" s="361">
        <f t="shared" si="10"/>
        <v>21000000</v>
      </c>
      <c r="BD20" s="361">
        <f t="shared" si="10"/>
        <v>2250000</v>
      </c>
      <c r="BE20" s="361">
        <f t="shared" si="10"/>
        <v>300000</v>
      </c>
      <c r="BF20" s="361">
        <f>+BF18+BF17+BF16+BF12+BF11+BF10+BF9+BF8</f>
        <v>24737250</v>
      </c>
      <c r="BG20" s="361">
        <f t="shared" si="10"/>
        <v>0</v>
      </c>
      <c r="BH20" s="361">
        <f t="shared" si="10"/>
        <v>0</v>
      </c>
      <c r="BI20" s="361">
        <f t="shared" si="10"/>
        <v>65000000</v>
      </c>
      <c r="BJ20" s="361">
        <f t="shared" si="10"/>
        <v>0</v>
      </c>
      <c r="BK20" s="361">
        <f t="shared" si="10"/>
        <v>65000000</v>
      </c>
      <c r="BL20" s="361">
        <f t="shared" si="10"/>
        <v>2400000</v>
      </c>
      <c r="BM20" s="361">
        <f t="shared" si="10"/>
        <v>7498957</v>
      </c>
      <c r="BN20" s="361">
        <f t="shared" si="10"/>
        <v>6200000</v>
      </c>
      <c r="BO20" s="361">
        <f t="shared" si="10"/>
        <v>1500000</v>
      </c>
      <c r="BP20" s="361">
        <f t="shared" ref="BP20:DT20" si="11">+BP18+BP17+BP16+BP12+BP11+BP10+BP9+BP8</f>
        <v>8157940</v>
      </c>
      <c r="BQ20" s="361">
        <f t="shared" si="11"/>
        <v>2017360</v>
      </c>
      <c r="BR20" s="361">
        <f t="shared" si="11"/>
        <v>5000000</v>
      </c>
      <c r="BS20" s="361">
        <f t="shared" si="11"/>
        <v>5000000</v>
      </c>
      <c r="BT20" s="361">
        <f t="shared" si="11"/>
        <v>483616</v>
      </c>
      <c r="BU20" s="361">
        <f t="shared" si="11"/>
        <v>0</v>
      </c>
      <c r="BV20" s="361">
        <f t="shared" si="11"/>
        <v>0</v>
      </c>
      <c r="BW20" s="361">
        <f t="shared" si="11"/>
        <v>0</v>
      </c>
      <c r="BX20" s="361">
        <f t="shared" si="11"/>
        <v>938291429</v>
      </c>
      <c r="BY20" s="361">
        <f t="shared" si="11"/>
        <v>0</v>
      </c>
      <c r="BZ20" s="361">
        <f>+BZ18+BZ17+BZ16+BZ12+BZ11+BZ10+BZ9+BZ8</f>
        <v>350000</v>
      </c>
      <c r="CA20" s="361">
        <f t="shared" si="11"/>
        <v>2500000</v>
      </c>
      <c r="CB20" s="361">
        <f t="shared" si="11"/>
        <v>29211840</v>
      </c>
      <c r="CC20" s="361">
        <f t="shared" si="11"/>
        <v>16768528</v>
      </c>
      <c r="CD20" s="361">
        <f t="shared" si="11"/>
        <v>500000</v>
      </c>
      <c r="CE20" s="361">
        <f>+CE18+CE17+CE16+CE12+CE11+CE10+CE9+CE8</f>
        <v>0</v>
      </c>
      <c r="CF20" s="361">
        <f t="shared" si="11"/>
        <v>0</v>
      </c>
      <c r="CG20" s="361">
        <f t="shared" si="11"/>
        <v>0</v>
      </c>
      <c r="CH20" s="361">
        <f t="shared" si="11"/>
        <v>0</v>
      </c>
      <c r="CI20" s="361">
        <f t="shared" si="11"/>
        <v>0</v>
      </c>
      <c r="CJ20" s="361">
        <f>+CJ18+CJ17+CJ16+CJ12+CJ11+CJ10+CJ9+CJ8</f>
        <v>1300000</v>
      </c>
      <c r="CK20" s="361">
        <f>+CK18+CK17+CK16+CK12+CK11+CK10+CK9+CK8</f>
        <v>1350000</v>
      </c>
      <c r="CL20" s="361">
        <f t="shared" si="11"/>
        <v>950309686</v>
      </c>
      <c r="CM20" s="361">
        <f t="shared" si="11"/>
        <v>5000000</v>
      </c>
      <c r="CN20" s="361">
        <f>+CN18+CN17+CN16+CN12+CN11+CN10+CN9+CN8</f>
        <v>493294660</v>
      </c>
      <c r="CO20" s="361">
        <f>+CO18+CO17+CO16+CO12+CO11+CO10+CO9+CO8</f>
        <v>0</v>
      </c>
      <c r="CP20" s="361">
        <f>+CP18+CP17+CP16+CP12+CP11+CP10+CP9+CP8</f>
        <v>140000</v>
      </c>
      <c r="CQ20" s="361">
        <f>+CQ18+CQ17+CQ16+CQ12+CQ11+CQ10+CQ9+CQ8</f>
        <v>140000</v>
      </c>
      <c r="CR20" s="361">
        <f>+CR18+CR17+CR16+CR12+CR11+CR10+CR9+CR8</f>
        <v>320000</v>
      </c>
      <c r="CS20" s="361">
        <f t="shared" si="11"/>
        <v>0</v>
      </c>
      <c r="CT20" s="361">
        <f t="shared" si="11"/>
        <v>23000000</v>
      </c>
      <c r="CU20" s="361">
        <f t="shared" si="11"/>
        <v>1500000</v>
      </c>
      <c r="CV20" s="361">
        <f t="shared" si="11"/>
        <v>2300000</v>
      </c>
      <c r="CW20" s="361">
        <f t="shared" si="11"/>
        <v>2000000</v>
      </c>
      <c r="CX20" s="361">
        <f t="shared" si="11"/>
        <v>3000000</v>
      </c>
      <c r="CY20" s="361">
        <f>+CY18+CY17+CY16+CY12+CY11+CY10+CY9+CY8</f>
        <v>4000000</v>
      </c>
      <c r="CZ20" s="361">
        <f>+CZ18+CZ17+CZ16+CZ12+CZ11+CZ10+CZ9+CZ8</f>
        <v>500000</v>
      </c>
      <c r="DA20" s="361">
        <f t="shared" si="11"/>
        <v>0</v>
      </c>
      <c r="DB20" s="361">
        <f t="shared" si="11"/>
        <v>500000</v>
      </c>
      <c r="DC20" s="361">
        <f t="shared" si="11"/>
        <v>200000</v>
      </c>
      <c r="DD20" s="361">
        <f t="shared" si="11"/>
        <v>4000000</v>
      </c>
      <c r="DE20" s="361">
        <f t="shared" si="11"/>
        <v>4500000</v>
      </c>
      <c r="DF20" s="361">
        <f t="shared" si="11"/>
        <v>4000000</v>
      </c>
      <c r="DG20" s="361">
        <f t="shared" si="11"/>
        <v>3000000</v>
      </c>
      <c r="DH20" s="361">
        <f t="shared" si="11"/>
        <v>11532529</v>
      </c>
      <c r="DI20" s="361">
        <f t="shared" si="11"/>
        <v>97782335</v>
      </c>
      <c r="DJ20" s="361">
        <f t="shared" si="11"/>
        <v>2890000</v>
      </c>
      <c r="DK20" s="361">
        <f t="shared" si="11"/>
        <v>0</v>
      </c>
      <c r="DL20" s="361">
        <f t="shared" si="11"/>
        <v>0</v>
      </c>
      <c r="DM20" s="361">
        <f t="shared" si="11"/>
        <v>1500000</v>
      </c>
      <c r="DN20" s="361">
        <f t="shared" si="11"/>
        <v>0</v>
      </c>
      <c r="DO20" s="361">
        <f t="shared" si="11"/>
        <v>4400000</v>
      </c>
      <c r="DP20" s="361">
        <f t="shared" si="11"/>
        <v>70000</v>
      </c>
      <c r="DQ20" s="361">
        <f t="shared" si="11"/>
        <v>84720000</v>
      </c>
      <c r="DR20" s="361">
        <f t="shared" si="11"/>
        <v>4000000</v>
      </c>
      <c r="DS20" s="361">
        <f t="shared" si="11"/>
        <v>26600000</v>
      </c>
      <c r="DT20" s="361">
        <f t="shared" si="11"/>
        <v>39826880</v>
      </c>
      <c r="DU20" s="361">
        <f t="shared" ref="DU20:EF20" si="12">+DU18+DU17+DU16+DU12+DU11+DU10+DU9+DU8</f>
        <v>30306000</v>
      </c>
      <c r="DV20" s="361">
        <f t="shared" si="12"/>
        <v>862500</v>
      </c>
      <c r="DW20" s="361">
        <f t="shared" si="12"/>
        <v>40000000</v>
      </c>
      <c r="DX20" s="361">
        <f t="shared" si="12"/>
        <v>0</v>
      </c>
      <c r="DY20" s="361">
        <f t="shared" si="12"/>
        <v>0</v>
      </c>
      <c r="DZ20" s="361">
        <f t="shared" si="12"/>
        <v>0</v>
      </c>
      <c r="EA20" s="361">
        <f t="shared" si="12"/>
        <v>0</v>
      </c>
      <c r="EB20" s="361">
        <f t="shared" si="12"/>
        <v>0</v>
      </c>
      <c r="EC20" s="361">
        <f t="shared" si="12"/>
        <v>0</v>
      </c>
      <c r="ED20" s="361">
        <f t="shared" si="12"/>
        <v>0</v>
      </c>
      <c r="EE20" s="361">
        <f t="shared" si="12"/>
        <v>0</v>
      </c>
      <c r="EF20" s="361">
        <f t="shared" si="12"/>
        <v>0</v>
      </c>
      <c r="EG20" s="362">
        <f t="shared" si="0"/>
        <v>4217741509</v>
      </c>
      <c r="EH20" s="362">
        <f t="shared" si="1"/>
        <v>519461445</v>
      </c>
      <c r="EI20" s="362">
        <f t="shared" si="2"/>
        <v>0</v>
      </c>
      <c r="EJ20" s="362">
        <f t="shared" si="3"/>
        <v>4737202954</v>
      </c>
      <c r="EK20" s="362"/>
      <c r="EL20" s="328" t="e">
        <f>+EK20-#REF!</f>
        <v>#REF!</v>
      </c>
      <c r="EM20" s="331">
        <v>4468838372</v>
      </c>
      <c r="EN20" s="332" t="e">
        <f>+EN19+EN18</f>
        <v>#REF!</v>
      </c>
    </row>
    <row r="21" spans="1:144" s="331" customFormat="1" ht="21.75" customHeight="1" x14ac:dyDescent="0.25">
      <c r="A21" s="324" t="s">
        <v>242</v>
      </c>
      <c r="B21" s="337" t="s">
        <v>236</v>
      </c>
      <c r="C21" s="326" t="s">
        <v>232</v>
      </c>
      <c r="D21" s="347">
        <f>+D22+D23+D24+D25+D26</f>
        <v>0</v>
      </c>
      <c r="E21" s="347">
        <f t="shared" ref="E21:BO21" si="13">+E22+E23+E24+E25+E26</f>
        <v>0</v>
      </c>
      <c r="F21" s="347">
        <f t="shared" si="13"/>
        <v>0</v>
      </c>
      <c r="G21" s="347">
        <f t="shared" si="13"/>
        <v>0</v>
      </c>
      <c r="H21" s="347">
        <f t="shared" si="13"/>
        <v>0</v>
      </c>
      <c r="I21" s="347">
        <f t="shared" si="13"/>
        <v>0</v>
      </c>
      <c r="J21" s="347">
        <f t="shared" si="13"/>
        <v>0</v>
      </c>
      <c r="K21" s="347">
        <f t="shared" si="13"/>
        <v>0</v>
      </c>
      <c r="L21" s="347">
        <f t="shared" si="13"/>
        <v>0</v>
      </c>
      <c r="M21" s="347">
        <f t="shared" si="13"/>
        <v>0</v>
      </c>
      <c r="N21" s="347">
        <f t="shared" si="13"/>
        <v>0</v>
      </c>
      <c r="O21" s="347">
        <f t="shared" si="13"/>
        <v>0</v>
      </c>
      <c r="P21" s="347">
        <f t="shared" si="13"/>
        <v>0</v>
      </c>
      <c r="Q21" s="347">
        <f t="shared" si="13"/>
        <v>0</v>
      </c>
      <c r="R21" s="347">
        <f t="shared" si="13"/>
        <v>0</v>
      </c>
      <c r="S21" s="347">
        <f t="shared" si="13"/>
        <v>0</v>
      </c>
      <c r="T21" s="347">
        <f t="shared" si="13"/>
        <v>0</v>
      </c>
      <c r="U21" s="347">
        <f t="shared" si="13"/>
        <v>0</v>
      </c>
      <c r="V21" s="347">
        <f t="shared" si="13"/>
        <v>0</v>
      </c>
      <c r="W21" s="347">
        <f t="shared" si="13"/>
        <v>0</v>
      </c>
      <c r="X21" s="347">
        <f t="shared" si="13"/>
        <v>0</v>
      </c>
      <c r="Y21" s="347">
        <f t="shared" si="13"/>
        <v>0</v>
      </c>
      <c r="Z21" s="347">
        <f t="shared" si="13"/>
        <v>0</v>
      </c>
      <c r="AA21" s="347">
        <f t="shared" si="13"/>
        <v>0</v>
      </c>
      <c r="AB21" s="347">
        <f t="shared" si="13"/>
        <v>0</v>
      </c>
      <c r="AC21" s="347">
        <f t="shared" si="13"/>
        <v>0</v>
      </c>
      <c r="AD21" s="347">
        <f t="shared" si="13"/>
        <v>0</v>
      </c>
      <c r="AE21" s="347">
        <f t="shared" si="13"/>
        <v>0</v>
      </c>
      <c r="AF21" s="347">
        <f t="shared" si="13"/>
        <v>0</v>
      </c>
      <c r="AG21" s="347">
        <f t="shared" si="13"/>
        <v>0</v>
      </c>
      <c r="AH21" s="347">
        <f t="shared" si="13"/>
        <v>0</v>
      </c>
      <c r="AI21" s="347">
        <f t="shared" si="13"/>
        <v>0</v>
      </c>
      <c r="AJ21" s="347">
        <f t="shared" si="13"/>
        <v>0</v>
      </c>
      <c r="AK21" s="347">
        <f t="shared" si="13"/>
        <v>0</v>
      </c>
      <c r="AL21" s="347">
        <f t="shared" si="13"/>
        <v>0</v>
      </c>
      <c r="AM21" s="347">
        <f t="shared" si="13"/>
        <v>0</v>
      </c>
      <c r="AN21" s="347">
        <f t="shared" si="13"/>
        <v>0</v>
      </c>
      <c r="AO21" s="347">
        <f t="shared" si="13"/>
        <v>0</v>
      </c>
      <c r="AP21" s="347">
        <f t="shared" si="13"/>
        <v>0</v>
      </c>
      <c r="AQ21" s="347">
        <f t="shared" si="13"/>
        <v>0</v>
      </c>
      <c r="AR21" s="347">
        <f t="shared" si="13"/>
        <v>0</v>
      </c>
      <c r="AS21" s="347">
        <f t="shared" si="13"/>
        <v>0</v>
      </c>
      <c r="AT21" s="347">
        <f t="shared" si="13"/>
        <v>0</v>
      </c>
      <c r="AU21" s="347">
        <f t="shared" si="13"/>
        <v>0</v>
      </c>
      <c r="AV21" s="347">
        <f t="shared" si="13"/>
        <v>0</v>
      </c>
      <c r="AW21" s="347">
        <f t="shared" si="13"/>
        <v>0</v>
      </c>
      <c r="AX21" s="347">
        <f t="shared" si="13"/>
        <v>0</v>
      </c>
      <c r="AY21" s="347">
        <f t="shared" si="13"/>
        <v>0</v>
      </c>
      <c r="AZ21" s="347">
        <f t="shared" si="13"/>
        <v>0</v>
      </c>
      <c r="BA21" s="347">
        <f t="shared" si="13"/>
        <v>0</v>
      </c>
      <c r="BB21" s="347">
        <f t="shared" si="13"/>
        <v>0</v>
      </c>
      <c r="BC21" s="347">
        <f t="shared" si="13"/>
        <v>0</v>
      </c>
      <c r="BD21" s="347">
        <f t="shared" si="13"/>
        <v>0</v>
      </c>
      <c r="BE21" s="347">
        <f t="shared" si="13"/>
        <v>0</v>
      </c>
      <c r="BF21" s="347">
        <f>+BF22+BF23+BF24+BF25+BF26</f>
        <v>0</v>
      </c>
      <c r="BG21" s="347">
        <f t="shared" si="13"/>
        <v>0</v>
      </c>
      <c r="BH21" s="347">
        <f t="shared" si="13"/>
        <v>0</v>
      </c>
      <c r="BI21" s="347">
        <f t="shared" si="13"/>
        <v>0</v>
      </c>
      <c r="BJ21" s="347">
        <f t="shared" si="13"/>
        <v>0</v>
      </c>
      <c r="BK21" s="347">
        <f t="shared" si="13"/>
        <v>0</v>
      </c>
      <c r="BL21" s="347">
        <f t="shared" si="13"/>
        <v>0</v>
      </c>
      <c r="BM21" s="347">
        <f t="shared" si="13"/>
        <v>0</v>
      </c>
      <c r="BN21" s="347">
        <f t="shared" si="13"/>
        <v>0</v>
      </c>
      <c r="BO21" s="347">
        <f t="shared" si="13"/>
        <v>0</v>
      </c>
      <c r="BP21" s="347">
        <f t="shared" ref="BP21:DT21" si="14">+BP22+BP23+BP24+BP25+BP26</f>
        <v>0</v>
      </c>
      <c r="BQ21" s="347">
        <f t="shared" si="14"/>
        <v>0</v>
      </c>
      <c r="BR21" s="347">
        <f t="shared" si="14"/>
        <v>0</v>
      </c>
      <c r="BS21" s="347">
        <f t="shared" si="14"/>
        <v>0</v>
      </c>
      <c r="BT21" s="347">
        <f t="shared" si="14"/>
        <v>0</v>
      </c>
      <c r="BU21" s="347">
        <f t="shared" si="14"/>
        <v>0</v>
      </c>
      <c r="BV21" s="347">
        <f t="shared" si="14"/>
        <v>0</v>
      </c>
      <c r="BW21" s="347">
        <f t="shared" si="14"/>
        <v>0</v>
      </c>
      <c r="BX21" s="347">
        <f t="shared" si="14"/>
        <v>0</v>
      </c>
      <c r="BY21" s="347">
        <f t="shared" si="14"/>
        <v>3043798119</v>
      </c>
      <c r="BZ21" s="347">
        <f>+BZ22+BZ23+BZ24+BZ25+BZ26</f>
        <v>0</v>
      </c>
      <c r="CA21" s="347">
        <f t="shared" si="14"/>
        <v>0</v>
      </c>
      <c r="CB21" s="347">
        <f t="shared" si="14"/>
        <v>0</v>
      </c>
      <c r="CC21" s="347">
        <f t="shared" si="14"/>
        <v>0</v>
      </c>
      <c r="CD21" s="347">
        <f t="shared" si="14"/>
        <v>0</v>
      </c>
      <c r="CE21" s="347">
        <f>+CE22+CE23+CE24+CE25+CE26</f>
        <v>0</v>
      </c>
      <c r="CF21" s="347">
        <f t="shared" si="14"/>
        <v>0</v>
      </c>
      <c r="CG21" s="347">
        <f t="shared" si="14"/>
        <v>0</v>
      </c>
      <c r="CH21" s="347">
        <f t="shared" si="14"/>
        <v>0</v>
      </c>
      <c r="CI21" s="347">
        <f t="shared" si="14"/>
        <v>0</v>
      </c>
      <c r="CJ21" s="347">
        <f>+CJ22+CJ23+CJ24+CJ25+CJ26</f>
        <v>0</v>
      </c>
      <c r="CK21" s="347">
        <f>+CK22+CK23+CK24+CK25+CK26</f>
        <v>0</v>
      </c>
      <c r="CL21" s="347">
        <f t="shared" si="14"/>
        <v>0</v>
      </c>
      <c r="CM21" s="347">
        <f t="shared" si="14"/>
        <v>0</v>
      </c>
      <c r="CN21" s="347">
        <f>+CN22+CN23+CN24+CN25+CN26</f>
        <v>0</v>
      </c>
      <c r="CO21" s="347">
        <f>+CO22+CO23+CO24+CO25+CO26</f>
        <v>0</v>
      </c>
      <c r="CP21" s="347">
        <f>+CP22+CP23+CP24+CP25+CP26</f>
        <v>0</v>
      </c>
      <c r="CQ21" s="347">
        <f>+CQ22+CQ23+CQ24+CQ25+CQ26</f>
        <v>0</v>
      </c>
      <c r="CR21" s="347">
        <f>+CR22+CR23+CR24+CR25+CR26</f>
        <v>0</v>
      </c>
      <c r="CS21" s="347">
        <f t="shared" si="14"/>
        <v>0</v>
      </c>
      <c r="CT21" s="347">
        <f t="shared" si="14"/>
        <v>0</v>
      </c>
      <c r="CU21" s="347">
        <f t="shared" si="14"/>
        <v>0</v>
      </c>
      <c r="CV21" s="347">
        <f t="shared" si="14"/>
        <v>0</v>
      </c>
      <c r="CW21" s="347">
        <f t="shared" si="14"/>
        <v>0</v>
      </c>
      <c r="CX21" s="347">
        <f t="shared" si="14"/>
        <v>0</v>
      </c>
      <c r="CY21" s="347">
        <f>+CY22+CY23+CY24+CY25+CY26</f>
        <v>0</v>
      </c>
      <c r="CZ21" s="347">
        <f>+CZ22+CZ23+CZ24+CZ25+CZ26</f>
        <v>0</v>
      </c>
      <c r="DA21" s="347">
        <f t="shared" si="14"/>
        <v>0</v>
      </c>
      <c r="DB21" s="347">
        <f t="shared" si="14"/>
        <v>0</v>
      </c>
      <c r="DC21" s="347">
        <f t="shared" si="14"/>
        <v>0</v>
      </c>
      <c r="DD21" s="347">
        <f t="shared" si="14"/>
        <v>0</v>
      </c>
      <c r="DE21" s="347">
        <f t="shared" si="14"/>
        <v>0</v>
      </c>
      <c r="DF21" s="347">
        <f t="shared" si="14"/>
        <v>0</v>
      </c>
      <c r="DG21" s="347">
        <f t="shared" si="14"/>
        <v>0</v>
      </c>
      <c r="DH21" s="347">
        <f t="shared" si="14"/>
        <v>0</v>
      </c>
      <c r="DI21" s="347">
        <f t="shared" si="14"/>
        <v>0</v>
      </c>
      <c r="DJ21" s="347">
        <f t="shared" si="14"/>
        <v>0</v>
      </c>
      <c r="DK21" s="347">
        <f t="shared" si="14"/>
        <v>0</v>
      </c>
      <c r="DL21" s="347">
        <f t="shared" si="14"/>
        <v>0</v>
      </c>
      <c r="DM21" s="347">
        <f t="shared" si="14"/>
        <v>0</v>
      </c>
      <c r="DN21" s="347">
        <f t="shared" si="14"/>
        <v>0</v>
      </c>
      <c r="DO21" s="347">
        <f t="shared" si="14"/>
        <v>0</v>
      </c>
      <c r="DP21" s="347">
        <f t="shared" si="14"/>
        <v>0</v>
      </c>
      <c r="DQ21" s="347">
        <f t="shared" si="14"/>
        <v>0</v>
      </c>
      <c r="DR21" s="347">
        <f t="shared" si="14"/>
        <v>0</v>
      </c>
      <c r="DS21" s="347">
        <f t="shared" si="14"/>
        <v>0</v>
      </c>
      <c r="DT21" s="347">
        <f t="shared" si="14"/>
        <v>0</v>
      </c>
      <c r="DU21" s="347">
        <f t="shared" ref="DU21:EF21" si="15">+DU22+DU23+DU24+DU25+DU26</f>
        <v>0</v>
      </c>
      <c r="DV21" s="347">
        <f t="shared" si="15"/>
        <v>0</v>
      </c>
      <c r="DW21" s="347">
        <f t="shared" si="15"/>
        <v>90948771</v>
      </c>
      <c r="DX21" s="347">
        <f t="shared" si="15"/>
        <v>0</v>
      </c>
      <c r="DY21" s="347">
        <f t="shared" si="15"/>
        <v>0</v>
      </c>
      <c r="DZ21" s="347">
        <f t="shared" si="15"/>
        <v>0</v>
      </c>
      <c r="EA21" s="347">
        <f t="shared" si="15"/>
        <v>0</v>
      </c>
      <c r="EB21" s="347">
        <f t="shared" si="15"/>
        <v>0</v>
      </c>
      <c r="EC21" s="347">
        <f t="shared" si="15"/>
        <v>0</v>
      </c>
      <c r="ED21" s="347">
        <f t="shared" si="15"/>
        <v>0</v>
      </c>
      <c r="EE21" s="347">
        <f t="shared" si="15"/>
        <v>0</v>
      </c>
      <c r="EF21" s="347">
        <f t="shared" si="15"/>
        <v>0</v>
      </c>
      <c r="EG21" s="362">
        <f t="shared" si="0"/>
        <v>3043798119</v>
      </c>
      <c r="EH21" s="362">
        <f t="shared" si="1"/>
        <v>90948771</v>
      </c>
      <c r="EI21" s="362">
        <f t="shared" si="2"/>
        <v>0</v>
      </c>
      <c r="EJ21" s="362">
        <f t="shared" si="3"/>
        <v>3134746890</v>
      </c>
      <c r="EK21" s="362"/>
      <c r="EL21" s="328" t="e">
        <f>+EK21-#REF!</f>
        <v>#REF!</v>
      </c>
      <c r="EM21" s="332" t="e">
        <f>+EM20-#REF!</f>
        <v>#REF!</v>
      </c>
    </row>
    <row r="22" spans="1:144" s="339" customFormat="1" ht="21.75" customHeight="1" x14ac:dyDescent="0.25">
      <c r="A22" s="324" t="s">
        <v>243</v>
      </c>
      <c r="B22" s="338" t="s">
        <v>191</v>
      </c>
      <c r="C22" s="335"/>
      <c r="D22" s="360"/>
      <c r="E22" s="360"/>
      <c r="F22" s="360"/>
      <c r="G22" s="360"/>
      <c r="H22" s="360"/>
      <c r="I22" s="360"/>
      <c r="J22" s="360"/>
      <c r="K22" s="376"/>
      <c r="L22" s="376"/>
      <c r="M22" s="376"/>
      <c r="N22" s="376"/>
      <c r="O22" s="376"/>
      <c r="P22" s="376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76"/>
      <c r="AM22" s="360"/>
      <c r="AN22" s="360"/>
      <c r="AO22" s="360"/>
      <c r="AP22" s="37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76"/>
      <c r="BB22" s="376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70"/>
      <c r="BZ22" s="370"/>
      <c r="CA22" s="360"/>
      <c r="CB22" s="360"/>
      <c r="CC22" s="370"/>
      <c r="CD22" s="360"/>
      <c r="CE22" s="360"/>
      <c r="CF22" s="360"/>
      <c r="CG22" s="360"/>
      <c r="CH22" s="360"/>
      <c r="CI22" s="360"/>
      <c r="CJ22" s="360"/>
      <c r="CK22" s="360"/>
      <c r="CL22" s="376"/>
      <c r="CM22" s="376"/>
      <c r="CN22" s="376"/>
      <c r="CO22" s="376"/>
      <c r="CP22" s="376"/>
      <c r="CQ22" s="376"/>
      <c r="CR22" s="376"/>
      <c r="CS22" s="360"/>
      <c r="CT22" s="360"/>
      <c r="CU22" s="360"/>
      <c r="CV22" s="360"/>
      <c r="CW22" s="360"/>
      <c r="CX22" s="360"/>
      <c r="CY22" s="360"/>
      <c r="CZ22" s="360"/>
      <c r="DA22" s="414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>
        <v>62766147</v>
      </c>
      <c r="DX22" s="376"/>
      <c r="DY22" s="376"/>
      <c r="DZ22" s="376"/>
      <c r="EA22" s="376"/>
      <c r="EB22" s="376"/>
      <c r="EC22" s="376"/>
      <c r="ED22" s="376"/>
      <c r="EE22" s="376"/>
      <c r="EF22" s="376"/>
      <c r="EG22" s="362">
        <f t="shared" si="0"/>
        <v>0</v>
      </c>
      <c r="EH22" s="362">
        <f t="shared" si="1"/>
        <v>62766147</v>
      </c>
      <c r="EI22" s="362">
        <f t="shared" si="2"/>
        <v>0</v>
      </c>
      <c r="EJ22" s="362">
        <f t="shared" si="3"/>
        <v>62766147</v>
      </c>
      <c r="EK22" s="362"/>
      <c r="EL22" s="328" t="e">
        <f>+EK22-#REF!</f>
        <v>#REF!</v>
      </c>
    </row>
    <row r="23" spans="1:144" s="339" customFormat="1" ht="21.75" customHeight="1" x14ac:dyDescent="0.25">
      <c r="A23" s="324" t="s">
        <v>244</v>
      </c>
      <c r="B23" s="338" t="s">
        <v>585</v>
      </c>
      <c r="C23" s="335"/>
      <c r="D23" s="360"/>
      <c r="E23" s="360"/>
      <c r="F23" s="360"/>
      <c r="G23" s="360"/>
      <c r="H23" s="360"/>
      <c r="I23" s="360"/>
      <c r="J23" s="360"/>
      <c r="K23" s="376"/>
      <c r="L23" s="376"/>
      <c r="M23" s="376"/>
      <c r="N23" s="376"/>
      <c r="O23" s="376"/>
      <c r="P23" s="376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76"/>
      <c r="AM23" s="360"/>
      <c r="AN23" s="360"/>
      <c r="AO23" s="360"/>
      <c r="AP23" s="37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76"/>
      <c r="BB23" s="376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70">
        <f>+'10.sz.Intézményfinanszírozás'!D16</f>
        <v>2989846329</v>
      </c>
      <c r="BZ23" s="370"/>
      <c r="CA23" s="360"/>
      <c r="CB23" s="360"/>
      <c r="CC23" s="370"/>
      <c r="CD23" s="360"/>
      <c r="CE23" s="360"/>
      <c r="CF23" s="360"/>
      <c r="CG23" s="360"/>
      <c r="CH23" s="360"/>
      <c r="CI23" s="360"/>
      <c r="CJ23" s="360"/>
      <c r="CK23" s="360"/>
      <c r="CL23" s="376"/>
      <c r="CM23" s="376"/>
      <c r="CN23" s="376"/>
      <c r="CO23" s="376"/>
      <c r="CP23" s="376"/>
      <c r="CQ23" s="376"/>
      <c r="CR23" s="376"/>
      <c r="CS23" s="360"/>
      <c r="CT23" s="360"/>
      <c r="CU23" s="360"/>
      <c r="CV23" s="360"/>
      <c r="CW23" s="360"/>
      <c r="CX23" s="360"/>
      <c r="CY23" s="360"/>
      <c r="CZ23" s="360"/>
      <c r="DA23" s="414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76"/>
      <c r="DY23" s="376"/>
      <c r="DZ23" s="376"/>
      <c r="EA23" s="376"/>
      <c r="EB23" s="376"/>
      <c r="EC23" s="376"/>
      <c r="ED23" s="376"/>
      <c r="EE23" s="376"/>
      <c r="EF23" s="376"/>
      <c r="EG23" s="362">
        <f t="shared" si="0"/>
        <v>2989846329</v>
      </c>
      <c r="EH23" s="362">
        <f t="shared" si="1"/>
        <v>0</v>
      </c>
      <c r="EI23" s="362">
        <f t="shared" si="2"/>
        <v>0</v>
      </c>
      <c r="EJ23" s="362">
        <f t="shared" si="3"/>
        <v>2989846329</v>
      </c>
      <c r="EK23" s="362"/>
      <c r="EL23" s="328" t="e">
        <f>+EK23-#REF!</f>
        <v>#REF!</v>
      </c>
    </row>
    <row r="24" spans="1:144" s="339" customFormat="1" ht="21.75" customHeight="1" x14ac:dyDescent="0.25">
      <c r="A24" s="324" t="s">
        <v>245</v>
      </c>
      <c r="B24" s="338" t="s">
        <v>586</v>
      </c>
      <c r="C24" s="335"/>
      <c r="D24" s="360"/>
      <c r="E24" s="360"/>
      <c r="F24" s="360"/>
      <c r="G24" s="360"/>
      <c r="H24" s="360"/>
      <c r="I24" s="360"/>
      <c r="J24" s="360"/>
      <c r="K24" s="376"/>
      <c r="L24" s="376"/>
      <c r="M24" s="376"/>
      <c r="N24" s="376"/>
      <c r="O24" s="376"/>
      <c r="P24" s="376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76"/>
      <c r="AM24" s="360"/>
      <c r="AN24" s="360"/>
      <c r="AO24" s="360"/>
      <c r="AP24" s="37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76"/>
      <c r="BB24" s="376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70">
        <f>+'10.sz.Intézményfinanszírozás'!E16</f>
        <v>53951790</v>
      </c>
      <c r="BZ24" s="370"/>
      <c r="CA24" s="360"/>
      <c r="CB24" s="360"/>
      <c r="CC24" s="370"/>
      <c r="CD24" s="360"/>
      <c r="CE24" s="360"/>
      <c r="CF24" s="360"/>
      <c r="CG24" s="360"/>
      <c r="CH24" s="360"/>
      <c r="CI24" s="360"/>
      <c r="CJ24" s="360"/>
      <c r="CK24" s="360"/>
      <c r="CL24" s="376"/>
      <c r="CM24" s="376"/>
      <c r="CN24" s="376"/>
      <c r="CO24" s="376"/>
      <c r="CP24" s="376"/>
      <c r="CQ24" s="376"/>
      <c r="CR24" s="376"/>
      <c r="CS24" s="360"/>
      <c r="CT24" s="360"/>
      <c r="CU24" s="360"/>
      <c r="CV24" s="360"/>
      <c r="CW24" s="360"/>
      <c r="CX24" s="360"/>
      <c r="CY24" s="360"/>
      <c r="CZ24" s="360"/>
      <c r="DA24" s="414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76"/>
      <c r="DY24" s="376"/>
      <c r="DZ24" s="376"/>
      <c r="EA24" s="376"/>
      <c r="EB24" s="376"/>
      <c r="EC24" s="376"/>
      <c r="ED24" s="376"/>
      <c r="EE24" s="376"/>
      <c r="EF24" s="376"/>
      <c r="EG24" s="362">
        <f t="shared" si="0"/>
        <v>53951790</v>
      </c>
      <c r="EH24" s="362">
        <f t="shared" si="1"/>
        <v>0</v>
      </c>
      <c r="EI24" s="362">
        <f t="shared" si="2"/>
        <v>0</v>
      </c>
      <c r="EJ24" s="362">
        <f t="shared" si="3"/>
        <v>53951790</v>
      </c>
      <c r="EK24" s="362"/>
      <c r="EL24" s="328" t="e">
        <f>+EK24-#REF!</f>
        <v>#REF!</v>
      </c>
    </row>
    <row r="25" spans="1:144" s="339" customFormat="1" ht="21.75" customHeight="1" x14ac:dyDescent="0.25">
      <c r="A25" s="324" t="s">
        <v>246</v>
      </c>
      <c r="B25" s="338" t="s">
        <v>134</v>
      </c>
      <c r="C25" s="335"/>
      <c r="D25" s="360"/>
      <c r="E25" s="360"/>
      <c r="F25" s="360"/>
      <c r="G25" s="360"/>
      <c r="H25" s="360"/>
      <c r="I25" s="360"/>
      <c r="J25" s="360"/>
      <c r="K25" s="376"/>
      <c r="L25" s="376"/>
      <c r="M25" s="376"/>
      <c r="N25" s="376"/>
      <c r="O25" s="376"/>
      <c r="P25" s="376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76"/>
      <c r="AM25" s="360"/>
      <c r="AN25" s="360"/>
      <c r="AO25" s="360"/>
      <c r="AP25" s="37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76"/>
      <c r="BB25" s="376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70"/>
      <c r="BZ25" s="370"/>
      <c r="CA25" s="360"/>
      <c r="CB25" s="360"/>
      <c r="CC25" s="370"/>
      <c r="CD25" s="360"/>
      <c r="CE25" s="360"/>
      <c r="CF25" s="360"/>
      <c r="CG25" s="360"/>
      <c r="CH25" s="360"/>
      <c r="CI25" s="360"/>
      <c r="CJ25" s="360"/>
      <c r="CK25" s="360"/>
      <c r="CL25" s="376"/>
      <c r="CM25" s="376"/>
      <c r="CN25" s="376"/>
      <c r="CO25" s="376"/>
      <c r="CP25" s="376"/>
      <c r="CQ25" s="376"/>
      <c r="CR25" s="376"/>
      <c r="CS25" s="360"/>
      <c r="CT25" s="360"/>
      <c r="CU25" s="360"/>
      <c r="CV25" s="360"/>
      <c r="CW25" s="360"/>
      <c r="CX25" s="360"/>
      <c r="CY25" s="360"/>
      <c r="CZ25" s="360"/>
      <c r="DA25" s="414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604">
        <v>28182624</v>
      </c>
      <c r="DX25" s="376"/>
      <c r="DY25" s="376"/>
      <c r="DZ25" s="376"/>
      <c r="EA25" s="376"/>
      <c r="EB25" s="376"/>
      <c r="EC25" s="376"/>
      <c r="ED25" s="376"/>
      <c r="EE25" s="376"/>
      <c r="EF25" s="376"/>
      <c r="EG25" s="362">
        <f t="shared" si="0"/>
        <v>0</v>
      </c>
      <c r="EH25" s="362">
        <f t="shared" si="1"/>
        <v>28182624</v>
      </c>
      <c r="EI25" s="362">
        <f t="shared" si="2"/>
        <v>0</v>
      </c>
      <c r="EJ25" s="362">
        <f t="shared" si="3"/>
        <v>28182624</v>
      </c>
      <c r="EK25" s="362"/>
      <c r="EL25" s="328" t="e">
        <f>+EK25-#REF!</f>
        <v>#REF!</v>
      </c>
    </row>
    <row r="26" spans="1:144" s="339" customFormat="1" ht="21.75" customHeight="1" x14ac:dyDescent="0.25">
      <c r="A26" s="324" t="s">
        <v>247</v>
      </c>
      <c r="B26" s="338" t="s">
        <v>889</v>
      </c>
      <c r="C26" s="335"/>
      <c r="D26" s="360"/>
      <c r="E26" s="360"/>
      <c r="F26" s="360"/>
      <c r="G26" s="360"/>
      <c r="H26" s="360"/>
      <c r="I26" s="360"/>
      <c r="J26" s="360"/>
      <c r="K26" s="376"/>
      <c r="L26" s="376"/>
      <c r="M26" s="376"/>
      <c r="N26" s="376"/>
      <c r="O26" s="376"/>
      <c r="P26" s="376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76"/>
      <c r="AM26" s="360"/>
      <c r="AN26" s="360"/>
      <c r="AO26" s="360"/>
      <c r="AP26" s="37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76"/>
      <c r="BB26" s="376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70"/>
      <c r="BZ26" s="370"/>
      <c r="CA26" s="360"/>
      <c r="CB26" s="360"/>
      <c r="CC26" s="370"/>
      <c r="CD26" s="360"/>
      <c r="CE26" s="360"/>
      <c r="CF26" s="360"/>
      <c r="CG26" s="360"/>
      <c r="CH26" s="360"/>
      <c r="CI26" s="360"/>
      <c r="CJ26" s="360"/>
      <c r="CK26" s="360"/>
      <c r="CL26" s="376"/>
      <c r="CM26" s="376"/>
      <c r="CN26" s="376"/>
      <c r="CO26" s="376"/>
      <c r="CP26" s="376"/>
      <c r="CQ26" s="376"/>
      <c r="CR26" s="376"/>
      <c r="CS26" s="360"/>
      <c r="CT26" s="360"/>
      <c r="CU26" s="360"/>
      <c r="CV26" s="360"/>
      <c r="CW26" s="360"/>
      <c r="CX26" s="360"/>
      <c r="CY26" s="360"/>
      <c r="CZ26" s="360"/>
      <c r="DA26" s="414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76"/>
      <c r="DY26" s="376"/>
      <c r="DZ26" s="376"/>
      <c r="EA26" s="376"/>
      <c r="EB26" s="376"/>
      <c r="EC26" s="376"/>
      <c r="ED26" s="376"/>
      <c r="EE26" s="376"/>
      <c r="EF26" s="376"/>
      <c r="EG26" s="362">
        <f t="shared" si="0"/>
        <v>0</v>
      </c>
      <c r="EH26" s="362">
        <f t="shared" si="1"/>
        <v>0</v>
      </c>
      <c r="EI26" s="362">
        <f t="shared" si="2"/>
        <v>0</v>
      </c>
      <c r="EJ26" s="362">
        <f t="shared" si="3"/>
        <v>0</v>
      </c>
      <c r="EK26" s="362"/>
      <c r="EL26" s="328"/>
    </row>
    <row r="27" spans="1:144" s="331" customFormat="1" ht="21.75" customHeight="1" x14ac:dyDescent="0.25">
      <c r="A27" s="324" t="s">
        <v>248</v>
      </c>
      <c r="B27" s="340" t="s">
        <v>32</v>
      </c>
      <c r="C27" s="326"/>
      <c r="D27" s="347">
        <f>+D8+D9+D10+D11+D13+D14+D22+D23+D15+D26</f>
        <v>0</v>
      </c>
      <c r="E27" s="347">
        <f t="shared" ref="E27:BO27" si="16">+E8+E9+E10+E11+E13+E14+E22+E23+E15+E26</f>
        <v>0</v>
      </c>
      <c r="F27" s="347">
        <f t="shared" si="16"/>
        <v>0</v>
      </c>
      <c r="G27" s="347">
        <f t="shared" si="16"/>
        <v>0</v>
      </c>
      <c r="H27" s="347">
        <f t="shared" si="16"/>
        <v>0</v>
      </c>
      <c r="I27" s="347">
        <f t="shared" si="16"/>
        <v>0</v>
      </c>
      <c r="J27" s="347">
        <f t="shared" si="16"/>
        <v>1000000</v>
      </c>
      <c r="K27" s="347">
        <f t="shared" si="16"/>
        <v>10000000</v>
      </c>
      <c r="L27" s="347">
        <f t="shared" si="16"/>
        <v>0</v>
      </c>
      <c r="M27" s="347">
        <f t="shared" si="16"/>
        <v>0</v>
      </c>
      <c r="N27" s="347">
        <f t="shared" si="16"/>
        <v>0</v>
      </c>
      <c r="O27" s="347">
        <f t="shared" si="16"/>
        <v>0</v>
      </c>
      <c r="P27" s="347">
        <f>+P8+P9+P10+P11+P13+P14+P22+P23+P15+P26</f>
        <v>0</v>
      </c>
      <c r="Q27" s="347">
        <f t="shared" si="16"/>
        <v>79414454</v>
      </c>
      <c r="R27" s="347">
        <f t="shared" si="16"/>
        <v>65428288</v>
      </c>
      <c r="S27" s="347">
        <f t="shared" si="16"/>
        <v>0</v>
      </c>
      <c r="T27" s="347">
        <f t="shared" si="16"/>
        <v>5000000</v>
      </c>
      <c r="U27" s="347">
        <f t="shared" si="16"/>
        <v>0</v>
      </c>
      <c r="V27" s="347">
        <f t="shared" si="16"/>
        <v>0</v>
      </c>
      <c r="W27" s="347">
        <f t="shared" si="16"/>
        <v>5972000</v>
      </c>
      <c r="X27" s="347">
        <f t="shared" si="16"/>
        <v>10000000</v>
      </c>
      <c r="Y27" s="347">
        <f t="shared" si="16"/>
        <v>20000000</v>
      </c>
      <c r="Z27" s="347">
        <f t="shared" si="16"/>
        <v>267451365</v>
      </c>
      <c r="AA27" s="347">
        <f t="shared" si="16"/>
        <v>36415240</v>
      </c>
      <c r="AB27" s="347">
        <f t="shared" si="16"/>
        <v>51500000</v>
      </c>
      <c r="AC27" s="347">
        <f t="shared" si="16"/>
        <v>5000000</v>
      </c>
      <c r="AD27" s="347">
        <f t="shared" si="16"/>
        <v>162253996</v>
      </c>
      <c r="AE27" s="347">
        <f t="shared" si="16"/>
        <v>85108035</v>
      </c>
      <c r="AF27" s="347">
        <f t="shared" si="16"/>
        <v>25000000</v>
      </c>
      <c r="AG27" s="347">
        <f t="shared" si="16"/>
        <v>3630000</v>
      </c>
      <c r="AH27" s="347">
        <f t="shared" si="16"/>
        <v>30951478</v>
      </c>
      <c r="AI27" s="347">
        <f t="shared" si="16"/>
        <v>8600000</v>
      </c>
      <c r="AJ27" s="347">
        <f t="shared" si="16"/>
        <v>10181600</v>
      </c>
      <c r="AK27" s="347">
        <f t="shared" si="16"/>
        <v>36533487</v>
      </c>
      <c r="AL27" s="347">
        <f t="shared" si="16"/>
        <v>0</v>
      </c>
      <c r="AM27" s="347">
        <f t="shared" si="16"/>
        <v>2000000</v>
      </c>
      <c r="AN27" s="347">
        <f t="shared" si="16"/>
        <v>500000</v>
      </c>
      <c r="AO27" s="347">
        <f t="shared" si="16"/>
        <v>3525000</v>
      </c>
      <c r="AP27" s="347">
        <f t="shared" si="16"/>
        <v>13875960</v>
      </c>
      <c r="AQ27" s="347">
        <f t="shared" si="16"/>
        <v>29486434</v>
      </c>
      <c r="AR27" s="347">
        <f t="shared" si="16"/>
        <v>1500000</v>
      </c>
      <c r="AS27" s="347">
        <f t="shared" si="16"/>
        <v>2000000</v>
      </c>
      <c r="AT27" s="347">
        <f t="shared" si="16"/>
        <v>1000000</v>
      </c>
      <c r="AU27" s="347">
        <f t="shared" si="16"/>
        <v>25103450</v>
      </c>
      <c r="AV27" s="347">
        <f t="shared" si="16"/>
        <v>56253505</v>
      </c>
      <c r="AW27" s="347">
        <f t="shared" si="16"/>
        <v>71500000</v>
      </c>
      <c r="AX27" s="347">
        <f t="shared" si="16"/>
        <v>21600000</v>
      </c>
      <c r="AY27" s="347">
        <f t="shared" si="16"/>
        <v>40000000</v>
      </c>
      <c r="AZ27" s="347">
        <f t="shared" si="16"/>
        <v>2000000</v>
      </c>
      <c r="BA27" s="347">
        <f t="shared" si="16"/>
        <v>75919900</v>
      </c>
      <c r="BB27" s="347">
        <f t="shared" si="16"/>
        <v>0</v>
      </c>
      <c r="BC27" s="347">
        <f t="shared" si="16"/>
        <v>21000000</v>
      </c>
      <c r="BD27" s="347">
        <f t="shared" si="16"/>
        <v>2250000</v>
      </c>
      <c r="BE27" s="347">
        <f t="shared" si="16"/>
        <v>300000</v>
      </c>
      <c r="BF27" s="347">
        <f>+BF8+BF9+BF10+BF11+BF13+BF14+BF22+BF23+BF15+BF26</f>
        <v>3240000</v>
      </c>
      <c r="BG27" s="347">
        <f t="shared" si="16"/>
        <v>0</v>
      </c>
      <c r="BH27" s="347">
        <f t="shared" si="16"/>
        <v>0</v>
      </c>
      <c r="BI27" s="347">
        <f t="shared" si="16"/>
        <v>0</v>
      </c>
      <c r="BJ27" s="347">
        <f t="shared" si="16"/>
        <v>0</v>
      </c>
      <c r="BK27" s="347">
        <f t="shared" si="16"/>
        <v>0</v>
      </c>
      <c r="BL27" s="347">
        <f t="shared" si="16"/>
        <v>2400000</v>
      </c>
      <c r="BM27" s="347">
        <f t="shared" si="16"/>
        <v>7498957</v>
      </c>
      <c r="BN27" s="347">
        <f t="shared" si="16"/>
        <v>6200000</v>
      </c>
      <c r="BO27" s="347">
        <f t="shared" si="16"/>
        <v>1500000</v>
      </c>
      <c r="BP27" s="347">
        <f t="shared" ref="BP27:DT27" si="17">+BP8+BP9+BP10+BP11+BP13+BP14+BP22+BP23+BP15+BP26</f>
        <v>8157940</v>
      </c>
      <c r="BQ27" s="347">
        <f t="shared" si="17"/>
        <v>2017360</v>
      </c>
      <c r="BR27" s="347">
        <f t="shared" si="17"/>
        <v>5000000</v>
      </c>
      <c r="BS27" s="347">
        <f t="shared" si="17"/>
        <v>0</v>
      </c>
      <c r="BT27" s="347">
        <f t="shared" si="17"/>
        <v>0</v>
      </c>
      <c r="BU27" s="347">
        <f t="shared" si="17"/>
        <v>0</v>
      </c>
      <c r="BV27" s="347">
        <f t="shared" si="17"/>
        <v>0</v>
      </c>
      <c r="BW27" s="347">
        <f t="shared" si="17"/>
        <v>0</v>
      </c>
      <c r="BX27" s="347">
        <f t="shared" si="17"/>
        <v>938291429</v>
      </c>
      <c r="BY27" s="347">
        <f t="shared" si="17"/>
        <v>2989846329</v>
      </c>
      <c r="BZ27" s="347">
        <f>+BZ8+BZ9+BZ10+BZ11+BZ13+BZ14+BZ22+BZ23+BZ15+BZ26</f>
        <v>0</v>
      </c>
      <c r="CA27" s="347">
        <f t="shared" si="17"/>
        <v>2500000</v>
      </c>
      <c r="CB27" s="347">
        <f t="shared" si="17"/>
        <v>29084840</v>
      </c>
      <c r="CC27" s="347">
        <f t="shared" si="17"/>
        <v>16768528</v>
      </c>
      <c r="CD27" s="347">
        <f t="shared" si="17"/>
        <v>0</v>
      </c>
      <c r="CE27" s="347">
        <f>+CE8+CE9+CE10+CE11+CE13+CE14+CE22+CE23+CE15+CE26</f>
        <v>0</v>
      </c>
      <c r="CF27" s="347">
        <f t="shared" si="17"/>
        <v>0</v>
      </c>
      <c r="CG27" s="347">
        <f t="shared" si="17"/>
        <v>0</v>
      </c>
      <c r="CH27" s="347">
        <f t="shared" si="17"/>
        <v>0</v>
      </c>
      <c r="CI27" s="347">
        <f t="shared" si="17"/>
        <v>0</v>
      </c>
      <c r="CJ27" s="347">
        <f>+CJ8+CJ9+CJ10+CJ11+CJ13+CJ14+CJ22+CJ23+CJ15+CJ26</f>
        <v>1300000</v>
      </c>
      <c r="CK27" s="347">
        <f>+CK8+CK9+CK10+CK11+CK13+CK14+CK22+CK23+CK15+CK26</f>
        <v>1350000</v>
      </c>
      <c r="CL27" s="347">
        <f t="shared" si="17"/>
        <v>950309686</v>
      </c>
      <c r="CM27" s="347">
        <f t="shared" ref="CM27:CR27" si="18">+CM8+CM9+CM10+CM11+CM13+CM14+CM22+CM23+CM15+CM26</f>
        <v>5000000</v>
      </c>
      <c r="CN27" s="347">
        <f t="shared" si="18"/>
        <v>13614933</v>
      </c>
      <c r="CO27" s="347">
        <f t="shared" si="18"/>
        <v>0</v>
      </c>
      <c r="CP27" s="347">
        <f t="shared" si="18"/>
        <v>0</v>
      </c>
      <c r="CQ27" s="347">
        <f t="shared" si="18"/>
        <v>0</v>
      </c>
      <c r="CR27" s="347">
        <f t="shared" si="18"/>
        <v>0</v>
      </c>
      <c r="CS27" s="347">
        <f t="shared" si="17"/>
        <v>0</v>
      </c>
      <c r="CT27" s="347">
        <f t="shared" si="17"/>
        <v>23000000</v>
      </c>
      <c r="CU27" s="347">
        <f t="shared" si="17"/>
        <v>1500000</v>
      </c>
      <c r="CV27" s="347">
        <f t="shared" si="17"/>
        <v>2300000</v>
      </c>
      <c r="CW27" s="347">
        <f t="shared" si="17"/>
        <v>2000000</v>
      </c>
      <c r="CX27" s="347">
        <f t="shared" si="17"/>
        <v>3000000</v>
      </c>
      <c r="CY27" s="347">
        <f>+CY8+CY9+CY10+CY11+CY13+CY14+CY22+CY23+CY15+CY26</f>
        <v>4000000</v>
      </c>
      <c r="CZ27" s="347">
        <f>+CZ8+CZ9+CZ10+CZ11+CZ13+CZ14+CZ22+CZ23+CZ15+CZ26</f>
        <v>500000</v>
      </c>
      <c r="DA27" s="347">
        <f t="shared" si="17"/>
        <v>0</v>
      </c>
      <c r="DB27" s="347">
        <f t="shared" si="17"/>
        <v>500000</v>
      </c>
      <c r="DC27" s="347">
        <f t="shared" si="17"/>
        <v>200000</v>
      </c>
      <c r="DD27" s="347">
        <f t="shared" si="17"/>
        <v>4000000</v>
      </c>
      <c r="DE27" s="347">
        <f t="shared" si="17"/>
        <v>0</v>
      </c>
      <c r="DF27" s="347">
        <f t="shared" si="17"/>
        <v>0</v>
      </c>
      <c r="DG27" s="347">
        <f t="shared" si="17"/>
        <v>0</v>
      </c>
      <c r="DH27" s="347">
        <f t="shared" si="17"/>
        <v>11532529</v>
      </c>
      <c r="DI27" s="347">
        <f t="shared" si="17"/>
        <v>97782335</v>
      </c>
      <c r="DJ27" s="347">
        <f t="shared" si="17"/>
        <v>2890000</v>
      </c>
      <c r="DK27" s="347">
        <f t="shared" si="17"/>
        <v>0</v>
      </c>
      <c r="DL27" s="347">
        <f t="shared" si="17"/>
        <v>0</v>
      </c>
      <c r="DM27" s="347">
        <f t="shared" si="17"/>
        <v>1500000</v>
      </c>
      <c r="DN27" s="347">
        <f t="shared" si="17"/>
        <v>0</v>
      </c>
      <c r="DO27" s="347">
        <f t="shared" si="17"/>
        <v>3080000</v>
      </c>
      <c r="DP27" s="347">
        <f t="shared" si="17"/>
        <v>70000</v>
      </c>
      <c r="DQ27" s="347">
        <f t="shared" si="17"/>
        <v>84720000</v>
      </c>
      <c r="DR27" s="347">
        <f t="shared" si="17"/>
        <v>4000000</v>
      </c>
      <c r="DS27" s="347">
        <f t="shared" si="17"/>
        <v>26600000</v>
      </c>
      <c r="DT27" s="347">
        <f t="shared" si="17"/>
        <v>39826880</v>
      </c>
      <c r="DU27" s="347">
        <f t="shared" ref="DU27:EF27" si="19">+DU8+DU9+DU10+DU11+DU13+DU14+DU22+DU23+DU15+DU26</f>
        <v>30306000</v>
      </c>
      <c r="DV27" s="347">
        <f t="shared" si="19"/>
        <v>862500</v>
      </c>
      <c r="DW27" s="347">
        <f t="shared" si="19"/>
        <v>102766147</v>
      </c>
      <c r="DX27" s="347">
        <f t="shared" si="19"/>
        <v>0</v>
      </c>
      <c r="DY27" s="347">
        <f t="shared" si="19"/>
        <v>0</v>
      </c>
      <c r="DZ27" s="347">
        <f t="shared" si="19"/>
        <v>0</v>
      </c>
      <c r="EA27" s="347">
        <f t="shared" si="19"/>
        <v>0</v>
      </c>
      <c r="EB27" s="347">
        <f t="shared" si="19"/>
        <v>0</v>
      </c>
      <c r="EC27" s="347">
        <f t="shared" si="19"/>
        <v>0</v>
      </c>
      <c r="ED27" s="347">
        <f t="shared" si="19"/>
        <v>0</v>
      </c>
      <c r="EE27" s="347">
        <f t="shared" si="19"/>
        <v>0</v>
      </c>
      <c r="EF27" s="347">
        <f t="shared" si="19"/>
        <v>0</v>
      </c>
      <c r="EG27" s="362">
        <f t="shared" si="0"/>
        <v>6187288019</v>
      </c>
      <c r="EH27" s="362">
        <f t="shared" si="1"/>
        <v>532982566</v>
      </c>
      <c r="EI27" s="362">
        <f t="shared" si="2"/>
        <v>0</v>
      </c>
      <c r="EJ27" s="362">
        <f t="shared" si="3"/>
        <v>6720270585</v>
      </c>
      <c r="EK27" s="362"/>
      <c r="EL27" s="328" t="e">
        <f>+EK27-#REF!</f>
        <v>#REF!</v>
      </c>
    </row>
    <row r="28" spans="1:144" s="331" customFormat="1" ht="21.75" customHeight="1" x14ac:dyDescent="0.25">
      <c r="A28" s="324" t="s">
        <v>276</v>
      </c>
      <c r="B28" s="340" t="s">
        <v>33</v>
      </c>
      <c r="C28" s="326"/>
      <c r="D28" s="347">
        <f>+D16+D17+D18+D24+D25</f>
        <v>42908300</v>
      </c>
      <c r="E28" s="347">
        <f t="shared" ref="E28:BO28" si="20">+E16+E17+E18+E24+E25</f>
        <v>96000000</v>
      </c>
      <c r="F28" s="347">
        <f t="shared" si="20"/>
        <v>0</v>
      </c>
      <c r="G28" s="347">
        <f t="shared" si="20"/>
        <v>0</v>
      </c>
      <c r="H28" s="347">
        <f t="shared" si="20"/>
        <v>210359147</v>
      </c>
      <c r="I28" s="347">
        <f t="shared" si="20"/>
        <v>6744600</v>
      </c>
      <c r="J28" s="347">
        <f t="shared" si="20"/>
        <v>0</v>
      </c>
      <c r="K28" s="347">
        <f t="shared" si="20"/>
        <v>0</v>
      </c>
      <c r="L28" s="347">
        <f t="shared" si="20"/>
        <v>3500000</v>
      </c>
      <c r="M28" s="347">
        <f t="shared" si="20"/>
        <v>0</v>
      </c>
      <c r="N28" s="347">
        <f t="shared" si="20"/>
        <v>0</v>
      </c>
      <c r="O28" s="347">
        <f t="shared" si="20"/>
        <v>0</v>
      </c>
      <c r="P28" s="347">
        <f>+P16+P17+P18+P24+P25</f>
        <v>1000000</v>
      </c>
      <c r="Q28" s="347">
        <f t="shared" si="20"/>
        <v>889000</v>
      </c>
      <c r="R28" s="347">
        <f t="shared" si="20"/>
        <v>127000</v>
      </c>
      <c r="S28" s="347">
        <f t="shared" si="20"/>
        <v>0</v>
      </c>
      <c r="T28" s="347">
        <f t="shared" si="20"/>
        <v>0</v>
      </c>
      <c r="U28" s="347">
        <f t="shared" si="20"/>
        <v>0</v>
      </c>
      <c r="V28" s="347">
        <f t="shared" si="20"/>
        <v>0</v>
      </c>
      <c r="W28" s="347">
        <f t="shared" si="20"/>
        <v>0</v>
      </c>
      <c r="X28" s="347">
        <f t="shared" si="20"/>
        <v>0</v>
      </c>
      <c r="Y28" s="347">
        <f t="shared" si="20"/>
        <v>0</v>
      </c>
      <c r="Z28" s="347">
        <f t="shared" si="20"/>
        <v>0</v>
      </c>
      <c r="AA28" s="347">
        <f t="shared" si="20"/>
        <v>0</v>
      </c>
      <c r="AB28" s="347">
        <f t="shared" si="20"/>
        <v>0</v>
      </c>
      <c r="AC28" s="347">
        <f t="shared" si="20"/>
        <v>2000000</v>
      </c>
      <c r="AD28" s="347">
        <f t="shared" si="20"/>
        <v>0</v>
      </c>
      <c r="AE28" s="347">
        <f t="shared" si="20"/>
        <v>0</v>
      </c>
      <c r="AF28" s="347">
        <f t="shared" si="20"/>
        <v>0</v>
      </c>
      <c r="AG28" s="347">
        <f t="shared" si="20"/>
        <v>0</v>
      </c>
      <c r="AH28" s="347">
        <f t="shared" si="20"/>
        <v>0</v>
      </c>
      <c r="AI28" s="347">
        <f t="shared" si="20"/>
        <v>30000000</v>
      </c>
      <c r="AJ28" s="347">
        <f t="shared" si="20"/>
        <v>5842000</v>
      </c>
      <c r="AK28" s="347">
        <f t="shared" si="20"/>
        <v>254000</v>
      </c>
      <c r="AL28" s="347">
        <f t="shared" si="20"/>
        <v>0</v>
      </c>
      <c r="AM28" s="347">
        <f t="shared" si="20"/>
        <v>0</v>
      </c>
      <c r="AN28" s="347">
        <f t="shared" si="20"/>
        <v>0</v>
      </c>
      <c r="AO28" s="347">
        <f t="shared" si="20"/>
        <v>0</v>
      </c>
      <c r="AP28" s="347">
        <f t="shared" si="20"/>
        <v>0</v>
      </c>
      <c r="AQ28" s="347">
        <f t="shared" si="20"/>
        <v>6915045</v>
      </c>
      <c r="AR28" s="347">
        <f t="shared" si="20"/>
        <v>0</v>
      </c>
      <c r="AS28" s="347">
        <f t="shared" si="20"/>
        <v>0</v>
      </c>
      <c r="AT28" s="347">
        <f t="shared" si="20"/>
        <v>0</v>
      </c>
      <c r="AU28" s="347">
        <f t="shared" si="20"/>
        <v>254000</v>
      </c>
      <c r="AV28" s="347">
        <f t="shared" si="20"/>
        <v>6477000</v>
      </c>
      <c r="AW28" s="347">
        <f t="shared" si="20"/>
        <v>0</v>
      </c>
      <c r="AX28" s="347">
        <f t="shared" si="20"/>
        <v>0</v>
      </c>
      <c r="AY28" s="347">
        <f t="shared" si="20"/>
        <v>0</v>
      </c>
      <c r="AZ28" s="347">
        <f t="shared" si="20"/>
        <v>0</v>
      </c>
      <c r="BA28" s="347">
        <f t="shared" si="20"/>
        <v>5217160</v>
      </c>
      <c r="BB28" s="347">
        <f t="shared" si="20"/>
        <v>0</v>
      </c>
      <c r="BC28" s="347">
        <f t="shared" si="20"/>
        <v>0</v>
      </c>
      <c r="BD28" s="347">
        <f t="shared" si="20"/>
        <v>0</v>
      </c>
      <c r="BE28" s="347">
        <f t="shared" si="20"/>
        <v>0</v>
      </c>
      <c r="BF28" s="347">
        <f>+BF16+BF17+BF18+BF24+BF25</f>
        <v>21497250</v>
      </c>
      <c r="BG28" s="347">
        <f t="shared" si="20"/>
        <v>0</v>
      </c>
      <c r="BH28" s="347">
        <f t="shared" si="20"/>
        <v>0</v>
      </c>
      <c r="BI28" s="347">
        <f t="shared" si="20"/>
        <v>65000000</v>
      </c>
      <c r="BJ28" s="347">
        <f t="shared" si="20"/>
        <v>0</v>
      </c>
      <c r="BK28" s="347">
        <f t="shared" si="20"/>
        <v>65000000</v>
      </c>
      <c r="BL28" s="347">
        <f t="shared" si="20"/>
        <v>0</v>
      </c>
      <c r="BM28" s="347">
        <f t="shared" si="20"/>
        <v>0</v>
      </c>
      <c r="BN28" s="347">
        <f t="shared" si="20"/>
        <v>0</v>
      </c>
      <c r="BO28" s="347">
        <f t="shared" si="20"/>
        <v>0</v>
      </c>
      <c r="BP28" s="347">
        <f t="shared" ref="BP28:DT28" si="21">+BP16+BP17+BP18+BP24+BP25</f>
        <v>0</v>
      </c>
      <c r="BQ28" s="347">
        <f t="shared" si="21"/>
        <v>0</v>
      </c>
      <c r="BR28" s="347">
        <f t="shared" si="21"/>
        <v>0</v>
      </c>
      <c r="BS28" s="347">
        <f t="shared" si="21"/>
        <v>5000000</v>
      </c>
      <c r="BT28" s="347">
        <f t="shared" si="21"/>
        <v>483616</v>
      </c>
      <c r="BU28" s="347">
        <f t="shared" si="21"/>
        <v>0</v>
      </c>
      <c r="BV28" s="347">
        <f t="shared" si="21"/>
        <v>0</v>
      </c>
      <c r="BW28" s="347">
        <f t="shared" si="21"/>
        <v>0</v>
      </c>
      <c r="BX28" s="347">
        <f t="shared" si="21"/>
        <v>0</v>
      </c>
      <c r="BY28" s="347">
        <f t="shared" si="21"/>
        <v>53951790</v>
      </c>
      <c r="BZ28" s="347">
        <f>+BZ16+BZ17+BZ18+BZ24+BZ25</f>
        <v>350000</v>
      </c>
      <c r="CA28" s="347">
        <f t="shared" si="21"/>
        <v>0</v>
      </c>
      <c r="CB28" s="347">
        <f t="shared" si="21"/>
        <v>127000</v>
      </c>
      <c r="CC28" s="347">
        <f t="shared" si="21"/>
        <v>0</v>
      </c>
      <c r="CD28" s="347">
        <f t="shared" si="21"/>
        <v>500000</v>
      </c>
      <c r="CE28" s="347">
        <f>+CE16+CE17+CE18+CE24+CE25</f>
        <v>0</v>
      </c>
      <c r="CF28" s="347">
        <f t="shared" si="21"/>
        <v>0</v>
      </c>
      <c r="CG28" s="347">
        <f t="shared" si="21"/>
        <v>0</v>
      </c>
      <c r="CH28" s="347">
        <f t="shared" si="21"/>
        <v>0</v>
      </c>
      <c r="CI28" s="347">
        <f t="shared" si="21"/>
        <v>0</v>
      </c>
      <c r="CJ28" s="347">
        <f>+CJ16+CJ17+CJ18+CJ24+CJ25</f>
        <v>0</v>
      </c>
      <c r="CK28" s="347">
        <f>+CK16+CK17+CK18+CK24+CK25</f>
        <v>0</v>
      </c>
      <c r="CL28" s="347">
        <f t="shared" si="21"/>
        <v>0</v>
      </c>
      <c r="CM28" s="347">
        <f t="shared" ref="CM28:CR28" si="22">+CM16+CM17+CM18+CM24+CM25</f>
        <v>0</v>
      </c>
      <c r="CN28" s="347">
        <f t="shared" si="22"/>
        <v>479679727</v>
      </c>
      <c r="CO28" s="347">
        <f t="shared" si="22"/>
        <v>0</v>
      </c>
      <c r="CP28" s="347">
        <f t="shared" si="22"/>
        <v>140000</v>
      </c>
      <c r="CQ28" s="347">
        <f t="shared" si="22"/>
        <v>140000</v>
      </c>
      <c r="CR28" s="347">
        <f t="shared" si="22"/>
        <v>320000</v>
      </c>
      <c r="CS28" s="347">
        <f t="shared" si="21"/>
        <v>0</v>
      </c>
      <c r="CT28" s="347">
        <f t="shared" si="21"/>
        <v>0</v>
      </c>
      <c r="CU28" s="347">
        <f t="shared" si="21"/>
        <v>0</v>
      </c>
      <c r="CV28" s="347">
        <f t="shared" si="21"/>
        <v>0</v>
      </c>
      <c r="CW28" s="347">
        <f t="shared" si="21"/>
        <v>0</v>
      </c>
      <c r="CX28" s="347">
        <f t="shared" si="21"/>
        <v>0</v>
      </c>
      <c r="CY28" s="347">
        <f>+CY16+CY17+CY18+CY24+CY25</f>
        <v>0</v>
      </c>
      <c r="CZ28" s="347">
        <f>+CZ16+CZ17+CZ18+CZ24+CZ25</f>
        <v>0</v>
      </c>
      <c r="DA28" s="347">
        <f t="shared" si="21"/>
        <v>0</v>
      </c>
      <c r="DB28" s="347">
        <f t="shared" si="21"/>
        <v>0</v>
      </c>
      <c r="DC28" s="347">
        <f t="shared" si="21"/>
        <v>0</v>
      </c>
      <c r="DD28" s="347">
        <f t="shared" si="21"/>
        <v>0</v>
      </c>
      <c r="DE28" s="347">
        <f t="shared" si="21"/>
        <v>4500000</v>
      </c>
      <c r="DF28" s="347">
        <f t="shared" si="21"/>
        <v>4000000</v>
      </c>
      <c r="DG28" s="347">
        <f t="shared" si="21"/>
        <v>3000000</v>
      </c>
      <c r="DH28" s="347">
        <f t="shared" si="21"/>
        <v>0</v>
      </c>
      <c r="DI28" s="347">
        <f t="shared" si="21"/>
        <v>0</v>
      </c>
      <c r="DJ28" s="347">
        <f t="shared" si="21"/>
        <v>0</v>
      </c>
      <c r="DK28" s="347">
        <f t="shared" si="21"/>
        <v>0</v>
      </c>
      <c r="DL28" s="347">
        <f t="shared" si="21"/>
        <v>0</v>
      </c>
      <c r="DM28" s="347">
        <f t="shared" si="21"/>
        <v>0</v>
      </c>
      <c r="DN28" s="347">
        <f t="shared" si="21"/>
        <v>0</v>
      </c>
      <c r="DO28" s="347">
        <f t="shared" si="21"/>
        <v>1320000</v>
      </c>
      <c r="DP28" s="347">
        <f t="shared" si="21"/>
        <v>0</v>
      </c>
      <c r="DQ28" s="347">
        <f t="shared" si="21"/>
        <v>0</v>
      </c>
      <c r="DR28" s="347">
        <f t="shared" si="21"/>
        <v>0</v>
      </c>
      <c r="DS28" s="347">
        <f t="shared" si="21"/>
        <v>0</v>
      </c>
      <c r="DT28" s="347">
        <f t="shared" si="21"/>
        <v>0</v>
      </c>
      <c r="DU28" s="347">
        <f t="shared" ref="DU28:EF28" si="23">+DU16+DU17+DU18+DU24+DU25</f>
        <v>0</v>
      </c>
      <c r="DV28" s="347">
        <f t="shared" si="23"/>
        <v>0</v>
      </c>
      <c r="DW28" s="347">
        <f t="shared" si="23"/>
        <v>28182624</v>
      </c>
      <c r="DX28" s="347">
        <f t="shared" si="23"/>
        <v>0</v>
      </c>
      <c r="DY28" s="347">
        <f t="shared" si="23"/>
        <v>0</v>
      </c>
      <c r="DZ28" s="347">
        <f t="shared" si="23"/>
        <v>0</v>
      </c>
      <c r="EA28" s="347">
        <f t="shared" si="23"/>
        <v>0</v>
      </c>
      <c r="EB28" s="347">
        <f t="shared" si="23"/>
        <v>0</v>
      </c>
      <c r="EC28" s="347">
        <f t="shared" si="23"/>
        <v>0</v>
      </c>
      <c r="ED28" s="347">
        <f t="shared" si="23"/>
        <v>0</v>
      </c>
      <c r="EE28" s="347">
        <f t="shared" si="23"/>
        <v>0</v>
      </c>
      <c r="EF28" s="347">
        <f t="shared" si="23"/>
        <v>0</v>
      </c>
      <c r="EG28" s="362">
        <f t="shared" si="0"/>
        <v>1074251609</v>
      </c>
      <c r="EH28" s="362">
        <f t="shared" si="1"/>
        <v>77427650</v>
      </c>
      <c r="EI28" s="362">
        <f t="shared" si="2"/>
        <v>0</v>
      </c>
      <c r="EJ28" s="362">
        <f t="shared" si="3"/>
        <v>1151679259</v>
      </c>
      <c r="EK28" s="362"/>
      <c r="EL28" s="328" t="e">
        <f>+EK28-#REF!</f>
        <v>#REF!</v>
      </c>
    </row>
    <row r="29" spans="1:144" s="331" customFormat="1" ht="21.75" customHeight="1" x14ac:dyDescent="0.25">
      <c r="A29" s="324" t="s">
        <v>277</v>
      </c>
      <c r="B29" s="340" t="s">
        <v>343</v>
      </c>
      <c r="C29" s="326" t="s">
        <v>31</v>
      </c>
      <c r="D29" s="347">
        <f>+D27+D28</f>
        <v>42908300</v>
      </c>
      <c r="E29" s="347">
        <f t="shared" ref="E29:BO29" si="24">+E27+E28</f>
        <v>96000000</v>
      </c>
      <c r="F29" s="347">
        <f t="shared" si="24"/>
        <v>0</v>
      </c>
      <c r="G29" s="347">
        <f t="shared" si="24"/>
        <v>0</v>
      </c>
      <c r="H29" s="347">
        <f t="shared" si="24"/>
        <v>210359147</v>
      </c>
      <c r="I29" s="347">
        <f t="shared" si="24"/>
        <v>6744600</v>
      </c>
      <c r="J29" s="347">
        <f t="shared" si="24"/>
        <v>1000000</v>
      </c>
      <c r="K29" s="347">
        <f t="shared" si="24"/>
        <v>10000000</v>
      </c>
      <c r="L29" s="347">
        <f t="shared" si="24"/>
        <v>3500000</v>
      </c>
      <c r="M29" s="347">
        <f t="shared" si="24"/>
        <v>0</v>
      </c>
      <c r="N29" s="347">
        <f t="shared" si="24"/>
        <v>0</v>
      </c>
      <c r="O29" s="347">
        <f t="shared" si="24"/>
        <v>0</v>
      </c>
      <c r="P29" s="347">
        <f t="shared" si="24"/>
        <v>1000000</v>
      </c>
      <c r="Q29" s="347">
        <f t="shared" si="24"/>
        <v>80303454</v>
      </c>
      <c r="R29" s="347">
        <f t="shared" si="24"/>
        <v>65555288</v>
      </c>
      <c r="S29" s="347">
        <f t="shared" si="24"/>
        <v>0</v>
      </c>
      <c r="T29" s="347">
        <f t="shared" si="24"/>
        <v>5000000</v>
      </c>
      <c r="U29" s="347">
        <f t="shared" si="24"/>
        <v>0</v>
      </c>
      <c r="V29" s="347">
        <f t="shared" si="24"/>
        <v>0</v>
      </c>
      <c r="W29" s="347">
        <f t="shared" si="24"/>
        <v>5972000</v>
      </c>
      <c r="X29" s="347">
        <f t="shared" si="24"/>
        <v>10000000</v>
      </c>
      <c r="Y29" s="347">
        <f t="shared" si="24"/>
        <v>20000000</v>
      </c>
      <c r="Z29" s="347">
        <f t="shared" si="24"/>
        <v>267451365</v>
      </c>
      <c r="AA29" s="347">
        <f t="shared" si="24"/>
        <v>36415240</v>
      </c>
      <c r="AB29" s="347">
        <f t="shared" si="24"/>
        <v>51500000</v>
      </c>
      <c r="AC29" s="347">
        <f t="shared" si="24"/>
        <v>7000000</v>
      </c>
      <c r="AD29" s="347">
        <f t="shared" si="24"/>
        <v>162253996</v>
      </c>
      <c r="AE29" s="347">
        <f t="shared" si="24"/>
        <v>85108035</v>
      </c>
      <c r="AF29" s="347">
        <f t="shared" si="24"/>
        <v>25000000</v>
      </c>
      <c r="AG29" s="347">
        <f t="shared" si="24"/>
        <v>3630000</v>
      </c>
      <c r="AH29" s="347">
        <f t="shared" si="24"/>
        <v>30951478</v>
      </c>
      <c r="AI29" s="347">
        <f t="shared" si="24"/>
        <v>38600000</v>
      </c>
      <c r="AJ29" s="347">
        <f t="shared" si="24"/>
        <v>16023600</v>
      </c>
      <c r="AK29" s="347">
        <f t="shared" si="24"/>
        <v>36787487</v>
      </c>
      <c r="AL29" s="347">
        <f t="shared" si="24"/>
        <v>0</v>
      </c>
      <c r="AM29" s="347">
        <f t="shared" si="24"/>
        <v>2000000</v>
      </c>
      <c r="AN29" s="347">
        <f t="shared" si="24"/>
        <v>500000</v>
      </c>
      <c r="AO29" s="347">
        <f t="shared" si="24"/>
        <v>3525000</v>
      </c>
      <c r="AP29" s="347">
        <f t="shared" si="24"/>
        <v>13875960</v>
      </c>
      <c r="AQ29" s="347">
        <f t="shared" si="24"/>
        <v>36401479</v>
      </c>
      <c r="AR29" s="347">
        <f t="shared" si="24"/>
        <v>1500000</v>
      </c>
      <c r="AS29" s="347">
        <f t="shared" si="24"/>
        <v>2000000</v>
      </c>
      <c r="AT29" s="347">
        <f t="shared" si="24"/>
        <v>1000000</v>
      </c>
      <c r="AU29" s="347">
        <f t="shared" si="24"/>
        <v>25357450</v>
      </c>
      <c r="AV29" s="347">
        <f t="shared" si="24"/>
        <v>62730505</v>
      </c>
      <c r="AW29" s="347">
        <f t="shared" si="24"/>
        <v>71500000</v>
      </c>
      <c r="AX29" s="347">
        <f t="shared" si="24"/>
        <v>21600000</v>
      </c>
      <c r="AY29" s="347">
        <f t="shared" si="24"/>
        <v>40000000</v>
      </c>
      <c r="AZ29" s="347">
        <f t="shared" si="24"/>
        <v>2000000</v>
      </c>
      <c r="BA29" s="347">
        <f t="shared" si="24"/>
        <v>81137060</v>
      </c>
      <c r="BB29" s="347">
        <f t="shared" si="24"/>
        <v>0</v>
      </c>
      <c r="BC29" s="347">
        <f t="shared" si="24"/>
        <v>21000000</v>
      </c>
      <c r="BD29" s="347">
        <f t="shared" si="24"/>
        <v>2250000</v>
      </c>
      <c r="BE29" s="347">
        <f t="shared" si="24"/>
        <v>300000</v>
      </c>
      <c r="BF29" s="347">
        <f>+BF27+BF28</f>
        <v>24737250</v>
      </c>
      <c r="BG29" s="347">
        <f t="shared" si="24"/>
        <v>0</v>
      </c>
      <c r="BH29" s="347">
        <f t="shared" si="24"/>
        <v>0</v>
      </c>
      <c r="BI29" s="347">
        <f t="shared" si="24"/>
        <v>65000000</v>
      </c>
      <c r="BJ29" s="347">
        <f t="shared" si="24"/>
        <v>0</v>
      </c>
      <c r="BK29" s="347">
        <f t="shared" si="24"/>
        <v>65000000</v>
      </c>
      <c r="BL29" s="347">
        <f t="shared" si="24"/>
        <v>2400000</v>
      </c>
      <c r="BM29" s="347">
        <f t="shared" si="24"/>
        <v>7498957</v>
      </c>
      <c r="BN29" s="347">
        <f t="shared" si="24"/>
        <v>6200000</v>
      </c>
      <c r="BO29" s="347">
        <f t="shared" si="24"/>
        <v>1500000</v>
      </c>
      <c r="BP29" s="347">
        <f t="shared" ref="BP29:DT29" si="25">+BP27+BP28</f>
        <v>8157940</v>
      </c>
      <c r="BQ29" s="347">
        <f t="shared" si="25"/>
        <v>2017360</v>
      </c>
      <c r="BR29" s="347">
        <f t="shared" si="25"/>
        <v>5000000</v>
      </c>
      <c r="BS29" s="347">
        <f t="shared" si="25"/>
        <v>5000000</v>
      </c>
      <c r="BT29" s="347">
        <f t="shared" si="25"/>
        <v>483616</v>
      </c>
      <c r="BU29" s="347">
        <f t="shared" si="25"/>
        <v>0</v>
      </c>
      <c r="BV29" s="347">
        <f t="shared" si="25"/>
        <v>0</v>
      </c>
      <c r="BW29" s="347">
        <f t="shared" si="25"/>
        <v>0</v>
      </c>
      <c r="BX29" s="347">
        <f t="shared" si="25"/>
        <v>938291429</v>
      </c>
      <c r="BY29" s="347">
        <f t="shared" si="25"/>
        <v>3043798119</v>
      </c>
      <c r="BZ29" s="347">
        <f>+BZ27+BZ28</f>
        <v>350000</v>
      </c>
      <c r="CA29" s="347">
        <f t="shared" si="25"/>
        <v>2500000</v>
      </c>
      <c r="CB29" s="347">
        <f t="shared" si="25"/>
        <v>29211840</v>
      </c>
      <c r="CC29" s="347">
        <f t="shared" si="25"/>
        <v>16768528</v>
      </c>
      <c r="CD29" s="347">
        <f t="shared" si="25"/>
        <v>500000</v>
      </c>
      <c r="CE29" s="347">
        <f>+CE27+CE28</f>
        <v>0</v>
      </c>
      <c r="CF29" s="347">
        <f t="shared" si="25"/>
        <v>0</v>
      </c>
      <c r="CG29" s="347">
        <f t="shared" si="25"/>
        <v>0</v>
      </c>
      <c r="CH29" s="347">
        <f t="shared" si="25"/>
        <v>0</v>
      </c>
      <c r="CI29" s="347">
        <f t="shared" si="25"/>
        <v>0</v>
      </c>
      <c r="CJ29" s="347">
        <f>+CJ27+CJ28</f>
        <v>1300000</v>
      </c>
      <c r="CK29" s="347">
        <f>+CK27+CK28</f>
        <v>1350000</v>
      </c>
      <c r="CL29" s="347">
        <f t="shared" si="25"/>
        <v>950309686</v>
      </c>
      <c r="CM29" s="347">
        <f t="shared" ref="CM29:CR29" si="26">+CM27+CM28</f>
        <v>5000000</v>
      </c>
      <c r="CN29" s="347">
        <f t="shared" si="26"/>
        <v>493294660</v>
      </c>
      <c r="CO29" s="347">
        <f t="shared" si="26"/>
        <v>0</v>
      </c>
      <c r="CP29" s="347">
        <f t="shared" si="26"/>
        <v>140000</v>
      </c>
      <c r="CQ29" s="347">
        <f t="shared" si="26"/>
        <v>140000</v>
      </c>
      <c r="CR29" s="347">
        <f t="shared" si="26"/>
        <v>320000</v>
      </c>
      <c r="CS29" s="347">
        <f t="shared" si="25"/>
        <v>0</v>
      </c>
      <c r="CT29" s="347">
        <f t="shared" si="25"/>
        <v>23000000</v>
      </c>
      <c r="CU29" s="347">
        <f t="shared" si="25"/>
        <v>1500000</v>
      </c>
      <c r="CV29" s="347">
        <f t="shared" si="25"/>
        <v>2300000</v>
      </c>
      <c r="CW29" s="347">
        <f t="shared" si="25"/>
        <v>2000000</v>
      </c>
      <c r="CX29" s="347">
        <f t="shared" si="25"/>
        <v>3000000</v>
      </c>
      <c r="CY29" s="347">
        <f>+CY27+CY28</f>
        <v>4000000</v>
      </c>
      <c r="CZ29" s="347">
        <f>+CZ27+CZ28</f>
        <v>500000</v>
      </c>
      <c r="DA29" s="347">
        <f t="shared" si="25"/>
        <v>0</v>
      </c>
      <c r="DB29" s="347">
        <f t="shared" si="25"/>
        <v>500000</v>
      </c>
      <c r="DC29" s="347">
        <f t="shared" si="25"/>
        <v>200000</v>
      </c>
      <c r="DD29" s="347">
        <f t="shared" si="25"/>
        <v>4000000</v>
      </c>
      <c r="DE29" s="347">
        <f t="shared" si="25"/>
        <v>4500000</v>
      </c>
      <c r="DF29" s="347">
        <f t="shared" si="25"/>
        <v>4000000</v>
      </c>
      <c r="DG29" s="347">
        <f t="shared" si="25"/>
        <v>3000000</v>
      </c>
      <c r="DH29" s="347">
        <f t="shared" si="25"/>
        <v>11532529</v>
      </c>
      <c r="DI29" s="347">
        <f t="shared" si="25"/>
        <v>97782335</v>
      </c>
      <c r="DJ29" s="347">
        <f t="shared" si="25"/>
        <v>2890000</v>
      </c>
      <c r="DK29" s="347">
        <f t="shared" si="25"/>
        <v>0</v>
      </c>
      <c r="DL29" s="347">
        <f t="shared" si="25"/>
        <v>0</v>
      </c>
      <c r="DM29" s="347">
        <f t="shared" si="25"/>
        <v>1500000</v>
      </c>
      <c r="DN29" s="347">
        <f t="shared" si="25"/>
        <v>0</v>
      </c>
      <c r="DO29" s="347">
        <f t="shared" si="25"/>
        <v>4400000</v>
      </c>
      <c r="DP29" s="347">
        <f t="shared" si="25"/>
        <v>70000</v>
      </c>
      <c r="DQ29" s="347">
        <f t="shared" si="25"/>
        <v>84720000</v>
      </c>
      <c r="DR29" s="347">
        <f t="shared" si="25"/>
        <v>4000000</v>
      </c>
      <c r="DS29" s="347">
        <f t="shared" si="25"/>
        <v>26600000</v>
      </c>
      <c r="DT29" s="347">
        <f t="shared" si="25"/>
        <v>39826880</v>
      </c>
      <c r="DU29" s="347">
        <f t="shared" ref="DU29:EF29" si="27">+DU27+DU28</f>
        <v>30306000</v>
      </c>
      <c r="DV29" s="347">
        <f t="shared" si="27"/>
        <v>862500</v>
      </c>
      <c r="DW29" s="347">
        <f t="shared" si="27"/>
        <v>130948771</v>
      </c>
      <c r="DX29" s="347">
        <f t="shared" si="27"/>
        <v>0</v>
      </c>
      <c r="DY29" s="347">
        <f t="shared" si="27"/>
        <v>0</v>
      </c>
      <c r="DZ29" s="347">
        <f t="shared" si="27"/>
        <v>0</v>
      </c>
      <c r="EA29" s="347">
        <f t="shared" si="27"/>
        <v>0</v>
      </c>
      <c r="EB29" s="347">
        <f t="shared" si="27"/>
        <v>0</v>
      </c>
      <c r="EC29" s="347">
        <f t="shared" si="27"/>
        <v>0</v>
      </c>
      <c r="ED29" s="347">
        <f t="shared" si="27"/>
        <v>0</v>
      </c>
      <c r="EE29" s="347">
        <f t="shared" si="27"/>
        <v>0</v>
      </c>
      <c r="EF29" s="347">
        <f t="shared" si="27"/>
        <v>0</v>
      </c>
      <c r="EG29" s="362">
        <f t="shared" si="0"/>
        <v>7261539628</v>
      </c>
      <c r="EH29" s="362">
        <f t="shared" si="1"/>
        <v>610410216</v>
      </c>
      <c r="EI29" s="362">
        <f t="shared" si="2"/>
        <v>0</v>
      </c>
      <c r="EJ29" s="362">
        <f t="shared" si="3"/>
        <v>7871949844</v>
      </c>
      <c r="EK29" s="362"/>
      <c r="EL29" s="328" t="e">
        <f>+EK29-#REF!</f>
        <v>#REF!</v>
      </c>
      <c r="EM29" s="331">
        <v>6873632041</v>
      </c>
    </row>
    <row r="30" spans="1:144" ht="21.75" customHeight="1" x14ac:dyDescent="0.25">
      <c r="A30" s="324" t="s">
        <v>278</v>
      </c>
      <c r="B30" s="330" t="s">
        <v>52</v>
      </c>
      <c r="C30" s="337" t="s">
        <v>224</v>
      </c>
      <c r="D30" s="377"/>
      <c r="E30" s="377"/>
      <c r="F30" s="377"/>
      <c r="G30" s="377"/>
      <c r="H30" s="377"/>
      <c r="I30" s="377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27"/>
      <c r="DB30" s="362"/>
      <c r="DC30" s="362"/>
      <c r="DD30" s="362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62"/>
      <c r="DQ30" s="362"/>
      <c r="DR30" s="362"/>
      <c r="DS30" s="362"/>
      <c r="DT30" s="362"/>
      <c r="DU30" s="362">
        <v>1945292</v>
      </c>
      <c r="DV30" s="362"/>
      <c r="DW30" s="362"/>
      <c r="DX30" s="362"/>
      <c r="DY30" s="362"/>
      <c r="DZ30" s="362"/>
      <c r="EA30" s="362"/>
      <c r="EB30" s="362"/>
      <c r="EC30" s="362"/>
      <c r="ED30" s="362"/>
      <c r="EE30" s="362">
        <v>1569153661</v>
      </c>
      <c r="EF30" s="362"/>
      <c r="EG30" s="362">
        <f t="shared" si="0"/>
        <v>1571098953</v>
      </c>
      <c r="EH30" s="362">
        <f t="shared" si="1"/>
        <v>0</v>
      </c>
      <c r="EI30" s="362">
        <f t="shared" si="2"/>
        <v>0</v>
      </c>
      <c r="EJ30" s="362">
        <f t="shared" si="3"/>
        <v>1571098953</v>
      </c>
      <c r="EK30" s="362"/>
      <c r="EL30" s="328" t="e">
        <f>+EK30-#REF!</f>
        <v>#REF!</v>
      </c>
      <c r="EM30" s="329" t="e">
        <f>+EM29-#REF!</f>
        <v>#REF!</v>
      </c>
    </row>
    <row r="31" spans="1:144" ht="21.75" customHeight="1" x14ac:dyDescent="0.25">
      <c r="A31" s="324" t="s">
        <v>279</v>
      </c>
      <c r="B31" s="330" t="s">
        <v>235</v>
      </c>
      <c r="C31" s="337" t="s">
        <v>225</v>
      </c>
      <c r="D31" s="377"/>
      <c r="E31" s="377"/>
      <c r="F31" s="377"/>
      <c r="G31" s="377"/>
      <c r="H31" s="377"/>
      <c r="I31" s="377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2"/>
      <c r="CS31" s="362"/>
      <c r="CT31" s="362"/>
      <c r="CU31" s="362"/>
      <c r="CV31" s="362"/>
      <c r="CW31" s="362"/>
      <c r="CX31" s="362"/>
      <c r="CY31" s="362"/>
      <c r="CZ31" s="362"/>
      <c r="DA31" s="327"/>
      <c r="DB31" s="362"/>
      <c r="DC31" s="362"/>
      <c r="DD31" s="362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>
        <f t="shared" si="0"/>
        <v>0</v>
      </c>
      <c r="EH31" s="362">
        <f t="shared" si="1"/>
        <v>0</v>
      </c>
      <c r="EI31" s="362">
        <f t="shared" si="2"/>
        <v>0</v>
      </c>
      <c r="EJ31" s="362">
        <f t="shared" si="3"/>
        <v>0</v>
      </c>
      <c r="EK31" s="362"/>
      <c r="EL31" s="328" t="e">
        <f>+EK31-#REF!</f>
        <v>#REF!</v>
      </c>
    </row>
    <row r="32" spans="1:144" ht="21.75" customHeight="1" x14ac:dyDescent="0.25">
      <c r="A32" s="324" t="s">
        <v>280</v>
      </c>
      <c r="B32" s="330" t="s">
        <v>234</v>
      </c>
      <c r="C32" s="337" t="s">
        <v>226</v>
      </c>
      <c r="D32" s="377"/>
      <c r="E32" s="377"/>
      <c r="F32" s="377"/>
      <c r="G32" s="377"/>
      <c r="H32" s="377"/>
      <c r="I32" s="377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27"/>
      <c r="DB32" s="362"/>
      <c r="DC32" s="362"/>
      <c r="DD32" s="362"/>
      <c r="DE32" s="377"/>
      <c r="DF32" s="377"/>
      <c r="DG32" s="377"/>
      <c r="DH32" s="377"/>
      <c r="DI32" s="377"/>
      <c r="DJ32" s="377"/>
      <c r="DK32" s="377"/>
      <c r="DL32" s="377"/>
      <c r="DM32" s="377"/>
      <c r="DN32" s="377"/>
      <c r="DO32" s="377"/>
      <c r="DP32" s="362"/>
      <c r="DQ32" s="362"/>
      <c r="DR32" s="362"/>
      <c r="DS32" s="362"/>
      <c r="DT32" s="362"/>
      <c r="DU32" s="362"/>
      <c r="DV32" s="362"/>
      <c r="DW32" s="362"/>
      <c r="DX32" s="362">
        <v>572000000</v>
      </c>
      <c r="DY32" s="362">
        <v>162000000</v>
      </c>
      <c r="DZ32" s="362">
        <v>22200000</v>
      </c>
      <c r="EA32" s="362">
        <v>160000</v>
      </c>
      <c r="EB32" s="362">
        <v>2950000000</v>
      </c>
      <c r="EC32" s="362"/>
      <c r="ED32" s="362"/>
      <c r="EE32" s="362"/>
      <c r="EF32" s="362">
        <v>114264585</v>
      </c>
      <c r="EG32" s="362">
        <f t="shared" si="0"/>
        <v>3820624585</v>
      </c>
      <c r="EH32" s="362">
        <f t="shared" si="1"/>
        <v>0</v>
      </c>
      <c r="EI32" s="362">
        <f t="shared" si="2"/>
        <v>0</v>
      </c>
      <c r="EJ32" s="362">
        <f t="shared" si="3"/>
        <v>3820624585</v>
      </c>
      <c r="EK32" s="362"/>
      <c r="EL32" s="328" t="e">
        <f>+EK32-#REF!</f>
        <v>#REF!</v>
      </c>
    </row>
    <row r="33" spans="1:142" ht="21.75" customHeight="1" x14ac:dyDescent="0.25">
      <c r="A33" s="324" t="s">
        <v>281</v>
      </c>
      <c r="B33" s="333" t="s">
        <v>0</v>
      </c>
      <c r="C33" s="337" t="s">
        <v>227</v>
      </c>
      <c r="D33" s="377"/>
      <c r="E33" s="377"/>
      <c r="F33" s="377"/>
      <c r="G33" s="377"/>
      <c r="H33" s="377"/>
      <c r="I33" s="377"/>
      <c r="J33" s="362"/>
      <c r="K33" s="362">
        <v>10000000</v>
      </c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>
        <v>21400000</v>
      </c>
      <c r="AL33" s="362">
        <v>1045000</v>
      </c>
      <c r="AM33" s="362"/>
      <c r="AN33" s="362"/>
      <c r="AO33" s="362"/>
      <c r="AP33" s="362"/>
      <c r="AQ33" s="362"/>
      <c r="AR33" s="362"/>
      <c r="AS33" s="362">
        <v>11054776</v>
      </c>
      <c r="AT33" s="362">
        <v>979800</v>
      </c>
      <c r="AU33" s="362">
        <v>5280000</v>
      </c>
      <c r="AV33" s="362">
        <v>38100000</v>
      </c>
      <c r="AW33" s="362"/>
      <c r="AX33" s="362">
        <v>5000000</v>
      </c>
      <c r="AY33" s="362"/>
      <c r="AZ33" s="362"/>
      <c r="BA33" s="362">
        <v>10000000</v>
      </c>
      <c r="BB33" s="362"/>
      <c r="BC33" s="362"/>
      <c r="BD33" s="362"/>
      <c r="BE33" s="362"/>
      <c r="BF33" s="362"/>
      <c r="BG33" s="362"/>
      <c r="BH33" s="362"/>
      <c r="BI33" s="362">
        <v>65000000</v>
      </c>
      <c r="BJ33" s="362"/>
      <c r="BK33" s="362">
        <v>65000000</v>
      </c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>
        <v>228600</v>
      </c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27"/>
      <c r="DB33" s="362"/>
      <c r="DC33" s="362"/>
      <c r="DD33" s="362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>
        <v>6530391</v>
      </c>
      <c r="EG33" s="362">
        <f t="shared" si="0"/>
        <v>224389967</v>
      </c>
      <c r="EH33" s="362">
        <f t="shared" si="1"/>
        <v>15228600</v>
      </c>
      <c r="EI33" s="362">
        <f t="shared" si="2"/>
        <v>0</v>
      </c>
      <c r="EJ33" s="362">
        <f t="shared" si="3"/>
        <v>239618567</v>
      </c>
      <c r="EK33" s="362"/>
      <c r="EL33" s="328" t="e">
        <f>+EK33-#REF!</f>
        <v>#REF!</v>
      </c>
    </row>
    <row r="34" spans="1:142" ht="21.75" customHeight="1" x14ac:dyDescent="0.25">
      <c r="A34" s="324" t="s">
        <v>282</v>
      </c>
      <c r="B34" s="330" t="s">
        <v>257</v>
      </c>
      <c r="C34" s="337" t="s">
        <v>228</v>
      </c>
      <c r="D34" s="377"/>
      <c r="E34" s="377"/>
      <c r="F34" s="377"/>
      <c r="G34" s="377"/>
      <c r="H34" s="377"/>
      <c r="I34" s="377"/>
      <c r="J34" s="362"/>
      <c r="K34" s="362"/>
      <c r="L34" s="362"/>
      <c r="M34" s="362">
        <f>30000000+32752000</f>
        <v>62752000</v>
      </c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1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27"/>
      <c r="DB34" s="362"/>
      <c r="DC34" s="362"/>
      <c r="DD34" s="362"/>
      <c r="DE34" s="377"/>
      <c r="DF34" s="377"/>
      <c r="DG34" s="377"/>
      <c r="DH34" s="377"/>
      <c r="DI34" s="377"/>
      <c r="DJ34" s="377"/>
      <c r="DK34" s="377"/>
      <c r="DL34" s="377"/>
      <c r="DM34" s="377"/>
      <c r="DN34" s="377"/>
      <c r="DO34" s="377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>
        <f t="shared" si="0"/>
        <v>0</v>
      </c>
      <c r="EH34" s="362">
        <f t="shared" si="1"/>
        <v>62752000</v>
      </c>
      <c r="EI34" s="362">
        <f t="shared" si="2"/>
        <v>0</v>
      </c>
      <c r="EJ34" s="362">
        <f t="shared" si="3"/>
        <v>62752000</v>
      </c>
      <c r="EK34" s="362"/>
      <c r="EL34" s="328" t="e">
        <f>+EK34-#REF!</f>
        <v>#REF!</v>
      </c>
    </row>
    <row r="35" spans="1:142" ht="21.75" customHeight="1" x14ac:dyDescent="0.25">
      <c r="A35" s="324" t="s">
        <v>283</v>
      </c>
      <c r="B35" s="330" t="s">
        <v>252</v>
      </c>
      <c r="C35" s="337" t="s">
        <v>229</v>
      </c>
      <c r="D35" s="377"/>
      <c r="E35" s="377"/>
      <c r="F35" s="377"/>
      <c r="G35" s="377"/>
      <c r="H35" s="377"/>
      <c r="I35" s="377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27"/>
      <c r="DB35" s="362"/>
      <c r="DC35" s="362"/>
      <c r="DD35" s="362"/>
      <c r="DE35" s="377"/>
      <c r="DF35" s="377"/>
      <c r="DG35" s="377"/>
      <c r="DH35" s="377"/>
      <c r="DI35" s="377"/>
      <c r="DJ35" s="377"/>
      <c r="DK35" s="377"/>
      <c r="DL35" s="377"/>
      <c r="DM35" s="377"/>
      <c r="DN35" s="377"/>
      <c r="DO35" s="377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>
        <f t="shared" si="0"/>
        <v>0</v>
      </c>
      <c r="EH35" s="362">
        <f t="shared" si="1"/>
        <v>0</v>
      </c>
      <c r="EI35" s="362">
        <f t="shared" si="2"/>
        <v>0</v>
      </c>
      <c r="EJ35" s="362">
        <f t="shared" si="3"/>
        <v>0</v>
      </c>
      <c r="EK35" s="362"/>
      <c r="EL35" s="328" t="e">
        <f>+EK35-#REF!</f>
        <v>#REF!</v>
      </c>
    </row>
    <row r="36" spans="1:142" ht="21.75" customHeight="1" x14ac:dyDescent="0.25">
      <c r="A36" s="324" t="s">
        <v>284</v>
      </c>
      <c r="B36" s="330" t="s">
        <v>253</v>
      </c>
      <c r="C36" s="337" t="s">
        <v>230</v>
      </c>
      <c r="D36" s="377"/>
      <c r="E36" s="377"/>
      <c r="F36" s="377"/>
      <c r="G36" s="377"/>
      <c r="H36" s="377"/>
      <c r="I36" s="377"/>
      <c r="J36" s="362"/>
      <c r="K36" s="362"/>
      <c r="L36" s="362">
        <v>799200</v>
      </c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27"/>
      <c r="DB36" s="362"/>
      <c r="DC36" s="362"/>
      <c r="DD36" s="362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>
        <f t="shared" si="0"/>
        <v>0</v>
      </c>
      <c r="EH36" s="362">
        <f t="shared" si="1"/>
        <v>799200</v>
      </c>
      <c r="EI36" s="362">
        <f t="shared" si="2"/>
        <v>0</v>
      </c>
      <c r="EJ36" s="362">
        <f t="shared" si="3"/>
        <v>799200</v>
      </c>
      <c r="EK36" s="362"/>
      <c r="EL36" s="328" t="e">
        <f>+EK36-#REF!</f>
        <v>#REF!</v>
      </c>
    </row>
    <row r="37" spans="1:142" s="331" customFormat="1" ht="21.75" customHeight="1" x14ac:dyDescent="0.25">
      <c r="A37" s="324" t="s">
        <v>285</v>
      </c>
      <c r="B37" s="333" t="s">
        <v>254</v>
      </c>
      <c r="C37" s="337" t="s">
        <v>231</v>
      </c>
      <c r="D37" s="361">
        <f>SUM(D30:D36)</f>
        <v>0</v>
      </c>
      <c r="E37" s="361">
        <f t="shared" ref="E37:BO37" si="28">SUM(E30:E36)</f>
        <v>0</v>
      </c>
      <c r="F37" s="361">
        <f t="shared" si="28"/>
        <v>0</v>
      </c>
      <c r="G37" s="361">
        <f t="shared" si="28"/>
        <v>0</v>
      </c>
      <c r="H37" s="361">
        <f t="shared" si="28"/>
        <v>0</v>
      </c>
      <c r="I37" s="361">
        <f t="shared" si="28"/>
        <v>0</v>
      </c>
      <c r="J37" s="361">
        <f t="shared" si="28"/>
        <v>0</v>
      </c>
      <c r="K37" s="361">
        <f t="shared" si="28"/>
        <v>10000000</v>
      </c>
      <c r="L37" s="361">
        <f t="shared" si="28"/>
        <v>799200</v>
      </c>
      <c r="M37" s="361">
        <f t="shared" si="28"/>
        <v>62752000</v>
      </c>
      <c r="N37" s="361">
        <f t="shared" si="28"/>
        <v>0</v>
      </c>
      <c r="O37" s="361">
        <f t="shared" si="28"/>
        <v>0</v>
      </c>
      <c r="P37" s="361">
        <f t="shared" si="28"/>
        <v>0</v>
      </c>
      <c r="Q37" s="361">
        <f t="shared" si="28"/>
        <v>0</v>
      </c>
      <c r="R37" s="361">
        <f t="shared" si="28"/>
        <v>0</v>
      </c>
      <c r="S37" s="361">
        <f t="shared" si="28"/>
        <v>0</v>
      </c>
      <c r="T37" s="361">
        <f t="shared" si="28"/>
        <v>0</v>
      </c>
      <c r="U37" s="361">
        <f t="shared" si="28"/>
        <v>0</v>
      </c>
      <c r="V37" s="361">
        <f t="shared" si="28"/>
        <v>0</v>
      </c>
      <c r="W37" s="361">
        <f t="shared" si="28"/>
        <v>0</v>
      </c>
      <c r="X37" s="361">
        <f t="shared" si="28"/>
        <v>0</v>
      </c>
      <c r="Y37" s="361">
        <f t="shared" si="28"/>
        <v>0</v>
      </c>
      <c r="Z37" s="361">
        <f t="shared" si="28"/>
        <v>0</v>
      </c>
      <c r="AA37" s="361">
        <f t="shared" si="28"/>
        <v>0</v>
      </c>
      <c r="AB37" s="361">
        <f t="shared" si="28"/>
        <v>0</v>
      </c>
      <c r="AC37" s="361">
        <f t="shared" si="28"/>
        <v>0</v>
      </c>
      <c r="AD37" s="361">
        <f t="shared" si="28"/>
        <v>0</v>
      </c>
      <c r="AE37" s="361">
        <f t="shared" si="28"/>
        <v>0</v>
      </c>
      <c r="AF37" s="361">
        <f t="shared" si="28"/>
        <v>0</v>
      </c>
      <c r="AG37" s="361">
        <f t="shared" si="28"/>
        <v>0</v>
      </c>
      <c r="AH37" s="361">
        <f t="shared" si="28"/>
        <v>0</v>
      </c>
      <c r="AI37" s="361">
        <f t="shared" si="28"/>
        <v>0</v>
      </c>
      <c r="AJ37" s="361">
        <f t="shared" si="28"/>
        <v>0</v>
      </c>
      <c r="AK37" s="361">
        <f t="shared" si="28"/>
        <v>21400000</v>
      </c>
      <c r="AL37" s="361">
        <f t="shared" si="28"/>
        <v>1045000</v>
      </c>
      <c r="AM37" s="361">
        <f t="shared" si="28"/>
        <v>0</v>
      </c>
      <c r="AN37" s="361">
        <f t="shared" si="28"/>
        <v>0</v>
      </c>
      <c r="AO37" s="361">
        <f t="shared" si="28"/>
        <v>0</v>
      </c>
      <c r="AP37" s="361">
        <f t="shared" si="28"/>
        <v>0</v>
      </c>
      <c r="AQ37" s="361">
        <f t="shared" si="28"/>
        <v>0</v>
      </c>
      <c r="AR37" s="361">
        <f t="shared" si="28"/>
        <v>0</v>
      </c>
      <c r="AS37" s="361">
        <f t="shared" si="28"/>
        <v>11054776</v>
      </c>
      <c r="AT37" s="361">
        <f t="shared" si="28"/>
        <v>979800</v>
      </c>
      <c r="AU37" s="361">
        <f t="shared" si="28"/>
        <v>5280000</v>
      </c>
      <c r="AV37" s="361">
        <f t="shared" si="28"/>
        <v>38100000</v>
      </c>
      <c r="AW37" s="361">
        <f t="shared" si="28"/>
        <v>0</v>
      </c>
      <c r="AX37" s="361">
        <f t="shared" si="28"/>
        <v>5000000</v>
      </c>
      <c r="AY37" s="361">
        <f t="shared" si="28"/>
        <v>0</v>
      </c>
      <c r="AZ37" s="361">
        <f t="shared" si="28"/>
        <v>0</v>
      </c>
      <c r="BA37" s="361">
        <f t="shared" si="28"/>
        <v>10000000</v>
      </c>
      <c r="BB37" s="361">
        <f t="shared" si="28"/>
        <v>0</v>
      </c>
      <c r="BC37" s="361">
        <f t="shared" si="28"/>
        <v>0</v>
      </c>
      <c r="BD37" s="361">
        <f t="shared" si="28"/>
        <v>0</v>
      </c>
      <c r="BE37" s="361">
        <f t="shared" si="28"/>
        <v>0</v>
      </c>
      <c r="BF37" s="361">
        <f>SUM(BF30:BF36)</f>
        <v>0</v>
      </c>
      <c r="BG37" s="361">
        <f t="shared" si="28"/>
        <v>0</v>
      </c>
      <c r="BH37" s="361">
        <f t="shared" si="28"/>
        <v>0</v>
      </c>
      <c r="BI37" s="361">
        <f t="shared" si="28"/>
        <v>65000000</v>
      </c>
      <c r="BJ37" s="361">
        <f t="shared" si="28"/>
        <v>0</v>
      </c>
      <c r="BK37" s="361">
        <f t="shared" si="28"/>
        <v>65000000</v>
      </c>
      <c r="BL37" s="361">
        <f t="shared" si="28"/>
        <v>0</v>
      </c>
      <c r="BM37" s="361">
        <f t="shared" si="28"/>
        <v>0</v>
      </c>
      <c r="BN37" s="361">
        <f t="shared" si="28"/>
        <v>0</v>
      </c>
      <c r="BO37" s="361">
        <f t="shared" si="28"/>
        <v>0</v>
      </c>
      <c r="BP37" s="361">
        <f t="shared" ref="BP37:DT37" si="29">SUM(BP30:BP36)</f>
        <v>0</v>
      </c>
      <c r="BQ37" s="361">
        <f t="shared" si="29"/>
        <v>0</v>
      </c>
      <c r="BR37" s="361">
        <f t="shared" si="29"/>
        <v>0</v>
      </c>
      <c r="BS37" s="361">
        <f t="shared" si="29"/>
        <v>0</v>
      </c>
      <c r="BT37" s="361">
        <f t="shared" si="29"/>
        <v>0</v>
      </c>
      <c r="BU37" s="361">
        <f t="shared" si="29"/>
        <v>0</v>
      </c>
      <c r="BV37" s="361">
        <f t="shared" si="29"/>
        <v>0</v>
      </c>
      <c r="BW37" s="361">
        <f t="shared" si="29"/>
        <v>0</v>
      </c>
      <c r="BX37" s="361">
        <f t="shared" si="29"/>
        <v>0</v>
      </c>
      <c r="BY37" s="361">
        <f t="shared" si="29"/>
        <v>0</v>
      </c>
      <c r="BZ37" s="361">
        <f>SUM(BZ30:BZ36)</f>
        <v>0</v>
      </c>
      <c r="CA37" s="361">
        <f t="shared" si="29"/>
        <v>0</v>
      </c>
      <c r="CB37" s="361">
        <f t="shared" si="29"/>
        <v>228600</v>
      </c>
      <c r="CC37" s="361">
        <f t="shared" si="29"/>
        <v>0</v>
      </c>
      <c r="CD37" s="361">
        <f t="shared" si="29"/>
        <v>0</v>
      </c>
      <c r="CE37" s="361">
        <f>SUM(CE30:CE36)</f>
        <v>0</v>
      </c>
      <c r="CF37" s="361">
        <f t="shared" si="29"/>
        <v>0</v>
      </c>
      <c r="CG37" s="361">
        <f t="shared" si="29"/>
        <v>0</v>
      </c>
      <c r="CH37" s="361">
        <f t="shared" si="29"/>
        <v>0</v>
      </c>
      <c r="CI37" s="361">
        <f t="shared" si="29"/>
        <v>0</v>
      </c>
      <c r="CJ37" s="361">
        <f>SUM(CJ30:CJ36)</f>
        <v>0</v>
      </c>
      <c r="CK37" s="361">
        <f>SUM(CK30:CK36)</f>
        <v>0</v>
      </c>
      <c r="CL37" s="361">
        <f t="shared" si="29"/>
        <v>0</v>
      </c>
      <c r="CM37" s="361">
        <f t="shared" ref="CM37:CR37" si="30">SUM(CM30:CM36)</f>
        <v>0</v>
      </c>
      <c r="CN37" s="361">
        <f t="shared" si="30"/>
        <v>0</v>
      </c>
      <c r="CO37" s="361">
        <f t="shared" si="30"/>
        <v>0</v>
      </c>
      <c r="CP37" s="361">
        <f t="shared" si="30"/>
        <v>0</v>
      </c>
      <c r="CQ37" s="361">
        <f t="shared" si="30"/>
        <v>0</v>
      </c>
      <c r="CR37" s="361">
        <f t="shared" si="30"/>
        <v>0</v>
      </c>
      <c r="CS37" s="361">
        <f t="shared" si="29"/>
        <v>0</v>
      </c>
      <c r="CT37" s="361">
        <f t="shared" si="29"/>
        <v>0</v>
      </c>
      <c r="CU37" s="361">
        <f t="shared" si="29"/>
        <v>0</v>
      </c>
      <c r="CV37" s="361">
        <f t="shared" si="29"/>
        <v>0</v>
      </c>
      <c r="CW37" s="361">
        <f t="shared" si="29"/>
        <v>0</v>
      </c>
      <c r="CX37" s="361">
        <f t="shared" si="29"/>
        <v>0</v>
      </c>
      <c r="CY37" s="361">
        <f>SUM(CY30:CY36)</f>
        <v>0</v>
      </c>
      <c r="CZ37" s="361">
        <f>SUM(CZ30:CZ36)</f>
        <v>0</v>
      </c>
      <c r="DA37" s="361">
        <f t="shared" si="29"/>
        <v>0</v>
      </c>
      <c r="DB37" s="361">
        <f t="shared" si="29"/>
        <v>0</v>
      </c>
      <c r="DC37" s="361">
        <f t="shared" si="29"/>
        <v>0</v>
      </c>
      <c r="DD37" s="361">
        <f t="shared" si="29"/>
        <v>0</v>
      </c>
      <c r="DE37" s="361">
        <f t="shared" si="29"/>
        <v>0</v>
      </c>
      <c r="DF37" s="361">
        <f t="shared" si="29"/>
        <v>0</v>
      </c>
      <c r="DG37" s="361">
        <f t="shared" si="29"/>
        <v>0</v>
      </c>
      <c r="DH37" s="361">
        <f t="shared" si="29"/>
        <v>0</v>
      </c>
      <c r="DI37" s="361">
        <f t="shared" si="29"/>
        <v>0</v>
      </c>
      <c r="DJ37" s="361">
        <f t="shared" si="29"/>
        <v>0</v>
      </c>
      <c r="DK37" s="361">
        <f t="shared" si="29"/>
        <v>0</v>
      </c>
      <c r="DL37" s="361">
        <f t="shared" si="29"/>
        <v>0</v>
      </c>
      <c r="DM37" s="361">
        <f t="shared" si="29"/>
        <v>0</v>
      </c>
      <c r="DN37" s="361">
        <f t="shared" si="29"/>
        <v>0</v>
      </c>
      <c r="DO37" s="361">
        <f t="shared" si="29"/>
        <v>0</v>
      </c>
      <c r="DP37" s="361">
        <f t="shared" si="29"/>
        <v>0</v>
      </c>
      <c r="DQ37" s="361">
        <f t="shared" si="29"/>
        <v>0</v>
      </c>
      <c r="DR37" s="361">
        <f t="shared" si="29"/>
        <v>0</v>
      </c>
      <c r="DS37" s="361">
        <f t="shared" si="29"/>
        <v>0</v>
      </c>
      <c r="DT37" s="361">
        <f t="shared" si="29"/>
        <v>0</v>
      </c>
      <c r="DU37" s="361">
        <f t="shared" ref="DU37:EF37" si="31">SUM(DU30:DU36)</f>
        <v>1945292</v>
      </c>
      <c r="DV37" s="361">
        <f t="shared" si="31"/>
        <v>0</v>
      </c>
      <c r="DW37" s="361">
        <f t="shared" si="31"/>
        <v>0</v>
      </c>
      <c r="DX37" s="361">
        <f t="shared" si="31"/>
        <v>572000000</v>
      </c>
      <c r="DY37" s="361">
        <f t="shared" si="31"/>
        <v>162000000</v>
      </c>
      <c r="DZ37" s="361">
        <f t="shared" si="31"/>
        <v>22200000</v>
      </c>
      <c r="EA37" s="361">
        <f t="shared" si="31"/>
        <v>160000</v>
      </c>
      <c r="EB37" s="361">
        <f t="shared" si="31"/>
        <v>2950000000</v>
      </c>
      <c r="EC37" s="361">
        <f t="shared" si="31"/>
        <v>0</v>
      </c>
      <c r="ED37" s="361">
        <f t="shared" si="31"/>
        <v>0</v>
      </c>
      <c r="EE37" s="361">
        <f t="shared" si="31"/>
        <v>1569153661</v>
      </c>
      <c r="EF37" s="361">
        <f t="shared" si="31"/>
        <v>120794976</v>
      </c>
      <c r="EG37" s="362">
        <f t="shared" si="0"/>
        <v>5616113505</v>
      </c>
      <c r="EH37" s="362">
        <f t="shared" si="1"/>
        <v>78779800</v>
      </c>
      <c r="EI37" s="362">
        <f t="shared" si="2"/>
        <v>0</v>
      </c>
      <c r="EJ37" s="362">
        <f t="shared" si="3"/>
        <v>5694893305</v>
      </c>
      <c r="EK37" s="362"/>
      <c r="EL37" s="328" t="e">
        <f>+#REF!+#REF!+#REF!+#REF!+#REF!+#REF!+#REF!</f>
        <v>#REF!</v>
      </c>
    </row>
    <row r="38" spans="1:142" s="331" customFormat="1" ht="21.75" customHeight="1" x14ac:dyDescent="0.25">
      <c r="A38" s="324" t="s">
        <v>286</v>
      </c>
      <c r="B38" s="337" t="s">
        <v>255</v>
      </c>
      <c r="C38" s="326" t="s">
        <v>233</v>
      </c>
      <c r="D38" s="347">
        <f>SUM(D40:D44)</f>
        <v>0</v>
      </c>
      <c r="E38" s="347">
        <f t="shared" ref="E38:BO38" si="32">SUM(E40:E44)</f>
        <v>0</v>
      </c>
      <c r="F38" s="347">
        <f t="shared" si="32"/>
        <v>0</v>
      </c>
      <c r="G38" s="347">
        <f t="shared" si="32"/>
        <v>0</v>
      </c>
      <c r="H38" s="347">
        <f t="shared" si="32"/>
        <v>0</v>
      </c>
      <c r="I38" s="347">
        <f t="shared" si="32"/>
        <v>0</v>
      </c>
      <c r="J38" s="347">
        <f t="shared" si="32"/>
        <v>0</v>
      </c>
      <c r="K38" s="347">
        <f t="shared" si="32"/>
        <v>0</v>
      </c>
      <c r="L38" s="347">
        <f t="shared" si="32"/>
        <v>0</v>
      </c>
      <c r="M38" s="347">
        <f t="shared" si="32"/>
        <v>0</v>
      </c>
      <c r="N38" s="347">
        <f t="shared" si="32"/>
        <v>2177056539</v>
      </c>
      <c r="O38" s="347">
        <f t="shared" si="32"/>
        <v>0</v>
      </c>
      <c r="P38" s="347">
        <f t="shared" si="32"/>
        <v>0</v>
      </c>
      <c r="Q38" s="347">
        <f t="shared" si="32"/>
        <v>0</v>
      </c>
      <c r="R38" s="347">
        <f t="shared" si="32"/>
        <v>0</v>
      </c>
      <c r="S38" s="347">
        <f t="shared" si="32"/>
        <v>0</v>
      </c>
      <c r="T38" s="347">
        <f t="shared" si="32"/>
        <v>0</v>
      </c>
      <c r="U38" s="347">
        <f t="shared" si="32"/>
        <v>0</v>
      </c>
      <c r="V38" s="347">
        <f t="shared" si="32"/>
        <v>0</v>
      </c>
      <c r="W38" s="347">
        <f t="shared" si="32"/>
        <v>0</v>
      </c>
      <c r="X38" s="347">
        <f t="shared" si="32"/>
        <v>0</v>
      </c>
      <c r="Y38" s="347">
        <f t="shared" si="32"/>
        <v>0</v>
      </c>
      <c r="Z38" s="347">
        <f t="shared" si="32"/>
        <v>0</v>
      </c>
      <c r="AA38" s="347">
        <f t="shared" si="32"/>
        <v>0</v>
      </c>
      <c r="AB38" s="347">
        <f t="shared" si="32"/>
        <v>0</v>
      </c>
      <c r="AC38" s="347">
        <f t="shared" si="32"/>
        <v>0</v>
      </c>
      <c r="AD38" s="347">
        <f t="shared" si="32"/>
        <v>0</v>
      </c>
      <c r="AE38" s="347">
        <f t="shared" si="32"/>
        <v>0</v>
      </c>
      <c r="AF38" s="347">
        <f t="shared" si="32"/>
        <v>0</v>
      </c>
      <c r="AG38" s="347">
        <f t="shared" si="32"/>
        <v>0</v>
      </c>
      <c r="AH38" s="347">
        <f t="shared" si="32"/>
        <v>0</v>
      </c>
      <c r="AI38" s="347">
        <f t="shared" si="32"/>
        <v>0</v>
      </c>
      <c r="AJ38" s="347">
        <f t="shared" si="32"/>
        <v>0</v>
      </c>
      <c r="AK38" s="347">
        <f t="shared" si="32"/>
        <v>0</v>
      </c>
      <c r="AL38" s="347">
        <f t="shared" si="32"/>
        <v>0</v>
      </c>
      <c r="AM38" s="347">
        <f t="shared" si="32"/>
        <v>0</v>
      </c>
      <c r="AN38" s="347">
        <f t="shared" si="32"/>
        <v>0</v>
      </c>
      <c r="AO38" s="347">
        <f t="shared" si="32"/>
        <v>0</v>
      </c>
      <c r="AP38" s="347">
        <f t="shared" si="32"/>
        <v>0</v>
      </c>
      <c r="AQ38" s="347">
        <f t="shared" si="32"/>
        <v>0</v>
      </c>
      <c r="AR38" s="347">
        <f t="shared" si="32"/>
        <v>0</v>
      </c>
      <c r="AS38" s="347">
        <f t="shared" si="32"/>
        <v>0</v>
      </c>
      <c r="AT38" s="347">
        <f t="shared" si="32"/>
        <v>0</v>
      </c>
      <c r="AU38" s="347">
        <f t="shared" si="32"/>
        <v>0</v>
      </c>
      <c r="AV38" s="347">
        <f t="shared" si="32"/>
        <v>0</v>
      </c>
      <c r="AW38" s="347">
        <f t="shared" si="32"/>
        <v>0</v>
      </c>
      <c r="AX38" s="347">
        <f t="shared" si="32"/>
        <v>0</v>
      </c>
      <c r="AY38" s="347">
        <f t="shared" si="32"/>
        <v>0</v>
      </c>
      <c r="AZ38" s="347">
        <f t="shared" si="32"/>
        <v>0</v>
      </c>
      <c r="BA38" s="347">
        <f t="shared" si="32"/>
        <v>0</v>
      </c>
      <c r="BB38" s="347">
        <f t="shared" si="32"/>
        <v>0</v>
      </c>
      <c r="BC38" s="347">
        <f t="shared" si="32"/>
        <v>0</v>
      </c>
      <c r="BD38" s="347">
        <f t="shared" si="32"/>
        <v>0</v>
      </c>
      <c r="BE38" s="347">
        <f t="shared" si="32"/>
        <v>0</v>
      </c>
      <c r="BF38" s="347">
        <f>SUM(BF40:BF44)</f>
        <v>0</v>
      </c>
      <c r="BG38" s="347">
        <f t="shared" si="32"/>
        <v>0</v>
      </c>
      <c r="BH38" s="347">
        <f t="shared" si="32"/>
        <v>0</v>
      </c>
      <c r="BI38" s="347">
        <f t="shared" si="32"/>
        <v>0</v>
      </c>
      <c r="BJ38" s="347">
        <f t="shared" si="32"/>
        <v>0</v>
      </c>
      <c r="BK38" s="347">
        <f t="shared" si="32"/>
        <v>0</v>
      </c>
      <c r="BL38" s="347">
        <f t="shared" si="32"/>
        <v>0</v>
      </c>
      <c r="BM38" s="347">
        <f t="shared" si="32"/>
        <v>0</v>
      </c>
      <c r="BN38" s="347">
        <f t="shared" si="32"/>
        <v>0</v>
      </c>
      <c r="BO38" s="347">
        <f t="shared" si="32"/>
        <v>0</v>
      </c>
      <c r="BP38" s="347">
        <f t="shared" ref="BP38:DT38" si="33">SUM(BP40:BP44)</f>
        <v>0</v>
      </c>
      <c r="BQ38" s="347">
        <f t="shared" si="33"/>
        <v>0</v>
      </c>
      <c r="BR38" s="347">
        <f t="shared" si="33"/>
        <v>0</v>
      </c>
      <c r="BS38" s="347">
        <f t="shared" si="33"/>
        <v>0</v>
      </c>
      <c r="BT38" s="347">
        <f t="shared" si="33"/>
        <v>0</v>
      </c>
      <c r="BU38" s="347">
        <f t="shared" si="33"/>
        <v>0</v>
      </c>
      <c r="BV38" s="347">
        <f t="shared" si="33"/>
        <v>0</v>
      </c>
      <c r="BW38" s="347">
        <f t="shared" si="33"/>
        <v>0</v>
      </c>
      <c r="BX38" s="347">
        <f t="shared" si="33"/>
        <v>0</v>
      </c>
      <c r="BY38" s="347">
        <f t="shared" si="33"/>
        <v>0</v>
      </c>
      <c r="BZ38" s="347">
        <f>SUM(BZ40:BZ44)</f>
        <v>0</v>
      </c>
      <c r="CA38" s="347">
        <f t="shared" si="33"/>
        <v>0</v>
      </c>
      <c r="CB38" s="347">
        <f t="shared" si="33"/>
        <v>0</v>
      </c>
      <c r="CC38" s="347">
        <f t="shared" si="33"/>
        <v>0</v>
      </c>
      <c r="CD38" s="347">
        <f t="shared" si="33"/>
        <v>0</v>
      </c>
      <c r="CE38" s="347">
        <f>SUM(CE40:CE44)</f>
        <v>0</v>
      </c>
      <c r="CF38" s="347">
        <f t="shared" si="33"/>
        <v>0</v>
      </c>
      <c r="CG38" s="347">
        <f t="shared" si="33"/>
        <v>0</v>
      </c>
      <c r="CH38" s="347">
        <f t="shared" si="33"/>
        <v>0</v>
      </c>
      <c r="CI38" s="347">
        <f t="shared" si="33"/>
        <v>0</v>
      </c>
      <c r="CJ38" s="347">
        <f>SUM(CJ40:CJ44)</f>
        <v>0</v>
      </c>
      <c r="CK38" s="347">
        <f>SUM(CK40:CK44)</f>
        <v>0</v>
      </c>
      <c r="CL38" s="347">
        <f t="shared" si="33"/>
        <v>0</v>
      </c>
      <c r="CM38" s="347">
        <f t="shared" ref="CM38:CR38" si="34">SUM(CM40:CM44)</f>
        <v>0</v>
      </c>
      <c r="CN38" s="347">
        <f t="shared" si="34"/>
        <v>0</v>
      </c>
      <c r="CO38" s="347">
        <f t="shared" si="34"/>
        <v>0</v>
      </c>
      <c r="CP38" s="347">
        <f t="shared" si="34"/>
        <v>0</v>
      </c>
      <c r="CQ38" s="347">
        <f t="shared" si="34"/>
        <v>0</v>
      </c>
      <c r="CR38" s="347">
        <f t="shared" si="34"/>
        <v>0</v>
      </c>
      <c r="CS38" s="347">
        <f t="shared" si="33"/>
        <v>0</v>
      </c>
      <c r="CT38" s="347">
        <f t="shared" si="33"/>
        <v>0</v>
      </c>
      <c r="CU38" s="347">
        <f t="shared" si="33"/>
        <v>0</v>
      </c>
      <c r="CV38" s="347">
        <f t="shared" si="33"/>
        <v>0</v>
      </c>
      <c r="CW38" s="347">
        <f t="shared" si="33"/>
        <v>0</v>
      </c>
      <c r="CX38" s="347">
        <f t="shared" si="33"/>
        <v>0</v>
      </c>
      <c r="CY38" s="347">
        <f>SUM(CY40:CY44)</f>
        <v>0</v>
      </c>
      <c r="CZ38" s="347">
        <f>SUM(CZ40:CZ44)</f>
        <v>0</v>
      </c>
      <c r="DA38" s="347">
        <f t="shared" si="33"/>
        <v>0</v>
      </c>
      <c r="DB38" s="347">
        <f t="shared" si="33"/>
        <v>0</v>
      </c>
      <c r="DC38" s="347">
        <f t="shared" si="33"/>
        <v>0</v>
      </c>
      <c r="DD38" s="347">
        <f t="shared" si="33"/>
        <v>0</v>
      </c>
      <c r="DE38" s="347">
        <f t="shared" si="33"/>
        <v>0</v>
      </c>
      <c r="DF38" s="347">
        <f t="shared" si="33"/>
        <v>0</v>
      </c>
      <c r="DG38" s="347">
        <f t="shared" si="33"/>
        <v>0</v>
      </c>
      <c r="DH38" s="347">
        <f t="shared" si="33"/>
        <v>0</v>
      </c>
      <c r="DI38" s="347">
        <f t="shared" si="33"/>
        <v>0</v>
      </c>
      <c r="DJ38" s="347">
        <f t="shared" si="33"/>
        <v>0</v>
      </c>
      <c r="DK38" s="347">
        <f t="shared" si="33"/>
        <v>0</v>
      </c>
      <c r="DL38" s="347">
        <f t="shared" si="33"/>
        <v>0</v>
      </c>
      <c r="DM38" s="347">
        <f t="shared" si="33"/>
        <v>0</v>
      </c>
      <c r="DN38" s="347">
        <f t="shared" si="33"/>
        <v>0</v>
      </c>
      <c r="DO38" s="347">
        <f t="shared" si="33"/>
        <v>0</v>
      </c>
      <c r="DP38" s="347">
        <f t="shared" si="33"/>
        <v>0</v>
      </c>
      <c r="DQ38" s="347">
        <f t="shared" si="33"/>
        <v>0</v>
      </c>
      <c r="DR38" s="347">
        <f t="shared" si="33"/>
        <v>0</v>
      </c>
      <c r="DS38" s="347">
        <f t="shared" si="33"/>
        <v>0</v>
      </c>
      <c r="DT38" s="347">
        <f t="shared" si="33"/>
        <v>0</v>
      </c>
      <c r="DU38" s="347">
        <f t="shared" ref="DU38:EF38" si="35">SUM(DU40:DU44)</f>
        <v>0</v>
      </c>
      <c r="DV38" s="347">
        <f t="shared" si="35"/>
        <v>0</v>
      </c>
      <c r="DW38" s="347">
        <f t="shared" si="35"/>
        <v>0</v>
      </c>
      <c r="DX38" s="347">
        <f t="shared" si="35"/>
        <v>0</v>
      </c>
      <c r="DY38" s="347">
        <f t="shared" si="35"/>
        <v>0</v>
      </c>
      <c r="DZ38" s="347">
        <f t="shared" si="35"/>
        <v>0</v>
      </c>
      <c r="EA38" s="347">
        <f t="shared" si="35"/>
        <v>0</v>
      </c>
      <c r="EB38" s="347">
        <f t="shared" si="35"/>
        <v>0</v>
      </c>
      <c r="EC38" s="347">
        <f t="shared" si="35"/>
        <v>0</v>
      </c>
      <c r="ED38" s="347">
        <f t="shared" si="35"/>
        <v>0</v>
      </c>
      <c r="EE38" s="347">
        <f t="shared" si="35"/>
        <v>0</v>
      </c>
      <c r="EF38" s="347">
        <f t="shared" si="35"/>
        <v>0</v>
      </c>
      <c r="EG38" s="362">
        <f t="shared" si="0"/>
        <v>2177056539</v>
      </c>
      <c r="EH38" s="362">
        <f t="shared" si="1"/>
        <v>0</v>
      </c>
      <c r="EI38" s="362">
        <f t="shared" si="2"/>
        <v>0</v>
      </c>
      <c r="EJ38" s="362">
        <f t="shared" si="3"/>
        <v>2177056539</v>
      </c>
      <c r="EK38" s="362"/>
      <c r="EL38" s="328" t="e">
        <f>+EK38-#REF!</f>
        <v>#REF!</v>
      </c>
    </row>
    <row r="39" spans="1:142" s="331" customFormat="1" ht="21.75" customHeight="1" x14ac:dyDescent="0.25">
      <c r="A39" s="324" t="s">
        <v>287</v>
      </c>
      <c r="B39" s="338" t="s">
        <v>598</v>
      </c>
      <c r="C39" s="326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86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347"/>
      <c r="EA39" s="347"/>
      <c r="EB39" s="347"/>
      <c r="EC39" s="347"/>
      <c r="ED39" s="347"/>
      <c r="EE39" s="347"/>
      <c r="EF39" s="347"/>
      <c r="EG39" s="362">
        <f t="shared" si="0"/>
        <v>0</v>
      </c>
      <c r="EH39" s="362">
        <f t="shared" si="1"/>
        <v>0</v>
      </c>
      <c r="EI39" s="362">
        <f t="shared" si="2"/>
        <v>0</v>
      </c>
      <c r="EJ39" s="362">
        <f t="shared" si="3"/>
        <v>0</v>
      </c>
      <c r="EK39" s="362"/>
      <c r="EL39" s="328"/>
    </row>
    <row r="40" spans="1:142" s="339" customFormat="1" ht="21.75" customHeight="1" x14ac:dyDescent="0.25">
      <c r="A40" s="324" t="s">
        <v>288</v>
      </c>
      <c r="B40" s="338" t="s">
        <v>932</v>
      </c>
      <c r="C40" s="335"/>
      <c r="D40" s="360"/>
      <c r="E40" s="360"/>
      <c r="F40" s="360"/>
      <c r="G40" s="360"/>
      <c r="H40" s="360"/>
      <c r="I40" s="360"/>
      <c r="J40" s="376"/>
      <c r="K40" s="376"/>
      <c r="L40" s="376"/>
      <c r="M40" s="376"/>
      <c r="N40" s="594">
        <f>1167920396+(54045226+62766147+13040471+5000000)+(17196056)</f>
        <v>1319968296</v>
      </c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6"/>
      <c r="DA40" s="594"/>
      <c r="DB40" s="376"/>
      <c r="DC40" s="376"/>
      <c r="DD40" s="376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76"/>
      <c r="DQ40" s="376"/>
      <c r="DR40" s="376"/>
      <c r="DS40" s="376"/>
      <c r="DT40" s="376"/>
      <c r="DU40" s="376"/>
      <c r="DV40" s="376"/>
      <c r="DW40" s="376"/>
      <c r="DX40" s="376"/>
      <c r="DY40" s="376"/>
      <c r="DZ40" s="376"/>
      <c r="EA40" s="376"/>
      <c r="EB40" s="376"/>
      <c r="EC40" s="376"/>
      <c r="ED40" s="376"/>
      <c r="EE40" s="376"/>
      <c r="EF40" s="376"/>
      <c r="EG40" s="362">
        <f t="shared" si="0"/>
        <v>1319968296</v>
      </c>
      <c r="EH40" s="362">
        <f t="shared" si="1"/>
        <v>0</v>
      </c>
      <c r="EI40" s="362">
        <f t="shared" si="2"/>
        <v>0</v>
      </c>
      <c r="EJ40" s="362">
        <f t="shared" si="3"/>
        <v>1319968296</v>
      </c>
      <c r="EK40" s="362"/>
      <c r="EL40" s="328" t="e">
        <f>+EK40-#REF!</f>
        <v>#REF!</v>
      </c>
    </row>
    <row r="41" spans="1:142" s="339" customFormat="1" ht="21.75" customHeight="1" x14ac:dyDescent="0.25">
      <c r="A41" s="324" t="s">
        <v>292</v>
      </c>
      <c r="B41" s="338" t="s">
        <v>933</v>
      </c>
      <c r="C41" s="335"/>
      <c r="D41" s="360"/>
      <c r="E41" s="360"/>
      <c r="F41" s="360"/>
      <c r="G41" s="360"/>
      <c r="H41" s="360"/>
      <c r="I41" s="360"/>
      <c r="J41" s="376"/>
      <c r="K41" s="376"/>
      <c r="L41" s="376"/>
      <c r="M41" s="376"/>
      <c r="N41" s="594">
        <f>193790000+(94760+459440355+122123775+81639353)</f>
        <v>857088243</v>
      </c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594"/>
      <c r="DB41" s="376"/>
      <c r="DC41" s="376"/>
      <c r="DD41" s="376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62">
        <f t="shared" si="0"/>
        <v>857088243</v>
      </c>
      <c r="EH41" s="362">
        <f t="shared" si="1"/>
        <v>0</v>
      </c>
      <c r="EI41" s="362">
        <f t="shared" si="2"/>
        <v>0</v>
      </c>
      <c r="EJ41" s="362">
        <f t="shared" si="3"/>
        <v>857088243</v>
      </c>
      <c r="EK41" s="362"/>
      <c r="EL41" s="328" t="e">
        <f>+EK41-#REF!</f>
        <v>#REF!</v>
      </c>
    </row>
    <row r="42" spans="1:142" s="339" customFormat="1" ht="21.75" customHeight="1" x14ac:dyDescent="0.25">
      <c r="A42" s="324" t="s">
        <v>293</v>
      </c>
      <c r="B42" s="338" t="s">
        <v>570</v>
      </c>
      <c r="C42" s="335"/>
      <c r="D42" s="360"/>
      <c r="E42" s="360"/>
      <c r="F42" s="360"/>
      <c r="G42" s="360"/>
      <c r="H42" s="360"/>
      <c r="I42" s="360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594"/>
      <c r="DB42" s="376"/>
      <c r="DC42" s="376"/>
      <c r="DD42" s="376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76"/>
      <c r="DQ42" s="376"/>
      <c r="DR42" s="376"/>
      <c r="DS42" s="376"/>
      <c r="DT42" s="376"/>
      <c r="DU42" s="376"/>
      <c r="DV42" s="376"/>
      <c r="DW42" s="376"/>
      <c r="DX42" s="376"/>
      <c r="DY42" s="376"/>
      <c r="DZ42" s="376"/>
      <c r="EA42" s="376"/>
      <c r="EB42" s="376"/>
      <c r="EC42" s="376"/>
      <c r="ED42" s="376"/>
      <c r="EE42" s="376"/>
      <c r="EF42" s="376"/>
      <c r="EG42" s="362">
        <f t="shared" si="0"/>
        <v>0</v>
      </c>
      <c r="EH42" s="362">
        <f t="shared" si="1"/>
        <v>0</v>
      </c>
      <c r="EI42" s="362">
        <f t="shared" si="2"/>
        <v>0</v>
      </c>
      <c r="EJ42" s="362">
        <f t="shared" si="3"/>
        <v>0</v>
      </c>
      <c r="EK42" s="362"/>
      <c r="EL42" s="328" t="e">
        <f>+EK42-#REF!</f>
        <v>#REF!</v>
      </c>
    </row>
    <row r="43" spans="1:142" s="339" customFormat="1" ht="21.75" customHeight="1" x14ac:dyDescent="0.25">
      <c r="A43" s="324" t="s">
        <v>294</v>
      </c>
      <c r="B43" s="338" t="s">
        <v>571</v>
      </c>
      <c r="C43" s="335"/>
      <c r="D43" s="360"/>
      <c r="E43" s="360"/>
      <c r="F43" s="360"/>
      <c r="G43" s="360"/>
      <c r="H43" s="360"/>
      <c r="I43" s="360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6"/>
      <c r="DA43" s="594"/>
      <c r="DB43" s="376"/>
      <c r="DC43" s="376"/>
      <c r="DD43" s="376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76"/>
      <c r="DQ43" s="376"/>
      <c r="DR43" s="376"/>
      <c r="DS43" s="376"/>
      <c r="DT43" s="376"/>
      <c r="DU43" s="376"/>
      <c r="DV43" s="376"/>
      <c r="DW43" s="376"/>
      <c r="DX43" s="376"/>
      <c r="DY43" s="376"/>
      <c r="DZ43" s="376"/>
      <c r="EA43" s="376"/>
      <c r="EB43" s="376"/>
      <c r="EC43" s="376"/>
      <c r="ED43" s="376"/>
      <c r="EE43" s="376"/>
      <c r="EF43" s="376"/>
      <c r="EG43" s="362">
        <f t="shared" si="0"/>
        <v>0</v>
      </c>
      <c r="EH43" s="362">
        <f t="shared" si="1"/>
        <v>0</v>
      </c>
      <c r="EI43" s="362">
        <f t="shared" si="2"/>
        <v>0</v>
      </c>
      <c r="EJ43" s="362">
        <f t="shared" si="3"/>
        <v>0</v>
      </c>
      <c r="EK43" s="362"/>
      <c r="EL43" s="328" t="e">
        <f>+EK43-#REF!</f>
        <v>#REF!</v>
      </c>
    </row>
    <row r="44" spans="1:142" s="339" customFormat="1" ht="21.75" customHeight="1" x14ac:dyDescent="0.25">
      <c r="A44" s="324" t="s">
        <v>295</v>
      </c>
      <c r="B44" s="338" t="s">
        <v>608</v>
      </c>
      <c r="C44" s="335"/>
      <c r="D44" s="360"/>
      <c r="E44" s="360"/>
      <c r="F44" s="360"/>
      <c r="G44" s="360"/>
      <c r="H44" s="360"/>
      <c r="I44" s="360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6"/>
      <c r="DA44" s="594"/>
      <c r="DB44" s="376"/>
      <c r="DC44" s="376"/>
      <c r="DD44" s="376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76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6"/>
      <c r="EG44" s="362">
        <f t="shared" si="0"/>
        <v>0</v>
      </c>
      <c r="EH44" s="362">
        <f t="shared" si="1"/>
        <v>0</v>
      </c>
      <c r="EI44" s="362">
        <f t="shared" si="2"/>
        <v>0</v>
      </c>
      <c r="EJ44" s="362">
        <f t="shared" si="3"/>
        <v>0</v>
      </c>
      <c r="EK44" s="362"/>
      <c r="EL44" s="328" t="e">
        <f>+EK44-#REF!</f>
        <v>#REF!</v>
      </c>
    </row>
    <row r="45" spans="1:142" s="339" customFormat="1" ht="21.75" customHeight="1" x14ac:dyDescent="0.25">
      <c r="A45" s="324" t="s">
        <v>296</v>
      </c>
      <c r="B45" s="338" t="s">
        <v>888</v>
      </c>
      <c r="C45" s="335"/>
      <c r="D45" s="360"/>
      <c r="E45" s="360"/>
      <c r="F45" s="360"/>
      <c r="G45" s="360"/>
      <c r="H45" s="360"/>
      <c r="I45" s="360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6"/>
      <c r="DA45" s="594"/>
      <c r="DB45" s="376"/>
      <c r="DC45" s="376"/>
      <c r="DD45" s="376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76"/>
      <c r="DQ45" s="376"/>
      <c r="DR45" s="376"/>
      <c r="DS45" s="376"/>
      <c r="DT45" s="376"/>
      <c r="DU45" s="376"/>
      <c r="DV45" s="376"/>
      <c r="DW45" s="376"/>
      <c r="DX45" s="376"/>
      <c r="DY45" s="376"/>
      <c r="DZ45" s="376"/>
      <c r="EA45" s="376"/>
      <c r="EB45" s="376"/>
      <c r="EC45" s="376"/>
      <c r="ED45" s="376"/>
      <c r="EE45" s="376"/>
      <c r="EF45" s="376"/>
      <c r="EG45" s="362">
        <f t="shared" si="0"/>
        <v>0</v>
      </c>
      <c r="EH45" s="362">
        <f t="shared" si="1"/>
        <v>0</v>
      </c>
      <c r="EI45" s="362">
        <f t="shared" si="2"/>
        <v>0</v>
      </c>
      <c r="EJ45" s="362">
        <f t="shared" si="3"/>
        <v>0</v>
      </c>
      <c r="EK45" s="362"/>
      <c r="EL45" s="328"/>
    </row>
    <row r="46" spans="1:142" s="331" customFormat="1" ht="21.75" customHeight="1" x14ac:dyDescent="0.25">
      <c r="A46" s="324" t="s">
        <v>297</v>
      </c>
      <c r="B46" s="340" t="s">
        <v>120</v>
      </c>
      <c r="C46" s="326"/>
      <c r="D46" s="347">
        <f>+D30+D32+D33+D35+D40+D42+D45</f>
        <v>0</v>
      </c>
      <c r="E46" s="347">
        <f t="shared" ref="E46:BO46" si="36">+E30+E32+E33+E35+E40+E42+E45</f>
        <v>0</v>
      </c>
      <c r="F46" s="347">
        <f t="shared" si="36"/>
        <v>0</v>
      </c>
      <c r="G46" s="347">
        <f t="shared" si="36"/>
        <v>0</v>
      </c>
      <c r="H46" s="347">
        <f t="shared" si="36"/>
        <v>0</v>
      </c>
      <c r="I46" s="347">
        <f t="shared" si="36"/>
        <v>0</v>
      </c>
      <c r="J46" s="347">
        <f t="shared" si="36"/>
        <v>0</v>
      </c>
      <c r="K46" s="347">
        <f t="shared" si="36"/>
        <v>10000000</v>
      </c>
      <c r="L46" s="347">
        <f t="shared" si="36"/>
        <v>0</v>
      </c>
      <c r="M46" s="347">
        <f t="shared" si="36"/>
        <v>0</v>
      </c>
      <c r="N46" s="347">
        <f t="shared" si="36"/>
        <v>1319968296</v>
      </c>
      <c r="O46" s="347">
        <f t="shared" si="36"/>
        <v>0</v>
      </c>
      <c r="P46" s="347">
        <f>+P30+P32+P33+P35+P40+P42+P45</f>
        <v>0</v>
      </c>
      <c r="Q46" s="347">
        <f t="shared" si="36"/>
        <v>0</v>
      </c>
      <c r="R46" s="347">
        <f t="shared" si="36"/>
        <v>0</v>
      </c>
      <c r="S46" s="347">
        <f t="shared" si="36"/>
        <v>0</v>
      </c>
      <c r="T46" s="347">
        <f t="shared" si="36"/>
        <v>0</v>
      </c>
      <c r="U46" s="347">
        <f t="shared" si="36"/>
        <v>0</v>
      </c>
      <c r="V46" s="347">
        <f t="shared" si="36"/>
        <v>0</v>
      </c>
      <c r="W46" s="347">
        <f t="shared" si="36"/>
        <v>0</v>
      </c>
      <c r="X46" s="347">
        <f t="shared" si="36"/>
        <v>0</v>
      </c>
      <c r="Y46" s="347">
        <f t="shared" si="36"/>
        <v>0</v>
      </c>
      <c r="Z46" s="347">
        <f t="shared" si="36"/>
        <v>0</v>
      </c>
      <c r="AA46" s="347">
        <f t="shared" si="36"/>
        <v>0</v>
      </c>
      <c r="AB46" s="347">
        <f t="shared" si="36"/>
        <v>0</v>
      </c>
      <c r="AC46" s="347">
        <f t="shared" si="36"/>
        <v>0</v>
      </c>
      <c r="AD46" s="347">
        <f t="shared" si="36"/>
        <v>0</v>
      </c>
      <c r="AE46" s="347">
        <f t="shared" si="36"/>
        <v>0</v>
      </c>
      <c r="AF46" s="347">
        <f t="shared" si="36"/>
        <v>0</v>
      </c>
      <c r="AG46" s="347">
        <f t="shared" si="36"/>
        <v>0</v>
      </c>
      <c r="AH46" s="347">
        <f t="shared" si="36"/>
        <v>0</v>
      </c>
      <c r="AI46" s="347">
        <f t="shared" si="36"/>
        <v>0</v>
      </c>
      <c r="AJ46" s="347">
        <f t="shared" si="36"/>
        <v>0</v>
      </c>
      <c r="AK46" s="347">
        <f t="shared" si="36"/>
        <v>21400000</v>
      </c>
      <c r="AL46" s="347">
        <f t="shared" si="36"/>
        <v>1045000</v>
      </c>
      <c r="AM46" s="347">
        <f t="shared" si="36"/>
        <v>0</v>
      </c>
      <c r="AN46" s="347">
        <f t="shared" si="36"/>
        <v>0</v>
      </c>
      <c r="AO46" s="347">
        <f t="shared" si="36"/>
        <v>0</v>
      </c>
      <c r="AP46" s="347">
        <f t="shared" si="36"/>
        <v>0</v>
      </c>
      <c r="AQ46" s="347">
        <f t="shared" si="36"/>
        <v>0</v>
      </c>
      <c r="AR46" s="347">
        <f t="shared" si="36"/>
        <v>0</v>
      </c>
      <c r="AS46" s="347">
        <f t="shared" si="36"/>
        <v>11054776</v>
      </c>
      <c r="AT46" s="347">
        <f t="shared" si="36"/>
        <v>979800</v>
      </c>
      <c r="AU46" s="347">
        <f t="shared" si="36"/>
        <v>5280000</v>
      </c>
      <c r="AV46" s="347">
        <f t="shared" si="36"/>
        <v>38100000</v>
      </c>
      <c r="AW46" s="347">
        <f t="shared" si="36"/>
        <v>0</v>
      </c>
      <c r="AX46" s="347">
        <f t="shared" si="36"/>
        <v>5000000</v>
      </c>
      <c r="AY46" s="347">
        <f t="shared" si="36"/>
        <v>0</v>
      </c>
      <c r="AZ46" s="347">
        <f t="shared" si="36"/>
        <v>0</v>
      </c>
      <c r="BA46" s="347">
        <f t="shared" si="36"/>
        <v>10000000</v>
      </c>
      <c r="BB46" s="347">
        <f t="shared" si="36"/>
        <v>0</v>
      </c>
      <c r="BC46" s="347">
        <f t="shared" si="36"/>
        <v>0</v>
      </c>
      <c r="BD46" s="347">
        <f t="shared" si="36"/>
        <v>0</v>
      </c>
      <c r="BE46" s="347">
        <f t="shared" si="36"/>
        <v>0</v>
      </c>
      <c r="BF46" s="347">
        <f>+BF30+BF32+BF33+BF35+BF40+BF42+BF45</f>
        <v>0</v>
      </c>
      <c r="BG46" s="347">
        <f t="shared" si="36"/>
        <v>0</v>
      </c>
      <c r="BH46" s="347">
        <f t="shared" si="36"/>
        <v>0</v>
      </c>
      <c r="BI46" s="347">
        <f t="shared" si="36"/>
        <v>65000000</v>
      </c>
      <c r="BJ46" s="347">
        <f t="shared" si="36"/>
        <v>0</v>
      </c>
      <c r="BK46" s="347">
        <f t="shared" si="36"/>
        <v>65000000</v>
      </c>
      <c r="BL46" s="347">
        <f t="shared" si="36"/>
        <v>0</v>
      </c>
      <c r="BM46" s="347">
        <f t="shared" si="36"/>
        <v>0</v>
      </c>
      <c r="BN46" s="347">
        <f t="shared" si="36"/>
        <v>0</v>
      </c>
      <c r="BO46" s="347">
        <f t="shared" si="36"/>
        <v>0</v>
      </c>
      <c r="BP46" s="347">
        <f t="shared" ref="BP46:DT46" si="37">+BP30+BP32+BP33+BP35+BP40+BP42+BP45</f>
        <v>0</v>
      </c>
      <c r="BQ46" s="347">
        <f t="shared" si="37"/>
        <v>0</v>
      </c>
      <c r="BR46" s="347">
        <f t="shared" si="37"/>
        <v>0</v>
      </c>
      <c r="BS46" s="347">
        <f t="shared" si="37"/>
        <v>0</v>
      </c>
      <c r="BT46" s="347">
        <f t="shared" si="37"/>
        <v>0</v>
      </c>
      <c r="BU46" s="347">
        <f t="shared" si="37"/>
        <v>0</v>
      </c>
      <c r="BV46" s="347">
        <f t="shared" si="37"/>
        <v>0</v>
      </c>
      <c r="BW46" s="347">
        <f t="shared" si="37"/>
        <v>0</v>
      </c>
      <c r="BX46" s="347">
        <f t="shared" si="37"/>
        <v>0</v>
      </c>
      <c r="BY46" s="347">
        <f t="shared" si="37"/>
        <v>0</v>
      </c>
      <c r="BZ46" s="347">
        <f>+BZ30+BZ32+BZ33+BZ35+BZ40+BZ42+BZ45</f>
        <v>0</v>
      </c>
      <c r="CA46" s="347">
        <f t="shared" si="37"/>
        <v>0</v>
      </c>
      <c r="CB46" s="347">
        <f t="shared" si="37"/>
        <v>228600</v>
      </c>
      <c r="CC46" s="347">
        <f t="shared" si="37"/>
        <v>0</v>
      </c>
      <c r="CD46" s="347">
        <f t="shared" si="37"/>
        <v>0</v>
      </c>
      <c r="CE46" s="347">
        <f>+CE30+CE32+CE33+CE35+CE40+CE42+CE45</f>
        <v>0</v>
      </c>
      <c r="CF46" s="347">
        <f t="shared" si="37"/>
        <v>0</v>
      </c>
      <c r="CG46" s="347">
        <f t="shared" si="37"/>
        <v>0</v>
      </c>
      <c r="CH46" s="347">
        <f t="shared" si="37"/>
        <v>0</v>
      </c>
      <c r="CI46" s="347">
        <f t="shared" si="37"/>
        <v>0</v>
      </c>
      <c r="CJ46" s="347">
        <f>+CJ30+CJ32+CJ33+CJ35+CJ40+CJ42+CJ45</f>
        <v>0</v>
      </c>
      <c r="CK46" s="347">
        <f>+CK30+CK32+CK33+CK35+CK40+CK42+CK45</f>
        <v>0</v>
      </c>
      <c r="CL46" s="347">
        <f t="shared" si="37"/>
        <v>0</v>
      </c>
      <c r="CM46" s="347">
        <f t="shared" ref="CM46:CR46" si="38">+CM30+CM32+CM33+CM35+CM40+CM42+CM45</f>
        <v>0</v>
      </c>
      <c r="CN46" s="347">
        <f t="shared" si="38"/>
        <v>0</v>
      </c>
      <c r="CO46" s="347">
        <f t="shared" si="38"/>
        <v>0</v>
      </c>
      <c r="CP46" s="347">
        <f t="shared" si="38"/>
        <v>0</v>
      </c>
      <c r="CQ46" s="347">
        <f t="shared" si="38"/>
        <v>0</v>
      </c>
      <c r="CR46" s="347">
        <f t="shared" si="38"/>
        <v>0</v>
      </c>
      <c r="CS46" s="347">
        <f t="shared" si="37"/>
        <v>0</v>
      </c>
      <c r="CT46" s="347">
        <f t="shared" si="37"/>
        <v>0</v>
      </c>
      <c r="CU46" s="347">
        <f t="shared" si="37"/>
        <v>0</v>
      </c>
      <c r="CV46" s="347">
        <f t="shared" si="37"/>
        <v>0</v>
      </c>
      <c r="CW46" s="347">
        <f t="shared" si="37"/>
        <v>0</v>
      </c>
      <c r="CX46" s="347">
        <f t="shared" si="37"/>
        <v>0</v>
      </c>
      <c r="CY46" s="347">
        <f>+CY30+CY32+CY33+CY35+CY40+CY42+CY45</f>
        <v>0</v>
      </c>
      <c r="CZ46" s="347">
        <f>+CZ30+CZ32+CZ33+CZ35+CZ40+CZ42+CZ45</f>
        <v>0</v>
      </c>
      <c r="DA46" s="347">
        <f t="shared" si="37"/>
        <v>0</v>
      </c>
      <c r="DB46" s="347">
        <f t="shared" si="37"/>
        <v>0</v>
      </c>
      <c r="DC46" s="347">
        <f t="shared" si="37"/>
        <v>0</v>
      </c>
      <c r="DD46" s="347">
        <f t="shared" si="37"/>
        <v>0</v>
      </c>
      <c r="DE46" s="347">
        <f t="shared" si="37"/>
        <v>0</v>
      </c>
      <c r="DF46" s="347">
        <f t="shared" si="37"/>
        <v>0</v>
      </c>
      <c r="DG46" s="347">
        <f t="shared" si="37"/>
        <v>0</v>
      </c>
      <c r="DH46" s="347">
        <f t="shared" si="37"/>
        <v>0</v>
      </c>
      <c r="DI46" s="347">
        <f t="shared" si="37"/>
        <v>0</v>
      </c>
      <c r="DJ46" s="347">
        <f t="shared" si="37"/>
        <v>0</v>
      </c>
      <c r="DK46" s="347">
        <f t="shared" si="37"/>
        <v>0</v>
      </c>
      <c r="DL46" s="347">
        <f t="shared" si="37"/>
        <v>0</v>
      </c>
      <c r="DM46" s="347">
        <f t="shared" si="37"/>
        <v>0</v>
      </c>
      <c r="DN46" s="347">
        <f t="shared" si="37"/>
        <v>0</v>
      </c>
      <c r="DO46" s="347">
        <f t="shared" si="37"/>
        <v>0</v>
      </c>
      <c r="DP46" s="347">
        <f t="shared" si="37"/>
        <v>0</v>
      </c>
      <c r="DQ46" s="347">
        <f t="shared" si="37"/>
        <v>0</v>
      </c>
      <c r="DR46" s="347">
        <f t="shared" si="37"/>
        <v>0</v>
      </c>
      <c r="DS46" s="347">
        <f t="shared" si="37"/>
        <v>0</v>
      </c>
      <c r="DT46" s="347">
        <f t="shared" si="37"/>
        <v>0</v>
      </c>
      <c r="DU46" s="347">
        <f t="shared" ref="DU46:EF46" si="39">+DU30+DU32+DU33+DU35+DU40+DU42+DU45</f>
        <v>1945292</v>
      </c>
      <c r="DV46" s="347">
        <f t="shared" si="39"/>
        <v>0</v>
      </c>
      <c r="DW46" s="347">
        <f t="shared" si="39"/>
        <v>0</v>
      </c>
      <c r="DX46" s="347">
        <f t="shared" si="39"/>
        <v>572000000</v>
      </c>
      <c r="DY46" s="347">
        <f t="shared" si="39"/>
        <v>162000000</v>
      </c>
      <c r="DZ46" s="347">
        <f t="shared" si="39"/>
        <v>22200000</v>
      </c>
      <c r="EA46" s="347">
        <f t="shared" si="39"/>
        <v>160000</v>
      </c>
      <c r="EB46" s="347">
        <f t="shared" si="39"/>
        <v>2950000000</v>
      </c>
      <c r="EC46" s="347">
        <f t="shared" si="39"/>
        <v>0</v>
      </c>
      <c r="ED46" s="347">
        <f t="shared" si="39"/>
        <v>0</v>
      </c>
      <c r="EE46" s="347">
        <f t="shared" si="39"/>
        <v>1569153661</v>
      </c>
      <c r="EF46" s="347">
        <f t="shared" si="39"/>
        <v>120794976</v>
      </c>
      <c r="EG46" s="362">
        <f t="shared" si="0"/>
        <v>6936081801</v>
      </c>
      <c r="EH46" s="362">
        <f t="shared" si="1"/>
        <v>15228600</v>
      </c>
      <c r="EI46" s="362">
        <f t="shared" si="2"/>
        <v>0</v>
      </c>
      <c r="EJ46" s="362">
        <f t="shared" si="3"/>
        <v>6951310401</v>
      </c>
      <c r="EK46" s="362"/>
      <c r="EL46" s="328" t="e">
        <f>+EK46-#REF!</f>
        <v>#REF!</v>
      </c>
    </row>
    <row r="47" spans="1:142" s="331" customFormat="1" ht="21.75" customHeight="1" x14ac:dyDescent="0.25">
      <c r="A47" s="324" t="s">
        <v>298</v>
      </c>
      <c r="B47" s="340" t="s">
        <v>121</v>
      </c>
      <c r="C47" s="326"/>
      <c r="D47" s="347">
        <f>+D31+D34+D36+D41+D43+D44</f>
        <v>0</v>
      </c>
      <c r="E47" s="347">
        <f t="shared" ref="E47:BO47" si="40">+E31+E34+E36+E41+E43+E44</f>
        <v>0</v>
      </c>
      <c r="F47" s="347">
        <f t="shared" si="40"/>
        <v>0</v>
      </c>
      <c r="G47" s="347">
        <f t="shared" si="40"/>
        <v>0</v>
      </c>
      <c r="H47" s="347">
        <f t="shared" si="40"/>
        <v>0</v>
      </c>
      <c r="I47" s="347">
        <f t="shared" si="40"/>
        <v>0</v>
      </c>
      <c r="J47" s="347">
        <f t="shared" si="40"/>
        <v>0</v>
      </c>
      <c r="K47" s="347">
        <f t="shared" si="40"/>
        <v>0</v>
      </c>
      <c r="L47" s="347">
        <f t="shared" si="40"/>
        <v>799200</v>
      </c>
      <c r="M47" s="347">
        <f t="shared" si="40"/>
        <v>62752000</v>
      </c>
      <c r="N47" s="347">
        <f t="shared" si="40"/>
        <v>857088243</v>
      </c>
      <c r="O47" s="347">
        <f t="shared" si="40"/>
        <v>0</v>
      </c>
      <c r="P47" s="347">
        <f>+P31+P34+P36+P41+P43+P44</f>
        <v>0</v>
      </c>
      <c r="Q47" s="347">
        <f t="shared" si="40"/>
        <v>0</v>
      </c>
      <c r="R47" s="347">
        <f t="shared" si="40"/>
        <v>0</v>
      </c>
      <c r="S47" s="347">
        <f t="shared" si="40"/>
        <v>0</v>
      </c>
      <c r="T47" s="347">
        <f t="shared" si="40"/>
        <v>0</v>
      </c>
      <c r="U47" s="347">
        <f t="shared" si="40"/>
        <v>0</v>
      </c>
      <c r="V47" s="347">
        <f t="shared" si="40"/>
        <v>0</v>
      </c>
      <c r="W47" s="347">
        <f t="shared" si="40"/>
        <v>0</v>
      </c>
      <c r="X47" s="347">
        <f t="shared" si="40"/>
        <v>0</v>
      </c>
      <c r="Y47" s="347">
        <f t="shared" si="40"/>
        <v>0</v>
      </c>
      <c r="Z47" s="347">
        <f t="shared" si="40"/>
        <v>0</v>
      </c>
      <c r="AA47" s="347">
        <f t="shared" si="40"/>
        <v>0</v>
      </c>
      <c r="AB47" s="347">
        <f t="shared" si="40"/>
        <v>0</v>
      </c>
      <c r="AC47" s="347">
        <f t="shared" si="40"/>
        <v>0</v>
      </c>
      <c r="AD47" s="347">
        <f t="shared" si="40"/>
        <v>0</v>
      </c>
      <c r="AE47" s="347">
        <f t="shared" si="40"/>
        <v>0</v>
      </c>
      <c r="AF47" s="347">
        <f t="shared" si="40"/>
        <v>0</v>
      </c>
      <c r="AG47" s="347">
        <f t="shared" si="40"/>
        <v>0</v>
      </c>
      <c r="AH47" s="347">
        <f t="shared" si="40"/>
        <v>0</v>
      </c>
      <c r="AI47" s="347">
        <f t="shared" si="40"/>
        <v>0</v>
      </c>
      <c r="AJ47" s="347">
        <f t="shared" si="40"/>
        <v>0</v>
      </c>
      <c r="AK47" s="347">
        <f t="shared" si="40"/>
        <v>0</v>
      </c>
      <c r="AL47" s="347">
        <f t="shared" si="40"/>
        <v>0</v>
      </c>
      <c r="AM47" s="347">
        <f t="shared" si="40"/>
        <v>0</v>
      </c>
      <c r="AN47" s="347">
        <f t="shared" si="40"/>
        <v>0</v>
      </c>
      <c r="AO47" s="347">
        <f t="shared" si="40"/>
        <v>0</v>
      </c>
      <c r="AP47" s="347">
        <f t="shared" si="40"/>
        <v>0</v>
      </c>
      <c r="AQ47" s="347">
        <f t="shared" si="40"/>
        <v>0</v>
      </c>
      <c r="AR47" s="347">
        <f t="shared" si="40"/>
        <v>0</v>
      </c>
      <c r="AS47" s="347">
        <f t="shared" si="40"/>
        <v>0</v>
      </c>
      <c r="AT47" s="347">
        <f t="shared" si="40"/>
        <v>0</v>
      </c>
      <c r="AU47" s="347">
        <f t="shared" si="40"/>
        <v>0</v>
      </c>
      <c r="AV47" s="347">
        <f t="shared" si="40"/>
        <v>0</v>
      </c>
      <c r="AW47" s="347">
        <f t="shared" si="40"/>
        <v>0</v>
      </c>
      <c r="AX47" s="347">
        <f t="shared" si="40"/>
        <v>0</v>
      </c>
      <c r="AY47" s="347">
        <f t="shared" si="40"/>
        <v>0</v>
      </c>
      <c r="AZ47" s="347">
        <f t="shared" si="40"/>
        <v>0</v>
      </c>
      <c r="BA47" s="347">
        <f t="shared" si="40"/>
        <v>0</v>
      </c>
      <c r="BB47" s="347">
        <f t="shared" si="40"/>
        <v>0</v>
      </c>
      <c r="BC47" s="347">
        <f t="shared" si="40"/>
        <v>0</v>
      </c>
      <c r="BD47" s="347">
        <f t="shared" si="40"/>
        <v>0</v>
      </c>
      <c r="BE47" s="347">
        <f t="shared" si="40"/>
        <v>0</v>
      </c>
      <c r="BF47" s="347">
        <f>+BF31+BF34+BF36+BF41+BF43+BF44</f>
        <v>0</v>
      </c>
      <c r="BG47" s="347">
        <f t="shared" si="40"/>
        <v>0</v>
      </c>
      <c r="BH47" s="347">
        <f t="shared" si="40"/>
        <v>0</v>
      </c>
      <c r="BI47" s="347">
        <f t="shared" si="40"/>
        <v>0</v>
      </c>
      <c r="BJ47" s="347">
        <f t="shared" si="40"/>
        <v>0</v>
      </c>
      <c r="BK47" s="347">
        <f t="shared" si="40"/>
        <v>0</v>
      </c>
      <c r="BL47" s="347">
        <f t="shared" si="40"/>
        <v>0</v>
      </c>
      <c r="BM47" s="347">
        <f t="shared" si="40"/>
        <v>0</v>
      </c>
      <c r="BN47" s="347">
        <f t="shared" si="40"/>
        <v>0</v>
      </c>
      <c r="BO47" s="347">
        <f t="shared" si="40"/>
        <v>0</v>
      </c>
      <c r="BP47" s="347">
        <f t="shared" ref="BP47:DT47" si="41">+BP31+BP34+BP36+BP41+BP43+BP44</f>
        <v>0</v>
      </c>
      <c r="BQ47" s="347">
        <f t="shared" si="41"/>
        <v>0</v>
      </c>
      <c r="BR47" s="347">
        <f t="shared" si="41"/>
        <v>0</v>
      </c>
      <c r="BS47" s="347">
        <f t="shared" si="41"/>
        <v>0</v>
      </c>
      <c r="BT47" s="347">
        <f t="shared" si="41"/>
        <v>0</v>
      </c>
      <c r="BU47" s="347">
        <f t="shared" si="41"/>
        <v>0</v>
      </c>
      <c r="BV47" s="347">
        <f t="shared" si="41"/>
        <v>0</v>
      </c>
      <c r="BW47" s="347">
        <f t="shared" si="41"/>
        <v>0</v>
      </c>
      <c r="BX47" s="347">
        <f t="shared" si="41"/>
        <v>0</v>
      </c>
      <c r="BY47" s="347">
        <f t="shared" si="41"/>
        <v>0</v>
      </c>
      <c r="BZ47" s="347">
        <f>+BZ31+BZ34+BZ36+BZ41+BZ43+BZ44</f>
        <v>0</v>
      </c>
      <c r="CA47" s="347">
        <f t="shared" si="41"/>
        <v>0</v>
      </c>
      <c r="CB47" s="347">
        <f t="shared" si="41"/>
        <v>0</v>
      </c>
      <c r="CC47" s="347">
        <f t="shared" si="41"/>
        <v>0</v>
      </c>
      <c r="CD47" s="347">
        <f t="shared" si="41"/>
        <v>0</v>
      </c>
      <c r="CE47" s="347">
        <f>+CE31+CE34+CE36+CE41+CE43+CE44</f>
        <v>0</v>
      </c>
      <c r="CF47" s="347">
        <f t="shared" si="41"/>
        <v>0</v>
      </c>
      <c r="CG47" s="347">
        <f t="shared" si="41"/>
        <v>0</v>
      </c>
      <c r="CH47" s="347">
        <f t="shared" si="41"/>
        <v>0</v>
      </c>
      <c r="CI47" s="347">
        <f t="shared" si="41"/>
        <v>0</v>
      </c>
      <c r="CJ47" s="347">
        <f>+CJ31+CJ34+CJ36+CJ41+CJ43+CJ44</f>
        <v>0</v>
      </c>
      <c r="CK47" s="347">
        <f>+CK31+CK34+CK36+CK41+CK43+CK44</f>
        <v>0</v>
      </c>
      <c r="CL47" s="347">
        <f t="shared" si="41"/>
        <v>0</v>
      </c>
      <c r="CM47" s="347">
        <f t="shared" ref="CM47:CR47" si="42">+CM31+CM34+CM36+CM41+CM43+CM44</f>
        <v>0</v>
      </c>
      <c r="CN47" s="347">
        <f t="shared" si="42"/>
        <v>0</v>
      </c>
      <c r="CO47" s="347">
        <f t="shared" si="42"/>
        <v>0</v>
      </c>
      <c r="CP47" s="347">
        <f t="shared" si="42"/>
        <v>0</v>
      </c>
      <c r="CQ47" s="347">
        <f t="shared" si="42"/>
        <v>0</v>
      </c>
      <c r="CR47" s="347">
        <f t="shared" si="42"/>
        <v>0</v>
      </c>
      <c r="CS47" s="347">
        <f t="shared" si="41"/>
        <v>0</v>
      </c>
      <c r="CT47" s="347">
        <f t="shared" si="41"/>
        <v>0</v>
      </c>
      <c r="CU47" s="347">
        <f t="shared" si="41"/>
        <v>0</v>
      </c>
      <c r="CV47" s="347">
        <f t="shared" si="41"/>
        <v>0</v>
      </c>
      <c r="CW47" s="347">
        <f t="shared" si="41"/>
        <v>0</v>
      </c>
      <c r="CX47" s="347">
        <f t="shared" si="41"/>
        <v>0</v>
      </c>
      <c r="CY47" s="347">
        <f>+CY31+CY34+CY36+CY41+CY43+CY44</f>
        <v>0</v>
      </c>
      <c r="CZ47" s="347">
        <f>+CZ31+CZ34+CZ36+CZ41+CZ43+CZ44</f>
        <v>0</v>
      </c>
      <c r="DA47" s="347">
        <f t="shared" si="41"/>
        <v>0</v>
      </c>
      <c r="DB47" s="347">
        <f t="shared" si="41"/>
        <v>0</v>
      </c>
      <c r="DC47" s="347">
        <f t="shared" si="41"/>
        <v>0</v>
      </c>
      <c r="DD47" s="347">
        <f t="shared" si="41"/>
        <v>0</v>
      </c>
      <c r="DE47" s="347">
        <f t="shared" si="41"/>
        <v>0</v>
      </c>
      <c r="DF47" s="347">
        <f t="shared" si="41"/>
        <v>0</v>
      </c>
      <c r="DG47" s="347">
        <f t="shared" si="41"/>
        <v>0</v>
      </c>
      <c r="DH47" s="347">
        <f t="shared" si="41"/>
        <v>0</v>
      </c>
      <c r="DI47" s="347">
        <f t="shared" si="41"/>
        <v>0</v>
      </c>
      <c r="DJ47" s="347">
        <f t="shared" si="41"/>
        <v>0</v>
      </c>
      <c r="DK47" s="347">
        <f t="shared" si="41"/>
        <v>0</v>
      </c>
      <c r="DL47" s="347">
        <f t="shared" si="41"/>
        <v>0</v>
      </c>
      <c r="DM47" s="347">
        <f t="shared" si="41"/>
        <v>0</v>
      </c>
      <c r="DN47" s="347">
        <f t="shared" si="41"/>
        <v>0</v>
      </c>
      <c r="DO47" s="347">
        <f t="shared" si="41"/>
        <v>0</v>
      </c>
      <c r="DP47" s="347">
        <f t="shared" si="41"/>
        <v>0</v>
      </c>
      <c r="DQ47" s="347">
        <f t="shared" si="41"/>
        <v>0</v>
      </c>
      <c r="DR47" s="347">
        <f t="shared" si="41"/>
        <v>0</v>
      </c>
      <c r="DS47" s="347">
        <f t="shared" si="41"/>
        <v>0</v>
      </c>
      <c r="DT47" s="347">
        <f t="shared" si="41"/>
        <v>0</v>
      </c>
      <c r="DU47" s="347">
        <f t="shared" ref="DU47:EF47" si="43">+DU31+DU34+DU36+DU41+DU43+DU44</f>
        <v>0</v>
      </c>
      <c r="DV47" s="347">
        <f t="shared" si="43"/>
        <v>0</v>
      </c>
      <c r="DW47" s="347">
        <f t="shared" si="43"/>
        <v>0</v>
      </c>
      <c r="DX47" s="347">
        <f t="shared" si="43"/>
        <v>0</v>
      </c>
      <c r="DY47" s="347">
        <f t="shared" si="43"/>
        <v>0</v>
      </c>
      <c r="DZ47" s="347">
        <f t="shared" si="43"/>
        <v>0</v>
      </c>
      <c r="EA47" s="347">
        <f t="shared" si="43"/>
        <v>0</v>
      </c>
      <c r="EB47" s="347">
        <f t="shared" si="43"/>
        <v>0</v>
      </c>
      <c r="EC47" s="347">
        <f t="shared" si="43"/>
        <v>0</v>
      </c>
      <c r="ED47" s="347">
        <f t="shared" si="43"/>
        <v>0</v>
      </c>
      <c r="EE47" s="347">
        <f t="shared" si="43"/>
        <v>0</v>
      </c>
      <c r="EF47" s="347">
        <f t="shared" si="43"/>
        <v>0</v>
      </c>
      <c r="EG47" s="362">
        <f t="shared" si="0"/>
        <v>857088243</v>
      </c>
      <c r="EH47" s="362">
        <f t="shared" si="1"/>
        <v>63551200</v>
      </c>
      <c r="EI47" s="362">
        <f t="shared" si="2"/>
        <v>0</v>
      </c>
      <c r="EJ47" s="362">
        <f t="shared" si="3"/>
        <v>920639443</v>
      </c>
      <c r="EK47" s="362"/>
      <c r="EL47" s="328" t="e">
        <f>+EK47-#REF!</f>
        <v>#REF!</v>
      </c>
    </row>
    <row r="48" spans="1:142" s="331" customFormat="1" ht="21.75" customHeight="1" x14ac:dyDescent="0.25">
      <c r="A48" s="324" t="s">
        <v>299</v>
      </c>
      <c r="B48" s="340" t="s">
        <v>344</v>
      </c>
      <c r="C48" s="326"/>
      <c r="D48" s="363">
        <f>+D46+D47</f>
        <v>0</v>
      </c>
      <c r="E48" s="363">
        <f t="shared" ref="E48:BO48" si="44">+E46+E47</f>
        <v>0</v>
      </c>
      <c r="F48" s="363">
        <f t="shared" si="44"/>
        <v>0</v>
      </c>
      <c r="G48" s="363">
        <f t="shared" si="44"/>
        <v>0</v>
      </c>
      <c r="H48" s="363">
        <f t="shared" si="44"/>
        <v>0</v>
      </c>
      <c r="I48" s="363">
        <f t="shared" si="44"/>
        <v>0</v>
      </c>
      <c r="J48" s="363">
        <f t="shared" si="44"/>
        <v>0</v>
      </c>
      <c r="K48" s="363">
        <f t="shared" si="44"/>
        <v>10000000</v>
      </c>
      <c r="L48" s="363">
        <f t="shared" si="44"/>
        <v>799200</v>
      </c>
      <c r="M48" s="363">
        <f t="shared" si="44"/>
        <v>62752000</v>
      </c>
      <c r="N48" s="363">
        <f t="shared" si="44"/>
        <v>2177056539</v>
      </c>
      <c r="O48" s="363">
        <f t="shared" si="44"/>
        <v>0</v>
      </c>
      <c r="P48" s="363">
        <f t="shared" si="44"/>
        <v>0</v>
      </c>
      <c r="Q48" s="363">
        <f t="shared" si="44"/>
        <v>0</v>
      </c>
      <c r="R48" s="363">
        <f t="shared" si="44"/>
        <v>0</v>
      </c>
      <c r="S48" s="363">
        <f t="shared" si="44"/>
        <v>0</v>
      </c>
      <c r="T48" s="363">
        <f t="shared" si="44"/>
        <v>0</v>
      </c>
      <c r="U48" s="363">
        <f t="shared" si="44"/>
        <v>0</v>
      </c>
      <c r="V48" s="363">
        <f t="shared" si="44"/>
        <v>0</v>
      </c>
      <c r="W48" s="363">
        <f t="shared" si="44"/>
        <v>0</v>
      </c>
      <c r="X48" s="363">
        <f t="shared" si="44"/>
        <v>0</v>
      </c>
      <c r="Y48" s="363">
        <f t="shared" si="44"/>
        <v>0</v>
      </c>
      <c r="Z48" s="363">
        <f t="shared" si="44"/>
        <v>0</v>
      </c>
      <c r="AA48" s="363">
        <f t="shared" si="44"/>
        <v>0</v>
      </c>
      <c r="AB48" s="363">
        <f t="shared" si="44"/>
        <v>0</v>
      </c>
      <c r="AC48" s="363">
        <f t="shared" si="44"/>
        <v>0</v>
      </c>
      <c r="AD48" s="363">
        <f t="shared" si="44"/>
        <v>0</v>
      </c>
      <c r="AE48" s="363">
        <f t="shared" si="44"/>
        <v>0</v>
      </c>
      <c r="AF48" s="363">
        <f t="shared" si="44"/>
        <v>0</v>
      </c>
      <c r="AG48" s="363">
        <f t="shared" si="44"/>
        <v>0</v>
      </c>
      <c r="AH48" s="363">
        <f t="shared" si="44"/>
        <v>0</v>
      </c>
      <c r="AI48" s="363">
        <f t="shared" si="44"/>
        <v>0</v>
      </c>
      <c r="AJ48" s="363">
        <f t="shared" si="44"/>
        <v>0</v>
      </c>
      <c r="AK48" s="363">
        <f t="shared" si="44"/>
        <v>21400000</v>
      </c>
      <c r="AL48" s="363">
        <f t="shared" si="44"/>
        <v>1045000</v>
      </c>
      <c r="AM48" s="363">
        <f t="shared" si="44"/>
        <v>0</v>
      </c>
      <c r="AN48" s="363">
        <f t="shared" si="44"/>
        <v>0</v>
      </c>
      <c r="AO48" s="363">
        <f t="shared" si="44"/>
        <v>0</v>
      </c>
      <c r="AP48" s="363">
        <f t="shared" si="44"/>
        <v>0</v>
      </c>
      <c r="AQ48" s="363">
        <f t="shared" si="44"/>
        <v>0</v>
      </c>
      <c r="AR48" s="363">
        <f t="shared" si="44"/>
        <v>0</v>
      </c>
      <c r="AS48" s="363">
        <f t="shared" si="44"/>
        <v>11054776</v>
      </c>
      <c r="AT48" s="363">
        <f t="shared" si="44"/>
        <v>979800</v>
      </c>
      <c r="AU48" s="363">
        <f t="shared" si="44"/>
        <v>5280000</v>
      </c>
      <c r="AV48" s="363">
        <f t="shared" si="44"/>
        <v>38100000</v>
      </c>
      <c r="AW48" s="363">
        <f t="shared" si="44"/>
        <v>0</v>
      </c>
      <c r="AX48" s="363">
        <f t="shared" si="44"/>
        <v>5000000</v>
      </c>
      <c r="AY48" s="363">
        <f t="shared" si="44"/>
        <v>0</v>
      </c>
      <c r="AZ48" s="363">
        <f t="shared" si="44"/>
        <v>0</v>
      </c>
      <c r="BA48" s="363">
        <f t="shared" si="44"/>
        <v>10000000</v>
      </c>
      <c r="BB48" s="363">
        <f t="shared" si="44"/>
        <v>0</v>
      </c>
      <c r="BC48" s="363">
        <f t="shared" si="44"/>
        <v>0</v>
      </c>
      <c r="BD48" s="363">
        <f t="shared" si="44"/>
        <v>0</v>
      </c>
      <c r="BE48" s="363">
        <f t="shared" si="44"/>
        <v>0</v>
      </c>
      <c r="BF48" s="363">
        <f>+BF46+BF47</f>
        <v>0</v>
      </c>
      <c r="BG48" s="363">
        <f t="shared" si="44"/>
        <v>0</v>
      </c>
      <c r="BH48" s="363">
        <f t="shared" si="44"/>
        <v>0</v>
      </c>
      <c r="BI48" s="363">
        <f t="shared" si="44"/>
        <v>65000000</v>
      </c>
      <c r="BJ48" s="363">
        <f t="shared" si="44"/>
        <v>0</v>
      </c>
      <c r="BK48" s="363">
        <f t="shared" si="44"/>
        <v>65000000</v>
      </c>
      <c r="BL48" s="363">
        <f t="shared" si="44"/>
        <v>0</v>
      </c>
      <c r="BM48" s="363">
        <f t="shared" si="44"/>
        <v>0</v>
      </c>
      <c r="BN48" s="363">
        <f t="shared" si="44"/>
        <v>0</v>
      </c>
      <c r="BO48" s="363">
        <f t="shared" si="44"/>
        <v>0</v>
      </c>
      <c r="BP48" s="363">
        <f t="shared" ref="BP48:DT48" si="45">+BP46+BP47</f>
        <v>0</v>
      </c>
      <c r="BQ48" s="363">
        <f t="shared" si="45"/>
        <v>0</v>
      </c>
      <c r="BR48" s="363">
        <f t="shared" si="45"/>
        <v>0</v>
      </c>
      <c r="BS48" s="363">
        <f t="shared" si="45"/>
        <v>0</v>
      </c>
      <c r="BT48" s="363">
        <f t="shared" si="45"/>
        <v>0</v>
      </c>
      <c r="BU48" s="363">
        <f t="shared" si="45"/>
        <v>0</v>
      </c>
      <c r="BV48" s="363">
        <f t="shared" si="45"/>
        <v>0</v>
      </c>
      <c r="BW48" s="363">
        <f t="shared" si="45"/>
        <v>0</v>
      </c>
      <c r="BX48" s="363">
        <f t="shared" si="45"/>
        <v>0</v>
      </c>
      <c r="BY48" s="363">
        <f t="shared" si="45"/>
        <v>0</v>
      </c>
      <c r="BZ48" s="363">
        <f>+BZ46+BZ47</f>
        <v>0</v>
      </c>
      <c r="CA48" s="363">
        <f t="shared" si="45"/>
        <v>0</v>
      </c>
      <c r="CB48" s="363">
        <f t="shared" si="45"/>
        <v>228600</v>
      </c>
      <c r="CC48" s="363">
        <f t="shared" si="45"/>
        <v>0</v>
      </c>
      <c r="CD48" s="363">
        <f t="shared" si="45"/>
        <v>0</v>
      </c>
      <c r="CE48" s="363">
        <f>+CE46+CE47</f>
        <v>0</v>
      </c>
      <c r="CF48" s="363">
        <f t="shared" si="45"/>
        <v>0</v>
      </c>
      <c r="CG48" s="363">
        <f t="shared" si="45"/>
        <v>0</v>
      </c>
      <c r="CH48" s="363">
        <f t="shared" si="45"/>
        <v>0</v>
      </c>
      <c r="CI48" s="363">
        <f t="shared" si="45"/>
        <v>0</v>
      </c>
      <c r="CJ48" s="363">
        <f>+CJ46+CJ47</f>
        <v>0</v>
      </c>
      <c r="CK48" s="363">
        <f>+CK46+CK47</f>
        <v>0</v>
      </c>
      <c r="CL48" s="363">
        <f t="shared" si="45"/>
        <v>0</v>
      </c>
      <c r="CM48" s="363">
        <f t="shared" si="45"/>
        <v>0</v>
      </c>
      <c r="CN48" s="363">
        <f>+CN46+CN47</f>
        <v>0</v>
      </c>
      <c r="CO48" s="363">
        <f>+CO46+CO47</f>
        <v>0</v>
      </c>
      <c r="CP48" s="363">
        <f>+CP46+CP47</f>
        <v>0</v>
      </c>
      <c r="CQ48" s="363">
        <f>+CQ46+CQ47</f>
        <v>0</v>
      </c>
      <c r="CR48" s="363">
        <f>+CR46+CR47</f>
        <v>0</v>
      </c>
      <c r="CS48" s="363">
        <f t="shared" si="45"/>
        <v>0</v>
      </c>
      <c r="CT48" s="363">
        <f t="shared" si="45"/>
        <v>0</v>
      </c>
      <c r="CU48" s="363">
        <f t="shared" si="45"/>
        <v>0</v>
      </c>
      <c r="CV48" s="363">
        <f t="shared" si="45"/>
        <v>0</v>
      </c>
      <c r="CW48" s="363">
        <f t="shared" si="45"/>
        <v>0</v>
      </c>
      <c r="CX48" s="363">
        <f t="shared" si="45"/>
        <v>0</v>
      </c>
      <c r="CY48" s="363">
        <f>+CY46+CY47</f>
        <v>0</v>
      </c>
      <c r="CZ48" s="363">
        <f>+CZ46+CZ47</f>
        <v>0</v>
      </c>
      <c r="DA48" s="363">
        <f t="shared" si="45"/>
        <v>0</v>
      </c>
      <c r="DB48" s="363">
        <f t="shared" si="45"/>
        <v>0</v>
      </c>
      <c r="DC48" s="363">
        <f t="shared" si="45"/>
        <v>0</v>
      </c>
      <c r="DD48" s="363">
        <f t="shared" si="45"/>
        <v>0</v>
      </c>
      <c r="DE48" s="363">
        <f t="shared" si="45"/>
        <v>0</v>
      </c>
      <c r="DF48" s="363">
        <f t="shared" si="45"/>
        <v>0</v>
      </c>
      <c r="DG48" s="363">
        <f t="shared" si="45"/>
        <v>0</v>
      </c>
      <c r="DH48" s="363">
        <f t="shared" si="45"/>
        <v>0</v>
      </c>
      <c r="DI48" s="363">
        <f t="shared" si="45"/>
        <v>0</v>
      </c>
      <c r="DJ48" s="363">
        <f t="shared" si="45"/>
        <v>0</v>
      </c>
      <c r="DK48" s="363">
        <f t="shared" si="45"/>
        <v>0</v>
      </c>
      <c r="DL48" s="363">
        <f t="shared" si="45"/>
        <v>0</v>
      </c>
      <c r="DM48" s="363">
        <f t="shared" si="45"/>
        <v>0</v>
      </c>
      <c r="DN48" s="363">
        <f t="shared" si="45"/>
        <v>0</v>
      </c>
      <c r="DO48" s="363">
        <f t="shared" si="45"/>
        <v>0</v>
      </c>
      <c r="DP48" s="363">
        <f t="shared" si="45"/>
        <v>0</v>
      </c>
      <c r="DQ48" s="363">
        <f t="shared" si="45"/>
        <v>0</v>
      </c>
      <c r="DR48" s="363">
        <f t="shared" si="45"/>
        <v>0</v>
      </c>
      <c r="DS48" s="363">
        <f t="shared" si="45"/>
        <v>0</v>
      </c>
      <c r="DT48" s="363">
        <f t="shared" si="45"/>
        <v>0</v>
      </c>
      <c r="DU48" s="363">
        <f t="shared" ref="DU48:EF48" si="46">+DU46+DU47</f>
        <v>1945292</v>
      </c>
      <c r="DV48" s="363">
        <f t="shared" si="46"/>
        <v>0</v>
      </c>
      <c r="DW48" s="363">
        <f t="shared" si="46"/>
        <v>0</v>
      </c>
      <c r="DX48" s="363">
        <f t="shared" si="46"/>
        <v>572000000</v>
      </c>
      <c r="DY48" s="363">
        <f t="shared" si="46"/>
        <v>162000000</v>
      </c>
      <c r="DZ48" s="363">
        <f t="shared" si="46"/>
        <v>22200000</v>
      </c>
      <c r="EA48" s="363">
        <f t="shared" si="46"/>
        <v>160000</v>
      </c>
      <c r="EB48" s="363">
        <f t="shared" si="46"/>
        <v>2950000000</v>
      </c>
      <c r="EC48" s="363">
        <f t="shared" si="46"/>
        <v>0</v>
      </c>
      <c r="ED48" s="363">
        <f t="shared" si="46"/>
        <v>0</v>
      </c>
      <c r="EE48" s="363">
        <f t="shared" si="46"/>
        <v>1569153661</v>
      </c>
      <c r="EF48" s="363">
        <f t="shared" si="46"/>
        <v>120794976</v>
      </c>
      <c r="EG48" s="362">
        <f t="shared" si="0"/>
        <v>7793170044</v>
      </c>
      <c r="EH48" s="362">
        <f t="shared" si="1"/>
        <v>78779800</v>
      </c>
      <c r="EI48" s="362">
        <f t="shared" si="2"/>
        <v>0</v>
      </c>
      <c r="EJ48" s="362">
        <f t="shared" si="3"/>
        <v>7871949844</v>
      </c>
      <c r="EK48" s="362"/>
      <c r="EL48" s="328" t="e">
        <f>+EK48-#REF!</f>
        <v>#REF!</v>
      </c>
    </row>
    <row r="49" spans="1:142" s="588" customFormat="1" ht="21.75" customHeight="1" x14ac:dyDescent="0.25">
      <c r="A49" s="584" t="s">
        <v>300</v>
      </c>
      <c r="B49" s="585" t="s">
        <v>465</v>
      </c>
      <c r="C49" s="586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>
        <v>1</v>
      </c>
      <c r="R49" s="364">
        <v>2</v>
      </c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>
        <v>2</v>
      </c>
      <c r="AI49" s="364"/>
      <c r="AJ49" s="364"/>
      <c r="AK49" s="364">
        <v>2</v>
      </c>
      <c r="AL49" s="364"/>
      <c r="AM49" s="364"/>
      <c r="AN49" s="364"/>
      <c r="AO49" s="364"/>
      <c r="AP49" s="364">
        <v>2</v>
      </c>
      <c r="AQ49" s="364">
        <v>2</v>
      </c>
      <c r="AR49" s="364"/>
      <c r="AS49" s="364"/>
      <c r="AT49" s="364"/>
      <c r="AU49" s="364">
        <v>2</v>
      </c>
      <c r="AV49" s="364">
        <v>5</v>
      </c>
      <c r="AW49" s="364"/>
      <c r="AX49" s="364"/>
      <c r="AY49" s="364"/>
      <c r="AZ49" s="364"/>
      <c r="BA49" s="364">
        <v>7</v>
      </c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>
        <v>2</v>
      </c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2">
        <f t="shared" si="0"/>
        <v>16</v>
      </c>
      <c r="EH49" s="362">
        <f t="shared" si="1"/>
        <v>11</v>
      </c>
      <c r="EI49" s="362">
        <f t="shared" si="2"/>
        <v>0</v>
      </c>
      <c r="EJ49" s="362">
        <f t="shared" si="3"/>
        <v>27</v>
      </c>
      <c r="EK49" s="362"/>
      <c r="EL49" s="587" t="e">
        <f>+EK49-#REF!</f>
        <v>#REF!</v>
      </c>
    </row>
    <row r="50" spans="1:142" s="331" customFormat="1" ht="21.75" customHeight="1" x14ac:dyDescent="0.25">
      <c r="A50" s="324" t="s">
        <v>301</v>
      </c>
      <c r="B50" s="340" t="s">
        <v>1047</v>
      </c>
      <c r="C50" s="326"/>
      <c r="D50" s="364">
        <f>+'6.sz. Beruházások'!Q12+'6.sz. Beruházások'!Q13+'6.sz. Beruházások'!Q14+'6.sz. Beruházások'!Q15+'6.sz. Beruházások'!Q17+'6.sz. Beruházások'!Q19+'7. sz. Felújítások'!N18+'6.sz. Beruházások'!Q20</f>
        <v>667000000</v>
      </c>
      <c r="E50" s="364">
        <f>+'6.sz. Beruházások'!Q24+'6.sz. Beruházások'!Q29+'6.sz. Beruházások'!Q31+'6.sz. Beruházások'!Q25+'6.sz. Beruházások'!Q28</f>
        <v>165000000</v>
      </c>
      <c r="F50" s="364"/>
      <c r="G50" s="364"/>
      <c r="H50" s="364">
        <f>+'6.sz. Beruházások'!Q39</f>
        <v>6000000</v>
      </c>
      <c r="I50" s="364">
        <f>+'6.sz. Beruházások'!Q46+'6.sz. Beruházások'!Q45</f>
        <v>4000000</v>
      </c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>
        <v>1000000</v>
      </c>
      <c r="U50" s="364"/>
      <c r="V50" s="364"/>
      <c r="W50" s="364">
        <f>20000000+20000000</f>
        <v>40000000</v>
      </c>
      <c r="X50" s="364">
        <v>10000000</v>
      </c>
      <c r="Y50" s="364"/>
      <c r="Z50" s="364">
        <f>5000000+2000000+1000000+2000000+5000000</f>
        <v>15000000</v>
      </c>
      <c r="AA50" s="364">
        <v>3000000</v>
      </c>
      <c r="AB50" s="364">
        <v>1000000</v>
      </c>
      <c r="AC50" s="364">
        <f>+'6.sz. Beruházások'!Q51</f>
        <v>2000000</v>
      </c>
      <c r="AD50" s="364">
        <v>10000000</v>
      </c>
      <c r="AE50" s="364">
        <v>10000000</v>
      </c>
      <c r="AF50" s="364">
        <v>5257000</v>
      </c>
      <c r="AG50" s="364"/>
      <c r="AH50" s="364"/>
      <c r="AI50" s="364">
        <f>+'6.sz. Beruházások'!Q52+'6.sz. Beruházások'!Q53+'6.sz. Beruházások'!Q54+'6.sz. Beruházások'!Q55</f>
        <v>64000000</v>
      </c>
      <c r="AJ50" s="364">
        <v>0</v>
      </c>
      <c r="AK50" s="364">
        <f>+'6.sz. Beruházások'!Q60</f>
        <v>10000000</v>
      </c>
      <c r="AL50" s="364"/>
      <c r="AM50" s="364"/>
      <c r="AN50" s="364"/>
      <c r="AO50" s="364"/>
      <c r="AP50" s="364"/>
      <c r="AQ50" s="364">
        <f>+'6.sz. Beruházások'!Q61</f>
        <v>4500245</v>
      </c>
      <c r="AR50" s="364"/>
      <c r="AS50" s="364"/>
      <c r="AT50" s="364"/>
      <c r="AU50" s="364">
        <f>+'7. sz. Felújítások'!N19</f>
        <v>1000000</v>
      </c>
      <c r="AV50" s="364">
        <f>+'6.sz. Beruházások'!Q66+'7. sz. Felújítások'!N20</f>
        <v>17145000</v>
      </c>
      <c r="AW50" s="364">
        <f>+'6.sz. Beruházások'!Q67</f>
        <v>12000000</v>
      </c>
      <c r="AX50" s="364"/>
      <c r="AY50" s="364">
        <v>10000000</v>
      </c>
      <c r="AZ50" s="364"/>
      <c r="BA50" s="347"/>
      <c r="BB50" s="364">
        <v>33000000</v>
      </c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>
        <f>+'8.sz.Tartalékok'!D67</f>
        <v>47450000</v>
      </c>
      <c r="BY50" s="364"/>
      <c r="BZ50" s="364">
        <f>+'7. sz. Felújítások'!N21</f>
        <v>10000000</v>
      </c>
      <c r="CA50" s="364">
        <f>+'6.sz. Beruházások'!Q41</f>
        <v>5000000</v>
      </c>
      <c r="CB50" s="364"/>
      <c r="CC50" s="364"/>
      <c r="CD50" s="364"/>
      <c r="CE50" s="364"/>
      <c r="CF50" s="364"/>
      <c r="CG50" s="364">
        <f>+'7. sz. Felújítások'!N22+'7. sz. Felújítások'!N23+'7. sz. Felújítások'!N24</f>
        <v>130000000</v>
      </c>
      <c r="CH50" s="364">
        <f>+'7. sz. Felújítások'!N25</f>
        <v>40000000</v>
      </c>
      <c r="CI50" s="364"/>
      <c r="CJ50" s="364">
        <v>5000000</v>
      </c>
      <c r="CK50" s="364"/>
      <c r="CL50" s="364"/>
      <c r="CM50" s="364">
        <v>15000000</v>
      </c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416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2">
        <f t="shared" si="0"/>
        <v>1250352245</v>
      </c>
      <c r="EH50" s="362">
        <f t="shared" si="1"/>
        <v>93000000</v>
      </c>
      <c r="EI50" s="362">
        <f t="shared" si="2"/>
        <v>0</v>
      </c>
      <c r="EJ50" s="362">
        <f t="shared" si="3"/>
        <v>1343352245</v>
      </c>
      <c r="EK50" s="362"/>
      <c r="EL50" s="328"/>
    </row>
    <row r="51" spans="1:142" x14ac:dyDescent="0.25">
      <c r="A51" s="316"/>
      <c r="D51" s="329">
        <f>SUM(D50:D50)</f>
        <v>667000000</v>
      </c>
      <c r="E51" s="329">
        <f>SUM(E50:E50)</f>
        <v>165000000</v>
      </c>
      <c r="F51" s="329"/>
      <c r="G51" s="329"/>
      <c r="H51" s="329">
        <f>SUM(H50:H50)</f>
        <v>6000000</v>
      </c>
      <c r="I51" s="329">
        <f>SUM(I50:I50)</f>
        <v>4000000</v>
      </c>
      <c r="J51" s="329">
        <f>SUM(J50:J50)</f>
        <v>0</v>
      </c>
      <c r="K51" s="329"/>
      <c r="L51" s="329"/>
      <c r="M51" s="329"/>
      <c r="N51" s="329"/>
      <c r="O51" s="329"/>
      <c r="P51" s="365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65"/>
      <c r="BH51" s="329"/>
      <c r="BI51" s="329"/>
      <c r="BJ51" s="329"/>
      <c r="BK51" s="329"/>
      <c r="BL51" s="329"/>
      <c r="BM51" s="329"/>
      <c r="BN51" s="365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558"/>
      <c r="CA51" s="329"/>
      <c r="CB51" s="365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65"/>
      <c r="CO51" s="365"/>
      <c r="CP51" s="365"/>
      <c r="CQ51" s="365"/>
      <c r="CR51" s="365"/>
      <c r="CS51" s="329"/>
      <c r="CT51" s="329" t="e">
        <f>SUM(#REF!)</f>
        <v>#REF!</v>
      </c>
      <c r="CU51" s="329"/>
      <c r="CV51" s="329"/>
      <c r="CW51" s="329"/>
      <c r="CX51" s="329" t="e">
        <f>SUM(#REF!)</f>
        <v>#REF!</v>
      </c>
      <c r="CY51" s="329"/>
      <c r="CZ51" s="329"/>
      <c r="DA51" s="329"/>
      <c r="DB51" s="329" t="e">
        <f>SUM(#REF!)</f>
        <v>#REF!</v>
      </c>
      <c r="DC51" s="329"/>
      <c r="DD51" s="329"/>
      <c r="DE51" s="329" t="e">
        <f>SUM(#REF!)</f>
        <v>#REF!</v>
      </c>
      <c r="DF51" s="329" t="e">
        <f>SUM(#REF!)</f>
        <v>#REF!</v>
      </c>
      <c r="DG51" s="329" t="e">
        <f>SUM(#REF!)</f>
        <v>#REF!</v>
      </c>
      <c r="DH51" s="329" t="e">
        <f>SUM(#REF!)</f>
        <v>#REF!</v>
      </c>
      <c r="DI51" s="329" t="e">
        <f>SUM(#REF!)</f>
        <v>#REF!</v>
      </c>
      <c r="DJ51" s="329" t="e">
        <f>SUM(#REF!)</f>
        <v>#REF!</v>
      </c>
      <c r="DK51" s="329" t="e">
        <f>SUM(#REF!)</f>
        <v>#REF!</v>
      </c>
      <c r="DL51" s="329" t="e">
        <f>SUM(#REF!)</f>
        <v>#REF!</v>
      </c>
      <c r="DM51" s="329" t="e">
        <f>SUM(#REF!)</f>
        <v>#REF!</v>
      </c>
      <c r="DN51" s="329" t="e">
        <f>SUM(#REF!)</f>
        <v>#REF!</v>
      </c>
      <c r="DO51" s="329" t="e">
        <f>SUM(#REF!)</f>
        <v>#REF!</v>
      </c>
      <c r="DP51" s="329" t="e">
        <f>SUM(#REF!)</f>
        <v>#REF!</v>
      </c>
      <c r="DQ51" s="329" t="e">
        <f>SUM(#REF!)</f>
        <v>#REF!</v>
      </c>
      <c r="DR51" s="329" t="e">
        <f>SUM(#REF!)</f>
        <v>#REF!</v>
      </c>
      <c r="DS51" s="329" t="e">
        <f>SUM(#REF!)</f>
        <v>#REF!</v>
      </c>
      <c r="DT51" s="329" t="e">
        <f>SUM(#REF!)</f>
        <v>#REF!</v>
      </c>
      <c r="DU51" s="355" t="e">
        <f>SUM(#REF!)</f>
        <v>#REF!</v>
      </c>
      <c r="DV51" s="355"/>
      <c r="DW51" s="329" t="e">
        <f>SUM(#REF!)</f>
        <v>#REF!</v>
      </c>
      <c r="DX51" s="329" t="e">
        <f>SUM(#REF!)</f>
        <v>#REF!</v>
      </c>
      <c r="DY51" s="329" t="e">
        <f>SUM(#REF!)</f>
        <v>#REF!</v>
      </c>
      <c r="DZ51" s="329" t="e">
        <f>SUM(#REF!)</f>
        <v>#REF!</v>
      </c>
      <c r="EA51" s="329" t="e">
        <f>SUM(#REF!)</f>
        <v>#REF!</v>
      </c>
      <c r="EB51" s="329" t="e">
        <f>SUM(#REF!)</f>
        <v>#REF!</v>
      </c>
      <c r="EC51" s="329" t="e">
        <f>SUM(#REF!)</f>
        <v>#REF!</v>
      </c>
      <c r="ED51" s="329" t="e">
        <f>SUM(#REF!)</f>
        <v>#REF!</v>
      </c>
      <c r="EE51" s="329" t="e">
        <f>SUM(#REF!)</f>
        <v>#REF!</v>
      </c>
      <c r="EF51" s="329" t="e">
        <f>SUM(#REF!)</f>
        <v>#REF!</v>
      </c>
      <c r="EG51" s="329" t="e">
        <f>SUM(#REF!)</f>
        <v>#REF!</v>
      </c>
      <c r="EH51" s="329" t="e">
        <f>SUM(#REF!)</f>
        <v>#REF!</v>
      </c>
      <c r="EI51" s="329" t="e">
        <f>SUM(#REF!)</f>
        <v>#REF!</v>
      </c>
      <c r="EJ51" s="329"/>
      <c r="EK51" s="328">
        <f>SUM(D51:N51)</f>
        <v>842000000</v>
      </c>
      <c r="EL51" s="329"/>
    </row>
    <row r="52" spans="1:142" ht="16.5" thickBot="1" x14ac:dyDescent="0.3">
      <c r="A52" s="316"/>
      <c r="D52" s="329">
        <f>+D30+D32+D33+D35+D38</f>
        <v>0</v>
      </c>
      <c r="E52" s="329">
        <f>+E30+E32+E33+E35+E38</f>
        <v>0</v>
      </c>
      <c r="F52" s="329"/>
      <c r="G52" s="329"/>
      <c r="H52" s="329">
        <f>+H30+H32+H33+H35+H38</f>
        <v>0</v>
      </c>
      <c r="I52" s="329">
        <f>+I30+I32+I33+I35+I38</f>
        <v>0</v>
      </c>
      <c r="J52" s="329">
        <f>+J30+J32+J33+J35+J38</f>
        <v>0</v>
      </c>
      <c r="K52" s="329"/>
      <c r="L52" s="329"/>
      <c r="M52" s="329"/>
      <c r="N52" s="329"/>
      <c r="O52" s="329"/>
      <c r="P52" s="365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65"/>
      <c r="BH52" s="329"/>
      <c r="BI52" s="329"/>
      <c r="BJ52" s="329"/>
      <c r="BK52" s="329"/>
      <c r="BL52" s="329"/>
      <c r="BM52" s="329"/>
      <c r="BN52" s="365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65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65"/>
      <c r="CO52" s="365"/>
      <c r="CP52" s="365"/>
      <c r="CQ52" s="365"/>
      <c r="CR52" s="365"/>
      <c r="CS52" s="329"/>
      <c r="CT52" s="329" t="e">
        <f>+#REF!+#REF!+#REF!+#REF!+#REF!</f>
        <v>#REF!</v>
      </c>
      <c r="CU52" s="329"/>
      <c r="CV52" s="329"/>
      <c r="CW52" s="329"/>
      <c r="CX52" s="329" t="e">
        <f>+#REF!+#REF!+#REF!+#REF!+#REF!</f>
        <v>#REF!</v>
      </c>
      <c r="CY52" s="329"/>
      <c r="CZ52" s="329"/>
      <c r="DA52" s="329"/>
      <c r="DB52" s="329" t="e">
        <f>+#REF!+#REF!+#REF!+#REF!+#REF!</f>
        <v>#REF!</v>
      </c>
      <c r="DC52" s="329"/>
      <c r="DD52" s="329"/>
      <c r="DE52" s="329" t="e">
        <f>+#REF!+#REF!+#REF!+#REF!+#REF!</f>
        <v>#REF!</v>
      </c>
      <c r="DF52" s="329" t="e">
        <f>+#REF!+#REF!+#REF!+#REF!+#REF!</f>
        <v>#REF!</v>
      </c>
      <c r="DG52" s="329" t="e">
        <f>+#REF!+#REF!+#REF!+#REF!+#REF!</f>
        <v>#REF!</v>
      </c>
      <c r="DH52" s="329" t="e">
        <f>+#REF!+#REF!+#REF!+#REF!+#REF!</f>
        <v>#REF!</v>
      </c>
      <c r="DI52" s="329" t="e">
        <f>+#REF!+#REF!+#REF!+#REF!+#REF!</f>
        <v>#REF!</v>
      </c>
      <c r="DJ52" s="329" t="e">
        <f>+#REF!+#REF!+#REF!+#REF!+#REF!</f>
        <v>#REF!</v>
      </c>
      <c r="DK52" s="329" t="e">
        <f>+#REF!+#REF!+#REF!+#REF!+#REF!</f>
        <v>#REF!</v>
      </c>
      <c r="DL52" s="329" t="e">
        <f>+#REF!+#REF!+#REF!+#REF!+#REF!</f>
        <v>#REF!</v>
      </c>
      <c r="DM52" s="329" t="e">
        <f>+#REF!+#REF!+#REF!+#REF!+#REF!</f>
        <v>#REF!</v>
      </c>
      <c r="DN52" s="329" t="e">
        <f>+#REF!+#REF!+#REF!+#REF!+#REF!</f>
        <v>#REF!</v>
      </c>
      <c r="DO52" s="329" t="e">
        <f>+#REF!+#REF!+#REF!+#REF!+#REF!</f>
        <v>#REF!</v>
      </c>
      <c r="DP52" s="329" t="e">
        <f>+#REF!+#REF!+#REF!+#REF!+#REF!</f>
        <v>#REF!</v>
      </c>
      <c r="DQ52" s="329" t="e">
        <f>+#REF!+#REF!+#REF!+#REF!+#REF!</f>
        <v>#REF!</v>
      </c>
      <c r="DR52" s="329" t="e">
        <f>+#REF!+#REF!+#REF!+#REF!+#REF!</f>
        <v>#REF!</v>
      </c>
      <c r="DS52" s="329" t="e">
        <f>+#REF!+#REF!+#REF!+#REF!+#REF!</f>
        <v>#REF!</v>
      </c>
      <c r="DT52" s="329" t="e">
        <f>+#REF!+#REF!+#REF!+#REF!+#REF!</f>
        <v>#REF!</v>
      </c>
      <c r="DU52" s="355" t="e">
        <f>+#REF!+#REF!+#REF!+#REF!+#REF!</f>
        <v>#REF!</v>
      </c>
      <c r="DV52" s="355"/>
      <c r="DW52" s="329" t="e">
        <f>+#REF!+#REF!+#REF!+#REF!+#REF!</f>
        <v>#REF!</v>
      </c>
      <c r="DX52" s="329" t="e">
        <f>+#REF!+#REF!+#REF!+#REF!+#REF!</f>
        <v>#REF!</v>
      </c>
      <c r="DY52" s="329" t="e">
        <f>+#REF!+#REF!+#REF!+#REF!+#REF!</f>
        <v>#REF!</v>
      </c>
      <c r="DZ52" s="329" t="e">
        <f>+#REF!+#REF!+#REF!+#REF!+#REF!</f>
        <v>#REF!</v>
      </c>
      <c r="EA52" s="329" t="e">
        <f>+#REF!+#REF!+#REF!+#REF!+#REF!</f>
        <v>#REF!</v>
      </c>
      <c r="EB52" s="329" t="e">
        <f>+#REF!+#REF!+#REF!+#REF!+#REF!</f>
        <v>#REF!</v>
      </c>
      <c r="EC52" s="329" t="e">
        <f>+#REF!+#REF!+#REF!+#REF!+#REF!</f>
        <v>#REF!</v>
      </c>
      <c r="ED52" s="329" t="e">
        <f>+#REF!+#REF!+#REF!+#REF!+#REF!</f>
        <v>#REF!</v>
      </c>
      <c r="EE52" s="329" t="e">
        <f>+#REF!+#REF!+#REF!+#REF!+#REF!</f>
        <v>#REF!</v>
      </c>
      <c r="EF52" s="329" t="e">
        <f>+#REF!+#REF!+#REF!+#REF!+#REF!</f>
        <v>#REF!</v>
      </c>
      <c r="EG52" s="329" t="e">
        <f>+#REF!+#REF!+#REF!+#REF!+#REF!</f>
        <v>#REF!</v>
      </c>
      <c r="EH52" s="329" t="e">
        <f>+#REF!+#REF!+#REF!+#REF!+#REF!</f>
        <v>#REF!</v>
      </c>
      <c r="EI52" s="329" t="e">
        <f>+#REF!+#REF!+#REF!+#REF!+#REF!</f>
        <v>#REF!</v>
      </c>
      <c r="EJ52" s="329"/>
      <c r="EK52" s="329"/>
      <c r="EL52" s="329"/>
    </row>
    <row r="53" spans="1:142" ht="16.5" thickBot="1" x14ac:dyDescent="0.3">
      <c r="A53" s="316"/>
      <c r="D53" s="329">
        <f>+D46</f>
        <v>0</v>
      </c>
      <c r="E53" s="329">
        <f>+E46</f>
        <v>0</v>
      </c>
      <c r="F53" s="329"/>
      <c r="G53" s="329"/>
      <c r="H53" s="329">
        <f>+H46</f>
        <v>0</v>
      </c>
      <c r="I53" s="329">
        <f>+I46</f>
        <v>0</v>
      </c>
      <c r="J53" s="329">
        <f>+J46</f>
        <v>0</v>
      </c>
      <c r="K53" s="329"/>
      <c r="L53" s="329"/>
      <c r="M53" s="329"/>
      <c r="N53" s="329"/>
      <c r="O53" s="329"/>
      <c r="P53" s="365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65"/>
      <c r="BH53" s="329"/>
      <c r="BI53" s="329"/>
      <c r="BJ53" s="329"/>
      <c r="BK53" s="329"/>
      <c r="BL53" s="329"/>
      <c r="BM53" s="329"/>
      <c r="BN53" s="365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65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  <c r="CM53" s="329"/>
      <c r="CN53" s="365"/>
      <c r="CO53" s="365"/>
      <c r="CP53" s="365"/>
      <c r="CQ53" s="365"/>
      <c r="CR53" s="365"/>
      <c r="CS53" s="329"/>
      <c r="CT53" s="329" t="e">
        <f>+#REF!</f>
        <v>#REF!</v>
      </c>
      <c r="CU53" s="329"/>
      <c r="CV53" s="329"/>
      <c r="CW53" s="329"/>
      <c r="CX53" s="329" t="e">
        <f>+#REF!</f>
        <v>#REF!</v>
      </c>
      <c r="CY53" s="329"/>
      <c r="CZ53" s="329"/>
      <c r="DA53" s="329"/>
      <c r="DB53" s="329" t="e">
        <f>+#REF!</f>
        <v>#REF!</v>
      </c>
      <c r="DC53" s="329"/>
      <c r="DD53" s="329"/>
      <c r="DE53" s="329" t="e">
        <f>+#REF!</f>
        <v>#REF!</v>
      </c>
      <c r="DF53" s="329" t="e">
        <f>+#REF!</f>
        <v>#REF!</v>
      </c>
      <c r="DG53" s="329" t="e">
        <f>+#REF!</f>
        <v>#REF!</v>
      </c>
      <c r="DH53" s="329" t="e">
        <f>+#REF!</f>
        <v>#REF!</v>
      </c>
      <c r="DI53" s="329" t="e">
        <f>+#REF!</f>
        <v>#REF!</v>
      </c>
      <c r="DJ53" s="329" t="e">
        <f>+#REF!</f>
        <v>#REF!</v>
      </c>
      <c r="DK53" s="329" t="e">
        <f>+#REF!</f>
        <v>#REF!</v>
      </c>
      <c r="DL53" s="329" t="e">
        <f>+#REF!</f>
        <v>#REF!</v>
      </c>
      <c r="DM53" s="329" t="e">
        <f>+#REF!</f>
        <v>#REF!</v>
      </c>
      <c r="DN53" s="329" t="e">
        <f>+#REF!</f>
        <v>#REF!</v>
      </c>
      <c r="DO53" s="329" t="e">
        <f>+#REF!</f>
        <v>#REF!</v>
      </c>
      <c r="DP53" s="329" t="e">
        <f>+#REF!</f>
        <v>#REF!</v>
      </c>
      <c r="DQ53" s="329" t="e">
        <f>+#REF!</f>
        <v>#REF!</v>
      </c>
      <c r="DR53" s="329" t="e">
        <f>+#REF!</f>
        <v>#REF!</v>
      </c>
      <c r="DS53" s="329" t="e">
        <f>+#REF!</f>
        <v>#REF!</v>
      </c>
      <c r="DT53" s="329" t="e">
        <f>+#REF!</f>
        <v>#REF!</v>
      </c>
      <c r="DU53" s="355" t="e">
        <f>+#REF!</f>
        <v>#REF!</v>
      </c>
      <c r="DV53" s="355"/>
      <c r="DW53" s="329" t="e">
        <f>+#REF!</f>
        <v>#REF!</v>
      </c>
      <c r="DX53" s="329" t="e">
        <f>+#REF!</f>
        <v>#REF!</v>
      </c>
      <c r="DY53" s="329" t="e">
        <f>+#REF!</f>
        <v>#REF!</v>
      </c>
      <c r="DZ53" s="329" t="e">
        <f>+#REF!</f>
        <v>#REF!</v>
      </c>
      <c r="EA53" s="329" t="e">
        <f>+#REF!</f>
        <v>#REF!</v>
      </c>
      <c r="EB53" s="329" t="e">
        <f>+#REF!</f>
        <v>#REF!</v>
      </c>
      <c r="EC53" s="329" t="e">
        <f>+#REF!</f>
        <v>#REF!</v>
      </c>
      <c r="ED53" s="329" t="e">
        <f>+#REF!</f>
        <v>#REF!</v>
      </c>
      <c r="EE53" s="329" t="e">
        <f>+#REF!</f>
        <v>#REF!</v>
      </c>
      <c r="EF53" s="329" t="e">
        <f>+#REF!</f>
        <v>#REF!</v>
      </c>
      <c r="EG53" s="329" t="e">
        <f>+#REF!</f>
        <v>#REF!</v>
      </c>
      <c r="EH53" s="329" t="e">
        <f>+#REF!</f>
        <v>#REF!</v>
      </c>
      <c r="EI53" s="329" t="e">
        <f>+#REF!</f>
        <v>#REF!</v>
      </c>
      <c r="EJ53" s="329"/>
      <c r="EK53" s="342" t="e">
        <f>+#REF!-#REF!</f>
        <v>#REF!</v>
      </c>
      <c r="EL53" s="329" t="e">
        <f>+'3. sz.Városi szintű összesen'!#REF!</f>
        <v>#REF!</v>
      </c>
    </row>
    <row r="54" spans="1:142" x14ac:dyDescent="0.25">
      <c r="A54" s="316"/>
      <c r="D54" s="329">
        <f>+D52-D53</f>
        <v>0</v>
      </c>
      <c r="E54" s="329">
        <f>+E52-E53</f>
        <v>0</v>
      </c>
      <c r="F54" s="329"/>
      <c r="G54" s="329"/>
      <c r="H54" s="329">
        <f>+H52-H53</f>
        <v>0</v>
      </c>
      <c r="I54" s="329">
        <f>+I52-I53</f>
        <v>0</v>
      </c>
      <c r="J54" s="329">
        <f>+J52-J53</f>
        <v>0</v>
      </c>
      <c r="K54" s="329"/>
      <c r="L54" s="329"/>
      <c r="M54" s="329"/>
      <c r="N54" s="329"/>
      <c r="O54" s="329"/>
      <c r="P54" s="365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65"/>
      <c r="BH54" s="329"/>
      <c r="BI54" s="329"/>
      <c r="BJ54" s="329"/>
      <c r="BK54" s="329"/>
      <c r="BL54" s="329"/>
      <c r="BM54" s="329"/>
      <c r="BN54" s="365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65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65"/>
      <c r="CO54" s="365"/>
      <c r="CP54" s="365"/>
      <c r="CQ54" s="365"/>
      <c r="CR54" s="365"/>
      <c r="CS54" s="329"/>
      <c r="CT54" s="329" t="e">
        <f>+CT52-CT53</f>
        <v>#REF!</v>
      </c>
      <c r="CU54" s="329"/>
      <c r="CV54" s="329"/>
      <c r="CW54" s="329"/>
      <c r="CX54" s="329" t="e">
        <f>+CX52-CX53</f>
        <v>#REF!</v>
      </c>
      <c r="CY54" s="329"/>
      <c r="CZ54" s="329"/>
      <c r="DA54" s="329"/>
      <c r="DB54" s="329" t="e">
        <f>+DB52-DB53</f>
        <v>#REF!</v>
      </c>
      <c r="DC54" s="329"/>
      <c r="DD54" s="329"/>
      <c r="DE54" s="329" t="e">
        <f t="shared" ref="DE54:EI54" si="47">+DE52-DE53</f>
        <v>#REF!</v>
      </c>
      <c r="DF54" s="329" t="e">
        <f t="shared" si="47"/>
        <v>#REF!</v>
      </c>
      <c r="DG54" s="329" t="e">
        <f t="shared" si="47"/>
        <v>#REF!</v>
      </c>
      <c r="DH54" s="329" t="e">
        <f t="shared" si="47"/>
        <v>#REF!</v>
      </c>
      <c r="DI54" s="329" t="e">
        <f t="shared" si="47"/>
        <v>#REF!</v>
      </c>
      <c r="DJ54" s="329" t="e">
        <f t="shared" si="47"/>
        <v>#REF!</v>
      </c>
      <c r="DK54" s="329" t="e">
        <f t="shared" si="47"/>
        <v>#REF!</v>
      </c>
      <c r="DL54" s="329" t="e">
        <f t="shared" si="47"/>
        <v>#REF!</v>
      </c>
      <c r="DM54" s="329" t="e">
        <f t="shared" si="47"/>
        <v>#REF!</v>
      </c>
      <c r="DN54" s="329" t="e">
        <f t="shared" si="47"/>
        <v>#REF!</v>
      </c>
      <c r="DO54" s="329" t="e">
        <f t="shared" si="47"/>
        <v>#REF!</v>
      </c>
      <c r="DP54" s="329" t="e">
        <f t="shared" si="47"/>
        <v>#REF!</v>
      </c>
      <c r="DQ54" s="329" t="e">
        <f t="shared" si="47"/>
        <v>#REF!</v>
      </c>
      <c r="DR54" s="329" t="e">
        <f t="shared" si="47"/>
        <v>#REF!</v>
      </c>
      <c r="DS54" s="329" t="e">
        <f t="shared" si="47"/>
        <v>#REF!</v>
      </c>
      <c r="DT54" s="329" t="e">
        <f t="shared" si="47"/>
        <v>#REF!</v>
      </c>
      <c r="DU54" s="355" t="e">
        <f t="shared" si="47"/>
        <v>#REF!</v>
      </c>
      <c r="DV54" s="355"/>
      <c r="DW54" s="329" t="e">
        <f t="shared" si="47"/>
        <v>#REF!</v>
      </c>
      <c r="DX54" s="329" t="e">
        <f t="shared" si="47"/>
        <v>#REF!</v>
      </c>
      <c r="DY54" s="329" t="e">
        <f t="shared" si="47"/>
        <v>#REF!</v>
      </c>
      <c r="DZ54" s="329" t="e">
        <f t="shared" si="47"/>
        <v>#REF!</v>
      </c>
      <c r="EA54" s="329" t="e">
        <f t="shared" si="47"/>
        <v>#REF!</v>
      </c>
      <c r="EB54" s="329" t="e">
        <f t="shared" si="47"/>
        <v>#REF!</v>
      </c>
      <c r="EC54" s="329" t="e">
        <f t="shared" si="47"/>
        <v>#REF!</v>
      </c>
      <c r="ED54" s="329" t="e">
        <f>+ED52-ED53</f>
        <v>#REF!</v>
      </c>
      <c r="EE54" s="329" t="e">
        <f t="shared" si="47"/>
        <v>#REF!</v>
      </c>
      <c r="EF54" s="329" t="e">
        <f t="shared" si="47"/>
        <v>#REF!</v>
      </c>
      <c r="EG54" s="329" t="e">
        <f t="shared" si="47"/>
        <v>#REF!</v>
      </c>
      <c r="EH54" s="329" t="e">
        <f t="shared" si="47"/>
        <v>#REF!</v>
      </c>
      <c r="EI54" s="329" t="e">
        <f t="shared" si="47"/>
        <v>#REF!</v>
      </c>
      <c r="EJ54" s="343"/>
      <c r="EK54" s="343" t="e">
        <f>EK51-EK53</f>
        <v>#REF!</v>
      </c>
      <c r="EL54" s="343"/>
    </row>
    <row r="55" spans="1:142" x14ac:dyDescent="0.25">
      <c r="A55" s="316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65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65"/>
      <c r="BH55" s="329"/>
      <c r="BI55" s="329"/>
      <c r="BJ55" s="329"/>
      <c r="BK55" s="329"/>
      <c r="BL55" s="329"/>
      <c r="BM55" s="329"/>
      <c r="BN55" s="365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65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65"/>
      <c r="CO55" s="365"/>
      <c r="CP55" s="365"/>
      <c r="CQ55" s="365"/>
      <c r="CR55" s="365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29"/>
      <c r="DF55" s="329"/>
      <c r="DG55" s="329"/>
      <c r="DH55" s="329"/>
      <c r="DI55" s="329"/>
      <c r="DJ55" s="329"/>
      <c r="DK55" s="329"/>
      <c r="DL55" s="329"/>
      <c r="DM55" s="329"/>
      <c r="DN55" s="329"/>
      <c r="DO55" s="329"/>
      <c r="DP55" s="329"/>
      <c r="DQ55" s="329"/>
      <c r="DR55" s="329"/>
      <c r="DS55" s="329"/>
      <c r="DT55" s="329"/>
      <c r="DU55" s="355"/>
      <c r="DV55" s="355"/>
      <c r="DW55" s="329"/>
      <c r="DX55" s="329"/>
      <c r="DY55" s="329"/>
      <c r="DZ55" s="329"/>
      <c r="EA55" s="329"/>
      <c r="EB55" s="329"/>
      <c r="EC55" s="329"/>
      <c r="ED55" s="329"/>
      <c r="EE55" s="329"/>
      <c r="EF55" s="329"/>
      <c r="EG55" s="329"/>
      <c r="EH55" s="329"/>
      <c r="EI55" s="329"/>
    </row>
    <row r="56" spans="1:142" x14ac:dyDescent="0.25">
      <c r="A56" s="316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65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65"/>
      <c r="BH56" s="329"/>
      <c r="BI56" s="329"/>
      <c r="BJ56" s="329"/>
      <c r="BK56" s="329"/>
      <c r="BL56" s="329"/>
      <c r="BM56" s="329"/>
      <c r="BN56" s="365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65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  <c r="CN56" s="365"/>
      <c r="CO56" s="365"/>
      <c r="CP56" s="365"/>
      <c r="CQ56" s="365"/>
      <c r="CR56" s="365"/>
      <c r="CS56" s="329"/>
      <c r="CT56" s="329"/>
      <c r="CU56" s="329"/>
      <c r="CV56" s="329"/>
      <c r="CW56" s="329"/>
      <c r="CX56" s="329"/>
      <c r="CY56" s="329"/>
      <c r="CZ56" s="329"/>
      <c r="DA56" s="329"/>
      <c r="DB56" s="329"/>
      <c r="DC56" s="329"/>
      <c r="DD56" s="329"/>
      <c r="DE56" s="329"/>
      <c r="DF56" s="329"/>
      <c r="DG56" s="329"/>
      <c r="DH56" s="329"/>
      <c r="DI56" s="329"/>
      <c r="DJ56" s="329"/>
      <c r="DK56" s="329"/>
      <c r="DL56" s="329"/>
      <c r="DM56" s="329"/>
      <c r="DN56" s="329"/>
      <c r="DO56" s="329"/>
      <c r="DP56" s="329"/>
      <c r="DQ56" s="329"/>
      <c r="DR56" s="329"/>
      <c r="DS56" s="329"/>
      <c r="DT56" s="329"/>
      <c r="DU56" s="355"/>
      <c r="DV56" s="355"/>
      <c r="DW56" s="329"/>
      <c r="DX56" s="329"/>
      <c r="DY56" s="329"/>
      <c r="DZ56" s="329"/>
      <c r="EA56" s="329"/>
      <c r="EB56" s="329"/>
      <c r="EC56" s="329"/>
      <c r="ED56" s="329"/>
      <c r="EE56" s="329"/>
      <c r="EK56" s="329" t="e">
        <f>+EK53+EK55</f>
        <v>#REF!</v>
      </c>
    </row>
    <row r="57" spans="1:142" x14ac:dyDescent="0.25">
      <c r="EI57" s="329" t="e">
        <f>+#REF!-EI56</f>
        <v>#REF!</v>
      </c>
    </row>
    <row r="61" spans="1:142" x14ac:dyDescent="0.25">
      <c r="A61" s="316"/>
      <c r="DG61" s="343" t="e">
        <f>+#REF!+#REF!+#REF!+#REF!+#REF!</f>
        <v>#REF!</v>
      </c>
    </row>
  </sheetData>
  <mergeCells count="142">
    <mergeCell ref="P5:P6"/>
    <mergeCell ref="BQ5:BQ6"/>
    <mergeCell ref="BR5:BR6"/>
    <mergeCell ref="BH5:BH6"/>
    <mergeCell ref="BI5:BI6"/>
    <mergeCell ref="BJ5:BJ6"/>
    <mergeCell ref="BN5:BN6"/>
    <mergeCell ref="BO5:BO6"/>
    <mergeCell ref="BD5:BD6"/>
    <mergeCell ref="BM5:BM6"/>
    <mergeCell ref="BK5:BK6"/>
    <mergeCell ref="BP5:BP6"/>
    <mergeCell ref="BL5:BL6"/>
    <mergeCell ref="AX5:AX6"/>
    <mergeCell ref="AY5:AY6"/>
    <mergeCell ref="AZ5:AZ6"/>
    <mergeCell ref="BA5:BA6"/>
    <mergeCell ref="BB5:BB6"/>
    <mergeCell ref="BC5:BC6"/>
    <mergeCell ref="AS5:AS6"/>
    <mergeCell ref="BE5:BE6"/>
    <mergeCell ref="BG5:BG6"/>
    <mergeCell ref="AT5:AT6"/>
    <mergeCell ref="AU5:AU6"/>
    <mergeCell ref="AV5:AV6"/>
    <mergeCell ref="AW5:AW6"/>
    <mergeCell ref="BF5:BF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D5:D6"/>
    <mergeCell ref="T5:T6"/>
    <mergeCell ref="Z5:Z6"/>
    <mergeCell ref="AB5:AB6"/>
    <mergeCell ref="AC5:AC6"/>
    <mergeCell ref="U5:U6"/>
    <mergeCell ref="V5:V6"/>
    <mergeCell ref="AA5:AA6"/>
    <mergeCell ref="W5:W6"/>
    <mergeCell ref="X5:X6"/>
    <mergeCell ref="ED5:ED6"/>
    <mergeCell ref="EC5:EC6"/>
    <mergeCell ref="BS5:BS6"/>
    <mergeCell ref="DU5:DU6"/>
    <mergeCell ref="O5:O6"/>
    <mergeCell ref="A2:C2"/>
    <mergeCell ref="A3:A6"/>
    <mergeCell ref="B3:C3"/>
    <mergeCell ref="B4:C4"/>
    <mergeCell ref="B5:C5"/>
    <mergeCell ref="BX5:BX6"/>
    <mergeCell ref="BY5:BY6"/>
    <mergeCell ref="G5:G6"/>
    <mergeCell ref="J5:J6"/>
    <mergeCell ref="E5:E6"/>
    <mergeCell ref="H5:H6"/>
    <mergeCell ref="I5:I6"/>
    <mergeCell ref="F5:F6"/>
    <mergeCell ref="Y5:Y6"/>
    <mergeCell ref="AD5:AD6"/>
    <mergeCell ref="DZ5:DZ6"/>
    <mergeCell ref="EA5:EA6"/>
    <mergeCell ref="DP5:DP6"/>
    <mergeCell ref="DQ5:DQ6"/>
    <mergeCell ref="DW5:DW6"/>
    <mergeCell ref="DT5:DT6"/>
    <mergeCell ref="K5:K6"/>
    <mergeCell ref="L5:L6"/>
    <mergeCell ref="M5:M6"/>
    <mergeCell ref="N5:N6"/>
    <mergeCell ref="S5:S6"/>
    <mergeCell ref="BW5:BW6"/>
    <mergeCell ref="Q5:Q6"/>
    <mergeCell ref="R5:R6"/>
    <mergeCell ref="AE5:AE6"/>
    <mergeCell ref="AF5:AF6"/>
    <mergeCell ref="EG3:EJ3"/>
    <mergeCell ref="EJ4:EJ6"/>
    <mergeCell ref="EG2:EJ2"/>
    <mergeCell ref="EK2:EK6"/>
    <mergeCell ref="EG4:EG6"/>
    <mergeCell ref="EH4:EH6"/>
    <mergeCell ref="EI4:EI6"/>
    <mergeCell ref="DJ5:DK6"/>
    <mergeCell ref="DG5:DG6"/>
    <mergeCell ref="EE5:EE6"/>
    <mergeCell ref="EF5:EF6"/>
    <mergeCell ref="EB5:EB6"/>
    <mergeCell ref="DR5:DR6"/>
    <mergeCell ref="DS5:DS6"/>
    <mergeCell ref="DO5:DO6"/>
    <mergeCell ref="DX5:DX6"/>
    <mergeCell ref="DY5:DY6"/>
    <mergeCell ref="CK5:CK6"/>
    <mergeCell ref="CN5:CN6"/>
    <mergeCell ref="CB5:CB6"/>
    <mergeCell ref="DV5:DV6"/>
    <mergeCell ref="CV5:CV6"/>
    <mergeCell ref="DF5:DF6"/>
    <mergeCell ref="DI5:DI6"/>
    <mergeCell ref="DE5:DE6"/>
    <mergeCell ref="DB5:DB6"/>
    <mergeCell ref="DL5:DN6"/>
    <mergeCell ref="DC5:DC6"/>
    <mergeCell ref="BZ5:BZ6"/>
    <mergeCell ref="CE5:CE6"/>
    <mergeCell ref="CG5:CG6"/>
    <mergeCell ref="CJ5:CJ6"/>
    <mergeCell ref="CC5:CC6"/>
    <mergeCell ref="DA5:DA6"/>
    <mergeCell ref="CL5:CL6"/>
    <mergeCell ref="CU5:CU6"/>
    <mergeCell ref="CA5:CA6"/>
    <mergeCell ref="DD5:DD6"/>
    <mergeCell ref="CW5:CW6"/>
    <mergeCell ref="CR5:CR6"/>
    <mergeCell ref="CM5:CM6"/>
    <mergeCell ref="BT5:BT6"/>
    <mergeCell ref="CO5:CO6"/>
    <mergeCell ref="CP5:CP6"/>
    <mergeCell ref="CQ5:CQ6"/>
    <mergeCell ref="CF5:CF6"/>
    <mergeCell ref="CD5:CD6"/>
    <mergeCell ref="BU5:BU6"/>
    <mergeCell ref="BV5:BV6"/>
    <mergeCell ref="CY5:CY6"/>
    <mergeCell ref="CZ5:CZ6"/>
    <mergeCell ref="DH5:DH6"/>
    <mergeCell ref="CH5:CH6"/>
    <mergeCell ref="CI5:CI6"/>
    <mergeCell ref="CX5:CX6"/>
    <mergeCell ref="CS5:CS6"/>
    <mergeCell ref="CT5:CT6"/>
  </mergeCells>
  <phoneticPr fontId="41" type="noConversion"/>
  <printOptions horizontalCentered="1" verticalCentered="1"/>
  <pageMargins left="0.19685039370078741" right="0.19685039370078741" top="0" bottom="0" header="0.51181102362204722" footer="0.51181102362204722"/>
  <pageSetup paperSize="9" scale="55" fitToHeight="0" orientation="portrait" r:id="rId1"/>
  <headerFooter alignWithMargins="0">
    <oddHeader>&amp;C2021. évi költségvetés&amp;R&amp;A</oddHeader>
    <oddFooter>&amp;C&amp;P/&amp;N</oddFooter>
  </headerFooter>
  <colBreaks count="34" manualBreakCount="34">
    <brk id="7" max="49" man="1"/>
    <brk id="11" max="49" man="1"/>
    <brk id="16" max="49" man="1"/>
    <brk id="20" max="49" man="1"/>
    <brk id="24" max="49" man="1"/>
    <brk id="28" max="49" man="1"/>
    <brk id="32" max="49" man="1"/>
    <brk id="36" max="49" man="1"/>
    <brk id="40" max="49" man="1"/>
    <brk id="44" max="49" man="1"/>
    <brk id="48" max="49" man="1"/>
    <brk id="52" max="49" man="1"/>
    <brk id="56" max="49" man="1"/>
    <brk id="60" max="49" man="1"/>
    <brk id="64" max="49" man="1"/>
    <brk id="68" max="49" man="1"/>
    <brk id="72" max="49" man="1"/>
    <brk id="76" max="49" man="1"/>
    <brk id="80" max="49" man="1"/>
    <brk id="84" max="49" man="1"/>
    <brk id="88" max="49" man="1"/>
    <brk id="93" max="49" man="1"/>
    <brk id="97" max="49" man="1"/>
    <brk id="101" max="49" man="1"/>
    <brk id="107" max="49" man="1"/>
    <brk id="111" max="49" man="1"/>
    <brk id="115" max="49" man="1"/>
    <brk id="119" max="49" man="1"/>
    <brk id="123" max="49" man="1"/>
    <brk id="127" max="49" man="1"/>
    <brk id="130" max="49" man="1"/>
    <brk id="133" max="49" man="1"/>
    <brk id="136" max="49" man="1"/>
    <brk id="140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0"/>
  <sheetViews>
    <sheetView zoomScale="70" zoomScaleNormal="100" zoomScaleSheetLayoutView="70"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D40" sqref="D40"/>
    </sheetView>
  </sheetViews>
  <sheetFormatPr defaultRowHeight="12.75" x14ac:dyDescent="0.2"/>
  <cols>
    <col min="1" max="1" width="6.5703125" customWidth="1"/>
    <col min="2" max="2" width="70.5703125" bestFit="1" customWidth="1"/>
    <col min="4" max="4" width="17.7109375" customWidth="1"/>
    <col min="5" max="5" width="17.85546875" customWidth="1"/>
    <col min="6" max="8" width="18.140625" customWidth="1"/>
    <col min="9" max="9" width="24" customWidth="1"/>
    <col min="10" max="10" width="17.42578125" customWidth="1"/>
    <col min="11" max="11" width="17" customWidth="1"/>
    <col min="12" max="12" width="10.7109375" bestFit="1" customWidth="1"/>
  </cols>
  <sheetData>
    <row r="1" spans="1:13" ht="18.75" customHeight="1" x14ac:dyDescent="0.2">
      <c r="A1" s="292"/>
      <c r="B1" s="292"/>
      <c r="C1" s="298"/>
      <c r="D1" s="290"/>
      <c r="E1" s="290"/>
      <c r="F1" s="289"/>
      <c r="G1" s="495" t="s">
        <v>458</v>
      </c>
      <c r="H1" s="289"/>
      <c r="I1" s="289"/>
      <c r="J1" s="290"/>
      <c r="K1" s="495" t="s">
        <v>458</v>
      </c>
    </row>
    <row r="2" spans="1:13" ht="30" customHeight="1" x14ac:dyDescent="0.2">
      <c r="A2" s="1108" t="s">
        <v>144</v>
      </c>
      <c r="B2" s="1109"/>
      <c r="C2" s="1110"/>
      <c r="D2" s="1111" t="s">
        <v>1055</v>
      </c>
      <c r="E2" s="1112"/>
      <c r="F2" s="1112"/>
      <c r="G2" s="1113"/>
      <c r="H2" s="1111" t="s">
        <v>1055</v>
      </c>
      <c r="I2" s="1112"/>
      <c r="J2" s="1112"/>
      <c r="K2" s="1113"/>
    </row>
    <row r="3" spans="1:13" ht="124.5" customHeight="1" x14ac:dyDescent="0.2">
      <c r="A3" s="1104" t="s">
        <v>201</v>
      </c>
      <c r="B3" s="1105" t="s">
        <v>259</v>
      </c>
      <c r="C3" s="1105"/>
      <c r="D3" s="492" t="s">
        <v>516</v>
      </c>
      <c r="E3" s="492" t="s">
        <v>507</v>
      </c>
      <c r="F3" s="492" t="s">
        <v>507</v>
      </c>
      <c r="G3" s="491" t="s">
        <v>352</v>
      </c>
      <c r="H3" s="492" t="s">
        <v>351</v>
      </c>
      <c r="I3" s="492" t="s">
        <v>351</v>
      </c>
      <c r="J3" s="492" t="s">
        <v>351</v>
      </c>
      <c r="K3" s="1114" t="s">
        <v>146</v>
      </c>
    </row>
    <row r="4" spans="1:13" ht="27" customHeight="1" x14ac:dyDescent="0.2">
      <c r="A4" s="1104"/>
      <c r="B4" s="1105" t="s">
        <v>11</v>
      </c>
      <c r="C4" s="1105"/>
      <c r="D4" s="285" t="s">
        <v>237</v>
      </c>
      <c r="E4" s="285" t="s">
        <v>237</v>
      </c>
      <c r="F4" s="285" t="s">
        <v>237</v>
      </c>
      <c r="G4" s="285" t="s">
        <v>237</v>
      </c>
      <c r="H4" s="286" t="s">
        <v>237</v>
      </c>
      <c r="I4" s="286" t="s">
        <v>237</v>
      </c>
      <c r="J4" s="286" t="s">
        <v>237</v>
      </c>
      <c r="K4" s="1106"/>
    </row>
    <row r="5" spans="1:13" ht="23.25" customHeight="1" x14ac:dyDescent="0.2">
      <c r="A5" s="1104"/>
      <c r="B5" s="1082" t="s">
        <v>776</v>
      </c>
      <c r="C5" s="1082"/>
      <c r="D5" s="1107" t="s">
        <v>422</v>
      </c>
      <c r="E5" s="1107" t="s">
        <v>616</v>
      </c>
      <c r="F5" s="1107" t="s">
        <v>615</v>
      </c>
      <c r="G5" s="1107" t="s">
        <v>673</v>
      </c>
      <c r="H5" s="1115" t="s">
        <v>938</v>
      </c>
      <c r="I5" s="1101" t="s">
        <v>1451</v>
      </c>
      <c r="J5" s="1117" t="s">
        <v>530</v>
      </c>
      <c r="K5" s="1106"/>
    </row>
    <row r="6" spans="1:13" ht="111.75" customHeight="1" x14ac:dyDescent="0.2">
      <c r="A6" s="1104"/>
      <c r="B6" s="288" t="s">
        <v>202</v>
      </c>
      <c r="C6" s="287" t="s">
        <v>260</v>
      </c>
      <c r="D6" s="1107"/>
      <c r="E6" s="1107"/>
      <c r="F6" s="1107"/>
      <c r="G6" s="1107"/>
      <c r="H6" s="1116"/>
      <c r="I6" s="1102"/>
      <c r="J6" s="1118"/>
      <c r="K6" s="1106"/>
    </row>
    <row r="7" spans="1:13" ht="15.75" x14ac:dyDescent="0.2">
      <c r="A7" s="284" t="s">
        <v>203</v>
      </c>
      <c r="B7" s="283" t="s">
        <v>204</v>
      </c>
      <c r="C7" s="283" t="s">
        <v>205</v>
      </c>
      <c r="D7" s="534" t="s">
        <v>206</v>
      </c>
      <c r="E7" s="534" t="s">
        <v>207</v>
      </c>
      <c r="F7" s="534" t="s">
        <v>208</v>
      </c>
      <c r="G7" s="534" t="s">
        <v>209</v>
      </c>
      <c r="H7" s="534" t="s">
        <v>210</v>
      </c>
      <c r="I7" s="534" t="s">
        <v>211</v>
      </c>
      <c r="J7" s="534" t="s">
        <v>212</v>
      </c>
      <c r="K7" s="534" t="s">
        <v>213</v>
      </c>
    </row>
    <row r="8" spans="1:13" ht="21.75" customHeight="1" x14ac:dyDescent="0.25">
      <c r="A8" s="272" t="s">
        <v>203</v>
      </c>
      <c r="B8" s="282" t="s">
        <v>345</v>
      </c>
      <c r="C8" s="296" t="s">
        <v>214</v>
      </c>
      <c r="D8" s="293"/>
      <c r="E8" s="293">
        <v>129202782</v>
      </c>
      <c r="F8" s="293">
        <v>75711455</v>
      </c>
      <c r="G8" s="293"/>
      <c r="H8" s="293"/>
      <c r="I8" s="293">
        <v>1363640</v>
      </c>
      <c r="J8" s="293"/>
      <c r="K8" s="293">
        <f>D8+E8+F8+G8+J8+H8+I8</f>
        <v>206277877</v>
      </c>
      <c r="M8" s="304"/>
    </row>
    <row r="9" spans="1:13" ht="21.75" customHeight="1" x14ac:dyDescent="0.25">
      <c r="A9" s="272" t="s">
        <v>204</v>
      </c>
      <c r="B9" s="280" t="s">
        <v>215</v>
      </c>
      <c r="C9" s="296" t="s">
        <v>216</v>
      </c>
      <c r="D9" s="293"/>
      <c r="E9" s="293">
        <f>21114981+600001</f>
        <v>21714982</v>
      </c>
      <c r="F9" s="293">
        <v>12347275</v>
      </c>
      <c r="G9" s="293"/>
      <c r="H9" s="293"/>
      <c r="I9" s="293">
        <v>211364</v>
      </c>
      <c r="J9" s="293"/>
      <c r="K9" s="293">
        <f t="shared" ref="K9:K50" si="0">D9+E9+F9+G9+J9+H9+I9</f>
        <v>34273621</v>
      </c>
      <c r="M9" s="304"/>
    </row>
    <row r="10" spans="1:13" ht="21.75" customHeight="1" x14ac:dyDescent="0.25">
      <c r="A10" s="272" t="s">
        <v>205</v>
      </c>
      <c r="B10" s="280" t="s">
        <v>346</v>
      </c>
      <c r="C10" s="296" t="s">
        <v>217</v>
      </c>
      <c r="D10" s="293"/>
      <c r="E10" s="293">
        <f>15761250+1035010</f>
        <v>16796260</v>
      </c>
      <c r="F10" s="293">
        <f>8620440+936427</f>
        <v>9556867</v>
      </c>
      <c r="G10" s="293">
        <v>638100</v>
      </c>
      <c r="H10" s="293"/>
      <c r="I10" s="293"/>
      <c r="J10" s="293">
        <v>635000</v>
      </c>
      <c r="K10" s="293">
        <f t="shared" si="0"/>
        <v>27626227</v>
      </c>
      <c r="M10" s="304"/>
    </row>
    <row r="11" spans="1:13" ht="21.75" customHeight="1" x14ac:dyDescent="0.25">
      <c r="A11" s="272" t="s">
        <v>206</v>
      </c>
      <c r="B11" s="279" t="s">
        <v>347</v>
      </c>
      <c r="C11" s="296" t="s">
        <v>218</v>
      </c>
      <c r="D11" s="293"/>
      <c r="E11" s="293"/>
      <c r="F11" s="293"/>
      <c r="G11" s="293"/>
      <c r="H11" s="293"/>
      <c r="I11" s="293"/>
      <c r="J11" s="293"/>
      <c r="K11" s="293">
        <f t="shared" si="0"/>
        <v>0</v>
      </c>
    </row>
    <row r="12" spans="1:13" ht="21.75" customHeight="1" x14ac:dyDescent="0.25">
      <c r="A12" s="272" t="s">
        <v>207</v>
      </c>
      <c r="B12" s="279" t="s">
        <v>249</v>
      </c>
      <c r="C12" s="296" t="s">
        <v>219</v>
      </c>
      <c r="D12" s="293">
        <f t="shared" ref="D12:J12" si="1">SUM(D13:D15)</f>
        <v>0</v>
      </c>
      <c r="E12" s="293">
        <f t="shared" si="1"/>
        <v>0</v>
      </c>
      <c r="F12" s="293">
        <f t="shared" si="1"/>
        <v>0</v>
      </c>
      <c r="G12" s="293">
        <f t="shared" si="1"/>
        <v>0</v>
      </c>
      <c r="H12" s="293">
        <f t="shared" si="1"/>
        <v>0</v>
      </c>
      <c r="I12" s="293">
        <f t="shared" si="1"/>
        <v>0</v>
      </c>
      <c r="J12" s="293">
        <f t="shared" si="1"/>
        <v>0</v>
      </c>
      <c r="K12" s="293">
        <f t="shared" si="0"/>
        <v>0</v>
      </c>
    </row>
    <row r="13" spans="1:13" ht="21.75" customHeight="1" x14ac:dyDescent="0.25">
      <c r="A13" s="272" t="s">
        <v>208</v>
      </c>
      <c r="B13" s="281" t="s">
        <v>133</v>
      </c>
      <c r="C13" s="296"/>
      <c r="D13" s="293"/>
      <c r="E13" s="293"/>
      <c r="F13" s="293"/>
      <c r="G13" s="293"/>
      <c r="H13" s="293"/>
      <c r="I13" s="293"/>
      <c r="J13" s="293"/>
      <c r="K13" s="293">
        <f t="shared" si="0"/>
        <v>0</v>
      </c>
    </row>
    <row r="14" spans="1:13" ht="21.75" customHeight="1" x14ac:dyDescent="0.25">
      <c r="A14" s="272" t="s">
        <v>209</v>
      </c>
      <c r="B14" s="281" t="s">
        <v>123</v>
      </c>
      <c r="C14" s="297"/>
      <c r="D14" s="293"/>
      <c r="E14" s="293"/>
      <c r="F14" s="293"/>
      <c r="G14" s="293"/>
      <c r="H14" s="293"/>
      <c r="I14" s="293"/>
      <c r="J14" s="293"/>
      <c r="K14" s="293">
        <f t="shared" si="0"/>
        <v>0</v>
      </c>
    </row>
    <row r="15" spans="1:13" ht="21.75" customHeight="1" x14ac:dyDescent="0.25">
      <c r="A15" s="272" t="s">
        <v>210</v>
      </c>
      <c r="B15" s="130" t="s">
        <v>582</v>
      </c>
      <c r="C15" s="297"/>
      <c r="D15" s="293"/>
      <c r="E15" s="293"/>
      <c r="F15" s="293"/>
      <c r="G15" s="293"/>
      <c r="H15" s="293"/>
      <c r="I15" s="293"/>
      <c r="J15" s="293"/>
      <c r="K15" s="293">
        <f t="shared" si="0"/>
        <v>0</v>
      </c>
    </row>
    <row r="16" spans="1:13" ht="21.75" customHeight="1" x14ac:dyDescent="0.25">
      <c r="A16" s="272" t="s">
        <v>211</v>
      </c>
      <c r="B16" s="278" t="s">
        <v>256</v>
      </c>
      <c r="C16" s="296" t="s">
        <v>220</v>
      </c>
      <c r="D16" s="293"/>
      <c r="E16" s="293">
        <f>+'6.sz. Beruházások'!E96</f>
        <v>444500</v>
      </c>
      <c r="F16" s="293">
        <f>+'6.sz. Beruházások'!E97</f>
        <v>381000</v>
      </c>
      <c r="G16" s="293"/>
      <c r="H16" s="293"/>
      <c r="I16" s="293"/>
      <c r="J16" s="293"/>
      <c r="K16" s="293">
        <f t="shared" si="0"/>
        <v>825500</v>
      </c>
    </row>
    <row r="17" spans="1:11" ht="21.75" customHeight="1" x14ac:dyDescent="0.25">
      <c r="A17" s="272" t="s">
        <v>212</v>
      </c>
      <c r="B17" s="279" t="s">
        <v>348</v>
      </c>
      <c r="C17" s="296" t="s">
        <v>221</v>
      </c>
      <c r="D17" s="293"/>
      <c r="E17" s="293"/>
      <c r="F17" s="293"/>
      <c r="G17" s="293"/>
      <c r="H17" s="293"/>
      <c r="I17" s="293"/>
      <c r="J17" s="293"/>
      <c r="K17" s="293">
        <f t="shared" si="0"/>
        <v>0</v>
      </c>
    </row>
    <row r="18" spans="1:11" ht="21.75" customHeight="1" x14ac:dyDescent="0.25">
      <c r="A18" s="272" t="s">
        <v>213</v>
      </c>
      <c r="B18" s="279" t="s">
        <v>250</v>
      </c>
      <c r="C18" s="296" t="s">
        <v>222</v>
      </c>
      <c r="D18" s="293"/>
      <c r="E18" s="293"/>
      <c r="F18" s="293"/>
      <c r="G18" s="293"/>
      <c r="H18" s="293"/>
      <c r="I18" s="293"/>
      <c r="J18" s="293"/>
      <c r="K18" s="293">
        <f t="shared" si="0"/>
        <v>0</v>
      </c>
    </row>
    <row r="19" spans="1:11" ht="21.75" customHeight="1" x14ac:dyDescent="0.25">
      <c r="A19" s="272" t="s">
        <v>240</v>
      </c>
      <c r="B19" s="281" t="s">
        <v>132</v>
      </c>
      <c r="C19" s="296"/>
      <c r="D19" s="293"/>
      <c r="E19" s="293"/>
      <c r="F19" s="293"/>
      <c r="G19" s="293"/>
      <c r="H19" s="293"/>
      <c r="I19" s="293"/>
      <c r="J19" s="293"/>
      <c r="K19" s="293">
        <f t="shared" si="0"/>
        <v>0</v>
      </c>
    </row>
    <row r="20" spans="1:11" ht="21.75" customHeight="1" x14ac:dyDescent="0.25">
      <c r="A20" s="272" t="s">
        <v>241</v>
      </c>
      <c r="B20" s="278" t="s">
        <v>251</v>
      </c>
      <c r="C20" s="296" t="s">
        <v>223</v>
      </c>
      <c r="D20" s="293">
        <f t="shared" ref="D20:J20" si="2">+D8+D9+D10+D11+D12+D16+D17+D18</f>
        <v>0</v>
      </c>
      <c r="E20" s="293">
        <f t="shared" si="2"/>
        <v>168158524</v>
      </c>
      <c r="F20" s="293">
        <f t="shared" si="2"/>
        <v>97996597</v>
      </c>
      <c r="G20" s="293">
        <f t="shared" si="2"/>
        <v>638100</v>
      </c>
      <c r="H20" s="293">
        <f t="shared" si="2"/>
        <v>0</v>
      </c>
      <c r="I20" s="293">
        <f>+I8+I9+I10+I11+I12+I16+I17+I18</f>
        <v>1575004</v>
      </c>
      <c r="J20" s="293">
        <f t="shared" si="2"/>
        <v>635000</v>
      </c>
      <c r="K20" s="293">
        <f t="shared" si="0"/>
        <v>269003225</v>
      </c>
    </row>
    <row r="21" spans="1:11" ht="21.75" customHeight="1" x14ac:dyDescent="0.25">
      <c r="A21" s="272" t="s">
        <v>242</v>
      </c>
      <c r="B21" s="278" t="s">
        <v>236</v>
      </c>
      <c r="C21" s="296" t="s">
        <v>232</v>
      </c>
      <c r="D21" s="293">
        <f t="shared" ref="D21:J21" si="3">SUM(D22:D25)</f>
        <v>0</v>
      </c>
      <c r="E21" s="293">
        <f t="shared" si="3"/>
        <v>0</v>
      </c>
      <c r="F21" s="293">
        <f t="shared" si="3"/>
        <v>0</v>
      </c>
      <c r="G21" s="293">
        <f t="shared" si="3"/>
        <v>0</v>
      </c>
      <c r="H21" s="293">
        <f t="shared" si="3"/>
        <v>0</v>
      </c>
      <c r="I21" s="293">
        <f>SUM(I22:I25)</f>
        <v>0</v>
      </c>
      <c r="J21" s="293">
        <f t="shared" si="3"/>
        <v>0</v>
      </c>
      <c r="K21" s="293">
        <f t="shared" si="0"/>
        <v>0</v>
      </c>
    </row>
    <row r="22" spans="1:11" ht="21.75" customHeight="1" x14ac:dyDescent="0.25">
      <c r="A22" s="272" t="s">
        <v>243</v>
      </c>
      <c r="B22" s="132" t="s">
        <v>191</v>
      </c>
      <c r="C22" s="297"/>
      <c r="D22" s="293"/>
      <c r="E22" s="293"/>
      <c r="F22" s="293"/>
      <c r="G22" s="293"/>
      <c r="H22" s="293"/>
      <c r="I22" s="293"/>
      <c r="J22" s="293"/>
      <c r="K22" s="293">
        <f t="shared" si="0"/>
        <v>0</v>
      </c>
    </row>
    <row r="23" spans="1:11" ht="21.75" customHeight="1" x14ac:dyDescent="0.25">
      <c r="A23" s="272" t="s">
        <v>244</v>
      </c>
      <c r="B23" s="277" t="s">
        <v>585</v>
      </c>
      <c r="C23" s="297"/>
      <c r="D23" s="293"/>
      <c r="E23" s="293"/>
      <c r="F23" s="293"/>
      <c r="G23" s="293"/>
      <c r="H23" s="293"/>
      <c r="I23" s="293"/>
      <c r="J23" s="293"/>
      <c r="K23" s="293">
        <f t="shared" si="0"/>
        <v>0</v>
      </c>
    </row>
    <row r="24" spans="1:11" ht="21.75" customHeight="1" x14ac:dyDescent="0.25">
      <c r="A24" s="272" t="s">
        <v>245</v>
      </c>
      <c r="B24" s="277" t="s">
        <v>586</v>
      </c>
      <c r="C24" s="297"/>
      <c r="D24" s="293"/>
      <c r="E24" s="293"/>
      <c r="F24" s="293"/>
      <c r="G24" s="293"/>
      <c r="H24" s="293"/>
      <c r="I24" s="293"/>
      <c r="J24" s="293"/>
      <c r="K24" s="293">
        <f t="shared" si="0"/>
        <v>0</v>
      </c>
    </row>
    <row r="25" spans="1:11" ht="21.75" customHeight="1" x14ac:dyDescent="0.25">
      <c r="A25" s="272" t="s">
        <v>246</v>
      </c>
      <c r="B25" s="277" t="s">
        <v>134</v>
      </c>
      <c r="C25" s="297"/>
      <c r="D25" s="293"/>
      <c r="E25" s="293"/>
      <c r="F25" s="293"/>
      <c r="G25" s="293"/>
      <c r="H25" s="293"/>
      <c r="I25" s="293"/>
      <c r="J25" s="293"/>
      <c r="K25" s="293">
        <f t="shared" si="0"/>
        <v>0</v>
      </c>
    </row>
    <row r="26" spans="1:11" ht="21.75" customHeight="1" x14ac:dyDescent="0.25">
      <c r="A26" s="272" t="s">
        <v>247</v>
      </c>
      <c r="B26" s="338" t="s">
        <v>889</v>
      </c>
      <c r="C26" s="297"/>
      <c r="D26" s="293"/>
      <c r="E26" s="293"/>
      <c r="F26" s="293"/>
      <c r="G26" s="293"/>
      <c r="H26" s="293"/>
      <c r="I26" s="293"/>
      <c r="J26" s="293"/>
      <c r="K26" s="293">
        <f t="shared" si="0"/>
        <v>0</v>
      </c>
    </row>
    <row r="27" spans="1:11" ht="21.75" customHeight="1" x14ac:dyDescent="0.25">
      <c r="A27" s="272" t="s">
        <v>248</v>
      </c>
      <c r="B27" s="275" t="s">
        <v>32</v>
      </c>
      <c r="C27" s="296"/>
      <c r="D27" s="295">
        <f t="shared" ref="D27:J27" si="4">+D8+D9+D10+D11+D12+D22+D23</f>
        <v>0</v>
      </c>
      <c r="E27" s="295">
        <f t="shared" si="4"/>
        <v>167714024</v>
      </c>
      <c r="F27" s="295">
        <f t="shared" si="4"/>
        <v>97615597</v>
      </c>
      <c r="G27" s="295">
        <f t="shared" si="4"/>
        <v>638100</v>
      </c>
      <c r="H27" s="295">
        <f t="shared" si="4"/>
        <v>0</v>
      </c>
      <c r="I27" s="295">
        <f>+I8+I9+I10+I11+I12+I22+I23</f>
        <v>1575004</v>
      </c>
      <c r="J27" s="295">
        <f t="shared" si="4"/>
        <v>635000</v>
      </c>
      <c r="K27" s="293">
        <f t="shared" si="0"/>
        <v>268177725</v>
      </c>
    </row>
    <row r="28" spans="1:11" ht="21.75" customHeight="1" x14ac:dyDescent="0.25">
      <c r="A28" s="272" t="s">
        <v>276</v>
      </c>
      <c r="B28" s="275" t="s">
        <v>33</v>
      </c>
      <c r="C28" s="296"/>
      <c r="D28" s="295">
        <f t="shared" ref="D28:J28" si="5">+D16+D17+D18+D24+D25</f>
        <v>0</v>
      </c>
      <c r="E28" s="295">
        <f t="shared" si="5"/>
        <v>444500</v>
      </c>
      <c r="F28" s="295">
        <f t="shared" si="5"/>
        <v>381000</v>
      </c>
      <c r="G28" s="295">
        <f t="shared" si="5"/>
        <v>0</v>
      </c>
      <c r="H28" s="295">
        <f t="shared" si="5"/>
        <v>0</v>
      </c>
      <c r="I28" s="295">
        <f>+I16+I17+I18+I24+I25</f>
        <v>0</v>
      </c>
      <c r="J28" s="295">
        <f t="shared" si="5"/>
        <v>0</v>
      </c>
      <c r="K28" s="293">
        <f t="shared" si="0"/>
        <v>825500</v>
      </c>
    </row>
    <row r="29" spans="1:11" ht="21.75" customHeight="1" x14ac:dyDescent="0.25">
      <c r="A29" s="272" t="s">
        <v>277</v>
      </c>
      <c r="B29" s="275" t="s">
        <v>343</v>
      </c>
      <c r="C29" s="296" t="s">
        <v>31</v>
      </c>
      <c r="D29" s="295">
        <f t="shared" ref="D29:J29" si="6">SUM(D27:D28)</f>
        <v>0</v>
      </c>
      <c r="E29" s="295">
        <f t="shared" si="6"/>
        <v>168158524</v>
      </c>
      <c r="F29" s="295">
        <f t="shared" si="6"/>
        <v>97996597</v>
      </c>
      <c r="G29" s="295">
        <f t="shared" si="6"/>
        <v>638100</v>
      </c>
      <c r="H29" s="295">
        <f t="shared" si="6"/>
        <v>0</v>
      </c>
      <c r="I29" s="295">
        <f>SUM(I27:I28)</f>
        <v>1575004</v>
      </c>
      <c r="J29" s="295">
        <f t="shared" si="6"/>
        <v>635000</v>
      </c>
      <c r="K29" s="293">
        <f t="shared" si="0"/>
        <v>269003225</v>
      </c>
    </row>
    <row r="30" spans="1:11" ht="21.75" customHeight="1" x14ac:dyDescent="0.25">
      <c r="A30" s="272" t="s">
        <v>278</v>
      </c>
      <c r="B30" s="280" t="s">
        <v>52</v>
      </c>
      <c r="C30" s="278" t="s">
        <v>224</v>
      </c>
      <c r="D30" s="293"/>
      <c r="E30" s="293"/>
      <c r="F30" s="293"/>
      <c r="G30" s="293"/>
      <c r="H30" s="293"/>
      <c r="I30" s="293"/>
      <c r="J30" s="293"/>
      <c r="K30" s="293">
        <f t="shared" si="0"/>
        <v>0</v>
      </c>
    </row>
    <row r="31" spans="1:11" ht="21.75" customHeight="1" x14ac:dyDescent="0.25">
      <c r="A31" s="272" t="s">
        <v>279</v>
      </c>
      <c r="B31" s="280" t="s">
        <v>235</v>
      </c>
      <c r="C31" s="278" t="s">
        <v>225</v>
      </c>
      <c r="D31" s="293"/>
      <c r="E31" s="293"/>
      <c r="F31" s="293"/>
      <c r="G31" s="293"/>
      <c r="H31" s="293"/>
      <c r="I31" s="293"/>
      <c r="J31" s="293"/>
      <c r="K31" s="293">
        <f t="shared" si="0"/>
        <v>0</v>
      </c>
    </row>
    <row r="32" spans="1:11" ht="21.75" customHeight="1" x14ac:dyDescent="0.25">
      <c r="A32" s="272" t="s">
        <v>280</v>
      </c>
      <c r="B32" s="280" t="s">
        <v>234</v>
      </c>
      <c r="C32" s="278" t="s">
        <v>226</v>
      </c>
      <c r="D32" s="293"/>
      <c r="E32" s="293"/>
      <c r="F32" s="293"/>
      <c r="G32" s="293"/>
      <c r="H32" s="293"/>
      <c r="I32" s="293"/>
      <c r="J32" s="293"/>
      <c r="K32" s="293">
        <f t="shared" si="0"/>
        <v>0</v>
      </c>
    </row>
    <row r="33" spans="1:11" ht="21.75" customHeight="1" x14ac:dyDescent="0.25">
      <c r="A33" s="272" t="s">
        <v>281</v>
      </c>
      <c r="B33" s="279" t="s">
        <v>0</v>
      </c>
      <c r="C33" s="278" t="s">
        <v>227</v>
      </c>
      <c r="D33" s="293"/>
      <c r="E33" s="293">
        <v>10</v>
      </c>
      <c r="F33" s="293"/>
      <c r="G33" s="293"/>
      <c r="H33" s="293"/>
      <c r="I33" s="293"/>
      <c r="J33" s="293">
        <v>635000</v>
      </c>
      <c r="K33" s="293">
        <f t="shared" si="0"/>
        <v>635010</v>
      </c>
    </row>
    <row r="34" spans="1:11" ht="21.75" customHeight="1" x14ac:dyDescent="0.25">
      <c r="A34" s="272" t="s">
        <v>282</v>
      </c>
      <c r="B34" s="280" t="s">
        <v>257</v>
      </c>
      <c r="C34" s="278" t="s">
        <v>228</v>
      </c>
      <c r="D34" s="293"/>
      <c r="E34" s="293"/>
      <c r="F34" s="293"/>
      <c r="G34" s="293"/>
      <c r="H34" s="293"/>
      <c r="I34" s="293"/>
      <c r="J34" s="293"/>
      <c r="K34" s="293">
        <f t="shared" si="0"/>
        <v>0</v>
      </c>
    </row>
    <row r="35" spans="1:11" ht="21.75" customHeight="1" x14ac:dyDescent="0.25">
      <c r="A35" s="272" t="s">
        <v>283</v>
      </c>
      <c r="B35" s="280" t="s">
        <v>252</v>
      </c>
      <c r="C35" s="278" t="s">
        <v>229</v>
      </c>
      <c r="D35" s="293"/>
      <c r="E35" s="293"/>
      <c r="F35" s="293"/>
      <c r="G35" s="293"/>
      <c r="H35" s="293"/>
      <c r="I35" s="293"/>
      <c r="J35" s="293"/>
      <c r="K35" s="293">
        <f t="shared" si="0"/>
        <v>0</v>
      </c>
    </row>
    <row r="36" spans="1:11" ht="21.75" customHeight="1" x14ac:dyDescent="0.25">
      <c r="A36" s="272" t="s">
        <v>284</v>
      </c>
      <c r="B36" s="280" t="s">
        <v>253</v>
      </c>
      <c r="C36" s="278" t="s">
        <v>230</v>
      </c>
      <c r="D36" s="293"/>
      <c r="E36" s="293"/>
      <c r="F36" s="293"/>
      <c r="G36" s="293"/>
      <c r="H36" s="293"/>
      <c r="I36" s="293"/>
      <c r="J36" s="293"/>
      <c r="K36" s="293">
        <f t="shared" si="0"/>
        <v>0</v>
      </c>
    </row>
    <row r="37" spans="1:11" ht="21.75" customHeight="1" x14ac:dyDescent="0.25">
      <c r="A37" s="272" t="s">
        <v>285</v>
      </c>
      <c r="B37" s="279" t="s">
        <v>254</v>
      </c>
      <c r="C37" s="278" t="s">
        <v>231</v>
      </c>
      <c r="D37" s="293">
        <f t="shared" ref="D37:J37" si="7">+D30+D31+D32+D33+D34+D35+D36</f>
        <v>0</v>
      </c>
      <c r="E37" s="293">
        <f t="shared" si="7"/>
        <v>10</v>
      </c>
      <c r="F37" s="293">
        <f t="shared" si="7"/>
        <v>0</v>
      </c>
      <c r="G37" s="293">
        <f t="shared" si="7"/>
        <v>0</v>
      </c>
      <c r="H37" s="293">
        <f t="shared" si="7"/>
        <v>0</v>
      </c>
      <c r="I37" s="293">
        <f>+I30+I31+I32+I33+I34+I35+I36</f>
        <v>0</v>
      </c>
      <c r="J37" s="293">
        <f t="shared" si="7"/>
        <v>635000</v>
      </c>
      <c r="K37" s="293">
        <f t="shared" si="0"/>
        <v>635010</v>
      </c>
    </row>
    <row r="38" spans="1:11" ht="21.75" customHeight="1" x14ac:dyDescent="0.25">
      <c r="A38" s="272" t="s">
        <v>286</v>
      </c>
      <c r="B38" s="278" t="s">
        <v>255</v>
      </c>
      <c r="C38" s="296" t="s">
        <v>233</v>
      </c>
      <c r="D38" s="293">
        <f t="shared" ref="D38:J38" si="8">SUM(D40:D44)</f>
        <v>268368215</v>
      </c>
      <c r="E38" s="293">
        <f t="shared" si="8"/>
        <v>0</v>
      </c>
      <c r="F38" s="293">
        <f t="shared" si="8"/>
        <v>0</v>
      </c>
      <c r="G38" s="293">
        <f t="shared" si="8"/>
        <v>0</v>
      </c>
      <c r="H38" s="293">
        <f t="shared" si="8"/>
        <v>0</v>
      </c>
      <c r="I38" s="293">
        <f>SUM(I40:I44)</f>
        <v>0</v>
      </c>
      <c r="J38" s="293">
        <f t="shared" si="8"/>
        <v>0</v>
      </c>
      <c r="K38" s="293">
        <f t="shared" si="0"/>
        <v>268368215</v>
      </c>
    </row>
    <row r="39" spans="1:11" ht="21.75" customHeight="1" x14ac:dyDescent="0.25">
      <c r="A39" s="272" t="s">
        <v>287</v>
      </c>
      <c r="B39" s="132" t="s">
        <v>609</v>
      </c>
      <c r="C39" s="296"/>
      <c r="D39" s="293"/>
      <c r="E39" s="293"/>
      <c r="F39" s="293"/>
      <c r="G39" s="293"/>
      <c r="H39" s="293"/>
      <c r="I39" s="293"/>
      <c r="J39" s="293"/>
      <c r="K39" s="293">
        <f t="shared" si="0"/>
        <v>0</v>
      </c>
    </row>
    <row r="40" spans="1:11" ht="21.75" customHeight="1" x14ac:dyDescent="0.25">
      <c r="A40" s="272" t="s">
        <v>288</v>
      </c>
      <c r="B40" s="277" t="s">
        <v>932</v>
      </c>
      <c r="C40" s="297"/>
      <c r="D40" s="293">
        <f>1971437+836035</f>
        <v>2807472</v>
      </c>
      <c r="E40" s="293"/>
      <c r="F40" s="293"/>
      <c r="G40" s="293"/>
      <c r="H40" s="293"/>
      <c r="I40" s="293"/>
      <c r="J40" s="293"/>
      <c r="K40" s="293">
        <f t="shared" si="0"/>
        <v>2807472</v>
      </c>
    </row>
    <row r="41" spans="1:11" ht="21.75" customHeight="1" x14ac:dyDescent="0.25">
      <c r="A41" s="272" t="s">
        <v>292</v>
      </c>
      <c r="B41" s="277" t="s">
        <v>933</v>
      </c>
      <c r="C41" s="297"/>
      <c r="D41" s="293"/>
      <c r="E41" s="293"/>
      <c r="F41" s="293"/>
      <c r="G41" s="293"/>
      <c r="H41" s="293"/>
      <c r="I41" s="293"/>
      <c r="J41" s="293"/>
      <c r="K41" s="293">
        <f t="shared" si="0"/>
        <v>0</v>
      </c>
    </row>
    <row r="42" spans="1:11" ht="21.75" customHeight="1" x14ac:dyDescent="0.25">
      <c r="A42" s="272" t="s">
        <v>293</v>
      </c>
      <c r="B42" s="277" t="s">
        <v>570</v>
      </c>
      <c r="C42" s="297"/>
      <c r="D42" s="293">
        <f>+K27-K30-K32-K33-K35-K40</f>
        <v>264735243</v>
      </c>
      <c r="E42" s="293"/>
      <c r="F42" s="293"/>
      <c r="G42" s="293"/>
      <c r="H42" s="293"/>
      <c r="I42" s="293"/>
      <c r="J42" s="293"/>
      <c r="K42" s="293">
        <f t="shared" si="0"/>
        <v>264735243</v>
      </c>
    </row>
    <row r="43" spans="1:11" ht="21.75" customHeight="1" x14ac:dyDescent="0.25">
      <c r="A43" s="272" t="s">
        <v>294</v>
      </c>
      <c r="B43" s="277" t="s">
        <v>571</v>
      </c>
      <c r="C43" s="297"/>
      <c r="D43" s="293">
        <f>+K28-K31-K34-K36-K41</f>
        <v>825500</v>
      </c>
      <c r="E43" s="293"/>
      <c r="F43" s="293"/>
      <c r="G43" s="293"/>
      <c r="H43" s="293"/>
      <c r="I43" s="293"/>
      <c r="J43" s="293"/>
      <c r="K43" s="293">
        <f t="shared" si="0"/>
        <v>825500</v>
      </c>
    </row>
    <row r="44" spans="1:11" ht="21.75" customHeight="1" x14ac:dyDescent="0.25">
      <c r="A44" s="272" t="s">
        <v>295</v>
      </c>
      <c r="B44" s="132" t="s">
        <v>608</v>
      </c>
      <c r="C44" s="297"/>
      <c r="D44" s="293"/>
      <c r="E44" s="293"/>
      <c r="F44" s="293"/>
      <c r="G44" s="293"/>
      <c r="H44" s="293"/>
      <c r="I44" s="293"/>
      <c r="J44" s="293"/>
      <c r="K44" s="293">
        <f t="shared" si="0"/>
        <v>0</v>
      </c>
    </row>
    <row r="45" spans="1:11" ht="21.75" customHeight="1" x14ac:dyDescent="0.25">
      <c r="A45" s="272" t="s">
        <v>296</v>
      </c>
      <c r="B45" s="132" t="s">
        <v>888</v>
      </c>
      <c r="C45" s="297"/>
      <c r="D45" s="293"/>
      <c r="E45" s="293"/>
      <c r="F45" s="293"/>
      <c r="G45" s="293"/>
      <c r="H45" s="293"/>
      <c r="I45" s="293"/>
      <c r="J45" s="293"/>
      <c r="K45" s="293">
        <f t="shared" si="0"/>
        <v>0</v>
      </c>
    </row>
    <row r="46" spans="1:11" s="163" customFormat="1" ht="21.75" customHeight="1" x14ac:dyDescent="0.25">
      <c r="A46" s="272" t="s">
        <v>297</v>
      </c>
      <c r="B46" s="275" t="s">
        <v>120</v>
      </c>
      <c r="C46" s="296"/>
      <c r="D46" s="295">
        <f t="shared" ref="D46:J46" si="9">+D30+D32+D33+D35+D40+D42</f>
        <v>267542715</v>
      </c>
      <c r="E46" s="295">
        <f t="shared" si="9"/>
        <v>10</v>
      </c>
      <c r="F46" s="295">
        <f t="shared" si="9"/>
        <v>0</v>
      </c>
      <c r="G46" s="295">
        <f t="shared" si="9"/>
        <v>0</v>
      </c>
      <c r="H46" s="295">
        <f t="shared" si="9"/>
        <v>0</v>
      </c>
      <c r="I46" s="295">
        <f>+I30+I32+I33+I35+I40+I42</f>
        <v>0</v>
      </c>
      <c r="J46" s="295">
        <f t="shared" si="9"/>
        <v>635000</v>
      </c>
      <c r="K46" s="293">
        <f t="shared" si="0"/>
        <v>268177725</v>
      </c>
    </row>
    <row r="47" spans="1:11" s="163" customFormat="1" ht="21.75" customHeight="1" x14ac:dyDescent="0.25">
      <c r="A47" s="272" t="s">
        <v>298</v>
      </c>
      <c r="B47" s="275" t="s">
        <v>121</v>
      </c>
      <c r="C47" s="296"/>
      <c r="D47" s="295">
        <f t="shared" ref="D47:J47" si="10">+D31+D34+D36+D41+D428+D44+D43</f>
        <v>825500</v>
      </c>
      <c r="E47" s="295">
        <f t="shared" si="10"/>
        <v>0</v>
      </c>
      <c r="F47" s="295">
        <f t="shared" si="10"/>
        <v>0</v>
      </c>
      <c r="G47" s="295">
        <f t="shared" si="10"/>
        <v>0</v>
      </c>
      <c r="H47" s="295">
        <f t="shared" si="10"/>
        <v>0</v>
      </c>
      <c r="I47" s="295">
        <f>+I31+I34+I36+I41+I428+I44+I43</f>
        <v>0</v>
      </c>
      <c r="J47" s="295">
        <f t="shared" si="10"/>
        <v>0</v>
      </c>
      <c r="K47" s="293">
        <f t="shared" si="0"/>
        <v>825500</v>
      </c>
    </row>
    <row r="48" spans="1:11" s="163" customFormat="1" ht="21.75" customHeight="1" x14ac:dyDescent="0.25">
      <c r="A48" s="272" t="s">
        <v>299</v>
      </c>
      <c r="B48" s="275" t="s">
        <v>344</v>
      </c>
      <c r="C48" s="296"/>
      <c r="D48" s="295">
        <f t="shared" ref="D48:J48" si="11">+D46+D47</f>
        <v>268368215</v>
      </c>
      <c r="E48" s="295">
        <f t="shared" si="11"/>
        <v>10</v>
      </c>
      <c r="F48" s="295">
        <f t="shared" si="11"/>
        <v>0</v>
      </c>
      <c r="G48" s="295">
        <f t="shared" si="11"/>
        <v>0</v>
      </c>
      <c r="H48" s="295">
        <f t="shared" si="11"/>
        <v>0</v>
      </c>
      <c r="I48" s="295">
        <f>+I46+I47</f>
        <v>0</v>
      </c>
      <c r="J48" s="295">
        <f t="shared" si="11"/>
        <v>635000</v>
      </c>
      <c r="K48" s="293">
        <f t="shared" si="0"/>
        <v>269003225</v>
      </c>
    </row>
    <row r="49" spans="1:11" ht="21.75" customHeight="1" x14ac:dyDescent="0.25">
      <c r="A49" s="272" t="s">
        <v>300</v>
      </c>
      <c r="B49" s="585" t="s">
        <v>465</v>
      </c>
      <c r="C49" s="294"/>
      <c r="D49" s="293"/>
      <c r="E49" s="293">
        <v>29</v>
      </c>
      <c r="F49" s="293">
        <v>16</v>
      </c>
      <c r="G49" s="293"/>
      <c r="H49" s="293"/>
      <c r="I49" s="293"/>
      <c r="J49" s="293">
        <v>0</v>
      </c>
      <c r="K49" s="293">
        <f t="shared" si="0"/>
        <v>45</v>
      </c>
    </row>
    <row r="50" spans="1:11" ht="21.75" customHeight="1" x14ac:dyDescent="0.25">
      <c r="A50" s="272" t="s">
        <v>301</v>
      </c>
      <c r="B50" s="65" t="s">
        <v>1047</v>
      </c>
      <c r="C50" s="294"/>
      <c r="D50" s="293"/>
      <c r="E50" s="270"/>
      <c r="F50" s="270"/>
      <c r="G50" s="270"/>
      <c r="H50" s="270"/>
      <c r="I50" s="270"/>
      <c r="J50" s="293"/>
      <c r="K50" s="293">
        <f t="shared" si="0"/>
        <v>0</v>
      </c>
    </row>
  </sheetData>
  <mergeCells count="15">
    <mergeCell ref="F5:F6"/>
    <mergeCell ref="G5:G6"/>
    <mergeCell ref="E5:E6"/>
    <mergeCell ref="I5:I6"/>
    <mergeCell ref="A3:A6"/>
    <mergeCell ref="D2:G2"/>
    <mergeCell ref="H2:K2"/>
    <mergeCell ref="B3:C3"/>
    <mergeCell ref="B4:C4"/>
    <mergeCell ref="B5:C5"/>
    <mergeCell ref="K3:K6"/>
    <mergeCell ref="A2:C2"/>
    <mergeCell ref="H5:H6"/>
    <mergeCell ref="D5:D6"/>
    <mergeCell ref="J5:J6"/>
  </mergeCells>
  <phoneticPr fontId="41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5" orientation="portrait" r:id="rId1"/>
  <headerFooter>
    <oddHeader>&amp;C2021. évi költségvetés&amp;R&amp;A</oddHeader>
    <oddFooter>&amp;C&amp;P/&amp;N</oddFooter>
  </headerFooter>
  <colBreaks count="1" manualBreakCount="1">
    <brk id="7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U54"/>
  <sheetViews>
    <sheetView zoomScale="71" zoomScaleNormal="100" zoomScaleSheetLayoutView="71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G40" sqref="G40:G41"/>
    </sheetView>
  </sheetViews>
  <sheetFormatPr defaultRowHeight="15.75" x14ac:dyDescent="0.25"/>
  <cols>
    <col min="1" max="1" width="7" style="24" customWidth="1"/>
    <col min="2" max="2" width="65.7109375" style="24" customWidth="1"/>
    <col min="3" max="3" width="7.85546875" style="24" customWidth="1"/>
    <col min="4" max="4" width="18.28515625" style="4" customWidth="1"/>
    <col min="5" max="6" width="16.42578125" style="4" customWidth="1"/>
    <col min="7" max="7" width="19.140625" style="4" customWidth="1"/>
    <col min="8" max="8" width="14.7109375" style="24" customWidth="1"/>
    <col min="9" max="9" width="17.140625" style="24" customWidth="1"/>
    <col min="10" max="10" width="17.42578125" style="24" bestFit="1" customWidth="1"/>
    <col min="11" max="16384" width="9.140625" style="24"/>
  </cols>
  <sheetData>
    <row r="1" spans="1:125" x14ac:dyDescent="0.25">
      <c r="A1" s="254"/>
      <c r="B1" s="254"/>
      <c r="C1" s="254"/>
      <c r="G1" s="45" t="s">
        <v>458</v>
      </c>
    </row>
    <row r="2" spans="1:125" ht="25.5" customHeight="1" x14ac:dyDescent="0.2">
      <c r="A2" s="1096" t="s">
        <v>267</v>
      </c>
      <c r="B2" s="1096"/>
      <c r="C2" s="1096"/>
      <c r="D2" s="1077" t="s">
        <v>157</v>
      </c>
      <c r="E2" s="1077"/>
      <c r="F2" s="1077"/>
      <c r="G2" s="1077"/>
    </row>
    <row r="3" spans="1:125" s="27" customFormat="1" ht="33.75" customHeight="1" x14ac:dyDescent="0.2">
      <c r="A3" s="1097" t="s">
        <v>201</v>
      </c>
      <c r="B3" s="1096" t="s">
        <v>259</v>
      </c>
      <c r="C3" s="1096"/>
      <c r="D3" s="1077" t="s">
        <v>289</v>
      </c>
      <c r="E3" s="1077"/>
      <c r="F3" s="1077"/>
      <c r="G3" s="1077"/>
    </row>
    <row r="4" spans="1:125" s="27" customFormat="1" ht="21.75" customHeight="1" x14ac:dyDescent="0.2">
      <c r="A4" s="1097"/>
      <c r="B4" s="1096" t="s">
        <v>11</v>
      </c>
      <c r="C4" s="1096"/>
      <c r="D4" s="1119" t="s">
        <v>237</v>
      </c>
      <c r="E4" s="1119" t="s">
        <v>342</v>
      </c>
      <c r="F4" s="1119" t="s">
        <v>239</v>
      </c>
      <c r="G4" s="1119" t="s">
        <v>258</v>
      </c>
    </row>
    <row r="5" spans="1:125" s="27" customFormat="1" ht="21.75" customHeight="1" x14ac:dyDescent="0.2">
      <c r="A5" s="1097"/>
      <c r="B5" s="1082" t="s">
        <v>776</v>
      </c>
      <c r="C5" s="1082"/>
      <c r="D5" s="1119"/>
      <c r="E5" s="1119"/>
      <c r="F5" s="1119"/>
      <c r="G5" s="1119"/>
    </row>
    <row r="6" spans="1:125" ht="36.75" customHeight="1" x14ac:dyDescent="0.2">
      <c r="A6" s="1097"/>
      <c r="B6" s="28" t="s">
        <v>202</v>
      </c>
      <c r="C6" s="185" t="s">
        <v>260</v>
      </c>
      <c r="D6" s="1119"/>
      <c r="E6" s="1119"/>
      <c r="F6" s="1119"/>
      <c r="G6" s="1119"/>
    </row>
    <row r="7" spans="1:125" x14ac:dyDescent="0.2">
      <c r="A7" s="30" t="s">
        <v>203</v>
      </c>
      <c r="B7" s="31" t="s">
        <v>204</v>
      </c>
      <c r="C7" s="31" t="s">
        <v>205</v>
      </c>
      <c r="D7" s="31" t="s">
        <v>206</v>
      </c>
      <c r="E7" s="31" t="s">
        <v>207</v>
      </c>
      <c r="F7" s="31" t="s">
        <v>208</v>
      </c>
      <c r="G7" s="31" t="s">
        <v>209</v>
      </c>
    </row>
    <row r="8" spans="1:125" ht="23.25" customHeight="1" x14ac:dyDescent="0.25">
      <c r="A8" s="32" t="s">
        <v>203</v>
      </c>
      <c r="B8" s="29" t="s">
        <v>345</v>
      </c>
      <c r="C8" s="33" t="s">
        <v>214</v>
      </c>
      <c r="D8" s="8">
        <f>SUMIFS('2.1. sz. PMH'!D8:M8,'2.1. sz. PMH'!$D$4:$M$4,"kötelező")+SUMIFS('2.2. sz. Hétszínvirág Óvoda'!D8:K8,'2.2. sz. Hétszínvirág Óvoda'!$D$4:$K$4,"kötelező")+SUMIFS('2.3. sz. Mese Óvoda'!D8:I8,'2.3. sz. Mese Óvoda'!$D$4:$I$4,"kötelező")+SUMIFS('2.4. sz. Bölcsőde'!D8:H8,'2.4. sz. Bölcsőde'!$D$4:$H$4,"kötelező")+SUMIFS('2.5. sz. Gyermekjóléti'!D8:J8,'2.5. sz. Gyermekjóléti'!$D$4:$J$4,"kötelező")+SUMIFS('2.6 sz. Területi'!D8:V8,'2.6 sz. Területi'!$D$4:$V$4,"kötelező")+SUMIFS('2.7. sz. Könyvtár'!D8:J8,'2.7. sz. Könyvtár'!$D$4:$J$4,"kötelező")+SUMIFS('2.8. sz. Műv.Ház'!D8:I8,'2.8. sz. Műv.Ház'!$D$4:$I$4,"kötelező")+SUMIFS('2.9. sz. Szivárvány Ó.'!D8:J8,'2.9. sz. Szivárvány Ó.'!$D$4:$J$4,"kötelező")</f>
        <v>1806425413</v>
      </c>
      <c r="E8" s="8">
        <f>SUMIFS('2.1. sz. PMH'!D8:M8,'2.1. sz. PMH'!$D$4:$M$4,"önként vállalt")+SUMIFS('2.2. sz. Hétszínvirág Óvoda'!D8:K8,'2.2. sz. Hétszínvirág Óvoda'!$D$4:$K$4,"önként vállalt")+SUMIFS('2.3. sz. Mese Óvoda'!D8:H8,'2.3. sz. Mese Óvoda'!$D$4:$H$4,"önként vállalt")+SUMIFS('2.4. sz. Bölcsőde'!D8:H8,'2.4. sz. Bölcsőde'!$D$4:$H$4,"önként vállalt")+SUMIFS('2.5. sz. Gyermekjóléti'!D8:J8,'2.5. sz. Gyermekjóléti'!$D$4:$J$4,"önként vállalt")+SUMIFS('2.6 sz. Területi'!D8:V8,'2.6 sz. Területi'!$D$4:$V$4,"önként vállalt")+SUMIFS('2.7. sz. Könyvtár'!D8:J8,'2.7. sz. Könyvtár'!$D$4:$J$4,"önként vállalt")+SUMIFS('2.8. sz. Műv.Ház'!D8:I8,'2.8. sz. Műv.Ház'!$D$4:$I$4,"önként vállalt")+SUMIFS('2.9. sz. Szivárvány Ó.'!D8:J8,'2.9. sz. Szivárvány Ó.'!$D$4:$J$4,"önként vállalt")</f>
        <v>50268488</v>
      </c>
      <c r="F8" s="8">
        <f>SUMIFS('2.1. sz. PMH'!D8:M8,'2.1. sz. PMH'!$D$4:$M$4,"államigazgatási")+SUMIFS('2.2. sz. Hétszínvirág Óvoda'!D8:K8,'2.2. sz. Hétszínvirág Óvoda'!$D$4:$K$4,"államigazgatási")+SUMIFS('2.3. sz. Mese Óvoda'!D8:H8,'2.3. sz. Mese Óvoda'!$D$4:$H$4,"államigazgatási")+SUMIFS('2.4. sz. Bölcsőde'!D8:H8,'2.4. sz. Bölcsőde'!$D$4:$H$4,"államigazgatási")+SUMIFS('2.5. sz. Gyermekjóléti'!D8:J8,'2.5. sz. Gyermekjóléti'!$D$4:$J$4,"államigazgatási")+SUMIFS('2.6 sz. Területi'!D8:V8,'2.6 sz. Területi'!$D$4:$V$4,"államigazgatási")+SUMIFS('2.7. sz. Könyvtár'!D8:J8,'2.7. sz. Könyvtár'!$D$4:$J$4,"államigazgatási")+SUMIFS('2.8. sz. Műv.Ház'!D8:I8,'2.8. sz. Műv.Ház'!$D$4:$I$4,"államigazgatási")+SUMIFS('2.9. sz. Szivárvány Ó.'!D8:J8,'2.9. sz. Szivárvány Ó.'!$D$4:$J$4,"államigazgatási")</f>
        <v>81275988</v>
      </c>
      <c r="G8" s="8">
        <f t="shared" ref="G8:G49" si="0">D8+E8+F8</f>
        <v>1937969889</v>
      </c>
      <c r="H8" s="121">
        <f>'2.1. sz. PMH'!N8+'2.2. sz. Hétszínvirág Óvoda'!L8+'2.3. sz. Mese Óvoda'!J8+'2.4. sz. Bölcsőde'!I8+'2.5. sz. Gyermekjóléti'!K8+'2.6 sz. Területi'!W8+'2.7. sz. Könyvtár'!K8</f>
        <v>1676137212</v>
      </c>
      <c r="I8" s="120">
        <f t="shared" ref="I8:I14" si="1">H8-G8</f>
        <v>-261832677</v>
      </c>
    </row>
    <row r="9" spans="1:125" ht="23.25" customHeight="1" x14ac:dyDescent="0.25">
      <c r="A9" s="32" t="s">
        <v>204</v>
      </c>
      <c r="B9" s="34" t="s">
        <v>215</v>
      </c>
      <c r="C9" s="33" t="s">
        <v>216</v>
      </c>
      <c r="D9" s="8">
        <f>SUMIFS('2.1. sz. PMH'!D9:M9,'2.1. sz. PMH'!$D$4:$M$4,"kötelező")+SUMIFS('2.2. sz. Hétszínvirág Óvoda'!D9:K9,'2.2. sz. Hétszínvirág Óvoda'!$D$4:$K$4,"kötelező")+SUMIFS('2.3. sz. Mese Óvoda'!D9:I9,'2.3. sz. Mese Óvoda'!$D$4:$I$4,"kötelező")+SUMIFS('2.4. sz. Bölcsőde'!D9:H9,'2.4. sz. Bölcsőde'!$D$4:$H$4,"kötelező")+SUMIFS('2.5. sz. Gyermekjóléti'!D9:J9,'2.5. sz. Gyermekjóléti'!$D$4:$J$4,"kötelező")+SUMIFS('2.6 sz. Területi'!D9:V9,'2.6 sz. Területi'!$D$4:$V$4,"kötelező")+SUMIFS('2.7. sz. Könyvtár'!D9:J9,'2.7. sz. Könyvtár'!$D$4:$J$4,"kötelező")+SUMIFS('2.8. sz. Műv.Ház'!D9:I9,'2.8. sz. Műv.Ház'!$D$4:$I$4,"kötelező")+SUMIFS('2.9. sz. Szivárvány Ó.'!D9:J9,'2.9. sz. Szivárvány Ó.'!$D$4:$J$4,"kötelező")</f>
        <v>315820871</v>
      </c>
      <c r="E9" s="8">
        <f>SUMIFS('2.1. sz. PMH'!D9:M9,'2.1. sz. PMH'!$D$4:$M$4,"önként vállalt")+SUMIFS('2.2. sz. Hétszínvirág Óvoda'!D9:K9,'2.2. sz. Hétszínvirág Óvoda'!$D$4:$K$4,"önként vállalt")+SUMIFS('2.3. sz. Mese Óvoda'!D9:H9,'2.3. sz. Mese Óvoda'!$D$4:$H$4,"önként vállalt")+SUMIFS('2.4. sz. Bölcsőde'!D9:H9,'2.4. sz. Bölcsőde'!$D$4:$H$4,"önként vállalt")+SUMIFS('2.5. sz. Gyermekjóléti'!D9:J9,'2.5. sz. Gyermekjóléti'!$D$4:$J$4,"önként vállalt")+SUMIFS('2.6 sz. Területi'!D9:V9,'2.6 sz. Területi'!$D$4:$V$4,"önként vállalt")+SUMIFS('2.7. sz. Könyvtár'!D9:J9,'2.7. sz. Könyvtár'!$D$4:$J$4,"önként vállalt")+SUMIFS('2.8. sz. Műv.Ház'!D9:I9,'2.8. sz. Műv.Ház'!$D$4:$I$4,"önként vállalt")+SUMIFS('2.9. sz. Szivárvány Ó.'!D9:J9,'2.9. sz. Szivárvány Ó.'!$D$4:$J$4,"önként vállalt")</f>
        <v>8394280</v>
      </c>
      <c r="F9" s="8">
        <f>SUMIFS('2.1. sz. PMH'!D9:M9,'2.1. sz. PMH'!$D$4:$M$4,"államigazgatási")+SUMIFS('2.2. sz. Hétszínvirág Óvoda'!D9:K9,'2.2. sz. Hétszínvirág Óvoda'!$D$4:$K$4,"államigazgatási")+SUMIFS('2.3. sz. Mese Óvoda'!D9:H9,'2.3. sz. Mese Óvoda'!$D$4:$H$4,"államigazgatási")+SUMIFS('2.4. sz. Bölcsőde'!D9:H9,'2.4. sz. Bölcsőde'!$D$4:$H$4,"államigazgatási")+SUMIFS('2.5. sz. Gyermekjóléti'!D9:J9,'2.5. sz. Gyermekjóléti'!$D$4:$J$4,"államigazgatási")+SUMIFS('2.6 sz. Területi'!D9:V9,'2.6 sz. Területi'!$D$4:$V$4,"államigazgatási")+SUMIFS('2.7. sz. Könyvtár'!D9:J9,'2.7. sz. Könyvtár'!$D$4:$J$4,"államigazgatási")+SUMIFS('2.8. sz. Műv.Ház'!D9:I9,'2.8. sz. Műv.Ház'!$D$4:$I$4,"államigazgatási")+SUMIFS('2.9. sz. Szivárvány Ó.'!D9:J9,'2.9. sz. Szivárvány Ó.'!$D$4:$J$4,"államigazgatási")</f>
        <v>13423478</v>
      </c>
      <c r="G9" s="8">
        <f t="shared" si="0"/>
        <v>337638629</v>
      </c>
      <c r="H9" s="121">
        <f>'2.1. sz. PMH'!N9+'2.2. sz. Hétszínvirág Óvoda'!L9+'2.3. sz. Mese Óvoda'!J9+'2.4. sz. Bölcsőde'!I9+'2.5. sz. Gyermekjóléti'!K9+'2.6 sz. Területi'!W9+'2.7. sz. Könyvtár'!K9</f>
        <v>294057034</v>
      </c>
      <c r="I9" s="120">
        <f t="shared" si="1"/>
        <v>-43581595</v>
      </c>
    </row>
    <row r="10" spans="1:125" ht="23.25" customHeight="1" x14ac:dyDescent="0.25">
      <c r="A10" s="32" t="s">
        <v>205</v>
      </c>
      <c r="B10" s="34" t="s">
        <v>346</v>
      </c>
      <c r="C10" s="33" t="s">
        <v>217</v>
      </c>
      <c r="D10" s="8">
        <f>SUMIFS('2.1. sz. PMH'!D10:M10,'2.1. sz. PMH'!$D$4:$M$4,"kötelező")+SUMIFS('2.2. sz. Hétszínvirág Óvoda'!D10:K10,'2.2. sz. Hétszínvirág Óvoda'!$D$4:$K$4,"kötelező")+SUMIFS('2.3. sz. Mese Óvoda'!D10:I10,'2.3. sz. Mese Óvoda'!$D$4:$I$4,"kötelező")+SUMIFS('2.4. sz. Bölcsőde'!D10:H10,'2.4. sz. Bölcsőde'!$D$4:$H$4,"kötelező")+SUMIFS('2.5. sz. Gyermekjóléti'!D10:J10,'2.5. sz. Gyermekjóléti'!$D$4:$J$4,"kötelező")+SUMIFS('2.6 sz. Területi'!D10:V10,'2.6 sz. Területi'!$D$4:$V$4,"kötelező")+SUMIFS('2.7. sz. Könyvtár'!D10:J10,'2.7. sz. Könyvtár'!$D$4:$J$4,"kötelező")+SUMIFS('2.8. sz. Műv.Ház'!D10:I10,'2.8. sz. Műv.Ház'!$D$4:$I$4,"kötelező")+SUMIFS('2.9. sz. Szivárvány Ó.'!D10:J10,'2.9. sz. Szivárvány Ó.'!$D$4:$J$4,"kötelező")</f>
        <v>1014950622</v>
      </c>
      <c r="E10" s="8">
        <f>SUMIFS('2.1. sz. PMH'!D10:M10,'2.1. sz. PMH'!$D$4:$M$4,"önként vállalt")+SUMIFS('2.2. sz. Hétszínvirág Óvoda'!D10:K10,'2.2. sz. Hétszínvirág Óvoda'!$D$4:$K$4,"önként vállalt")+SUMIFS('2.3. sz. Mese Óvoda'!D10:H10,'2.3. sz. Mese Óvoda'!$D$4:$H$4,"önként vállalt")+SUMIFS('2.4. sz. Bölcsőde'!D10:H10,'2.4. sz. Bölcsőde'!$D$4:$H$4,"önként vállalt")+SUMIFS('2.5. sz. Gyermekjóléti'!D10:J10,'2.5. sz. Gyermekjóléti'!$D$4:$J$4,"önként vállalt")+SUMIFS('2.6 sz. Területi'!D10:V10,'2.6 sz. Területi'!$D$4:$V$4,"önként vállalt")+SUMIFS('2.7. sz. Könyvtár'!D10:J10,'2.7. sz. Könyvtár'!$D$4:$J$4,"önként vállalt")+SUMIFS('2.8. sz. Műv.Ház'!D10:I10,'2.8. sz. Műv.Ház'!$D$4:$I$4,"önként vállalt")+SUMIFS('2.9. sz. Szivárvány Ó.'!D10:J10,'2.9. sz. Szivárvány Ó.'!$D$4:$J$4,"önként vállalt")</f>
        <v>36144725</v>
      </c>
      <c r="F10" s="8">
        <f>SUMIFS('2.1. sz. PMH'!D10:M10,'2.1. sz. PMH'!$D$4:$M$4,"államigazgatási")+SUMIFS('2.2. sz. Hétszínvirág Óvoda'!D10:K10,'2.2. sz. Hétszínvirág Óvoda'!$D$4:$K$4,"államigazgatási")+SUMIFS('2.3. sz. Mese Óvoda'!D10:H10,'2.3. sz. Mese Óvoda'!$D$4:$H$4,"államigazgatási")+SUMIFS('2.4. sz. Bölcsőde'!D10:H10,'2.4. sz. Bölcsőde'!$D$4:$H$4,"államigazgatási")+SUMIFS('2.5. sz. Gyermekjóléti'!D10:J10,'2.5. sz. Gyermekjóléti'!$D$4:$J$4,"államigazgatási")+SUMIFS('2.6 sz. Területi'!D10:V10,'2.6 sz. Területi'!$D$4:$V$4,"államigazgatási")+SUMIFS('2.7. sz. Könyvtár'!D10:J10,'2.7. sz. Könyvtár'!$D$4:$J$4,"államigazgatási")+SUMIFS('2.8. sz. Műv.Ház'!D10:I10,'2.8. sz. Műv.Ház'!$D$4:$I$4,"államigazgatási")+SUMIFS('2.9. sz. Szivárvány Ó.'!D10:J10,'2.9. sz. Szivárvány Ó.'!$D$4:$J$4,"államigazgatási")</f>
        <v>23711887</v>
      </c>
      <c r="G10" s="8">
        <f t="shared" si="0"/>
        <v>1074807234</v>
      </c>
      <c r="H10" s="121">
        <f>'2.1. sz. PMH'!N10+'2.2. sz. Hétszínvirág Óvoda'!L10+'2.3. sz. Mese Óvoda'!J10+'2.4. sz. Bölcsőde'!I10+'2.5. sz. Gyermekjóléti'!K10+'2.6 sz. Területi'!W10+'2.7. sz. Könyvtár'!K10</f>
        <v>975930274</v>
      </c>
      <c r="I10" s="120">
        <f t="shared" si="1"/>
        <v>-98876960</v>
      </c>
      <c r="DU10" s="24" t="b">
        <f>'2.10. sz. Intézmények összesen'!D8=SUMIF($D$6:$DT$6,"kötelező",D10:DT10)</f>
        <v>0</v>
      </c>
    </row>
    <row r="11" spans="1:125" ht="23.25" customHeight="1" x14ac:dyDescent="0.25">
      <c r="A11" s="32" t="s">
        <v>206</v>
      </c>
      <c r="B11" s="35" t="s">
        <v>347</v>
      </c>
      <c r="C11" s="33" t="s">
        <v>218</v>
      </c>
      <c r="D11" s="8">
        <f>SUMIFS('2.1. sz. PMH'!D11:M11,'2.1. sz. PMH'!$D$4:$M$4,"kötelező")+SUMIFS('2.2. sz. Hétszínvirág Óvoda'!D11:K11,'2.2. sz. Hétszínvirág Óvoda'!$D$4:$K$4,"kötelező")+SUMIFS('2.3. sz. Mese Óvoda'!D11:I11,'2.3. sz. Mese Óvoda'!$D$4:$I$4,"kötelező")+SUMIFS('2.4. sz. Bölcsőde'!D11:H11,'2.4. sz. Bölcsőde'!$D$4:$H$4,"kötelező")+SUMIFS('2.5. sz. Gyermekjóléti'!D11:J11,'2.5. sz. Gyermekjóléti'!$D$4:$J$4,"kötelező")+SUMIFS('2.6 sz. Területi'!D11:V11,'2.6 sz. Területi'!$D$4:$V$4,"kötelező")+SUMIFS('2.7. sz. Könyvtár'!D11:J11,'2.7. sz. Könyvtár'!$D$4:$J$4,"kötelező")+SUMIFS('2.8. sz. Műv.Ház'!D11:I11,'2.8. sz. Műv.Ház'!$D$4:$I$4,"kötelező")+SUMIFS('2.9. sz. Szivárvány Ó.'!D11:J11,'2.9. sz. Szivárvány Ó.'!$D$4:$J$4,"kötelező")</f>
        <v>0</v>
      </c>
      <c r="E11" s="8">
        <f>SUMIFS('2.1. sz. PMH'!D11:M11,'2.1. sz. PMH'!$D$4:$M$4,"önként vállalt")+SUMIFS('2.2. sz. Hétszínvirág Óvoda'!D11:K11,'2.2. sz. Hétszínvirág Óvoda'!$D$4:$K$4,"önként vállalt")+SUMIFS('2.3. sz. Mese Óvoda'!D11:H11,'2.3. sz. Mese Óvoda'!$D$4:$H$4,"önként vállalt")+SUMIFS('2.4. sz. Bölcsőde'!D11:H11,'2.4. sz. Bölcsőde'!$D$4:$H$4,"önként vállalt")+SUMIFS('2.5. sz. Gyermekjóléti'!D11:J11,'2.5. sz. Gyermekjóléti'!$D$4:$J$4,"önként vállalt")+SUMIFS('2.6 sz. Területi'!D11:V11,'2.6 sz. Területi'!$D$4:$V$4,"önként vállalt")+SUMIFS('2.7. sz. Könyvtár'!D11:J11,'2.7. sz. Könyvtár'!$D$4:$J$4,"önként vállalt")+SUMIFS('2.8. sz. Műv.Ház'!D11:I11,'2.8. sz. Műv.Ház'!$D$4:$I$4,"önként vállalt")+SUMIFS('2.9. sz. Szivárvány Ó.'!D11:J11,'2.9. sz. Szivárvány Ó.'!$D$4:$J$4,"önként vállalt")</f>
        <v>0</v>
      </c>
      <c r="F11" s="8">
        <f>SUMIFS('2.1. sz. PMH'!D11:M11,'2.1. sz. PMH'!$D$4:$M$4,"államigazgatási")+SUMIFS('2.2. sz. Hétszínvirág Óvoda'!D11:K11,'2.2. sz. Hétszínvirág Óvoda'!$D$4:$K$4,"államigazgatási")+SUMIFS('2.3. sz. Mese Óvoda'!D11:H11,'2.3. sz. Mese Óvoda'!$D$4:$H$4,"államigazgatási")+SUMIFS('2.4. sz. Bölcsőde'!D11:H11,'2.4. sz. Bölcsőde'!$D$4:$H$4,"államigazgatási")+SUMIFS('2.5. sz. Gyermekjóléti'!D11:J11,'2.5. sz. Gyermekjóléti'!$D$4:$J$4,"államigazgatási")+SUMIFS('2.6 sz. Területi'!D11:V11,'2.6 sz. Területi'!$D$4:$V$4,"államigazgatási")+SUMIFS('2.7. sz. Könyvtár'!D11:J11,'2.7. sz. Könyvtár'!$D$4:$J$4,"államigazgatási")+SUMIFS('2.8. sz. Műv.Ház'!D11:I11,'2.8. sz. Műv.Ház'!$D$4:$I$4,"államigazgatási")+SUMIFS('2.9. sz. Szivárvány Ó.'!D11:J11,'2.9. sz. Szivárvány Ó.'!$D$4:$J$4,"államigazgatási")</f>
        <v>0</v>
      </c>
      <c r="G11" s="8">
        <f t="shared" si="0"/>
        <v>0</v>
      </c>
      <c r="H11" s="121">
        <f>'2.1. sz. PMH'!N11+'2.2. sz. Hétszínvirág Óvoda'!L11+'2.3. sz. Mese Óvoda'!J11+'2.4. sz. Bölcsőde'!I11+'2.5. sz. Gyermekjóléti'!K11+'2.6 sz. Területi'!W11+'2.7. sz. Könyvtár'!K11</f>
        <v>0</v>
      </c>
      <c r="I11" s="120">
        <f t="shared" si="1"/>
        <v>0</v>
      </c>
    </row>
    <row r="12" spans="1:125" ht="23.25" customHeight="1" x14ac:dyDescent="0.25">
      <c r="A12" s="32" t="s">
        <v>207</v>
      </c>
      <c r="B12" s="35" t="s">
        <v>249</v>
      </c>
      <c r="C12" s="33" t="s">
        <v>219</v>
      </c>
      <c r="D12" s="8">
        <f>SUMIFS('2.1. sz. PMH'!D12:M12,'2.1. sz. PMH'!$D$4:$M$4,"kötelező")+SUMIFS('2.2. sz. Hétszínvirág Óvoda'!D12:K12,'2.2. sz. Hétszínvirág Óvoda'!$D$4:$K$4,"kötelező")+SUMIFS('2.3. sz. Mese Óvoda'!D12:I12,'2.3. sz. Mese Óvoda'!$D$4:$I$4,"kötelező")+SUMIFS('2.4. sz. Bölcsőde'!D12:H12,'2.4. sz. Bölcsőde'!$D$4:$H$4,"kötelező")+SUMIFS('2.5. sz. Gyermekjóléti'!D12:J12,'2.5. sz. Gyermekjóléti'!$D$4:$J$4,"kötelező")+SUMIFS('2.6 sz. Területi'!D12:V12,'2.6 sz. Területi'!$D$4:$V$4,"kötelező")+SUMIFS('2.7. sz. Könyvtár'!D12:J12,'2.7. sz. Könyvtár'!$D$4:$J$4,"kötelező")+SUMIFS('2.8. sz. Műv.Ház'!D12:I12,'2.8. sz. Műv.Ház'!$D$4:$I$4,"kötelező")+SUMIFS('2.9. sz. Szivárvány Ó.'!D12:J12,'2.9. sz. Szivárvány Ó.'!$D$4:$J$4,"kötelező")</f>
        <v>0</v>
      </c>
      <c r="E12" s="8">
        <f>SUMIFS('2.1. sz. PMH'!D12:M12,'2.1. sz. PMH'!$D$4:$M$4,"önként vállalt")+SUMIFS('2.2. sz. Hétszínvirág Óvoda'!D12:K12,'2.2. sz. Hétszínvirág Óvoda'!$D$4:$K$4,"önként vállalt")+SUMIFS('2.3. sz. Mese Óvoda'!D12:H12,'2.3. sz. Mese Óvoda'!$D$4:$H$4,"önként vállalt")+SUMIFS('2.4. sz. Bölcsőde'!D12:H12,'2.4. sz. Bölcsőde'!$D$4:$H$4,"önként vállalt")+SUMIFS('2.5. sz. Gyermekjóléti'!D12:J12,'2.5. sz. Gyermekjóléti'!$D$4:$J$4,"önként vállalt")+SUMIFS('2.6 sz. Területi'!D12:V12,'2.6 sz. Területi'!$D$4:$V$4,"önként vállalt")+SUMIFS('2.7. sz. Könyvtár'!D12:J12,'2.7. sz. Könyvtár'!$D$4:$J$4,"önként vállalt")+SUMIFS('2.8. sz. Műv.Ház'!D12:I12,'2.8. sz. Műv.Ház'!$D$4:$I$4,"önként vállalt")+SUMIFS('2.9. sz. Szivárvány Ó.'!D12:J12,'2.9. sz. Szivárvány Ó.'!$D$4:$J$4,"önként vállalt")</f>
        <v>0</v>
      </c>
      <c r="F12" s="8">
        <f>SUMIFS('2.1. sz. PMH'!D12:M12,'2.1. sz. PMH'!$D$4:$M$4,"államigazgatási")+SUMIFS('2.2. sz. Hétszínvirág Óvoda'!D12:K12,'2.2. sz. Hétszínvirág Óvoda'!$D$4:$K$4,"államigazgatási")+SUMIFS('2.3. sz. Mese Óvoda'!D12:H12,'2.3. sz. Mese Óvoda'!$D$4:$H$4,"államigazgatási")+SUMIFS('2.4. sz. Bölcsőde'!D12:H12,'2.4. sz. Bölcsőde'!$D$4:$H$4,"államigazgatási")+SUMIFS('2.5. sz. Gyermekjóléti'!D12:J12,'2.5. sz. Gyermekjóléti'!$D$4:$J$4,"államigazgatási")+SUMIFS('2.6 sz. Területi'!D12:V12,'2.6 sz. Területi'!$D$4:$V$4,"államigazgatási")+SUMIFS('2.7. sz. Könyvtár'!D12:J12,'2.7. sz. Könyvtár'!$D$4:$J$4,"államigazgatási")+SUMIFS('2.8. sz. Műv.Ház'!D12:I12,'2.8. sz. Műv.Ház'!$D$4:$I$4,"államigazgatási")+SUMIFS('2.9. sz. Szivárvány Ó.'!D12:J12,'2.9. sz. Szivárvány Ó.'!$D$4:$J$4,"államigazgatási")</f>
        <v>0</v>
      </c>
      <c r="G12" s="8">
        <f t="shared" si="0"/>
        <v>0</v>
      </c>
      <c r="H12" s="121">
        <f>'2.1. sz. PMH'!N12+'2.2. sz. Hétszínvirág Óvoda'!L12+'2.3. sz. Mese Óvoda'!J12+'2.4. sz. Bölcsőde'!I12+'2.5. sz. Gyermekjóléti'!K12+'2.6 sz. Területi'!W12+'2.7. sz. Könyvtár'!K12</f>
        <v>0</v>
      </c>
      <c r="I12" s="120">
        <f t="shared" si="1"/>
        <v>0</v>
      </c>
    </row>
    <row r="13" spans="1:125" ht="23.25" customHeight="1" x14ac:dyDescent="0.25">
      <c r="A13" s="32" t="s">
        <v>208</v>
      </c>
      <c r="B13" s="36" t="s">
        <v>133</v>
      </c>
      <c r="C13" s="33"/>
      <c r="D13" s="8">
        <f>SUMIFS('2.1. sz. PMH'!D13:M13,'2.1. sz. PMH'!$D$4:$M$4,"kötelező")+SUMIFS('2.2. sz. Hétszínvirág Óvoda'!D13:K13,'2.2. sz. Hétszínvirág Óvoda'!$D$4:$K$4,"kötelező")+SUMIFS('2.3. sz. Mese Óvoda'!D13:I13,'2.3. sz. Mese Óvoda'!$D$4:$I$4,"kötelező")+SUMIFS('2.4. sz. Bölcsőde'!D13:H13,'2.4. sz. Bölcsőde'!$D$4:$H$4,"kötelező")+SUMIFS('2.5. sz. Gyermekjóléti'!D13:J13,'2.5. sz. Gyermekjóléti'!$D$4:$J$4,"kötelező")+SUMIFS('2.6 sz. Területi'!D13:V13,'2.6 sz. Területi'!$D$4:$V$4,"kötelező")+SUMIFS('2.7. sz. Könyvtár'!D13:J13,'2.7. sz. Könyvtár'!$D$4:$J$4,"kötelező")+SUMIFS('2.8. sz. Műv.Ház'!D13:I13,'2.8. sz. Műv.Ház'!$D$4:$I$4,"kötelező")+SUMIFS('2.9. sz. Szivárvány Ó.'!D13:J13,'2.9. sz. Szivárvány Ó.'!$D$4:$J$4,"kötelező")</f>
        <v>0</v>
      </c>
      <c r="E13" s="8">
        <f>SUMIFS('2.1. sz. PMH'!D13:M13,'2.1. sz. PMH'!$D$4:$M$4,"önként vállalt")+SUMIFS('2.2. sz. Hétszínvirág Óvoda'!D13:K13,'2.2. sz. Hétszínvirág Óvoda'!$D$4:$K$4,"önként vállalt")+SUMIFS('2.3. sz. Mese Óvoda'!D13:H13,'2.3. sz. Mese Óvoda'!$D$4:$H$4,"önként vállalt")+SUMIFS('2.4. sz. Bölcsőde'!D13:H13,'2.4. sz. Bölcsőde'!$D$4:$H$4,"önként vállalt")+SUMIFS('2.5. sz. Gyermekjóléti'!D13:J13,'2.5. sz. Gyermekjóléti'!$D$4:$J$4,"önként vállalt")+SUMIFS('2.6 sz. Területi'!D13:V13,'2.6 sz. Területi'!$D$4:$V$4,"önként vállalt")+SUMIFS('2.7. sz. Könyvtár'!D13:J13,'2.7. sz. Könyvtár'!$D$4:$J$4,"önként vállalt")+SUMIFS('2.8. sz. Műv.Ház'!D13:I13,'2.8. sz. Műv.Ház'!$D$4:$I$4,"önként vállalt")+SUMIFS('2.9. sz. Szivárvány Ó.'!D13:J13,'2.9. sz. Szivárvány Ó.'!$D$4:$J$4,"önként vállalt")</f>
        <v>0</v>
      </c>
      <c r="F13" s="8">
        <f>SUMIFS('2.1. sz. PMH'!D13:M13,'2.1. sz. PMH'!$D$4:$M$4,"államigazgatási")+SUMIFS('2.2. sz. Hétszínvirág Óvoda'!D13:K13,'2.2. sz. Hétszínvirág Óvoda'!$D$4:$K$4,"államigazgatási")+SUMIFS('2.3. sz. Mese Óvoda'!D13:H13,'2.3. sz. Mese Óvoda'!$D$4:$H$4,"államigazgatási")+SUMIFS('2.4. sz. Bölcsőde'!D13:H13,'2.4. sz. Bölcsőde'!$D$4:$H$4,"államigazgatási")+SUMIFS('2.5. sz. Gyermekjóléti'!D13:J13,'2.5. sz. Gyermekjóléti'!$D$4:$J$4,"államigazgatási")+SUMIFS('2.6 sz. Területi'!D13:V13,'2.6 sz. Területi'!$D$4:$V$4,"államigazgatási")+SUMIFS('2.7. sz. Könyvtár'!D13:J13,'2.7. sz. Könyvtár'!$D$4:$J$4,"államigazgatási")+SUMIFS('2.8. sz. Műv.Ház'!D13:I13,'2.8. sz. Műv.Ház'!$D$4:$I$4,"államigazgatási")+SUMIFS('2.9. sz. Szivárvány Ó.'!D13:J13,'2.9. sz. Szivárvány Ó.'!$D$4:$J$4,"államigazgatási")</f>
        <v>0</v>
      </c>
      <c r="G13" s="8">
        <f t="shared" si="0"/>
        <v>0</v>
      </c>
      <c r="H13" s="121">
        <f>'2.1. sz. PMH'!N13+'2.2. sz. Hétszínvirág Óvoda'!L13+'2.3. sz. Mese Óvoda'!J13+'2.4. sz. Bölcsőde'!I13+'2.5. sz. Gyermekjóléti'!K13+'2.6 sz. Területi'!W13+'2.7. sz. Könyvtár'!K13</f>
        <v>0</v>
      </c>
      <c r="I13" s="120">
        <f t="shared" si="1"/>
        <v>0</v>
      </c>
    </row>
    <row r="14" spans="1:125" ht="23.25" customHeight="1" x14ac:dyDescent="0.25">
      <c r="A14" s="32" t="s">
        <v>209</v>
      </c>
      <c r="B14" s="36" t="s">
        <v>123</v>
      </c>
      <c r="C14" s="37"/>
      <c r="D14" s="8">
        <f>SUMIFS('2.1. sz. PMH'!D14:M14,'2.1. sz. PMH'!$D$4:$M$4,"kötelező")+SUMIFS('2.2. sz. Hétszínvirág Óvoda'!D14:K14,'2.2. sz. Hétszínvirág Óvoda'!$D$4:$K$4,"kötelező")+SUMIFS('2.3. sz. Mese Óvoda'!D14:I14,'2.3. sz. Mese Óvoda'!$D$4:$I$4,"kötelező")+SUMIFS('2.4. sz. Bölcsőde'!D14:H14,'2.4. sz. Bölcsőde'!$D$4:$H$4,"kötelező")+SUMIFS('2.5. sz. Gyermekjóléti'!D14:J14,'2.5. sz. Gyermekjóléti'!$D$4:$J$4,"kötelező")+SUMIFS('2.6 sz. Területi'!D14:V14,'2.6 sz. Területi'!$D$4:$V$4,"kötelező")+SUMIFS('2.7. sz. Könyvtár'!D14:J14,'2.7. sz. Könyvtár'!$D$4:$J$4,"kötelező")+SUMIFS('2.8. sz. Műv.Ház'!D14:I14,'2.8. sz. Műv.Ház'!$D$4:$I$4,"kötelező")+SUMIFS('2.9. sz. Szivárvány Ó.'!D14:J14,'2.9. sz. Szivárvány Ó.'!$D$4:$J$4,"kötelező")</f>
        <v>0</v>
      </c>
      <c r="E14" s="8">
        <f>SUMIFS('2.1. sz. PMH'!D14:M14,'2.1. sz. PMH'!$D$4:$M$4,"önként vállalt")+SUMIFS('2.2. sz. Hétszínvirág Óvoda'!D14:K14,'2.2. sz. Hétszínvirág Óvoda'!$D$4:$K$4,"önként vállalt")+SUMIFS('2.3. sz. Mese Óvoda'!D14:H14,'2.3. sz. Mese Óvoda'!$D$4:$H$4,"önként vállalt")+SUMIFS('2.4. sz. Bölcsőde'!D14:H14,'2.4. sz. Bölcsőde'!$D$4:$H$4,"önként vállalt")+SUMIFS('2.5. sz. Gyermekjóléti'!D14:J14,'2.5. sz. Gyermekjóléti'!$D$4:$J$4,"önként vállalt")+SUMIFS('2.6 sz. Területi'!D14:V14,'2.6 sz. Területi'!$D$4:$V$4,"önként vállalt")+SUMIFS('2.7. sz. Könyvtár'!D14:J14,'2.7. sz. Könyvtár'!$D$4:$J$4,"önként vállalt")+SUMIFS('2.8. sz. Műv.Ház'!D14:I14,'2.8. sz. Műv.Ház'!$D$4:$I$4,"önként vállalt")+SUMIFS('2.9. sz. Szivárvány Ó.'!D14:J14,'2.9. sz. Szivárvány Ó.'!$D$4:$J$4,"önként vállalt")</f>
        <v>0</v>
      </c>
      <c r="F14" s="8">
        <f>SUMIFS('2.1. sz. PMH'!D14:M14,'2.1. sz. PMH'!$D$4:$M$4,"államigazgatási")+SUMIFS('2.2. sz. Hétszínvirág Óvoda'!D14:K14,'2.2. sz. Hétszínvirág Óvoda'!$D$4:$K$4,"államigazgatási")+SUMIFS('2.3. sz. Mese Óvoda'!D14:H14,'2.3. sz. Mese Óvoda'!$D$4:$H$4,"államigazgatási")+SUMIFS('2.4. sz. Bölcsőde'!D14:H14,'2.4. sz. Bölcsőde'!$D$4:$H$4,"államigazgatási")+SUMIFS('2.5. sz. Gyermekjóléti'!D14:J14,'2.5. sz. Gyermekjóléti'!$D$4:$J$4,"államigazgatási")+SUMIFS('2.6 sz. Területi'!D14:V14,'2.6 sz. Területi'!$D$4:$V$4,"államigazgatási")+SUMIFS('2.7. sz. Könyvtár'!D14:J14,'2.7. sz. Könyvtár'!$D$4:$J$4,"államigazgatási")+SUMIFS('2.8. sz. Műv.Ház'!D14:I14,'2.8. sz. Műv.Ház'!$D$4:$I$4,"államigazgatási")+SUMIFS('2.9. sz. Szivárvány Ó.'!D14:J14,'2.9. sz. Szivárvány Ó.'!$D$4:$J$4,"államigazgatási")</f>
        <v>0</v>
      </c>
      <c r="G14" s="8">
        <f t="shared" si="0"/>
        <v>0</v>
      </c>
      <c r="H14" s="121">
        <f>'2.1. sz. PMH'!N14+'2.2. sz. Hétszínvirág Óvoda'!L14+'2.3. sz. Mese Óvoda'!J14+'2.4. sz. Bölcsőde'!I14+'2.5. sz. Gyermekjóléti'!K14+'2.6 sz. Területi'!W14+'2.7. sz. Könyvtár'!K14</f>
        <v>0</v>
      </c>
      <c r="I14" s="120">
        <f t="shared" si="1"/>
        <v>0</v>
      </c>
    </row>
    <row r="15" spans="1:125" ht="23.25" customHeight="1" x14ac:dyDescent="0.25">
      <c r="A15" s="32" t="s">
        <v>210</v>
      </c>
      <c r="B15" s="130" t="s">
        <v>582</v>
      </c>
      <c r="C15" s="37"/>
      <c r="D15" s="8">
        <f>SUMIFS('2.1. sz. PMH'!D15:M15,'2.1. sz. PMH'!$D$4:$M$4,"kötelező")+SUMIFS('2.2. sz. Hétszínvirág Óvoda'!D15:K15,'2.2. sz. Hétszínvirág Óvoda'!$D$4:$K$4,"kötelező")+SUMIFS('2.3. sz. Mese Óvoda'!D15:I15,'2.3. sz. Mese Óvoda'!$D$4:$I$4,"kötelező")+SUMIFS('2.4. sz. Bölcsőde'!D15:H15,'2.4. sz. Bölcsőde'!$D$4:$H$4,"kötelező")+SUMIFS('2.5. sz. Gyermekjóléti'!D15:J15,'2.5. sz. Gyermekjóléti'!$D$4:$J$4,"kötelező")+SUMIFS('2.6 sz. Területi'!D15:V15,'2.6 sz. Területi'!$D$4:$V$4,"kötelező")+SUMIFS('2.7. sz. Könyvtár'!D15:J15,'2.7. sz. Könyvtár'!$D$4:$J$4,"kötelező")+SUMIFS('2.8. sz. Műv.Ház'!D15:I15,'2.8. sz. Műv.Ház'!$D$4:$I$4,"kötelező")+SUMIFS('2.9. sz. Szivárvány Ó.'!D15:J15,'2.9. sz. Szivárvány Ó.'!$D$4:$J$4,"kötelező")</f>
        <v>0</v>
      </c>
      <c r="E15" s="8">
        <f>SUMIFS('2.1. sz. PMH'!D15:M15,'2.1. sz. PMH'!$D$4:$M$4,"önként vállalt")+SUMIFS('2.2. sz. Hétszínvirág Óvoda'!D15:K15,'2.2. sz. Hétszínvirág Óvoda'!$D$4:$K$4,"önként vállalt")+SUMIFS('2.3. sz. Mese Óvoda'!D15:H15,'2.3. sz. Mese Óvoda'!$D$4:$H$4,"önként vállalt")+SUMIFS('2.4. sz. Bölcsőde'!D15:H15,'2.4. sz. Bölcsőde'!$D$4:$H$4,"önként vállalt")+SUMIFS('2.5. sz. Gyermekjóléti'!D15:J15,'2.5. sz. Gyermekjóléti'!$D$4:$J$4,"önként vállalt")+SUMIFS('2.6 sz. Területi'!D15:V15,'2.6 sz. Területi'!$D$4:$V$4,"önként vállalt")+SUMIFS('2.7. sz. Könyvtár'!D15:J15,'2.7. sz. Könyvtár'!$D$4:$J$4,"önként vállalt")+SUMIFS('2.8. sz. Műv.Ház'!D15:I15,'2.8. sz. Műv.Ház'!$D$4:$I$4,"önként vállalt")+SUMIFS('2.9. sz. Szivárvány Ó.'!D15:J15,'2.9. sz. Szivárvány Ó.'!$D$4:$J$4,"önként vállalt")</f>
        <v>0</v>
      </c>
      <c r="F15" s="8">
        <f>SUMIFS('2.1. sz. PMH'!D15:M15,'2.1. sz. PMH'!$D$4:$M$4,"államigazgatási")+SUMIFS('2.2. sz. Hétszínvirág Óvoda'!D15:K15,'2.2. sz. Hétszínvirág Óvoda'!$D$4:$K$4,"államigazgatási")+SUMIFS('2.3. sz. Mese Óvoda'!D15:H15,'2.3. sz. Mese Óvoda'!$D$4:$H$4,"államigazgatási")+SUMIFS('2.4. sz. Bölcsőde'!D15:H15,'2.4. sz. Bölcsőde'!$D$4:$H$4,"államigazgatási")+SUMIFS('2.5. sz. Gyermekjóléti'!D15:J15,'2.5. sz. Gyermekjóléti'!$D$4:$J$4,"államigazgatási")+SUMIFS('2.6 sz. Területi'!D15:V15,'2.6 sz. Területi'!$D$4:$V$4,"államigazgatási")+SUMIFS('2.7. sz. Könyvtár'!D15:J15,'2.7. sz. Könyvtár'!$D$4:$J$4,"államigazgatási")+SUMIFS('2.8. sz. Műv.Ház'!D15:I15,'2.8. sz. Műv.Ház'!$D$4:$I$4,"államigazgatási")+SUMIFS('2.9. sz. Szivárvány Ó.'!D15:J15,'2.9. sz. Szivárvány Ó.'!$D$4:$J$4,"államigazgatási")</f>
        <v>0</v>
      </c>
      <c r="G15" s="8">
        <f t="shared" si="0"/>
        <v>0</v>
      </c>
      <c r="H15" s="121"/>
      <c r="I15" s="120"/>
    </row>
    <row r="16" spans="1:125" ht="23.25" customHeight="1" x14ac:dyDescent="0.25">
      <c r="A16" s="32" t="s">
        <v>211</v>
      </c>
      <c r="B16" s="38" t="s">
        <v>256</v>
      </c>
      <c r="C16" s="33" t="s">
        <v>220</v>
      </c>
      <c r="D16" s="8">
        <f>SUMIFS('2.1. sz. PMH'!D16:M16,'2.1. sz. PMH'!$D$4:$M$4,"kötelező")+SUMIFS('2.2. sz. Hétszínvirág Óvoda'!D16:K16,'2.2. sz. Hétszínvirág Óvoda'!$D$4:$K$4,"kötelező")+SUMIFS('2.3. sz. Mese Óvoda'!D16:I16,'2.3. sz. Mese Óvoda'!$D$4:$I$4,"kötelező")+SUMIFS('2.4. sz. Bölcsőde'!D16:H16,'2.4. sz. Bölcsőde'!$D$4:$H$4,"kötelező")+SUMIFS('2.5. sz. Gyermekjóléti'!D16:J16,'2.5. sz. Gyermekjóléti'!$D$4:$J$4,"kötelező")+SUMIFS('2.6 sz. Területi'!D16:V16,'2.6 sz. Területi'!$D$4:$V$4,"kötelező")+SUMIFS('2.7. sz. Könyvtár'!D16:J16,'2.7. sz. Könyvtár'!$D$4:$J$4,"kötelező")+SUMIFS('2.8. sz. Műv.Ház'!D16:I16,'2.8. sz. Műv.Ház'!$D$4:$I$4,"kötelező")+SUMIFS('2.9. sz. Szivárvány Ó.'!D16:J16,'2.9. sz. Szivárvány Ó.'!$D$4:$J$4,"kötelező")</f>
        <v>43664048</v>
      </c>
      <c r="E16" s="8">
        <f>SUMIFS('2.1. sz. PMH'!D16:M16,'2.1. sz. PMH'!$D$4:$M$4,"önként vállalt")+SUMIFS('2.2. sz. Hétszínvirág Óvoda'!D16:K16,'2.2. sz. Hétszínvirág Óvoda'!$D$4:$K$4,"önként vállalt")+SUMIFS('2.3. sz. Mese Óvoda'!D16:H16,'2.3. sz. Mese Óvoda'!$D$4:$H$4,"önként vállalt")+SUMIFS('2.4. sz. Bölcsőde'!D16:H16,'2.4. sz. Bölcsőde'!$D$4:$H$4,"önként vállalt")+SUMIFS('2.5. sz. Gyermekjóléti'!D16:J16,'2.5. sz. Gyermekjóléti'!$D$4:$J$4,"önként vállalt")+SUMIFS('2.6 sz. Területi'!D16:V16,'2.6 sz. Területi'!$D$4:$V$4,"önként vállalt")+SUMIFS('2.7. sz. Könyvtár'!D16:J16,'2.7. sz. Könyvtár'!$D$4:$J$4,"önként vállalt")+SUMIFS('2.8. sz. Műv.Ház'!D16:I16,'2.8. sz. Műv.Ház'!$D$4:$I$4,"önként vállalt")+SUMIFS('2.9. sz. Szivárvány Ó.'!D16:J16,'2.9. sz. Szivárvány Ó.'!$D$4:$J$4,"önként vállalt")</f>
        <v>2222500</v>
      </c>
      <c r="F16" s="8">
        <f>SUMIFS('2.1. sz. PMH'!D16:M16,'2.1. sz. PMH'!$D$4:$M$4,"államigazgatási")+SUMIFS('2.2. sz. Hétszínvirág Óvoda'!D16:K16,'2.2. sz. Hétszínvirág Óvoda'!$D$4:$K$4,"államigazgatási")+SUMIFS('2.3. sz. Mese Óvoda'!D16:H16,'2.3. sz. Mese Óvoda'!$D$4:$H$4,"államigazgatási")+SUMIFS('2.4. sz. Bölcsőde'!D16:H16,'2.4. sz. Bölcsőde'!$D$4:$H$4,"államigazgatási")+SUMIFS('2.5. sz. Gyermekjóléti'!D16:J16,'2.5. sz. Gyermekjóléti'!$D$4:$J$4,"államigazgatási")+SUMIFS('2.6 sz. Területi'!D16:V16,'2.6 sz. Területi'!$D$4:$V$4,"államigazgatási")+SUMIFS('2.7. sz. Könyvtár'!D16:J16,'2.7. sz. Könyvtár'!$D$4:$J$4,"államigazgatási")+SUMIFS('2.8. sz. Műv.Ház'!D16:I16,'2.8. sz. Műv.Ház'!$D$4:$I$4,"államigazgatási")+SUMIFS('2.9. sz. Szivárvány Ó.'!D16:J16,'2.9. sz. Szivárvány Ó.'!$D$4:$J$4,"államigazgatási")</f>
        <v>6413500</v>
      </c>
      <c r="G16" s="8">
        <f t="shared" si="0"/>
        <v>52300048</v>
      </c>
      <c r="H16" s="121">
        <f>'2.1. sz. PMH'!N16+'2.2. sz. Hétszínvirág Óvoda'!L16+'2.3. sz. Mese Óvoda'!J16+'2.4. sz. Bölcsőde'!I16+'2.5. sz. Gyermekjóléti'!K16+'2.6 sz. Területi'!W16+'2.7. sz. Könyvtár'!K16</f>
        <v>48460148</v>
      </c>
      <c r="I16" s="120">
        <f t="shared" ref="I16:I25" si="2">H16-G16</f>
        <v>-3839900</v>
      </c>
    </row>
    <row r="17" spans="1:10" ht="23.25" customHeight="1" x14ac:dyDescent="0.25">
      <c r="A17" s="32" t="s">
        <v>212</v>
      </c>
      <c r="B17" s="35" t="s">
        <v>348</v>
      </c>
      <c r="C17" s="33" t="s">
        <v>221</v>
      </c>
      <c r="D17" s="8">
        <f>SUMIFS('2.1. sz. PMH'!D17:M17,'2.1. sz. PMH'!$D$4:$M$4,"kötelező")+SUMIFS('2.2. sz. Hétszínvirág Óvoda'!D17:K17,'2.2. sz. Hétszínvirág Óvoda'!$D$4:$K$4,"kötelező")+SUMIFS('2.3. sz. Mese Óvoda'!D17:I17,'2.3. sz. Mese Óvoda'!$D$4:$I$4,"kötelező")+SUMIFS('2.4. sz. Bölcsőde'!D17:H17,'2.4. sz. Bölcsőde'!$D$4:$H$4,"kötelező")+SUMIFS('2.5. sz. Gyermekjóléti'!D17:J17,'2.5. sz. Gyermekjóléti'!$D$4:$J$4,"kötelező")+SUMIFS('2.6 sz. Területi'!D17:V17,'2.6 sz. Területi'!$D$4:$V$4,"kötelező")+SUMIFS('2.7. sz. Könyvtár'!D17:J17,'2.7. sz. Könyvtár'!$D$4:$J$4,"kötelező")+SUMIFS('2.8. sz. Műv.Ház'!D17:I17,'2.8. sz. Műv.Ház'!$D$4:$I$4,"kötelező")+SUMIFS('2.9. sz. Szivárvány Ó.'!D17:J17,'2.9. sz. Szivárvány Ó.'!$D$4:$J$4,"kötelező")</f>
        <v>0</v>
      </c>
      <c r="E17" s="8">
        <f>SUMIFS('2.1. sz. PMH'!D17:M17,'2.1. sz. PMH'!$D$4:$M$4,"önként vállalt")+SUMIFS('2.2. sz. Hétszínvirág Óvoda'!D17:K17,'2.2. sz. Hétszínvirág Óvoda'!$D$4:$K$4,"önként vállalt")+SUMIFS('2.3. sz. Mese Óvoda'!D17:H17,'2.3. sz. Mese Óvoda'!$D$4:$H$4,"önként vállalt")+SUMIFS('2.4. sz. Bölcsőde'!D17:H17,'2.4. sz. Bölcsőde'!$D$4:$H$4,"önként vállalt")+SUMIFS('2.5. sz. Gyermekjóléti'!D17:J17,'2.5. sz. Gyermekjóléti'!$D$4:$J$4,"önként vállalt")+SUMIFS('2.6 sz. Területi'!D17:V17,'2.6 sz. Területi'!$D$4:$V$4,"önként vállalt")+SUMIFS('2.7. sz. Könyvtár'!D17:J17,'2.7. sz. Könyvtár'!$D$4:$J$4,"önként vállalt")+SUMIFS('2.8. sz. Műv.Ház'!D17:I17,'2.8. sz. Műv.Ház'!$D$4:$I$4,"önként vállalt")+SUMIFS('2.9. sz. Szivárvány Ó.'!D17:J17,'2.9. sz. Szivárvány Ó.'!$D$4:$J$4,"önként vállalt")</f>
        <v>0</v>
      </c>
      <c r="F17" s="8">
        <f>SUMIFS('2.1. sz. PMH'!D17:M17,'2.1. sz. PMH'!$D$4:$M$4,"államigazgatási")+SUMIFS('2.2. sz. Hétszínvirág Óvoda'!D17:K17,'2.2. sz. Hétszínvirág Óvoda'!$D$4:$K$4,"államigazgatási")+SUMIFS('2.3. sz. Mese Óvoda'!D17:H17,'2.3. sz. Mese Óvoda'!$D$4:$H$4,"államigazgatási")+SUMIFS('2.4. sz. Bölcsőde'!D17:H17,'2.4. sz. Bölcsőde'!$D$4:$H$4,"államigazgatási")+SUMIFS('2.5. sz. Gyermekjóléti'!D17:J17,'2.5. sz. Gyermekjóléti'!$D$4:$J$4,"államigazgatási")+SUMIFS('2.6 sz. Területi'!D17:V17,'2.6 sz. Területi'!$D$4:$V$4,"államigazgatási")+SUMIFS('2.7. sz. Könyvtár'!D17:J17,'2.7. sz. Könyvtár'!$D$4:$J$4,"államigazgatási")+SUMIFS('2.8. sz. Műv.Ház'!D17:I17,'2.8. sz. Műv.Ház'!$D$4:$I$4,"államigazgatási")+SUMIFS('2.9. sz. Szivárvány Ó.'!D17:J17,'2.9. sz. Szivárvány Ó.'!$D$4:$J$4,"államigazgatási")</f>
        <v>0</v>
      </c>
      <c r="G17" s="8">
        <f t="shared" si="0"/>
        <v>0</v>
      </c>
      <c r="H17" s="121">
        <f>'2.1. sz. PMH'!N17+'2.2. sz. Hétszínvirág Óvoda'!L17+'2.3. sz. Mese Óvoda'!J17+'2.4. sz. Bölcsőde'!I17+'2.5. sz. Gyermekjóléti'!K17+'2.6 sz. Területi'!W17+'2.7. sz. Könyvtár'!K17</f>
        <v>0</v>
      </c>
      <c r="I17" s="120">
        <f t="shared" si="2"/>
        <v>0</v>
      </c>
    </row>
    <row r="18" spans="1:10" ht="23.25" customHeight="1" x14ac:dyDescent="0.25">
      <c r="A18" s="32" t="s">
        <v>213</v>
      </c>
      <c r="B18" s="35" t="s">
        <v>250</v>
      </c>
      <c r="C18" s="33" t="s">
        <v>222</v>
      </c>
      <c r="D18" s="8">
        <f>SUMIFS('2.1. sz. PMH'!D18:M18,'2.1. sz. PMH'!$D$4:$M$4,"kötelező")+SUMIFS('2.2. sz. Hétszínvirág Óvoda'!D18:K18,'2.2. sz. Hétszínvirág Óvoda'!$D$4:$K$4,"kötelező")+SUMIFS('2.3. sz. Mese Óvoda'!D18:I18,'2.3. sz. Mese Óvoda'!$D$4:$I$4,"kötelező")+SUMIFS('2.4. sz. Bölcsőde'!D18:H18,'2.4. sz. Bölcsőde'!$D$4:$H$4,"kötelező")+SUMIFS('2.5. sz. Gyermekjóléti'!D18:J18,'2.5. sz. Gyermekjóléti'!$D$4:$J$4,"kötelező")+SUMIFS('2.6 sz. Területi'!D18:V18,'2.6 sz. Területi'!$D$4:$V$4,"kötelező")+SUMIFS('2.7. sz. Könyvtár'!D18:J18,'2.7. sz. Könyvtár'!$D$4:$J$4,"kötelező")+SUMIFS('2.8. sz. Műv.Ház'!D18:I18,'2.8. sz. Műv.Ház'!$D$4:$I$4,"kötelező")+SUMIFS('2.9. sz. Szivárvány Ó.'!D18:J18,'2.9. sz. Szivárvány Ó.'!$D$4:$J$4,"kötelező")</f>
        <v>6000000</v>
      </c>
      <c r="E18" s="8">
        <f>SUMIFS('2.1. sz. PMH'!D18:M18,'2.1. sz. PMH'!$D$4:$M$4,"önként vállalt")+SUMIFS('2.2. sz. Hétszínvirág Óvoda'!D18:K18,'2.2. sz. Hétszínvirág Óvoda'!$D$4:$K$4,"önként vállalt")+SUMIFS('2.3. sz. Mese Óvoda'!D18:H18,'2.3. sz. Mese Óvoda'!$D$4:$H$4,"önként vállalt")+SUMIFS('2.4. sz. Bölcsőde'!D18:H18,'2.4. sz. Bölcsőde'!$D$4:$H$4,"önként vállalt")+SUMIFS('2.5. sz. Gyermekjóléti'!D18:J18,'2.5. sz. Gyermekjóléti'!$D$4:$J$4,"önként vállalt")+SUMIFS('2.6 sz. Területi'!D18:V18,'2.6 sz. Területi'!$D$4:$V$4,"önként vállalt")+SUMIFS('2.7. sz. Könyvtár'!D18:J18,'2.7. sz. Könyvtár'!$D$4:$J$4,"önként vállalt")+SUMIFS('2.8. sz. Műv.Ház'!D18:I18,'2.8. sz. Műv.Ház'!$D$4:$I$4,"önként vállalt")+SUMIFS('2.9. sz. Szivárvány Ó.'!D18:J18,'2.9. sz. Szivárvány Ó.'!$D$4:$J$4,"önként vállalt")</f>
        <v>0</v>
      </c>
      <c r="F18" s="8">
        <f>SUMIFS('2.1. sz. PMH'!D18:M18,'2.1. sz. PMH'!$D$4:$M$4,"államigazgatási")+SUMIFS('2.2. sz. Hétszínvirág Óvoda'!D18:K18,'2.2. sz. Hétszínvirág Óvoda'!$D$4:$K$4,"államigazgatási")+SUMIFS('2.3. sz. Mese Óvoda'!D18:H18,'2.3. sz. Mese Óvoda'!$D$4:$H$4,"államigazgatási")+SUMIFS('2.4. sz. Bölcsőde'!D18:H18,'2.4. sz. Bölcsőde'!$D$4:$H$4,"államigazgatási")+SUMIFS('2.5. sz. Gyermekjóléti'!D18:J18,'2.5. sz. Gyermekjóléti'!$D$4:$J$4,"államigazgatási")+SUMIFS('2.6 sz. Területi'!D18:V18,'2.6 sz. Területi'!$D$4:$V$4,"államigazgatási")+SUMIFS('2.7. sz. Könyvtár'!D18:J18,'2.7. sz. Könyvtár'!$D$4:$J$4,"államigazgatási")+SUMIFS('2.8. sz. Műv.Ház'!D18:I18,'2.8. sz. Műv.Ház'!$D$4:$I$4,"államigazgatási")+SUMIFS('2.9. sz. Szivárvány Ó.'!D18:J18,'2.9. sz. Szivárvány Ó.'!$D$4:$J$4,"államigazgatási")</f>
        <v>0</v>
      </c>
      <c r="G18" s="8">
        <f t="shared" si="0"/>
        <v>6000000</v>
      </c>
      <c r="H18" s="121">
        <f>'2.1. sz. PMH'!N18+'2.2. sz. Hétszínvirág Óvoda'!L18+'2.3. sz. Mese Óvoda'!J18+'2.4. sz. Bölcsőde'!I18+'2.5. sz. Gyermekjóléti'!K18+'2.6 sz. Területi'!W18+'2.7. sz. Könyvtár'!K18</f>
        <v>6000000</v>
      </c>
      <c r="I18" s="120">
        <f t="shared" si="2"/>
        <v>0</v>
      </c>
    </row>
    <row r="19" spans="1:10" ht="23.25" customHeight="1" x14ac:dyDescent="0.25">
      <c r="A19" s="32" t="s">
        <v>240</v>
      </c>
      <c r="B19" s="36" t="s">
        <v>132</v>
      </c>
      <c r="C19" s="33"/>
      <c r="D19" s="8">
        <f>SUMIFS('2.1. sz. PMH'!D19:M19,'2.1. sz. PMH'!$D$4:$M$4,"kötelező")+SUMIFS('2.2. sz. Hétszínvirág Óvoda'!D19:K19,'2.2. sz. Hétszínvirág Óvoda'!$D$4:$K$4,"kötelező")+SUMIFS('2.3. sz. Mese Óvoda'!D19:I19,'2.3. sz. Mese Óvoda'!$D$4:$I$4,"kötelező")+SUMIFS('2.4. sz. Bölcsőde'!D19:H19,'2.4. sz. Bölcsőde'!$D$4:$H$4,"kötelező")+SUMIFS('2.5. sz. Gyermekjóléti'!D19:J19,'2.5. sz. Gyermekjóléti'!$D$4:$J$4,"kötelező")+SUMIFS('2.6 sz. Területi'!D19:V19,'2.6 sz. Területi'!$D$4:$V$4,"kötelező")+SUMIFS('2.7. sz. Könyvtár'!D19:J19,'2.7. sz. Könyvtár'!$D$4:$J$4,"kötelező")+SUMIFS('2.8. sz. Műv.Ház'!D19:I19,'2.8. sz. Műv.Ház'!$D$4:$I$4,"kötelező")+SUMIFS('2.9. sz. Szivárvány Ó.'!D19:J19,'2.9. sz. Szivárvány Ó.'!$D$4:$J$4,"kötelező")</f>
        <v>6000000</v>
      </c>
      <c r="E19" s="8">
        <f>SUMIFS('2.1. sz. PMH'!D19:M19,'2.1. sz. PMH'!$D$4:$M$4,"önként vállalt")+SUMIFS('2.2. sz. Hétszínvirág Óvoda'!D19:K19,'2.2. sz. Hétszínvirág Óvoda'!$D$4:$K$4,"önként vállalt")+SUMIFS('2.3. sz. Mese Óvoda'!D19:H19,'2.3. sz. Mese Óvoda'!$D$4:$H$4,"önként vállalt")+SUMIFS('2.4. sz. Bölcsőde'!D19:H19,'2.4. sz. Bölcsőde'!$D$4:$H$4,"önként vállalt")+SUMIFS('2.5. sz. Gyermekjóléti'!D19:J19,'2.5. sz. Gyermekjóléti'!$D$4:$J$4,"önként vállalt")+SUMIFS('2.6 sz. Területi'!D19:V19,'2.6 sz. Területi'!$D$4:$V$4,"önként vállalt")+SUMIFS('2.7. sz. Könyvtár'!D19:J19,'2.7. sz. Könyvtár'!$D$4:$J$4,"önként vállalt")+SUMIFS('2.8. sz. Műv.Ház'!D19:I19,'2.8. sz. Műv.Ház'!$D$4:$I$4,"önként vállalt")+SUMIFS('2.9. sz. Szivárvány Ó.'!D19:J19,'2.9. sz. Szivárvány Ó.'!$D$4:$J$4,"önként vállalt")</f>
        <v>0</v>
      </c>
      <c r="F19" s="8">
        <f>SUMIFS('2.1. sz. PMH'!D19:M19,'2.1. sz. PMH'!$D$4:$M$4,"államigazgatási")+SUMIFS('2.2. sz. Hétszínvirág Óvoda'!D19:K19,'2.2. sz. Hétszínvirág Óvoda'!$D$4:$K$4,"államigazgatási")+SUMIFS('2.3. sz. Mese Óvoda'!D19:H19,'2.3. sz. Mese Óvoda'!$D$4:$H$4,"államigazgatási")+SUMIFS('2.4. sz. Bölcsőde'!D19:H19,'2.4. sz. Bölcsőde'!$D$4:$H$4,"államigazgatási")+SUMIFS('2.5. sz. Gyermekjóléti'!D19:J19,'2.5. sz. Gyermekjóléti'!$D$4:$J$4,"államigazgatási")+SUMIFS('2.6 sz. Területi'!D19:V19,'2.6 sz. Területi'!$D$4:$V$4,"államigazgatási")+SUMIFS('2.7. sz. Könyvtár'!D19:J19,'2.7. sz. Könyvtár'!$D$4:$J$4,"államigazgatási")+SUMIFS('2.8. sz. Műv.Ház'!D19:I19,'2.8. sz. Műv.Ház'!$D$4:$I$4,"államigazgatási")+SUMIFS('2.9. sz. Szivárvány Ó.'!D19:J19,'2.9. sz. Szivárvány Ó.'!$D$4:$J$4,"államigazgatási")</f>
        <v>0</v>
      </c>
      <c r="G19" s="8">
        <f t="shared" si="0"/>
        <v>6000000</v>
      </c>
      <c r="H19" s="121">
        <f>'2.1. sz. PMH'!N19+'2.2. sz. Hétszínvirág Óvoda'!L19+'2.3. sz. Mese Óvoda'!J19+'2.4. sz. Bölcsőde'!I19+'2.5. sz. Gyermekjóléti'!K19+'2.6 sz. Területi'!W19+'2.7. sz. Könyvtár'!K19</f>
        <v>6000000</v>
      </c>
      <c r="I19" s="120">
        <f t="shared" si="2"/>
        <v>0</v>
      </c>
    </row>
    <row r="20" spans="1:10" ht="23.25" customHeight="1" x14ac:dyDescent="0.25">
      <c r="A20" s="32" t="s">
        <v>241</v>
      </c>
      <c r="B20" s="38" t="s">
        <v>251</v>
      </c>
      <c r="C20" s="33" t="s">
        <v>223</v>
      </c>
      <c r="D20" s="8">
        <f>SUMIFS('2.1. sz. PMH'!D20:M20,'2.1. sz. PMH'!$D$4:$M$4,"kötelező")+SUMIFS('2.2. sz. Hétszínvirág Óvoda'!D20:K20,'2.2. sz. Hétszínvirág Óvoda'!$D$4:$K$4,"kötelező")+SUMIFS('2.3. sz. Mese Óvoda'!D20:I20,'2.3. sz. Mese Óvoda'!$D$4:$I$4,"kötelező")+SUMIFS('2.4. sz. Bölcsőde'!D20:H20,'2.4. sz. Bölcsőde'!$D$4:$H$4,"kötelező")+SUMIFS('2.5. sz. Gyermekjóléti'!D20:J20,'2.5. sz. Gyermekjóléti'!$D$4:$J$4,"kötelező")+SUMIFS('2.6 sz. Területi'!D20:V20,'2.6 sz. Területi'!$D$4:$V$4,"kötelező")+SUMIFS('2.7. sz. Könyvtár'!D20:J20,'2.7. sz. Könyvtár'!$D$4:$J$4,"kötelező")+SUMIFS('2.8. sz. Műv.Ház'!D20:I20,'2.8. sz. Műv.Ház'!$D$4:$I$4,"kötelező")+SUMIFS('2.9. sz. Szivárvány Ó.'!D20:J20,'2.9. sz. Szivárvány Ó.'!$D$4:$J$4,"kötelező")</f>
        <v>3186860954</v>
      </c>
      <c r="E20" s="9">
        <f>SUMIFS('2.1. sz. PMH'!D20:M20,'2.1. sz. PMH'!$D$4:$M$4,"önként vállalt")+SUMIFS('2.2. sz. Hétszínvirág Óvoda'!D20:K20,'2.2. sz. Hétszínvirág Óvoda'!$D$4:$K$4,"önként vállalt")+SUMIFS('2.3. sz. Mese Óvoda'!D20:H20,'2.3. sz. Mese Óvoda'!$D$4:$H$4,"önként vállalt")+SUMIFS('2.4. sz. Bölcsőde'!D20:H20,'2.4. sz. Bölcsőde'!$D$4:$H$4,"önként vállalt")+SUMIFS('2.5. sz. Gyermekjóléti'!D20:J20,'2.5. sz. Gyermekjóléti'!$D$4:$J$4,"önként vállalt")+SUMIFS('2.6 sz. Területi'!D20:V20,'2.6 sz. Területi'!$D$4:$V$4,"önként vállalt")+SUMIFS('2.7. sz. Könyvtár'!D20:J20,'2.7. sz. Könyvtár'!$D$4:$J$4,"önként vállalt")+SUMIFS('2.8. sz. Műv.Ház'!D20:I20,'2.8. sz. Műv.Ház'!$D$4:$I$4,"önként vállalt")+SUMIFS('2.9. sz. Szivárvány Ó.'!D20:J20,'2.9. sz. Szivárvány Ó.'!$D$4:$J$4,"önként vállalt")</f>
        <v>97029993</v>
      </c>
      <c r="F20" s="9">
        <f>SUMIFS('2.1. sz. PMH'!D20:M20,'2.1. sz. PMH'!$D$4:$M$4,"államigazgatási")+SUMIFS('2.2. sz. Hétszínvirág Óvoda'!D20:K20,'2.2. sz. Hétszínvirág Óvoda'!$D$4:$K$4,"államigazgatási")+SUMIFS('2.3. sz. Mese Óvoda'!D20:H20,'2.3. sz. Mese Óvoda'!$D$4:$H$4,"államigazgatási")+SUMIFS('2.4. sz. Bölcsőde'!D20:H20,'2.4. sz. Bölcsőde'!$D$4:$H$4,"államigazgatási")+SUMIFS('2.5. sz. Gyermekjóléti'!D20:J20,'2.5. sz. Gyermekjóléti'!$D$4:$J$4,"államigazgatási")+SUMIFS('2.6 sz. Területi'!D20:V20,'2.6 sz. Területi'!$D$4:$V$4,"államigazgatási")+SUMIFS('2.7. sz. Könyvtár'!D20:J20,'2.7. sz. Könyvtár'!$D$4:$J$4,"államigazgatási")+SUMIFS('2.8. sz. Műv.Ház'!D20:I20,'2.8. sz. Műv.Ház'!$D$4:$I$4,"államigazgatási")+SUMIFS('2.9. sz. Szivárvány Ó.'!D20:J20,'2.9. sz. Szivárvány Ó.'!$D$4:$J$4,"államigazgatási")</f>
        <v>124824853</v>
      </c>
      <c r="G20" s="9">
        <f t="shared" si="0"/>
        <v>3408715800</v>
      </c>
      <c r="H20" s="121">
        <f>'2.1. sz. PMH'!N20+'2.2. sz. Hétszínvirág Óvoda'!L20+'2.3. sz. Mese Óvoda'!J20+'2.4. sz. Bölcsőde'!I20+'2.5. sz. Gyermekjóléti'!K20+'2.6 sz. Területi'!W20+'2.7. sz. Könyvtár'!K20</f>
        <v>3000584668</v>
      </c>
      <c r="I20" s="120">
        <f t="shared" si="2"/>
        <v>-408131132</v>
      </c>
      <c r="J20" s="120">
        <f>+F8+F9+F10+F16</f>
        <v>124824853</v>
      </c>
    </row>
    <row r="21" spans="1:10" ht="23.25" customHeight="1" x14ac:dyDescent="0.25">
      <c r="A21" s="32" t="s">
        <v>242</v>
      </c>
      <c r="B21" s="38" t="s">
        <v>236</v>
      </c>
      <c r="C21" s="33" t="s">
        <v>232</v>
      </c>
      <c r="D21" s="8">
        <f>SUMIFS('2.1. sz. PMH'!D21:M21,'2.1. sz. PMH'!$D$4:$M$4,"kötelező")+SUMIFS('2.2. sz. Hétszínvirág Óvoda'!D21:K21,'2.2. sz. Hétszínvirág Óvoda'!$D$4:$K$4,"kötelező")+SUMIFS('2.3. sz. Mese Óvoda'!D21:I21,'2.3. sz. Mese Óvoda'!$D$4:$I$4,"kötelező")+SUMIFS('2.4. sz. Bölcsőde'!D21:H21,'2.4. sz. Bölcsőde'!$D$4:$H$4,"kötelező")+SUMIFS('2.5. sz. Gyermekjóléti'!D21:J21,'2.5. sz. Gyermekjóléti'!$D$4:$J$4,"kötelező")+SUMIFS('2.6 sz. Területi'!D21:V21,'2.6 sz. Területi'!$D$4:$V$4,"kötelező")+SUMIFS('2.7. sz. Könyvtár'!D21:J21,'2.7. sz. Könyvtár'!$D$4:$J$4,"kötelező")+SUMIFS('2.8. sz. Műv.Ház'!D21:I21,'2.8. sz. Műv.Ház'!$D$4:$I$4,"kötelező")+SUMIFS('2.9. sz. Szivárvány Ó.'!D21:J21,'2.9. sz. Szivárvány Ó.'!$D$4:$J$4,"kötelező")</f>
        <v>0</v>
      </c>
      <c r="E21" s="8">
        <f>SUMIFS('2.1. sz. PMH'!D21:M21,'2.1. sz. PMH'!$D$4:$M$4,"önként vállalt")+SUMIFS('2.2. sz. Hétszínvirág Óvoda'!D21:K21,'2.2. sz. Hétszínvirág Óvoda'!$D$4:$K$4,"önként vállalt")+SUMIFS('2.3. sz. Mese Óvoda'!D21:H21,'2.3. sz. Mese Óvoda'!$D$4:$H$4,"önként vállalt")+SUMIFS('2.4. sz. Bölcsőde'!D21:H21,'2.4. sz. Bölcsőde'!$D$4:$H$4,"önként vállalt")+SUMIFS('2.5. sz. Gyermekjóléti'!D21:J21,'2.5. sz. Gyermekjóléti'!$D$4:$J$4,"önként vállalt")+SUMIFS('2.6 sz. Területi'!D21:V21,'2.6 sz. Területi'!$D$4:$V$4,"önként vállalt")+SUMIFS('2.7. sz. Könyvtár'!D21:J21,'2.7. sz. Könyvtár'!$D$4:$J$4,"önként vállalt")+SUMIFS('2.8. sz. Műv.Ház'!D21:I21,'2.8. sz. Műv.Ház'!$D$4:$I$4,"önként vállalt")+SUMIFS('2.9. sz. Szivárvány Ó.'!D21:J21,'2.9. sz. Szivárvány Ó.'!$D$4:$J$4,"önként vállalt")</f>
        <v>0</v>
      </c>
      <c r="F21" s="8">
        <f>SUMIFS('2.1. sz. PMH'!D21:M21,'2.1. sz. PMH'!$D$4:$M$4,"államigazgatási")+SUMIFS('2.2. sz. Hétszínvirág Óvoda'!D21:K21,'2.2. sz. Hétszínvirág Óvoda'!$D$4:$K$4,"államigazgatási")+SUMIFS('2.3. sz. Mese Óvoda'!D21:H21,'2.3. sz. Mese Óvoda'!$D$4:$H$4,"államigazgatási")+SUMIFS('2.4. sz. Bölcsőde'!D21:H21,'2.4. sz. Bölcsőde'!$D$4:$H$4,"államigazgatási")+SUMIFS('2.5. sz. Gyermekjóléti'!D21:J21,'2.5. sz. Gyermekjóléti'!$D$4:$J$4,"államigazgatási")+SUMIFS('2.6 sz. Területi'!D21:V21,'2.6 sz. Területi'!$D$4:$V$4,"államigazgatási")+SUMIFS('2.7. sz. Könyvtár'!D21:J21,'2.7. sz. Könyvtár'!$D$4:$J$4,"államigazgatási")+SUMIFS('2.8. sz. Műv.Ház'!D21:I21,'2.8. sz. Műv.Ház'!$D$4:$I$4,"államigazgatási")+SUMIFS('2.9. sz. Szivárvány Ó.'!D21:J21,'2.9. sz. Szivárvány Ó.'!$D$4:$J$4,"államigazgatási")</f>
        <v>0</v>
      </c>
      <c r="G21" s="8">
        <f t="shared" si="0"/>
        <v>0</v>
      </c>
      <c r="H21" s="121">
        <f>'2.1. sz. PMH'!N21+'2.2. sz. Hétszínvirág Óvoda'!L21+'2.3. sz. Mese Óvoda'!J21+'2.4. sz. Bölcsőde'!I21+'2.5. sz. Gyermekjóléti'!K21+'2.6 sz. Területi'!W21+'2.7. sz. Könyvtár'!K21</f>
        <v>0</v>
      </c>
      <c r="I21" s="120">
        <f t="shared" si="2"/>
        <v>0</v>
      </c>
    </row>
    <row r="22" spans="1:10" ht="23.25" customHeight="1" x14ac:dyDescent="0.25">
      <c r="A22" s="32" t="s">
        <v>243</v>
      </c>
      <c r="B22" s="132" t="s">
        <v>191</v>
      </c>
      <c r="C22" s="37"/>
      <c r="D22" s="8">
        <f>SUMIFS('2.1. sz. PMH'!D22:M22,'2.1. sz. PMH'!$D$4:$M$4,"kötelező")+SUMIFS('2.2. sz. Hétszínvirág Óvoda'!D22:K22,'2.2. sz. Hétszínvirág Óvoda'!$D$4:$K$4,"kötelező")+SUMIFS('2.3. sz. Mese Óvoda'!D22:I22,'2.3. sz. Mese Óvoda'!$D$4:$I$4,"kötelező")+SUMIFS('2.4. sz. Bölcsőde'!D22:H22,'2.4. sz. Bölcsőde'!$D$4:$H$4,"kötelező")+SUMIFS('2.5. sz. Gyermekjóléti'!D22:J22,'2.5. sz. Gyermekjóléti'!$D$4:$J$4,"kötelező")+SUMIFS('2.6 sz. Területi'!D22:V22,'2.6 sz. Területi'!$D$4:$V$4,"kötelező")+SUMIFS('2.7. sz. Könyvtár'!D22:J22,'2.7. sz. Könyvtár'!$D$4:$J$4,"kötelező")+SUMIFS('2.8. sz. Műv.Ház'!D22:I22,'2.8. sz. Műv.Ház'!$D$4:$I$4,"kötelező")+SUMIFS('2.9. sz. Szivárvány Ó.'!D22:J22,'2.9. sz. Szivárvány Ó.'!$D$4:$J$4,"kötelező")</f>
        <v>0</v>
      </c>
      <c r="E22" s="8">
        <f>SUMIFS('2.1. sz. PMH'!D22:M22,'2.1. sz. PMH'!$D$4:$M$4,"önként vállalt")+SUMIFS('2.2. sz. Hétszínvirág Óvoda'!D22:K22,'2.2. sz. Hétszínvirág Óvoda'!$D$4:$K$4,"önként vállalt")+SUMIFS('2.3. sz. Mese Óvoda'!D22:H22,'2.3. sz. Mese Óvoda'!$D$4:$H$4,"önként vállalt")+SUMIFS('2.4. sz. Bölcsőde'!D22:H22,'2.4. sz. Bölcsőde'!$D$4:$H$4,"önként vállalt")+SUMIFS('2.5. sz. Gyermekjóléti'!D22:J22,'2.5. sz. Gyermekjóléti'!$D$4:$J$4,"önként vállalt")+SUMIFS('2.6 sz. Területi'!D22:V22,'2.6 sz. Területi'!$D$4:$V$4,"önként vállalt")+SUMIFS('2.7. sz. Könyvtár'!D22:J22,'2.7. sz. Könyvtár'!$D$4:$J$4,"önként vállalt")+SUMIFS('2.8. sz. Műv.Ház'!D22:I22,'2.8. sz. Műv.Ház'!$D$4:$I$4,"önként vállalt")+SUMIFS('2.9. sz. Szivárvány Ó.'!D22:J22,'2.9. sz. Szivárvány Ó.'!$D$4:$J$4,"önként vállalt")</f>
        <v>0</v>
      </c>
      <c r="F22" s="8">
        <f>SUMIFS('2.1. sz. PMH'!D22:M22,'2.1. sz. PMH'!$D$4:$M$4,"államigazgatási")+SUMIFS('2.2. sz. Hétszínvirág Óvoda'!D22:K22,'2.2. sz. Hétszínvirág Óvoda'!$D$4:$K$4,"államigazgatási")+SUMIFS('2.3. sz. Mese Óvoda'!D22:H22,'2.3. sz. Mese Óvoda'!$D$4:$H$4,"államigazgatási")+SUMIFS('2.4. sz. Bölcsőde'!D22:H22,'2.4. sz. Bölcsőde'!$D$4:$H$4,"államigazgatási")+SUMIFS('2.5. sz. Gyermekjóléti'!D22:J22,'2.5. sz. Gyermekjóléti'!$D$4:$J$4,"államigazgatási")+SUMIFS('2.6 sz. Területi'!D22:V22,'2.6 sz. Területi'!$D$4:$V$4,"államigazgatási")+SUMIFS('2.7. sz. Könyvtár'!D22:J22,'2.7. sz. Könyvtár'!$D$4:$J$4,"államigazgatási")+SUMIFS('2.8. sz. Műv.Ház'!D22:I22,'2.8. sz. Műv.Ház'!$D$4:$I$4,"államigazgatási")+SUMIFS('2.9. sz. Szivárvány Ó.'!D22:J22,'2.9. sz. Szivárvány Ó.'!$D$4:$J$4,"államigazgatási")</f>
        <v>0</v>
      </c>
      <c r="G22" s="8">
        <f t="shared" si="0"/>
        <v>0</v>
      </c>
      <c r="H22" s="121">
        <f>'2.1. sz. PMH'!N22+'2.2. sz. Hétszínvirág Óvoda'!L22+'2.3. sz. Mese Óvoda'!J22+'2.4. sz. Bölcsőde'!I22+'2.5. sz. Gyermekjóléti'!K22+'2.6 sz. Területi'!W22+'2.7. sz. Könyvtár'!K22</f>
        <v>0</v>
      </c>
      <c r="I22" s="120">
        <f t="shared" si="2"/>
        <v>0</v>
      </c>
    </row>
    <row r="23" spans="1:10" ht="23.25" customHeight="1" x14ac:dyDescent="0.25">
      <c r="A23" s="32" t="s">
        <v>244</v>
      </c>
      <c r="B23" s="39" t="s">
        <v>585</v>
      </c>
      <c r="C23" s="37"/>
      <c r="D23" s="8">
        <f>SUMIFS('2.1. sz. PMH'!D23:M23,'2.1. sz. PMH'!$D$4:$M$4,"kötelező")+SUMIFS('2.2. sz. Hétszínvirág Óvoda'!D23:K23,'2.2. sz. Hétszínvirág Óvoda'!$D$4:$K$4,"kötelező")+SUMIFS('2.3. sz. Mese Óvoda'!D23:I23,'2.3. sz. Mese Óvoda'!$D$4:$I$4,"kötelező")+SUMIFS('2.4. sz. Bölcsőde'!D23:H23,'2.4. sz. Bölcsőde'!$D$4:$H$4,"kötelező")+SUMIFS('2.5. sz. Gyermekjóléti'!D23:J23,'2.5. sz. Gyermekjóléti'!$D$4:$J$4,"kötelező")+SUMIFS('2.6 sz. Területi'!D23:V23,'2.6 sz. Területi'!$D$4:$V$4,"kötelező")+SUMIFS('2.7. sz. Könyvtár'!D23:J23,'2.7. sz. Könyvtár'!$D$4:$J$4,"kötelező")+SUMIFS('2.8. sz. Műv.Ház'!D23:I23,'2.8. sz. Műv.Ház'!$D$4:$I$4,"kötelező")+SUMIFS('2.9. sz. Szivárvány Ó.'!D23:J23,'2.9. sz. Szivárvány Ó.'!$D$4:$J$4,"kötelező")</f>
        <v>0</v>
      </c>
      <c r="E23" s="8">
        <f>SUMIFS('2.1. sz. PMH'!D23:M23,'2.1. sz. PMH'!$D$4:$M$4,"önként vállalt")+SUMIFS('2.2. sz. Hétszínvirág Óvoda'!D23:K23,'2.2. sz. Hétszínvirág Óvoda'!$D$4:$K$4,"önként vállalt")+SUMIFS('2.3. sz. Mese Óvoda'!D23:H23,'2.3. sz. Mese Óvoda'!$D$4:$H$4,"önként vállalt")+SUMIFS('2.4. sz. Bölcsőde'!D23:H23,'2.4. sz. Bölcsőde'!$D$4:$H$4,"önként vállalt")+SUMIFS('2.5. sz. Gyermekjóléti'!D23:J23,'2.5. sz. Gyermekjóléti'!$D$4:$J$4,"önként vállalt")+SUMIFS('2.6 sz. Területi'!D23:V23,'2.6 sz. Területi'!$D$4:$V$4,"önként vállalt")+SUMIFS('2.7. sz. Könyvtár'!D23:J23,'2.7. sz. Könyvtár'!$D$4:$J$4,"önként vállalt")+SUMIFS('2.8. sz. Műv.Ház'!D23:I23,'2.8. sz. Műv.Ház'!$D$4:$I$4,"önként vállalt")+SUMIFS('2.9. sz. Szivárvány Ó.'!D23:J23,'2.9. sz. Szivárvány Ó.'!$D$4:$J$4,"önként vállalt")</f>
        <v>0</v>
      </c>
      <c r="F23" s="8">
        <f>SUMIFS('2.1. sz. PMH'!D23:M23,'2.1. sz. PMH'!$D$4:$M$4,"államigazgatási")+SUMIFS('2.2. sz. Hétszínvirág Óvoda'!D23:K23,'2.2. sz. Hétszínvirág Óvoda'!$D$4:$K$4,"államigazgatási")+SUMIFS('2.3. sz. Mese Óvoda'!D23:H23,'2.3. sz. Mese Óvoda'!$D$4:$H$4,"államigazgatási")+SUMIFS('2.4. sz. Bölcsőde'!D23:H23,'2.4. sz. Bölcsőde'!$D$4:$H$4,"államigazgatási")+SUMIFS('2.5. sz. Gyermekjóléti'!D23:J23,'2.5. sz. Gyermekjóléti'!$D$4:$J$4,"államigazgatási")+SUMIFS('2.6 sz. Területi'!D23:V23,'2.6 sz. Területi'!$D$4:$V$4,"államigazgatási")+SUMIFS('2.7. sz. Könyvtár'!D23:J23,'2.7. sz. Könyvtár'!$D$4:$J$4,"államigazgatási")+SUMIFS('2.8. sz. Műv.Ház'!D23:I23,'2.8. sz. Műv.Ház'!$D$4:$I$4,"államigazgatási")+SUMIFS('2.9. sz. Szivárvány Ó.'!D23:J23,'2.9. sz. Szivárvány Ó.'!$D$4:$J$4,"államigazgatási")</f>
        <v>0</v>
      </c>
      <c r="G23" s="8">
        <f t="shared" si="0"/>
        <v>0</v>
      </c>
      <c r="H23" s="121">
        <f>'2.1. sz. PMH'!N23+'2.2. sz. Hétszínvirág Óvoda'!L23+'2.3. sz. Mese Óvoda'!J23+'2.4. sz. Bölcsőde'!I23+'2.5. sz. Gyermekjóléti'!K23+'2.6 sz. Területi'!W23+'2.7. sz. Könyvtár'!K23</f>
        <v>0</v>
      </c>
      <c r="I23" s="120">
        <f t="shared" si="2"/>
        <v>0</v>
      </c>
    </row>
    <row r="24" spans="1:10" ht="23.25" customHeight="1" x14ac:dyDescent="0.25">
      <c r="A24" s="32" t="s">
        <v>245</v>
      </c>
      <c r="B24" s="39" t="s">
        <v>586</v>
      </c>
      <c r="C24" s="37"/>
      <c r="D24" s="8">
        <f>SUMIFS('2.1. sz. PMH'!D24:M24,'2.1. sz. PMH'!$D$4:$M$4,"kötelező")+SUMIFS('2.2. sz. Hétszínvirág Óvoda'!D24:K24,'2.2. sz. Hétszínvirág Óvoda'!$D$4:$K$4,"kötelező")+SUMIFS('2.3. sz. Mese Óvoda'!D24:I24,'2.3. sz. Mese Óvoda'!$D$4:$I$4,"kötelező")+SUMIFS('2.4. sz. Bölcsőde'!D24:H24,'2.4. sz. Bölcsőde'!$D$4:$H$4,"kötelező")+SUMIFS('2.5. sz. Gyermekjóléti'!D24:J24,'2.5. sz. Gyermekjóléti'!$D$4:$J$4,"kötelező")+SUMIFS('2.6 sz. Területi'!D24:V24,'2.6 sz. Területi'!$D$4:$V$4,"kötelező")+SUMIFS('2.7. sz. Könyvtár'!D24:J24,'2.7. sz. Könyvtár'!$D$4:$J$4,"kötelező")+SUMIFS('2.8. sz. Műv.Ház'!D24:I24,'2.8. sz. Műv.Ház'!$D$4:$I$4,"kötelező")+SUMIFS('2.9. sz. Szivárvány Ó.'!D24:J24,'2.9. sz. Szivárvány Ó.'!$D$4:$J$4,"kötelező")</f>
        <v>0</v>
      </c>
      <c r="E24" s="8">
        <f>SUMIFS('2.1. sz. PMH'!D24:M24,'2.1. sz. PMH'!$D$4:$M$4,"önként vállalt")+SUMIFS('2.2. sz. Hétszínvirág Óvoda'!D24:K24,'2.2. sz. Hétszínvirág Óvoda'!$D$4:$K$4,"önként vállalt")+SUMIFS('2.3. sz. Mese Óvoda'!D24:H24,'2.3. sz. Mese Óvoda'!$D$4:$H$4,"önként vállalt")+SUMIFS('2.4. sz. Bölcsőde'!D24:H24,'2.4. sz. Bölcsőde'!$D$4:$H$4,"önként vállalt")+SUMIFS('2.5. sz. Gyermekjóléti'!D24:J24,'2.5. sz. Gyermekjóléti'!$D$4:$J$4,"önként vállalt")+SUMIFS('2.6 sz. Területi'!D24:V24,'2.6 sz. Területi'!$D$4:$V$4,"önként vállalt")+SUMIFS('2.7. sz. Könyvtár'!D24:J24,'2.7. sz. Könyvtár'!$D$4:$J$4,"önként vállalt")+SUMIFS('2.8. sz. Műv.Ház'!D24:I24,'2.8. sz. Műv.Ház'!$D$4:$I$4,"önként vállalt")+SUMIFS('2.9. sz. Szivárvány Ó.'!D24:J24,'2.9. sz. Szivárvány Ó.'!$D$4:$J$4,"önként vállalt")</f>
        <v>0</v>
      </c>
      <c r="F24" s="8">
        <f>SUMIFS('2.1. sz. PMH'!D24:M24,'2.1. sz. PMH'!$D$4:$M$4,"államigazgatási")+SUMIFS('2.2. sz. Hétszínvirág Óvoda'!D24:K24,'2.2. sz. Hétszínvirág Óvoda'!$D$4:$K$4,"államigazgatási")+SUMIFS('2.3. sz. Mese Óvoda'!D24:H24,'2.3. sz. Mese Óvoda'!$D$4:$H$4,"államigazgatási")+SUMIFS('2.4. sz. Bölcsőde'!D24:H24,'2.4. sz. Bölcsőde'!$D$4:$H$4,"államigazgatási")+SUMIFS('2.5. sz. Gyermekjóléti'!D24:J24,'2.5. sz. Gyermekjóléti'!$D$4:$J$4,"államigazgatási")+SUMIFS('2.6 sz. Területi'!D24:V24,'2.6 sz. Területi'!$D$4:$V$4,"államigazgatási")+SUMIFS('2.7. sz. Könyvtár'!D24:J24,'2.7. sz. Könyvtár'!$D$4:$J$4,"államigazgatási")+SUMIFS('2.8. sz. Műv.Ház'!D24:I24,'2.8. sz. Műv.Ház'!$D$4:$I$4,"államigazgatási")+SUMIFS('2.9. sz. Szivárvány Ó.'!D24:J24,'2.9. sz. Szivárvány Ó.'!$D$4:$J$4,"államigazgatási")</f>
        <v>0</v>
      </c>
      <c r="G24" s="8">
        <f t="shared" si="0"/>
        <v>0</v>
      </c>
      <c r="H24" s="121">
        <f>'2.1. sz. PMH'!N24+'2.2. sz. Hétszínvirág Óvoda'!L24+'2.3. sz. Mese Óvoda'!J24+'2.4. sz. Bölcsőde'!I24+'2.5. sz. Gyermekjóléti'!K24+'2.6 sz. Területi'!W24+'2.7. sz. Könyvtár'!K24</f>
        <v>0</v>
      </c>
      <c r="I24" s="120">
        <f t="shared" si="2"/>
        <v>0</v>
      </c>
    </row>
    <row r="25" spans="1:10" ht="23.25" customHeight="1" x14ac:dyDescent="0.25">
      <c r="A25" s="32" t="s">
        <v>246</v>
      </c>
      <c r="B25" s="39" t="s">
        <v>134</v>
      </c>
      <c r="C25" s="37"/>
      <c r="D25" s="8">
        <f>SUMIFS('2.1. sz. PMH'!D25:M25,'2.1. sz. PMH'!$D$4:$M$4,"kötelező")+SUMIFS('2.2. sz. Hétszínvirág Óvoda'!D25:K25,'2.2. sz. Hétszínvirág Óvoda'!$D$4:$K$4,"kötelező")+SUMIFS('2.3. sz. Mese Óvoda'!D25:I25,'2.3. sz. Mese Óvoda'!$D$4:$I$4,"kötelező")+SUMIFS('2.4. sz. Bölcsőde'!D25:H25,'2.4. sz. Bölcsőde'!$D$4:$H$4,"kötelező")+SUMIFS('2.5. sz. Gyermekjóléti'!D25:J25,'2.5. sz. Gyermekjóléti'!$D$4:$J$4,"kötelező")+SUMIFS('2.6 sz. Területi'!D25:V25,'2.6 sz. Területi'!$D$4:$V$4,"kötelező")+SUMIFS('2.7. sz. Könyvtár'!D25:J25,'2.7. sz. Könyvtár'!$D$4:$J$4,"kötelező")+SUMIFS('2.8. sz. Műv.Ház'!D25:I25,'2.8. sz. Műv.Ház'!$D$4:$I$4,"kötelező")+SUMIFS('2.9. sz. Szivárvány Ó.'!D25:J25,'2.9. sz. Szivárvány Ó.'!$D$4:$J$4,"kötelező")</f>
        <v>0</v>
      </c>
      <c r="E25" s="8">
        <f>SUMIFS('2.1. sz. PMH'!D25:M25,'2.1. sz. PMH'!$D$4:$M$4,"önként vállalt")+SUMIFS('2.2. sz. Hétszínvirág Óvoda'!D25:K25,'2.2. sz. Hétszínvirág Óvoda'!$D$4:$K$4,"önként vállalt")+SUMIFS('2.3. sz. Mese Óvoda'!D25:H25,'2.3. sz. Mese Óvoda'!$D$4:$H$4,"önként vállalt")+SUMIFS('2.4. sz. Bölcsőde'!D25:H25,'2.4. sz. Bölcsőde'!$D$4:$H$4,"önként vállalt")+SUMIFS('2.5. sz. Gyermekjóléti'!D25:J25,'2.5. sz. Gyermekjóléti'!$D$4:$J$4,"önként vállalt")+SUMIFS('2.6 sz. Területi'!D25:V25,'2.6 sz. Területi'!$D$4:$V$4,"önként vállalt")+SUMIFS('2.7. sz. Könyvtár'!D25:J25,'2.7. sz. Könyvtár'!$D$4:$J$4,"önként vállalt")+SUMIFS('2.8. sz. Műv.Ház'!D25:I25,'2.8. sz. Műv.Ház'!$D$4:$I$4,"önként vállalt")+SUMIFS('2.9. sz. Szivárvány Ó.'!D25:J25,'2.9. sz. Szivárvány Ó.'!$D$4:$J$4,"önként vállalt")</f>
        <v>0</v>
      </c>
      <c r="F25" s="8">
        <f>SUMIFS('2.1. sz. PMH'!D25:M25,'2.1. sz. PMH'!$D$4:$M$4,"államigazgatási")+SUMIFS('2.2. sz. Hétszínvirág Óvoda'!D25:K25,'2.2. sz. Hétszínvirág Óvoda'!$D$4:$K$4,"államigazgatási")+SUMIFS('2.3. sz. Mese Óvoda'!D25:H25,'2.3. sz. Mese Óvoda'!$D$4:$H$4,"államigazgatási")+SUMIFS('2.4. sz. Bölcsőde'!D25:H25,'2.4. sz. Bölcsőde'!$D$4:$H$4,"államigazgatási")+SUMIFS('2.5. sz. Gyermekjóléti'!D25:J25,'2.5. sz. Gyermekjóléti'!$D$4:$J$4,"államigazgatási")+SUMIFS('2.6 sz. Területi'!D25:V25,'2.6 sz. Területi'!$D$4:$V$4,"államigazgatási")+SUMIFS('2.7. sz. Könyvtár'!D25:J25,'2.7. sz. Könyvtár'!$D$4:$J$4,"államigazgatási")+SUMIFS('2.8. sz. Műv.Ház'!D25:I25,'2.8. sz. Műv.Ház'!$D$4:$I$4,"államigazgatási")+SUMIFS('2.9. sz. Szivárvány Ó.'!D25:J25,'2.9. sz. Szivárvány Ó.'!$D$4:$J$4,"államigazgatási")</f>
        <v>0</v>
      </c>
      <c r="G25" s="8">
        <f t="shared" si="0"/>
        <v>0</v>
      </c>
      <c r="H25" s="121">
        <f>'2.1. sz. PMH'!N25+'2.2. sz. Hétszínvirág Óvoda'!L25+'2.3. sz. Mese Óvoda'!J25+'2.4. sz. Bölcsőde'!I25+'2.5. sz. Gyermekjóléti'!K25+'2.6 sz. Területi'!W25+'2.7. sz. Könyvtár'!K25</f>
        <v>0</v>
      </c>
      <c r="I25" s="120">
        <f t="shared" si="2"/>
        <v>0</v>
      </c>
    </row>
    <row r="26" spans="1:10" ht="23.25" customHeight="1" x14ac:dyDescent="0.25">
      <c r="A26" s="32" t="s">
        <v>247</v>
      </c>
      <c r="B26" s="338" t="s">
        <v>889</v>
      </c>
      <c r="C26" s="37"/>
      <c r="D26" s="8">
        <f>SUMIFS('2.1. sz. PMH'!D26:M26,'2.1. sz. PMH'!$D$4:$M$4,"kötelező")+SUMIFS('2.2. sz. Hétszínvirág Óvoda'!D26:K26,'2.2. sz. Hétszínvirág Óvoda'!$D$4:$K$4,"kötelező")+SUMIFS('2.3. sz. Mese Óvoda'!D26:I26,'2.3. sz. Mese Óvoda'!$D$4:$I$4,"kötelező")+SUMIFS('2.4. sz. Bölcsőde'!D26:H26,'2.4. sz. Bölcsőde'!$D$4:$H$4,"kötelező")+SUMIFS('2.5. sz. Gyermekjóléti'!D26:J26,'2.5. sz. Gyermekjóléti'!$D$4:$J$4,"kötelező")+SUMIFS('2.6 sz. Területi'!D26:V26,'2.6 sz. Területi'!$D$4:$V$4,"kötelező")+SUMIFS('2.7. sz. Könyvtár'!D26:J26,'2.7. sz. Könyvtár'!$D$4:$J$4,"kötelező")+SUMIFS('2.8. sz. Műv.Ház'!D26:I26,'2.8. sz. Műv.Ház'!$D$4:$I$4,"kötelező")+SUMIFS('2.9. sz. Szivárvány Ó.'!D26:J26,'2.9. sz. Szivárvány Ó.'!$D$4:$J$4,"kötelező")</f>
        <v>0</v>
      </c>
      <c r="E26" s="8">
        <f>SUMIFS('2.1. sz. PMH'!D26:M26,'2.1. sz. PMH'!$D$4:$M$4,"önként vállalt")+SUMIFS('2.2. sz. Hétszínvirág Óvoda'!D26:K26,'2.2. sz. Hétszínvirág Óvoda'!$D$4:$K$4,"önként vállalt")+SUMIFS('2.3. sz. Mese Óvoda'!D26:H26,'2.3. sz. Mese Óvoda'!$D$4:$H$4,"önként vállalt")+SUMIFS('2.4. sz. Bölcsőde'!D26:H26,'2.4. sz. Bölcsőde'!$D$4:$H$4,"önként vállalt")+SUMIFS('2.5. sz. Gyermekjóléti'!D26:J26,'2.5. sz. Gyermekjóléti'!$D$4:$J$4,"önként vállalt")+SUMIFS('2.6 sz. Területi'!D26:V26,'2.6 sz. Területi'!$D$4:$V$4,"önként vállalt")+SUMIFS('2.7. sz. Könyvtár'!D26:J26,'2.7. sz. Könyvtár'!$D$4:$J$4,"önként vállalt")+SUMIFS('2.8. sz. Műv.Ház'!D26:I26,'2.8. sz. Műv.Ház'!$D$4:$I$4,"önként vállalt")+SUMIFS('2.9. sz. Szivárvány Ó.'!D26:J26,'2.9. sz. Szivárvány Ó.'!$D$4:$J$4,"önként vállalt")</f>
        <v>0</v>
      </c>
      <c r="F26" s="8">
        <f>SUMIFS('2.1. sz. PMH'!D26:M26,'2.1. sz. PMH'!$D$4:$M$4,"államigazgatási")+SUMIFS('2.2. sz. Hétszínvirág Óvoda'!D26:K26,'2.2. sz. Hétszínvirág Óvoda'!$D$4:$K$4,"államigazgatási")+SUMIFS('2.3. sz. Mese Óvoda'!D26:H26,'2.3. sz. Mese Óvoda'!$D$4:$H$4,"államigazgatási")+SUMIFS('2.4. sz. Bölcsőde'!D26:H26,'2.4. sz. Bölcsőde'!$D$4:$H$4,"államigazgatási")+SUMIFS('2.5. sz. Gyermekjóléti'!D26:J26,'2.5. sz. Gyermekjóléti'!$D$4:$J$4,"államigazgatási")+SUMIFS('2.6 sz. Területi'!D26:V26,'2.6 sz. Területi'!$D$4:$V$4,"államigazgatási")+SUMIFS('2.7. sz. Könyvtár'!D26:J26,'2.7. sz. Könyvtár'!$D$4:$J$4,"államigazgatási")+SUMIFS('2.8. sz. Műv.Ház'!D26:I26,'2.8. sz. Műv.Ház'!$D$4:$I$4,"államigazgatási")+SUMIFS('2.9. sz. Szivárvány Ó.'!D26:J26,'2.9. sz. Szivárvány Ó.'!$D$4:$J$4,"államigazgatási")</f>
        <v>0</v>
      </c>
      <c r="G26" s="8">
        <f t="shared" si="0"/>
        <v>0</v>
      </c>
      <c r="H26" s="121"/>
      <c r="I26" s="120"/>
    </row>
    <row r="27" spans="1:10" s="43" customFormat="1" ht="23.25" customHeight="1" x14ac:dyDescent="0.25">
      <c r="A27" s="32" t="s">
        <v>248</v>
      </c>
      <c r="B27" s="40" t="s">
        <v>32</v>
      </c>
      <c r="C27" s="33"/>
      <c r="D27" s="8">
        <f>SUMIFS('2.1. sz. PMH'!D27:M27,'2.1. sz. PMH'!$D$4:$M$4,"kötelező")+SUMIFS('2.2. sz. Hétszínvirág Óvoda'!D27:K27,'2.2. sz. Hétszínvirág Óvoda'!$D$4:$K$4,"kötelező")+SUMIFS('2.3. sz. Mese Óvoda'!D27:I27,'2.3. sz. Mese Óvoda'!$D$4:$I$4,"kötelező")+SUMIFS('2.4. sz. Bölcsőde'!D27:H27,'2.4. sz. Bölcsőde'!$D$4:$H$4,"kötelező")+SUMIFS('2.5. sz. Gyermekjóléti'!D27:J27,'2.5. sz. Gyermekjóléti'!$D$4:$J$4,"kötelező")+SUMIFS('2.6 sz. Területi'!D27:V27,'2.6 sz. Területi'!$D$4:$V$4,"kötelező")+SUMIFS('2.7. sz. Könyvtár'!D27:J27,'2.7. sz. Könyvtár'!$D$4:$J$4,"kötelező")+SUMIFS('2.8. sz. Műv.Ház'!D27:I27,'2.8. sz. Műv.Ház'!$D$4:$I$4,"kötelező")+SUMIFS('2.9. sz. Szivárvány Ó.'!D27:J27,'2.9. sz. Szivárvány Ó.'!$D$4:$J$4,"kötelező")</f>
        <v>3137196906</v>
      </c>
      <c r="E27" s="9">
        <f>SUMIFS('2.1. sz. PMH'!D27:M27,'2.1. sz. PMH'!$D$4:$M$4,"önként vállalt")+SUMIFS('2.2. sz. Hétszínvirág Óvoda'!D27:K27,'2.2. sz. Hétszínvirág Óvoda'!$D$4:$K$4,"önként vállalt")+SUMIFS('2.3. sz. Mese Óvoda'!D27:H27,'2.3. sz. Mese Óvoda'!$D$4:$H$4,"önként vállalt")+SUMIFS('2.4. sz. Bölcsőde'!D27:H27,'2.4. sz. Bölcsőde'!$D$4:$H$4,"önként vállalt")+SUMIFS('2.5. sz. Gyermekjóléti'!D27:J27,'2.5. sz. Gyermekjóléti'!$D$4:$J$4,"önként vállalt")+SUMIFS('2.6 sz. Területi'!D27:V27,'2.6 sz. Területi'!$D$4:$V$4,"önként vállalt")+SUMIFS('2.7. sz. Könyvtár'!D27:J27,'2.7. sz. Könyvtár'!$D$4:$J$4,"önként vállalt")+SUMIFS('2.8. sz. Műv.Ház'!D27:I27,'2.8. sz. Műv.Ház'!$D$4:$I$4,"önként vállalt")+SUMIFS('2.9. sz. Szivárvány Ó.'!D27:J27,'2.9. sz. Szivárvány Ó.'!$D$4:$J$4,"önként vállalt")</f>
        <v>94807493</v>
      </c>
      <c r="F27" s="9">
        <f>SUMIFS('2.1. sz. PMH'!D27:M27,'2.1. sz. PMH'!$D$4:$M$4,"államigazgatási")+SUMIFS('2.2. sz. Hétszínvirág Óvoda'!D27:K27,'2.2. sz. Hétszínvirág Óvoda'!$D$4:$K$4,"államigazgatási")+SUMIFS('2.3. sz. Mese Óvoda'!D27:H27,'2.3. sz. Mese Óvoda'!$D$4:$H$4,"államigazgatási")+SUMIFS('2.4. sz. Bölcsőde'!D27:H27,'2.4. sz. Bölcsőde'!$D$4:$H$4,"államigazgatási")+SUMIFS('2.5. sz. Gyermekjóléti'!D27:J27,'2.5. sz. Gyermekjóléti'!$D$4:$J$4,"államigazgatási")+SUMIFS('2.6 sz. Területi'!D27:V27,'2.6 sz. Területi'!$D$4:$V$4,"államigazgatási")+SUMIFS('2.7. sz. Könyvtár'!D27:J27,'2.7. sz. Könyvtár'!$D$4:$J$4,"államigazgatási")+SUMIFS('2.8. sz. Műv.Ház'!D27:I27,'2.8. sz. Műv.Ház'!$D$4:$I$4,"államigazgatási")+SUMIFS('2.9. sz. Szivárvány Ó.'!D27:J27,'2.9. sz. Szivárvány Ó.'!$D$4:$J$4,"államigazgatási")</f>
        <v>118411353</v>
      </c>
      <c r="G27" s="9">
        <f t="shared" si="0"/>
        <v>3350415752</v>
      </c>
      <c r="H27" s="121">
        <f>'2.1. sz. PMH'!N27+'2.2. sz. Hétszínvirág Óvoda'!L27+'2.3. sz. Mese Óvoda'!J27+'2.4. sz. Bölcsőde'!I27+'2.5. sz. Gyermekjóléti'!K27+'2.6 sz. Területi'!W27+'2.7. sz. Könyvtár'!K27</f>
        <v>2946124520</v>
      </c>
      <c r="I27" s="120">
        <f t="shared" ref="I27:I38" si="3">H27-G27</f>
        <v>-404291232</v>
      </c>
      <c r="J27" s="122">
        <f>+G8+G9+G10+G11+G13+G14+G15</f>
        <v>3350415752</v>
      </c>
    </row>
    <row r="28" spans="1:10" s="43" customFormat="1" ht="23.25" customHeight="1" x14ac:dyDescent="0.25">
      <c r="A28" s="32" t="s">
        <v>276</v>
      </c>
      <c r="B28" s="40" t="s">
        <v>33</v>
      </c>
      <c r="C28" s="33"/>
      <c r="D28" s="8">
        <f>SUMIFS('2.1. sz. PMH'!D28:M28,'2.1. sz. PMH'!$D$4:$M$4,"kötelező")+SUMIFS('2.2. sz. Hétszínvirág Óvoda'!D28:K28,'2.2. sz. Hétszínvirág Óvoda'!$D$4:$K$4,"kötelező")+SUMIFS('2.3. sz. Mese Óvoda'!D28:I28,'2.3. sz. Mese Óvoda'!$D$4:$I$4,"kötelező")+SUMIFS('2.4. sz. Bölcsőde'!D28:H28,'2.4. sz. Bölcsőde'!$D$4:$H$4,"kötelező")+SUMIFS('2.5. sz. Gyermekjóléti'!D28:J28,'2.5. sz. Gyermekjóléti'!$D$4:$J$4,"kötelező")+SUMIFS('2.6 sz. Területi'!D28:V28,'2.6 sz. Területi'!$D$4:$V$4,"kötelező")+SUMIFS('2.7. sz. Könyvtár'!D28:J28,'2.7. sz. Könyvtár'!$D$4:$J$4,"kötelező")+SUMIFS('2.8. sz. Műv.Ház'!D28:I28,'2.8. sz. Műv.Ház'!$D$4:$I$4,"kötelező")+SUMIFS('2.9. sz. Szivárvány Ó.'!D28:J28,'2.9. sz. Szivárvány Ó.'!$D$4:$J$4,"kötelező")</f>
        <v>49664048</v>
      </c>
      <c r="E28" s="9">
        <f>SUMIFS('2.1. sz. PMH'!D28:M28,'2.1. sz. PMH'!$D$4:$M$4,"önként vállalt")+SUMIFS('2.2. sz. Hétszínvirág Óvoda'!D28:K28,'2.2. sz. Hétszínvirág Óvoda'!$D$4:$K$4,"önként vállalt")+SUMIFS('2.3. sz. Mese Óvoda'!D28:H28,'2.3. sz. Mese Óvoda'!$D$4:$H$4,"önként vállalt")+SUMIFS('2.4. sz. Bölcsőde'!D28:H28,'2.4. sz. Bölcsőde'!$D$4:$H$4,"önként vállalt")+SUMIFS('2.5. sz. Gyermekjóléti'!D28:J28,'2.5. sz. Gyermekjóléti'!$D$4:$J$4,"önként vállalt")+SUMIFS('2.6 sz. Területi'!D28:V28,'2.6 sz. Területi'!$D$4:$V$4,"önként vállalt")+SUMIFS('2.7. sz. Könyvtár'!D28:J28,'2.7. sz. Könyvtár'!$D$4:$J$4,"önként vállalt")+SUMIFS('2.8. sz. Műv.Ház'!D28:I28,'2.8. sz. Műv.Ház'!$D$4:$I$4,"önként vállalt")+SUMIFS('2.9. sz. Szivárvány Ó.'!D28:J28,'2.9. sz. Szivárvány Ó.'!$D$4:$J$4,"önként vállalt")</f>
        <v>2222500</v>
      </c>
      <c r="F28" s="9">
        <f>SUMIFS('2.1. sz. PMH'!D28:M28,'2.1. sz. PMH'!$D$4:$M$4,"államigazgatási")+SUMIFS('2.2. sz. Hétszínvirág Óvoda'!D28:K28,'2.2. sz. Hétszínvirág Óvoda'!$D$4:$K$4,"államigazgatási")+SUMIFS('2.3. sz. Mese Óvoda'!D28:H28,'2.3. sz. Mese Óvoda'!$D$4:$H$4,"államigazgatási")+SUMIFS('2.4. sz. Bölcsőde'!D28:H28,'2.4. sz. Bölcsőde'!$D$4:$H$4,"államigazgatási")+SUMIFS('2.5. sz. Gyermekjóléti'!D28:J28,'2.5. sz. Gyermekjóléti'!$D$4:$J$4,"államigazgatási")+SUMIFS('2.6 sz. Területi'!D28:V28,'2.6 sz. Területi'!$D$4:$V$4,"államigazgatási")+SUMIFS('2.7. sz. Könyvtár'!D28:J28,'2.7. sz. Könyvtár'!$D$4:$J$4,"államigazgatási")+SUMIFS('2.8. sz. Műv.Ház'!D28:I28,'2.8. sz. Műv.Ház'!$D$4:$I$4,"államigazgatási")+SUMIFS('2.9. sz. Szivárvány Ó.'!D28:J28,'2.9. sz. Szivárvány Ó.'!$D$4:$J$4,"államigazgatási")</f>
        <v>6413500</v>
      </c>
      <c r="G28" s="9">
        <f t="shared" si="0"/>
        <v>58300048</v>
      </c>
      <c r="H28" s="121">
        <f>'2.1. sz. PMH'!N28+'2.2. sz. Hétszínvirág Óvoda'!L28+'2.3. sz. Mese Óvoda'!J28+'2.4. sz. Bölcsőde'!I28+'2.5. sz. Gyermekjóléti'!K28+'2.6 sz. Területi'!W28+'2.7. sz. Könyvtár'!K28</f>
        <v>54460148</v>
      </c>
      <c r="I28" s="120">
        <f t="shared" si="3"/>
        <v>-3839900</v>
      </c>
    </row>
    <row r="29" spans="1:10" s="43" customFormat="1" ht="23.25" customHeight="1" x14ac:dyDescent="0.25">
      <c r="A29" s="32" t="s">
        <v>277</v>
      </c>
      <c r="B29" s="40" t="s">
        <v>343</v>
      </c>
      <c r="C29" s="33" t="s">
        <v>31</v>
      </c>
      <c r="D29" s="8">
        <f>SUMIFS('2.1. sz. PMH'!D29:M29,'2.1. sz. PMH'!$D$4:$M$4,"kötelező")+SUMIFS('2.2. sz. Hétszínvirág Óvoda'!D29:K29,'2.2. sz. Hétszínvirág Óvoda'!$D$4:$K$4,"kötelező")+SUMIFS('2.3. sz. Mese Óvoda'!D29:I29,'2.3. sz. Mese Óvoda'!$D$4:$I$4,"kötelező")+SUMIFS('2.4. sz. Bölcsőde'!D29:H29,'2.4. sz. Bölcsőde'!$D$4:$H$4,"kötelező")+SUMIFS('2.5. sz. Gyermekjóléti'!D29:J29,'2.5. sz. Gyermekjóléti'!$D$4:$J$4,"kötelező")+SUMIFS('2.6 sz. Területi'!D29:V29,'2.6 sz. Területi'!$D$4:$V$4,"kötelező")+SUMIFS('2.7. sz. Könyvtár'!D29:J29,'2.7. sz. Könyvtár'!$D$4:$J$4,"kötelező")+SUMIFS('2.8. sz. Műv.Ház'!D29:I29,'2.8. sz. Műv.Ház'!$D$4:$I$4,"kötelező")+SUMIFS('2.9. sz. Szivárvány Ó.'!D29:J29,'2.9. sz. Szivárvány Ó.'!$D$4:$J$4,"kötelező")</f>
        <v>3186860954</v>
      </c>
      <c r="E29" s="9">
        <f>SUMIFS('2.1. sz. PMH'!D29:M29,'2.1. sz. PMH'!$D$4:$M$4,"önként vállalt")+SUMIFS('2.2. sz. Hétszínvirág Óvoda'!D29:K29,'2.2. sz. Hétszínvirág Óvoda'!$D$4:$K$4,"önként vállalt")+SUMIFS('2.3. sz. Mese Óvoda'!D29:H29,'2.3. sz. Mese Óvoda'!$D$4:$H$4,"önként vállalt")+SUMIFS('2.4. sz. Bölcsőde'!D29:H29,'2.4. sz. Bölcsőde'!$D$4:$H$4,"önként vállalt")+SUMIFS('2.5. sz. Gyermekjóléti'!D29:J29,'2.5. sz. Gyermekjóléti'!$D$4:$J$4,"önként vállalt")+SUMIFS('2.6 sz. Területi'!D29:V29,'2.6 sz. Területi'!$D$4:$V$4,"önként vállalt")+SUMIFS('2.7. sz. Könyvtár'!D29:J29,'2.7. sz. Könyvtár'!$D$4:$J$4,"önként vállalt")+SUMIFS('2.8. sz. Műv.Ház'!D29:I29,'2.8. sz. Műv.Ház'!$D$4:$I$4,"önként vállalt")+SUMIFS('2.9. sz. Szivárvány Ó.'!D29:J29,'2.9. sz. Szivárvány Ó.'!$D$4:$J$4,"önként vállalt")</f>
        <v>97029993</v>
      </c>
      <c r="F29" s="9">
        <f>SUMIFS('2.1. sz. PMH'!D29:M29,'2.1. sz. PMH'!$D$4:$M$4,"államigazgatási")+SUMIFS('2.2. sz. Hétszínvirág Óvoda'!D29:K29,'2.2. sz. Hétszínvirág Óvoda'!$D$4:$K$4,"államigazgatási")+SUMIFS('2.3. sz. Mese Óvoda'!D29:H29,'2.3. sz. Mese Óvoda'!$D$4:$H$4,"államigazgatási")+SUMIFS('2.4. sz. Bölcsőde'!D29:H29,'2.4. sz. Bölcsőde'!$D$4:$H$4,"államigazgatási")+SUMIFS('2.5. sz. Gyermekjóléti'!D29:J29,'2.5. sz. Gyermekjóléti'!$D$4:$J$4,"államigazgatási")+SUMIFS('2.6 sz. Területi'!D29:V29,'2.6 sz. Területi'!$D$4:$V$4,"államigazgatási")+SUMIFS('2.7. sz. Könyvtár'!D29:J29,'2.7. sz. Könyvtár'!$D$4:$J$4,"államigazgatási")+SUMIFS('2.8. sz. Műv.Ház'!D29:I29,'2.8. sz. Műv.Ház'!$D$4:$I$4,"államigazgatási")+SUMIFS('2.9. sz. Szivárvány Ó.'!D29:J29,'2.9. sz. Szivárvány Ó.'!$D$4:$J$4,"államigazgatási")</f>
        <v>124824853</v>
      </c>
      <c r="G29" s="9">
        <f t="shared" si="0"/>
        <v>3408715800</v>
      </c>
      <c r="H29" s="121">
        <f>'2.1. sz. PMH'!N29+'2.2. sz. Hétszínvirág Óvoda'!L29+'2.3. sz. Mese Óvoda'!J29+'2.4. sz. Bölcsőde'!I29+'2.5. sz. Gyermekjóléti'!K29+'2.6 sz. Területi'!W29+'2.7. sz. Könyvtár'!K29</f>
        <v>3000584668</v>
      </c>
      <c r="I29" s="120">
        <f t="shared" si="3"/>
        <v>-408131132</v>
      </c>
    </row>
    <row r="30" spans="1:10" ht="23.25" customHeight="1" x14ac:dyDescent="0.25">
      <c r="A30" s="32" t="s">
        <v>278</v>
      </c>
      <c r="B30" s="34" t="s">
        <v>52</v>
      </c>
      <c r="C30" s="38" t="s">
        <v>224</v>
      </c>
      <c r="D30" s="8">
        <f>SUMIFS('2.1. sz. PMH'!D30:M30,'2.1. sz. PMH'!$D$4:$M$4,"kötelező")+SUMIFS('2.2. sz. Hétszínvirág Óvoda'!D30:K30,'2.2. sz. Hétszínvirág Óvoda'!$D$4:$K$4,"kötelező")+SUMIFS('2.3. sz. Mese Óvoda'!D30:I30,'2.3. sz. Mese Óvoda'!$D$4:$I$4,"kötelező")+SUMIFS('2.4. sz. Bölcsőde'!D30:H30,'2.4. sz. Bölcsőde'!$D$4:$H$4,"kötelező")+SUMIFS('2.5. sz. Gyermekjóléti'!D30:J30,'2.5. sz. Gyermekjóléti'!$D$4:$J$4,"kötelező")+SUMIFS('2.6 sz. Területi'!D30:V30,'2.6 sz. Területi'!$D$4:$V$4,"kötelező")+SUMIFS('2.7. sz. Könyvtár'!D30:J30,'2.7. sz. Könyvtár'!$D$4:$J$4,"kötelező")+SUMIFS('2.8. sz. Műv.Ház'!D30:I30,'2.8. sz. Műv.Ház'!$D$4:$I$4,"kötelező")+SUMIFS('2.9. sz. Szivárvány Ó.'!D30:J30,'2.9. sz. Szivárvány Ó.'!$D$4:$J$4,"kötelező")</f>
        <v>82700000</v>
      </c>
      <c r="E30" s="8">
        <f>SUMIFS('2.1. sz. PMH'!D30:M30,'2.1. sz. PMH'!$D$4:$M$4,"önként vállalt")+SUMIFS('2.2. sz. Hétszínvirág Óvoda'!D30:K30,'2.2. sz. Hétszínvirág Óvoda'!$D$4:$K$4,"önként vállalt")+SUMIFS('2.3. sz. Mese Óvoda'!D30:H30,'2.3. sz. Mese Óvoda'!$D$4:$H$4,"önként vállalt")+SUMIFS('2.4. sz. Bölcsőde'!D30:H30,'2.4. sz. Bölcsőde'!$D$4:$H$4,"önként vállalt")+SUMIFS('2.5. sz. Gyermekjóléti'!D30:J30,'2.5. sz. Gyermekjóléti'!$D$4:$J$4,"önként vállalt")+SUMIFS('2.6 sz. Területi'!D30:V30,'2.6 sz. Területi'!$D$4:$V$4,"önként vállalt")+SUMIFS('2.7. sz. Könyvtár'!D30:J30,'2.7. sz. Könyvtár'!$D$4:$J$4,"önként vállalt")+SUMIFS('2.8. sz. Műv.Ház'!D30:I30,'2.8. sz. Műv.Ház'!$D$4:$I$4,"önként vállalt")+SUMIFS('2.9. sz. Szivárvány Ó.'!D30:J30,'2.9. sz. Szivárvány Ó.'!$D$4:$J$4,"önként vállalt")</f>
        <v>2900000</v>
      </c>
      <c r="F30" s="8">
        <f>SUMIFS('2.1. sz. PMH'!D30:M30,'2.1. sz. PMH'!$D$4:$M$4,"államigazgatási")+SUMIFS('2.2. sz. Hétszínvirág Óvoda'!D30:K30,'2.2. sz. Hétszínvirág Óvoda'!$D$4:$K$4,"államigazgatási")+SUMIFS('2.3. sz. Mese Óvoda'!D30:H30,'2.3. sz. Mese Óvoda'!$D$4:$H$4,"államigazgatási")+SUMIFS('2.4. sz. Bölcsőde'!D30:H30,'2.4. sz. Bölcsőde'!$D$4:$H$4,"államigazgatási")+SUMIFS('2.5. sz. Gyermekjóléti'!D30:J30,'2.5. sz. Gyermekjóléti'!$D$4:$J$4,"államigazgatási")+SUMIFS('2.6 sz. Területi'!D30:V30,'2.6 sz. Területi'!$D$4:$V$4,"államigazgatási")+SUMIFS('2.7. sz. Könyvtár'!D30:J30,'2.7. sz. Könyvtár'!$D$4:$J$4,"államigazgatási")+SUMIFS('2.8. sz. Műv.Ház'!D30:I30,'2.8. sz. Műv.Ház'!$D$4:$I$4,"államigazgatási")+SUMIFS('2.9. sz. Szivárvány Ó.'!D30:J30,'2.9. sz. Szivárvány Ó.'!$D$4:$J$4,"államigazgatási")</f>
        <v>0</v>
      </c>
      <c r="G30" s="8">
        <f t="shared" si="0"/>
        <v>85600000</v>
      </c>
      <c r="H30" s="121">
        <f>'2.1. sz. PMH'!N30+'2.2. sz. Hétszínvirág Óvoda'!L30+'2.3. sz. Mese Óvoda'!J30+'2.4. sz. Bölcsőde'!I30+'2.5. sz. Gyermekjóléti'!K30+'2.6 sz. Területi'!W30+'2.7. sz. Könyvtár'!K30</f>
        <v>85600000</v>
      </c>
      <c r="I30" s="120">
        <f t="shared" si="3"/>
        <v>0</v>
      </c>
    </row>
    <row r="31" spans="1:10" ht="23.25" customHeight="1" x14ac:dyDescent="0.25">
      <c r="A31" s="32" t="s">
        <v>279</v>
      </c>
      <c r="B31" s="34" t="s">
        <v>235</v>
      </c>
      <c r="C31" s="38" t="s">
        <v>225</v>
      </c>
      <c r="D31" s="8">
        <f>SUMIFS('2.1. sz. PMH'!D31:M31,'2.1. sz. PMH'!$D$4:$M$4,"kötelező")+SUMIFS('2.2. sz. Hétszínvirág Óvoda'!D31:K31,'2.2. sz. Hétszínvirág Óvoda'!$D$4:$K$4,"kötelező")+SUMIFS('2.3. sz. Mese Óvoda'!D31:I31,'2.3. sz. Mese Óvoda'!$D$4:$I$4,"kötelező")+SUMIFS('2.4. sz. Bölcsőde'!D31:H31,'2.4. sz. Bölcsőde'!$D$4:$H$4,"kötelező")+SUMIFS('2.5. sz. Gyermekjóléti'!D31:J31,'2.5. sz. Gyermekjóléti'!$D$4:$J$4,"kötelező")+SUMIFS('2.6 sz. Területi'!D31:V31,'2.6 sz. Területi'!$D$4:$V$4,"kötelező")+SUMIFS('2.7. sz. Könyvtár'!D31:J31,'2.7. sz. Könyvtár'!$D$4:$J$4,"kötelező")+SUMIFS('2.8. sz. Műv.Ház'!D31:I31,'2.8. sz. Műv.Ház'!$D$4:$I$4,"kötelező")+SUMIFS('2.9. sz. Szivárvány Ó.'!D31:J31,'2.9. sz. Szivárvány Ó.'!$D$4:$J$4,"kötelező")</f>
        <v>0</v>
      </c>
      <c r="E31" s="8">
        <f>SUMIFS('2.1. sz. PMH'!D31:M31,'2.1. sz. PMH'!$D$4:$M$4,"önként vállalt")+SUMIFS('2.2. sz. Hétszínvirág Óvoda'!D31:K31,'2.2. sz. Hétszínvirág Óvoda'!$D$4:$K$4,"önként vállalt")+SUMIFS('2.3. sz. Mese Óvoda'!D31:H31,'2.3. sz. Mese Óvoda'!$D$4:$H$4,"önként vállalt")+SUMIFS('2.4. sz. Bölcsőde'!D31:H31,'2.4. sz. Bölcsőde'!$D$4:$H$4,"önként vállalt")+SUMIFS('2.5. sz. Gyermekjóléti'!D31:J31,'2.5. sz. Gyermekjóléti'!$D$4:$J$4,"önként vállalt")+SUMIFS('2.6 sz. Területi'!D31:V31,'2.6 sz. Területi'!$D$4:$V$4,"önként vállalt")+SUMIFS('2.7. sz. Könyvtár'!D31:J31,'2.7. sz. Könyvtár'!$D$4:$J$4,"önként vállalt")+SUMIFS('2.8. sz. Műv.Ház'!D31:I31,'2.8. sz. Műv.Ház'!$D$4:$I$4,"önként vállalt")+SUMIFS('2.9. sz. Szivárvány Ó.'!D31:J31,'2.9. sz. Szivárvány Ó.'!$D$4:$J$4,"önként vállalt")</f>
        <v>0</v>
      </c>
      <c r="F31" s="8">
        <f>SUMIFS('2.1. sz. PMH'!D31:M31,'2.1. sz. PMH'!$D$4:$M$4,"államigazgatási")+SUMIFS('2.2. sz. Hétszínvirág Óvoda'!D31:K31,'2.2. sz. Hétszínvirág Óvoda'!$D$4:$K$4,"államigazgatási")+SUMIFS('2.3. sz. Mese Óvoda'!D31:H31,'2.3. sz. Mese Óvoda'!$D$4:$H$4,"államigazgatási")+SUMIFS('2.4. sz. Bölcsőde'!D31:H31,'2.4. sz. Bölcsőde'!$D$4:$H$4,"államigazgatási")+SUMIFS('2.5. sz. Gyermekjóléti'!D31:J31,'2.5. sz. Gyermekjóléti'!$D$4:$J$4,"államigazgatási")+SUMIFS('2.6 sz. Területi'!D31:V31,'2.6 sz. Területi'!$D$4:$V$4,"államigazgatási")+SUMIFS('2.7. sz. Könyvtár'!D31:J31,'2.7. sz. Könyvtár'!$D$4:$J$4,"államigazgatási")+SUMIFS('2.8. sz. Műv.Ház'!D31:I31,'2.8. sz. Műv.Ház'!$D$4:$I$4,"államigazgatási")+SUMIFS('2.9. sz. Szivárvány Ó.'!D31:J31,'2.9. sz. Szivárvány Ó.'!$D$4:$J$4,"államigazgatási")</f>
        <v>0</v>
      </c>
      <c r="G31" s="8">
        <f t="shared" si="0"/>
        <v>0</v>
      </c>
      <c r="H31" s="121">
        <f>'2.1. sz. PMH'!N31+'2.2. sz. Hétszínvirág Óvoda'!L31+'2.3. sz. Mese Óvoda'!J31+'2.4. sz. Bölcsőde'!I31+'2.5. sz. Gyermekjóléti'!K31+'2.6 sz. Területi'!W31+'2.7. sz. Könyvtár'!K31</f>
        <v>0</v>
      </c>
      <c r="I31" s="120">
        <f t="shared" si="3"/>
        <v>0</v>
      </c>
    </row>
    <row r="32" spans="1:10" ht="23.25" customHeight="1" x14ac:dyDescent="0.25">
      <c r="A32" s="32" t="s">
        <v>280</v>
      </c>
      <c r="B32" s="34" t="s">
        <v>234</v>
      </c>
      <c r="C32" s="38" t="s">
        <v>226</v>
      </c>
      <c r="D32" s="8">
        <f>SUMIFS('2.1. sz. PMH'!D32:M32,'2.1. sz. PMH'!$D$4:$M$4,"kötelező")+SUMIFS('2.2. sz. Hétszínvirág Óvoda'!D32:K32,'2.2. sz. Hétszínvirág Óvoda'!$D$4:$K$4,"kötelező")+SUMIFS('2.3. sz. Mese Óvoda'!D32:I32,'2.3. sz. Mese Óvoda'!$D$4:$I$4,"kötelező")+SUMIFS('2.4. sz. Bölcsőde'!D32:H32,'2.4. sz. Bölcsőde'!$D$4:$H$4,"kötelező")+SUMIFS('2.5. sz. Gyermekjóléti'!D32:J32,'2.5. sz. Gyermekjóléti'!$D$4:$J$4,"kötelező")+SUMIFS('2.6 sz. Területi'!D32:V32,'2.6 sz. Területi'!$D$4:$V$4,"kötelező")+SUMIFS('2.7. sz. Könyvtár'!D32:J32,'2.7. sz. Könyvtár'!$D$4:$J$4,"kötelező")+SUMIFS('2.8. sz. Műv.Ház'!D32:I32,'2.8. sz. Műv.Ház'!$D$4:$I$4,"kötelező")+SUMIFS('2.9. sz. Szivárvány Ó.'!D32:J32,'2.9. sz. Szivárvány Ó.'!$D$4:$J$4,"kötelező")</f>
        <v>0</v>
      </c>
      <c r="E32" s="8">
        <f>SUMIFS('2.1. sz. PMH'!D32:M32,'2.1. sz. PMH'!$D$4:$M$4,"önként vállalt")+SUMIFS('2.2. sz. Hétszínvirág Óvoda'!D32:K32,'2.2. sz. Hétszínvirág Óvoda'!$D$4:$K$4,"önként vállalt")+SUMIFS('2.3. sz. Mese Óvoda'!D32:H32,'2.3. sz. Mese Óvoda'!$D$4:$H$4,"önként vállalt")+SUMIFS('2.4. sz. Bölcsőde'!D32:H32,'2.4. sz. Bölcsőde'!$D$4:$H$4,"önként vállalt")+SUMIFS('2.5. sz. Gyermekjóléti'!D32:J32,'2.5. sz. Gyermekjóléti'!$D$4:$J$4,"önként vállalt")+SUMIFS('2.6 sz. Területi'!D32:V32,'2.6 sz. Területi'!$D$4:$V$4,"önként vállalt")+SUMIFS('2.7. sz. Könyvtár'!D32:J32,'2.7. sz. Könyvtár'!$D$4:$J$4,"önként vállalt")+SUMIFS('2.8. sz. Műv.Ház'!D32:I32,'2.8. sz. Műv.Ház'!$D$4:$I$4,"önként vállalt")+SUMIFS('2.9. sz. Szivárvány Ó.'!D32:J32,'2.9. sz. Szivárvány Ó.'!$D$4:$J$4,"önként vállalt")</f>
        <v>0</v>
      </c>
      <c r="F32" s="8">
        <f>SUMIFS('2.1. sz. PMH'!D32:M32,'2.1. sz. PMH'!$D$4:$M$4,"államigazgatási")+SUMIFS('2.2. sz. Hétszínvirág Óvoda'!D32:K32,'2.2. sz. Hétszínvirág Óvoda'!$D$4:$K$4,"államigazgatási")+SUMIFS('2.3. sz. Mese Óvoda'!D32:H32,'2.3. sz. Mese Óvoda'!$D$4:$H$4,"államigazgatási")+SUMIFS('2.4. sz. Bölcsőde'!D32:H32,'2.4. sz. Bölcsőde'!$D$4:$H$4,"államigazgatási")+SUMIFS('2.5. sz. Gyermekjóléti'!D32:J32,'2.5. sz. Gyermekjóléti'!$D$4:$J$4,"államigazgatási")+SUMIFS('2.6 sz. Területi'!D32:V32,'2.6 sz. Területi'!$D$4:$V$4,"államigazgatási")+SUMIFS('2.7. sz. Könyvtár'!D32:J32,'2.7. sz. Könyvtár'!$D$4:$J$4,"államigazgatási")+SUMIFS('2.8. sz. Műv.Ház'!D32:I32,'2.8. sz. Műv.Ház'!$D$4:$I$4,"államigazgatási")+SUMIFS('2.9. sz. Szivárvány Ó.'!D32:J32,'2.9. sz. Szivárvány Ó.'!$D$4:$J$4,"államigazgatási")</f>
        <v>3000000</v>
      </c>
      <c r="G32" s="8">
        <f t="shared" si="0"/>
        <v>3000000</v>
      </c>
      <c r="H32" s="121">
        <f>'2.1. sz. PMH'!N32+'2.2. sz. Hétszínvirág Óvoda'!L32+'2.3. sz. Mese Óvoda'!J32+'2.4. sz. Bölcsőde'!I32+'2.5. sz. Gyermekjóléti'!K32+'2.6 sz. Területi'!W32+'2.7. sz. Könyvtár'!K32</f>
        <v>3000000</v>
      </c>
      <c r="I32" s="120">
        <f t="shared" si="3"/>
        <v>0</v>
      </c>
    </row>
    <row r="33" spans="1:10" ht="23.25" customHeight="1" x14ac:dyDescent="0.25">
      <c r="A33" s="32" t="s">
        <v>281</v>
      </c>
      <c r="B33" s="35" t="s">
        <v>0</v>
      </c>
      <c r="C33" s="38" t="s">
        <v>227</v>
      </c>
      <c r="D33" s="8">
        <f>SUMIFS('2.1. sz. PMH'!D33:M33,'2.1. sz. PMH'!$D$4:$M$4,"kötelező")+SUMIFS('2.2. sz. Hétszínvirág Óvoda'!D33:K33,'2.2. sz. Hétszínvirág Óvoda'!$D$4:$K$4,"kötelező")+SUMIFS('2.3. sz. Mese Óvoda'!D33:I33,'2.3. sz. Mese Óvoda'!$D$4:$I$4,"kötelező")+SUMIFS('2.4. sz. Bölcsőde'!D33:H33,'2.4. sz. Bölcsőde'!$D$4:$H$4,"kötelező")+SUMIFS('2.5. sz. Gyermekjóléti'!D33:J33,'2.5. sz. Gyermekjóléti'!$D$4:$J$4,"kötelező")+SUMIFS('2.6 sz. Területi'!D33:V33,'2.6 sz. Területi'!$D$4:$V$4,"kötelező")+SUMIFS('2.7. sz. Könyvtár'!D33:J33,'2.7. sz. Könyvtár'!$D$4:$J$4,"kötelező")+SUMIFS('2.8. sz. Műv.Ház'!D33:I33,'2.8. sz. Műv.Ház'!$D$4:$I$4,"kötelező")+SUMIFS('2.9. sz. Szivárvány Ó.'!D33:J33,'2.9. sz. Szivárvány Ó.'!$D$4:$J$4,"kötelező")</f>
        <v>177565209</v>
      </c>
      <c r="E33" s="8">
        <f>SUMIFS('2.1. sz. PMH'!D33:M33,'2.1. sz. PMH'!$D$4:$M$4,"önként vállalt")+SUMIFS('2.2. sz. Hétszínvirág Óvoda'!D33:K33,'2.2. sz. Hétszínvirág Óvoda'!$D$4:$K$4,"önként vállalt")+SUMIFS('2.3. sz. Mese Óvoda'!D33:H33,'2.3. sz. Mese Óvoda'!$D$4:$H$4,"önként vállalt")+SUMIFS('2.4. sz. Bölcsőde'!D33:H33,'2.4. sz. Bölcsőde'!$D$4:$H$4,"önként vállalt")+SUMIFS('2.5. sz. Gyermekjóléti'!D33:J33,'2.5. sz. Gyermekjóléti'!$D$4:$J$4,"önként vállalt")+SUMIFS('2.6 sz. Területi'!D33:V33,'2.6 sz. Területi'!$D$4:$V$4,"önként vállalt")+SUMIFS('2.7. sz. Könyvtár'!D33:J33,'2.7. sz. Könyvtár'!$D$4:$J$4,"önként vállalt")+SUMIFS('2.8. sz. Műv.Ház'!D33:I33,'2.8. sz. Műv.Ház'!$D$4:$I$4,"önként vállalt")+SUMIFS('2.9. sz. Szivárvány Ó.'!D33:J33,'2.9. sz. Szivárvány Ó.'!$D$4:$J$4,"önként vállalt")</f>
        <v>3600000</v>
      </c>
      <c r="F33" s="8">
        <f>SUMIFS('2.1. sz. PMH'!D33:M33,'2.1. sz. PMH'!$D$4:$M$4,"államigazgatási")+SUMIFS('2.2. sz. Hétszínvirág Óvoda'!D33:K33,'2.2. sz. Hétszínvirág Óvoda'!$D$4:$K$4,"államigazgatási")+SUMIFS('2.3. sz. Mese Óvoda'!D33:H33,'2.3. sz. Mese Óvoda'!$D$4:$H$4,"államigazgatási")+SUMIFS('2.4. sz. Bölcsőde'!D33:H33,'2.4. sz. Bölcsőde'!$D$4:$H$4,"államigazgatási")+SUMIFS('2.5. sz. Gyermekjóléti'!D33:J33,'2.5. sz. Gyermekjóléti'!$D$4:$J$4,"államigazgatási")+SUMIFS('2.6 sz. Területi'!D33:V33,'2.6 sz. Területi'!$D$4:$V$4,"államigazgatási")+SUMIFS('2.7. sz. Könyvtár'!D33:J33,'2.7. sz. Könyvtár'!$D$4:$J$4,"államigazgatási")+SUMIFS('2.8. sz. Műv.Ház'!D33:I33,'2.8. sz. Műv.Ház'!$D$4:$I$4,"államigazgatási")+SUMIFS('2.9. sz. Szivárvány Ó.'!D33:J33,'2.9. sz. Szivárvány Ó.'!$D$4:$J$4,"államigazgatási")</f>
        <v>13800</v>
      </c>
      <c r="G33" s="8">
        <f t="shared" si="0"/>
        <v>181179009</v>
      </c>
      <c r="H33" s="121">
        <f>'2.1. sz. PMH'!N33+'2.2. sz. Hétszínvirág Óvoda'!L33+'2.3. sz. Mese Óvoda'!J33+'2.4. sz. Bölcsőde'!I33+'2.5. sz. Gyermekjóléti'!K33+'2.6 sz. Területi'!W33+'2.7. sz. Könyvtár'!K33</f>
        <v>160906399</v>
      </c>
      <c r="I33" s="120">
        <f t="shared" si="3"/>
        <v>-20272610</v>
      </c>
    </row>
    <row r="34" spans="1:10" ht="23.25" customHeight="1" x14ac:dyDescent="0.25">
      <c r="A34" s="32" t="s">
        <v>282</v>
      </c>
      <c r="B34" s="34" t="s">
        <v>257</v>
      </c>
      <c r="C34" s="38" t="s">
        <v>228</v>
      </c>
      <c r="D34" s="8">
        <f>SUMIFS('2.1. sz. PMH'!D34:M34,'2.1. sz. PMH'!$D$4:$M$4,"kötelező")+SUMIFS('2.2. sz. Hétszínvirág Óvoda'!D34:K34,'2.2. sz. Hétszínvirág Óvoda'!$D$4:$K$4,"kötelező")+SUMIFS('2.3. sz. Mese Óvoda'!D34:I34,'2.3. sz. Mese Óvoda'!$D$4:$I$4,"kötelező")+SUMIFS('2.4. sz. Bölcsőde'!D34:H34,'2.4. sz. Bölcsőde'!$D$4:$H$4,"kötelező")+SUMIFS('2.5. sz. Gyermekjóléti'!D34:J34,'2.5. sz. Gyermekjóléti'!$D$4:$J$4,"kötelező")+SUMIFS('2.6 sz. Területi'!D34:V34,'2.6 sz. Területi'!$D$4:$V$4,"kötelező")+SUMIFS('2.7. sz. Könyvtár'!D34:J34,'2.7. sz. Könyvtár'!$D$4:$J$4,"kötelező")+SUMIFS('2.8. sz. Műv.Ház'!D34:I34,'2.8. sz. Műv.Ház'!$D$4:$I$4,"kötelező")+SUMIFS('2.9. sz. Szivárvány Ó.'!D34:J34,'2.9. sz. Szivárvány Ó.'!$D$4:$J$4,"kötelező")</f>
        <v>0</v>
      </c>
      <c r="E34" s="8">
        <f>SUMIFS('2.1. sz. PMH'!D34:M34,'2.1. sz. PMH'!$D$4:$M$4,"önként vállalt")+SUMIFS('2.2. sz. Hétszínvirág Óvoda'!D34:K34,'2.2. sz. Hétszínvirág Óvoda'!$D$4:$K$4,"önként vállalt")+SUMIFS('2.3. sz. Mese Óvoda'!D34:H34,'2.3. sz. Mese Óvoda'!$D$4:$H$4,"önként vállalt")+SUMIFS('2.4. sz. Bölcsőde'!D34:H34,'2.4. sz. Bölcsőde'!$D$4:$H$4,"önként vállalt")+SUMIFS('2.5. sz. Gyermekjóléti'!D34:J34,'2.5. sz. Gyermekjóléti'!$D$4:$J$4,"önként vállalt")+SUMIFS('2.6 sz. Területi'!D34:V34,'2.6 sz. Területi'!$D$4:$V$4,"önként vállalt")+SUMIFS('2.7. sz. Könyvtár'!D34:J34,'2.7. sz. Könyvtár'!$D$4:$J$4,"önként vállalt")+SUMIFS('2.8. sz. Műv.Ház'!D34:I34,'2.8. sz. Műv.Ház'!$D$4:$I$4,"önként vállalt")+SUMIFS('2.9. sz. Szivárvány Ó.'!D34:J34,'2.9. sz. Szivárvány Ó.'!$D$4:$J$4,"önként vállalt")</f>
        <v>0</v>
      </c>
      <c r="F34" s="8">
        <f>SUMIFS('2.1. sz. PMH'!D34:M34,'2.1. sz. PMH'!$D$4:$M$4,"államigazgatási")+SUMIFS('2.2. sz. Hétszínvirág Óvoda'!D34:K34,'2.2. sz. Hétszínvirág Óvoda'!$D$4:$K$4,"államigazgatási")+SUMIFS('2.3. sz. Mese Óvoda'!D34:H34,'2.3. sz. Mese Óvoda'!$D$4:$H$4,"államigazgatási")+SUMIFS('2.4. sz. Bölcsőde'!D34:H34,'2.4. sz. Bölcsőde'!$D$4:$H$4,"államigazgatási")+SUMIFS('2.5. sz. Gyermekjóléti'!D34:J34,'2.5. sz. Gyermekjóléti'!$D$4:$J$4,"államigazgatási")+SUMIFS('2.6 sz. Területi'!D34:V34,'2.6 sz. Területi'!$D$4:$V$4,"államigazgatási")+SUMIFS('2.7. sz. Könyvtár'!D34:J34,'2.7. sz. Könyvtár'!$D$4:$J$4,"államigazgatási")+SUMIFS('2.8. sz. Műv.Ház'!D34:I34,'2.8. sz. Műv.Ház'!$D$4:$I$4,"államigazgatási")+SUMIFS('2.9. sz. Szivárvány Ó.'!D34:J34,'2.9. sz. Szivárvány Ó.'!$D$4:$J$4,"államigazgatási")</f>
        <v>0</v>
      </c>
      <c r="G34" s="8">
        <f t="shared" si="0"/>
        <v>0</v>
      </c>
      <c r="H34" s="121">
        <f>'2.1. sz. PMH'!N34+'2.2. sz. Hétszínvirág Óvoda'!L34+'2.3. sz. Mese Óvoda'!J34+'2.4. sz. Bölcsőde'!I34+'2.5. sz. Gyermekjóléti'!K34+'2.6 sz. Területi'!W34+'2.7. sz. Könyvtár'!K34</f>
        <v>0</v>
      </c>
      <c r="I34" s="120">
        <f t="shared" si="3"/>
        <v>0</v>
      </c>
    </row>
    <row r="35" spans="1:10" ht="23.25" customHeight="1" x14ac:dyDescent="0.25">
      <c r="A35" s="32" t="s">
        <v>283</v>
      </c>
      <c r="B35" s="34" t="s">
        <v>252</v>
      </c>
      <c r="C35" s="38" t="s">
        <v>229</v>
      </c>
      <c r="D35" s="8">
        <f>SUMIFS('2.1. sz. PMH'!D35:M35,'2.1. sz. PMH'!$D$4:$M$4,"kötelező")+SUMIFS('2.2. sz. Hétszínvirág Óvoda'!D35:K35,'2.2. sz. Hétszínvirág Óvoda'!$D$4:$K$4,"kötelező")+SUMIFS('2.3. sz. Mese Óvoda'!D35:I35,'2.3. sz. Mese Óvoda'!$D$4:$I$4,"kötelező")+SUMIFS('2.4. sz. Bölcsőde'!D35:H35,'2.4. sz. Bölcsőde'!$D$4:$H$4,"kötelező")+SUMIFS('2.5. sz. Gyermekjóléti'!D35:J35,'2.5. sz. Gyermekjóléti'!$D$4:$J$4,"kötelező")+SUMIFS('2.6 sz. Területi'!D35:V35,'2.6 sz. Területi'!$D$4:$V$4,"kötelező")+SUMIFS('2.7. sz. Könyvtár'!D35:J35,'2.7. sz. Könyvtár'!$D$4:$J$4,"kötelező")+SUMIFS('2.8. sz. Műv.Ház'!D35:I35,'2.8. sz. Műv.Ház'!$D$4:$I$4,"kötelező")+SUMIFS('2.9. sz. Szivárvány Ó.'!D35:J35,'2.9. sz. Szivárvány Ó.'!$D$4:$J$4,"kötelező")</f>
        <v>0</v>
      </c>
      <c r="E35" s="8">
        <f>SUMIFS('2.1. sz. PMH'!D35:M35,'2.1. sz. PMH'!$D$4:$M$4,"önként vállalt")+SUMIFS('2.2. sz. Hétszínvirág Óvoda'!D35:K35,'2.2. sz. Hétszínvirág Óvoda'!$D$4:$K$4,"önként vállalt")+SUMIFS('2.3. sz. Mese Óvoda'!D35:H35,'2.3. sz. Mese Óvoda'!$D$4:$H$4,"önként vállalt")+SUMIFS('2.4. sz. Bölcsőde'!D35:H35,'2.4. sz. Bölcsőde'!$D$4:$H$4,"önként vállalt")+SUMIFS('2.5. sz. Gyermekjóléti'!D35:J35,'2.5. sz. Gyermekjóléti'!$D$4:$J$4,"önként vállalt")+SUMIFS('2.6 sz. Területi'!D35:V35,'2.6 sz. Területi'!$D$4:$V$4,"önként vállalt")+SUMIFS('2.7. sz. Könyvtár'!D35:J35,'2.7. sz. Könyvtár'!$D$4:$J$4,"önként vállalt")+SUMIFS('2.8. sz. Műv.Ház'!D35:I35,'2.8. sz. Műv.Ház'!$D$4:$I$4,"önként vállalt")+SUMIFS('2.9. sz. Szivárvány Ó.'!D35:J35,'2.9. sz. Szivárvány Ó.'!$D$4:$J$4,"önként vállalt")</f>
        <v>0</v>
      </c>
      <c r="F35" s="8">
        <f>SUMIFS('2.1. sz. PMH'!D35:M35,'2.1. sz. PMH'!$D$4:$M$4,"államigazgatási")+SUMIFS('2.2. sz. Hétszínvirág Óvoda'!D35:K35,'2.2. sz. Hétszínvirág Óvoda'!$D$4:$K$4,"államigazgatási")+SUMIFS('2.3. sz. Mese Óvoda'!D35:H35,'2.3. sz. Mese Óvoda'!$D$4:$H$4,"államigazgatási")+SUMIFS('2.4. sz. Bölcsőde'!D35:H35,'2.4. sz. Bölcsőde'!$D$4:$H$4,"államigazgatási")+SUMIFS('2.5. sz. Gyermekjóléti'!D35:J35,'2.5. sz. Gyermekjóléti'!$D$4:$J$4,"államigazgatási")+SUMIFS('2.6 sz. Területi'!D35:V35,'2.6 sz. Területi'!$D$4:$V$4,"államigazgatási")+SUMIFS('2.7. sz. Könyvtár'!D35:J35,'2.7. sz. Könyvtár'!$D$4:$J$4,"államigazgatási")+SUMIFS('2.8. sz. Műv.Ház'!D35:I35,'2.8. sz. Műv.Ház'!$D$4:$I$4,"államigazgatási")+SUMIFS('2.9. sz. Szivárvány Ó.'!D35:J35,'2.9. sz. Szivárvány Ó.'!$D$4:$J$4,"államigazgatási")</f>
        <v>0</v>
      </c>
      <c r="G35" s="8">
        <f t="shared" si="0"/>
        <v>0</v>
      </c>
      <c r="H35" s="121">
        <f>'2.1. sz. PMH'!N35+'2.2. sz. Hétszínvirág Óvoda'!L35+'2.3. sz. Mese Óvoda'!J35+'2.4. sz. Bölcsőde'!I35+'2.5. sz. Gyermekjóléti'!K35+'2.6 sz. Területi'!W35+'2.7. sz. Könyvtár'!K35</f>
        <v>0</v>
      </c>
      <c r="I35" s="120">
        <f t="shared" si="3"/>
        <v>0</v>
      </c>
    </row>
    <row r="36" spans="1:10" ht="23.25" customHeight="1" x14ac:dyDescent="0.25">
      <c r="A36" s="32" t="s">
        <v>284</v>
      </c>
      <c r="B36" s="34" t="s">
        <v>253</v>
      </c>
      <c r="C36" s="38" t="s">
        <v>230</v>
      </c>
      <c r="D36" s="8">
        <f>SUMIFS('2.1. sz. PMH'!D36:M36,'2.1. sz. PMH'!$D$4:$M$4,"kötelező")+SUMIFS('2.2. sz. Hétszínvirág Óvoda'!D36:K36,'2.2. sz. Hétszínvirág Óvoda'!$D$4:$K$4,"kötelező")+SUMIFS('2.3. sz. Mese Óvoda'!D36:I36,'2.3. sz. Mese Óvoda'!$D$4:$I$4,"kötelező")+SUMIFS('2.4. sz. Bölcsőde'!D36:H36,'2.4. sz. Bölcsőde'!$D$4:$H$4,"kötelező")+SUMIFS('2.5. sz. Gyermekjóléti'!D36:J36,'2.5. sz. Gyermekjóléti'!$D$4:$J$4,"kötelező")+SUMIFS('2.6 sz. Területi'!D36:V36,'2.6 sz. Területi'!$D$4:$V$4,"kötelező")+SUMIFS('2.7. sz. Könyvtár'!D36:J36,'2.7. sz. Könyvtár'!$D$4:$J$4,"kötelező")+SUMIFS('2.8. sz. Műv.Ház'!D36:I36,'2.8. sz. Műv.Ház'!$D$4:$I$4,"kötelező")+SUMIFS('2.9. sz. Szivárvány Ó.'!D36:J36,'2.9. sz. Szivárvány Ó.'!$D$4:$J$4,"kötelező")</f>
        <v>4175200</v>
      </c>
      <c r="E36" s="8">
        <f>SUMIFS('2.1. sz. PMH'!D36:M36,'2.1. sz. PMH'!$D$4:$M$4,"önként vállalt")+SUMIFS('2.2. sz. Hétszínvirág Óvoda'!D36:K36,'2.2. sz. Hétszínvirág Óvoda'!$D$4:$K$4,"önként vállalt")+SUMIFS('2.3. sz. Mese Óvoda'!D36:H36,'2.3. sz. Mese Óvoda'!$D$4:$H$4,"önként vállalt")+SUMIFS('2.4. sz. Bölcsőde'!D36:H36,'2.4. sz. Bölcsőde'!$D$4:$H$4,"önként vállalt")+SUMIFS('2.5. sz. Gyermekjóléti'!D36:J36,'2.5. sz. Gyermekjóléti'!$D$4:$J$4,"önként vállalt")+SUMIFS('2.6 sz. Területi'!D36:V36,'2.6 sz. Területi'!$D$4:$V$4,"önként vállalt")+SUMIFS('2.7. sz. Könyvtár'!D36:J36,'2.7. sz. Könyvtár'!$D$4:$J$4,"önként vállalt")+SUMIFS('2.8. sz. Műv.Ház'!D36:I36,'2.8. sz. Műv.Ház'!$D$4:$I$4,"önként vállalt")+SUMIFS('2.9. sz. Szivárvány Ó.'!D36:J36,'2.9. sz. Szivárvány Ó.'!$D$4:$J$4,"önként vállalt")</f>
        <v>0</v>
      </c>
      <c r="F36" s="8">
        <f>SUMIFS('2.1. sz. PMH'!D36:M36,'2.1. sz. PMH'!$D$4:$M$4,"államigazgatási")+SUMIFS('2.2. sz. Hétszínvirág Óvoda'!D36:K36,'2.2. sz. Hétszínvirág Óvoda'!$D$4:$K$4,"államigazgatási")+SUMIFS('2.3. sz. Mese Óvoda'!D36:H36,'2.3. sz. Mese Óvoda'!$D$4:$H$4,"államigazgatási")+SUMIFS('2.4. sz. Bölcsőde'!D36:H36,'2.4. sz. Bölcsőde'!$D$4:$H$4,"államigazgatási")+SUMIFS('2.5. sz. Gyermekjóléti'!D36:J36,'2.5. sz. Gyermekjóléti'!$D$4:$J$4,"államigazgatási")+SUMIFS('2.6 sz. Területi'!D36:V36,'2.6 sz. Területi'!$D$4:$V$4,"államigazgatási")+SUMIFS('2.7. sz. Könyvtár'!D36:J36,'2.7. sz. Könyvtár'!$D$4:$J$4,"államigazgatási")+SUMIFS('2.8. sz. Műv.Ház'!D36:I36,'2.8. sz. Műv.Ház'!$D$4:$I$4,"államigazgatási")+SUMIFS('2.9. sz. Szivárvány Ó.'!D36:J36,'2.9. sz. Szivárvány Ó.'!$D$4:$J$4,"államigazgatási")</f>
        <v>0</v>
      </c>
      <c r="G36" s="8">
        <f t="shared" si="0"/>
        <v>4175200</v>
      </c>
      <c r="H36" s="121">
        <f>'2.1. sz. PMH'!N36+'2.2. sz. Hétszínvirág Óvoda'!L36+'2.3. sz. Mese Óvoda'!J36+'2.4. sz. Bölcsőde'!I36+'2.5. sz. Gyermekjóléti'!K36+'2.6 sz. Területi'!W36+'2.7. sz. Könyvtár'!K36</f>
        <v>4175200</v>
      </c>
      <c r="I36" s="120">
        <f t="shared" si="3"/>
        <v>0</v>
      </c>
    </row>
    <row r="37" spans="1:10" ht="23.25" customHeight="1" x14ac:dyDescent="0.25">
      <c r="A37" s="32" t="s">
        <v>285</v>
      </c>
      <c r="B37" s="35" t="s">
        <v>254</v>
      </c>
      <c r="C37" s="38" t="s">
        <v>231</v>
      </c>
      <c r="D37" s="8">
        <f>SUMIFS('2.1. sz. PMH'!D37:M37,'2.1. sz. PMH'!$D$4:$M$4,"kötelező")+SUMIFS('2.2. sz. Hétszínvirág Óvoda'!D37:K37,'2.2. sz. Hétszínvirág Óvoda'!$D$4:$K$4,"kötelező")+SUMIFS('2.3. sz. Mese Óvoda'!D37:I37,'2.3. sz. Mese Óvoda'!$D$4:$I$4,"kötelező")+SUMIFS('2.4. sz. Bölcsőde'!D37:H37,'2.4. sz. Bölcsőde'!$D$4:$H$4,"kötelező")+SUMIFS('2.5. sz. Gyermekjóléti'!D37:J37,'2.5. sz. Gyermekjóléti'!$D$4:$J$4,"kötelező")+SUMIFS('2.6 sz. Területi'!D37:V37,'2.6 sz. Területi'!$D$4:$V$4,"kötelező")+SUMIFS('2.7. sz. Könyvtár'!D37:J37,'2.7. sz. Könyvtár'!$D$4:$J$4,"kötelező")+SUMIFS('2.8. sz. Műv.Ház'!D37:I37,'2.8. sz. Műv.Ház'!$D$4:$I$4,"kötelező")+SUMIFS('2.9. sz. Szivárvány Ó.'!D37:J37,'2.9. sz. Szivárvány Ó.'!$D$4:$J$4,"kötelező")</f>
        <v>264440409</v>
      </c>
      <c r="E37" s="9">
        <f>SUMIFS('2.1. sz. PMH'!D37:M37,'2.1. sz. PMH'!$D$4:$M$4,"önként vállalt")+SUMIFS('2.2. sz. Hétszínvirág Óvoda'!D37:K37,'2.2. sz. Hétszínvirág Óvoda'!$D$4:$K$4,"önként vállalt")+SUMIFS('2.3. sz. Mese Óvoda'!D37:H37,'2.3. sz. Mese Óvoda'!$D$4:$H$4,"önként vállalt")+SUMIFS('2.4. sz. Bölcsőde'!D37:H37,'2.4. sz. Bölcsőde'!$D$4:$H$4,"önként vállalt")+SUMIFS('2.5. sz. Gyermekjóléti'!D37:J37,'2.5. sz. Gyermekjóléti'!$D$4:$J$4,"önként vállalt")+SUMIFS('2.6 sz. Területi'!D37:V37,'2.6 sz. Területi'!$D$4:$V$4,"önként vállalt")+SUMIFS('2.7. sz. Könyvtár'!D37:J37,'2.7. sz. Könyvtár'!$D$4:$J$4,"önként vállalt")+SUMIFS('2.8. sz. Műv.Ház'!D37:I37,'2.8. sz. Műv.Ház'!$D$4:$I$4,"önként vállalt")+SUMIFS('2.9. sz. Szivárvány Ó.'!D37:J37,'2.9. sz. Szivárvány Ó.'!$D$4:$J$4,"önként vállalt")</f>
        <v>6500000</v>
      </c>
      <c r="F37" s="9">
        <f>SUMIFS('2.1. sz. PMH'!D37:M37,'2.1. sz. PMH'!$D$4:$M$4,"államigazgatási")+SUMIFS('2.2. sz. Hétszínvirág Óvoda'!D37:K37,'2.2. sz. Hétszínvirág Óvoda'!$D$4:$K$4,"államigazgatási")+SUMIFS('2.3. sz. Mese Óvoda'!D37:H37,'2.3. sz. Mese Óvoda'!$D$4:$H$4,"államigazgatási")+SUMIFS('2.4. sz. Bölcsőde'!D37:H37,'2.4. sz. Bölcsőde'!$D$4:$H$4,"államigazgatási")+SUMIFS('2.5. sz. Gyermekjóléti'!D37:J37,'2.5. sz. Gyermekjóléti'!$D$4:$J$4,"államigazgatási")+SUMIFS('2.6 sz. Területi'!D37:V37,'2.6 sz. Területi'!$D$4:$V$4,"államigazgatási")+SUMIFS('2.7. sz. Könyvtár'!D37:J37,'2.7. sz. Könyvtár'!$D$4:$J$4,"államigazgatási")+SUMIFS('2.8. sz. Műv.Ház'!D37:I37,'2.8. sz. Műv.Ház'!$D$4:$I$4,"államigazgatási")+SUMIFS('2.9. sz. Szivárvány Ó.'!D37:J37,'2.9. sz. Szivárvány Ó.'!$D$4:$J$4,"államigazgatási")</f>
        <v>3013800</v>
      </c>
      <c r="G37" s="9">
        <f t="shared" si="0"/>
        <v>273954209</v>
      </c>
      <c r="H37" s="121">
        <f>'2.1. sz. PMH'!N37+'2.2. sz. Hétszínvirág Óvoda'!L37+'2.3. sz. Mese Óvoda'!J37+'2.4. sz. Bölcsőde'!I37+'2.5. sz. Gyermekjóléti'!K37+'2.6 sz. Területi'!W37+'2.7. sz. Könyvtár'!K37</f>
        <v>253681599</v>
      </c>
      <c r="I37" s="120">
        <f t="shared" si="3"/>
        <v>-20272610</v>
      </c>
    </row>
    <row r="38" spans="1:10" ht="23.25" customHeight="1" x14ac:dyDescent="0.25">
      <c r="A38" s="32" t="s">
        <v>286</v>
      </c>
      <c r="B38" s="38" t="s">
        <v>255</v>
      </c>
      <c r="C38" s="33" t="s">
        <v>233</v>
      </c>
      <c r="D38" s="8">
        <f>SUMIFS('2.1. sz. PMH'!D38:M38,'2.1. sz. PMH'!$D$4:$M$4,"kötelező")+SUMIFS('2.2. sz. Hétszínvirág Óvoda'!D38:K38,'2.2. sz. Hétszínvirág Óvoda'!$D$4:$K$4,"kötelező")+SUMIFS('2.3. sz. Mese Óvoda'!D38:I38,'2.3. sz. Mese Óvoda'!$D$4:$I$4,"kötelező")+SUMIFS('2.4. sz. Bölcsőde'!D38:H38,'2.4. sz. Bölcsőde'!$D$4:$H$4,"kötelező")+SUMIFS('2.5. sz. Gyermekjóléti'!D38:J38,'2.5. sz. Gyermekjóléti'!$D$4:$J$4,"kötelező")+SUMIFS('2.6 sz. Területi'!D38:V38,'2.6 sz. Területi'!$D$4:$V$4,"kötelező")+SUMIFS('2.7. sz. Könyvtár'!D38:J38,'2.7. sz. Könyvtár'!$D$4:$J$4,"kötelező")+SUMIFS('2.8. sz. Műv.Ház'!D38:I38,'2.8. sz. Műv.Ház'!$D$4:$I$4,"kötelező")+SUMIFS('2.9. sz. Szivárvány Ó.'!D38:J38,'2.9. sz. Szivárvány Ó.'!$D$4:$J$4,"kötelező")</f>
        <v>3134761591</v>
      </c>
      <c r="E38" s="8">
        <f>SUMIFS('2.1. sz. PMH'!D38:M38,'2.1. sz. PMH'!$D$4:$M$4,"önként vállalt")+SUMIFS('2.2. sz. Hétszínvirág Óvoda'!D38:K38,'2.2. sz. Hétszínvirág Óvoda'!$D$4:$K$4,"önként vállalt")+SUMIFS('2.3. sz. Mese Óvoda'!D38:H38,'2.3. sz. Mese Óvoda'!$D$4:$H$4,"önként vállalt")+SUMIFS('2.4. sz. Bölcsőde'!D38:H38,'2.4. sz. Bölcsőde'!$D$4:$H$4,"önként vállalt")+SUMIFS('2.5. sz. Gyermekjóléti'!D38:J38,'2.5. sz. Gyermekjóléti'!$D$4:$J$4,"önként vállalt")+SUMIFS('2.6 sz. Területi'!D38:V38,'2.6 sz. Területi'!$D$4:$V$4,"önként vállalt")+SUMIFS('2.7. sz. Könyvtár'!D38:J38,'2.7. sz. Könyvtár'!$D$4:$J$4,"önként vállalt")+SUMIFS('2.8. sz. Műv.Ház'!D38:I38,'2.8. sz. Műv.Ház'!$D$4:$I$4,"önként vállalt")+SUMIFS('2.9. sz. Szivárvány Ó.'!D38:J38,'2.9. sz. Szivárvány Ó.'!$D$4:$J$4,"önként vállalt")</f>
        <v>0</v>
      </c>
      <c r="F38" s="8">
        <f>SUMIFS('2.1. sz. PMH'!D38:M38,'2.1. sz. PMH'!$D$4:$M$4,"államigazgatási")+SUMIFS('2.2. sz. Hétszínvirág Óvoda'!D38:K38,'2.2. sz. Hétszínvirág Óvoda'!$D$4:$K$4,"államigazgatási")+SUMIFS('2.3. sz. Mese Óvoda'!D38:H38,'2.3. sz. Mese Óvoda'!$D$4:$H$4,"államigazgatási")+SUMIFS('2.4. sz. Bölcsőde'!D38:H38,'2.4. sz. Bölcsőde'!$D$4:$H$4,"államigazgatási")+SUMIFS('2.5. sz. Gyermekjóléti'!D38:J38,'2.5. sz. Gyermekjóléti'!$D$4:$J$4,"államigazgatási")+SUMIFS('2.6 sz. Területi'!D38:V38,'2.6 sz. Területi'!$D$4:$V$4,"államigazgatási")+SUMIFS('2.7. sz. Könyvtár'!D38:J38,'2.7. sz. Könyvtár'!$D$4:$J$4,"államigazgatási")+SUMIFS('2.8. sz. Műv.Ház'!D38:I38,'2.8. sz. Műv.Ház'!$D$4:$I$4,"államigazgatási")+SUMIFS('2.9. sz. Szivárvány Ó.'!D38:J38,'2.9. sz. Szivárvány Ó.'!$D$4:$J$4,"államigazgatási")</f>
        <v>0</v>
      </c>
      <c r="G38" s="8">
        <f t="shared" si="0"/>
        <v>3134761591</v>
      </c>
      <c r="H38" s="121">
        <f>'2.1. sz. PMH'!N38+'2.2. sz. Hétszínvirág Óvoda'!L38+'2.3. sz. Mese Óvoda'!J38+'2.4. sz. Bölcsőde'!I38+'2.5. sz. Gyermekjóléti'!K38+'2.6 sz. Területi'!W38+'2.7. sz. Könyvtár'!K38</f>
        <v>2746903069</v>
      </c>
      <c r="I38" s="120">
        <f t="shared" si="3"/>
        <v>-387858522</v>
      </c>
    </row>
    <row r="39" spans="1:10" ht="23.25" customHeight="1" x14ac:dyDescent="0.25">
      <c r="A39" s="32" t="s">
        <v>287</v>
      </c>
      <c r="B39" s="132" t="s">
        <v>598</v>
      </c>
      <c r="C39" s="33"/>
      <c r="D39" s="8">
        <f>SUMIFS('2.1. sz. PMH'!D39:M39,'2.1. sz. PMH'!$D$4:$M$4,"kötelező")+SUMIFS('2.2. sz. Hétszínvirág Óvoda'!D39:K39,'2.2. sz. Hétszínvirág Óvoda'!$D$4:$K$4,"kötelező")+SUMIFS('2.3. sz. Mese Óvoda'!D39:I39,'2.3. sz. Mese Óvoda'!$D$4:$I$4,"kötelező")+SUMIFS('2.4. sz. Bölcsőde'!D39:H39,'2.4. sz. Bölcsőde'!$D$4:$H$4,"kötelező")+SUMIFS('2.5. sz. Gyermekjóléti'!D39:J39,'2.5. sz. Gyermekjóléti'!$D$4:$J$4,"kötelező")+SUMIFS('2.6 sz. Területi'!D39:V39,'2.6 sz. Területi'!$D$4:$V$4,"kötelező")+SUMIFS('2.7. sz. Könyvtár'!D39:J39,'2.7. sz. Könyvtár'!$D$4:$J$4,"kötelező")+SUMIFS('2.8. sz. Műv.Ház'!D39:I39,'2.8. sz. Műv.Ház'!$D$4:$I$4,"kötelező")+SUMIFS('2.9. sz. Szivárvány Ó.'!D39:J39,'2.9. sz. Szivárvány Ó.'!$D$4:$J$4,"kötelező")</f>
        <v>0</v>
      </c>
      <c r="E39" s="8">
        <f>SUMIFS('2.1. sz. PMH'!D39:M39,'2.1. sz. PMH'!$D$4:$M$4,"önként vállalt")+SUMIFS('2.2. sz. Hétszínvirág Óvoda'!D39:K39,'2.2. sz. Hétszínvirág Óvoda'!$D$4:$K$4,"önként vállalt")+SUMIFS('2.3. sz. Mese Óvoda'!D39:H39,'2.3. sz. Mese Óvoda'!$D$4:$H$4,"önként vállalt")+SUMIFS('2.4. sz. Bölcsőde'!D39:H39,'2.4. sz. Bölcsőde'!$D$4:$H$4,"önként vállalt")+SUMIFS('2.5. sz. Gyermekjóléti'!D39:J39,'2.5. sz. Gyermekjóléti'!$D$4:$J$4,"önként vállalt")+SUMIFS('2.6 sz. Területi'!D39:V39,'2.6 sz. Területi'!$D$4:$V$4,"önként vállalt")+SUMIFS('2.7. sz. Könyvtár'!D39:J39,'2.7. sz. Könyvtár'!$D$4:$J$4,"önként vállalt")+SUMIFS('2.8. sz. Műv.Ház'!D39:I39,'2.8. sz. Műv.Ház'!$D$4:$I$4,"önként vállalt")+SUMIFS('2.9. sz. Szivárvány Ó.'!D39:J39,'2.9. sz. Szivárvány Ó.'!$D$4:$J$4,"önként vállalt")</f>
        <v>0</v>
      </c>
      <c r="F39" s="8">
        <f>SUMIFS('2.1. sz. PMH'!D39:M39,'2.1. sz. PMH'!$D$4:$M$4,"államigazgatási")+SUMIFS('2.2. sz. Hétszínvirág Óvoda'!D39:K39,'2.2. sz. Hétszínvirág Óvoda'!$D$4:$K$4,"államigazgatási")+SUMIFS('2.3. sz. Mese Óvoda'!D39:H39,'2.3. sz. Mese Óvoda'!$D$4:$H$4,"államigazgatási")+SUMIFS('2.4. sz. Bölcsőde'!D39:H39,'2.4. sz. Bölcsőde'!$D$4:$H$4,"államigazgatási")+SUMIFS('2.5. sz. Gyermekjóléti'!D39:J39,'2.5. sz. Gyermekjóléti'!$D$4:$J$4,"államigazgatási")+SUMIFS('2.6 sz. Területi'!D39:V39,'2.6 sz. Területi'!$D$4:$V$4,"államigazgatási")+SUMIFS('2.7. sz. Könyvtár'!D39:J39,'2.7. sz. Könyvtár'!$D$4:$J$4,"államigazgatási")+SUMIFS('2.8. sz. Műv.Ház'!D39:I39,'2.8. sz. Műv.Ház'!$D$4:$I$4,"államigazgatási")+SUMIFS('2.9. sz. Szivárvány Ó.'!D39:J39,'2.9. sz. Szivárvány Ó.'!$D$4:$J$4,"államigazgatási")</f>
        <v>0</v>
      </c>
      <c r="G39" s="8">
        <f t="shared" si="0"/>
        <v>0</v>
      </c>
      <c r="H39" s="121"/>
      <c r="I39" s="120"/>
    </row>
    <row r="40" spans="1:10" ht="23.25" customHeight="1" x14ac:dyDescent="0.25">
      <c r="A40" s="32" t="s">
        <v>288</v>
      </c>
      <c r="B40" s="39" t="s">
        <v>932</v>
      </c>
      <c r="C40" s="37"/>
      <c r="D40" s="8">
        <f>SUMIFS('2.1. sz. PMH'!D40:M40,'2.1. sz. PMH'!$D$4:$M$4,"kötelező")+SUMIFS('2.2. sz. Hétszínvirág Óvoda'!D40:K40,'2.2. sz. Hétszínvirág Óvoda'!$D$4:$K$4,"kötelező")+SUMIFS('2.3. sz. Mese Óvoda'!D40:I40,'2.3. sz. Mese Óvoda'!$D$4:$I$4,"kötelező")+SUMIFS('2.4. sz. Bölcsőde'!D40:H40,'2.4. sz. Bölcsőde'!$D$4:$H$4,"kötelező")+SUMIFS('2.5. sz. Gyermekjóléti'!D40:J40,'2.5. sz. Gyermekjóléti'!$D$4:$J$4,"kötelező")+SUMIFS('2.6 sz. Területi'!D40:V40,'2.6 sz. Területi'!$D$4:$V$4,"kötelező")+SUMIFS('2.7. sz. Könyvtár'!D40:J40,'2.7. sz. Könyvtár'!$D$4:$J$4,"kötelező")+SUMIFS('2.8. sz. Műv.Ház'!D40:I40,'2.8. sz. Műv.Ház'!$D$4:$I$4,"kötelező")+SUMIFS('2.9. sz. Szivárvány Ó.'!D40:J40,'2.9. sz. Szivárvány Ó.'!$D$4:$J$4,"kötelező")</f>
        <v>90790414</v>
      </c>
      <c r="E40" s="8">
        <f>SUMIFS('2.1. sz. PMH'!D40:M40,'2.1. sz. PMH'!$D$4:$M$4,"önként vállalt")+SUMIFS('2.2. sz. Hétszínvirág Óvoda'!D40:K40,'2.2. sz. Hétszínvirág Óvoda'!$D$4:$K$4,"önként vállalt")+SUMIFS('2.3. sz. Mese Óvoda'!D40:H40,'2.3. sz. Mese Óvoda'!$D$4:$H$4,"önként vállalt")+SUMIFS('2.4. sz. Bölcsőde'!D40:H40,'2.4. sz. Bölcsőde'!$D$4:$H$4,"önként vállalt")+SUMIFS('2.5. sz. Gyermekjóléti'!D40:J40,'2.5. sz. Gyermekjóléti'!$D$4:$J$4,"önként vállalt")+SUMIFS('2.6 sz. Területi'!D40:V40,'2.6 sz. Területi'!$D$4:$V$4,"önként vállalt")+SUMIFS('2.7. sz. Könyvtár'!D40:J40,'2.7. sz. Könyvtár'!$D$4:$J$4,"önként vállalt")+SUMIFS('2.8. sz. Műv.Ház'!D40:I40,'2.8. sz. Műv.Ház'!$D$4:$I$4,"önként vállalt")+SUMIFS('2.9. sz. Szivárvány Ó.'!D40:J40,'2.9. sz. Szivárvány Ó.'!$D$4:$J$4,"önként vállalt")</f>
        <v>0</v>
      </c>
      <c r="F40" s="8">
        <f>SUMIFS('2.1. sz. PMH'!D40:M40,'2.1. sz. PMH'!$D$4:$M$4,"államigazgatási")+SUMIFS('2.2. sz. Hétszínvirág Óvoda'!D40:K40,'2.2. sz. Hétszínvirág Óvoda'!$D$4:$K$4,"államigazgatási")+SUMIFS('2.3. sz. Mese Óvoda'!D40:H40,'2.3. sz. Mese Óvoda'!$D$4:$H$4,"államigazgatási")+SUMIFS('2.4. sz. Bölcsőde'!D40:H40,'2.4. sz. Bölcsőde'!$D$4:$H$4,"államigazgatási")+SUMIFS('2.5. sz. Gyermekjóléti'!D40:J40,'2.5. sz. Gyermekjóléti'!$D$4:$J$4,"államigazgatási")+SUMIFS('2.6 sz. Területi'!D40:V40,'2.6 sz. Területi'!$D$4:$V$4,"államigazgatási")+SUMIFS('2.7. sz. Könyvtár'!D40:J40,'2.7. sz. Könyvtár'!$D$4:$J$4,"államigazgatási")+SUMIFS('2.8. sz. Műv.Ház'!D40:I40,'2.8. sz. Műv.Ház'!$D$4:$I$4,"államigazgatási")+SUMIFS('2.9. sz. Szivárvány Ó.'!D40:J40,'2.9. sz. Szivárvány Ó.'!$D$4:$J$4,"államigazgatási")</f>
        <v>0</v>
      </c>
      <c r="G40" s="8">
        <f t="shared" si="0"/>
        <v>90790414</v>
      </c>
      <c r="H40" s="121">
        <f>'2.1. sz. PMH'!N40+'2.2. sz. Hétszínvirág Óvoda'!L40+'2.3. sz. Mese Óvoda'!J40+'2.4. sz. Bölcsőde'!I40+'2.5. sz. Gyermekjóléti'!K40+'2.6 sz. Területi'!W40+'2.7. sz. Könyvtár'!K40</f>
        <v>85817684</v>
      </c>
      <c r="I40" s="120">
        <f>H40-G40</f>
        <v>-4972730</v>
      </c>
    </row>
    <row r="41" spans="1:10" ht="23.25" customHeight="1" x14ac:dyDescent="0.25">
      <c r="A41" s="32" t="s">
        <v>292</v>
      </c>
      <c r="B41" s="39" t="s">
        <v>933</v>
      </c>
      <c r="C41" s="37"/>
      <c r="D41" s="8">
        <f>SUMIFS('2.1. sz. PMH'!D41:M41,'2.1. sz. PMH'!$D$4:$M$4,"kötelező")+SUMIFS('2.2. sz. Hétszínvirág Óvoda'!D41:K41,'2.2. sz. Hétszínvirág Óvoda'!$D$4:$K$4,"kötelező")+SUMIFS('2.3. sz. Mese Óvoda'!D41:I41,'2.3. sz. Mese Óvoda'!$D$4:$I$4,"kötelező")+SUMIFS('2.4. sz. Bölcsőde'!D41:H41,'2.4. sz. Bölcsőde'!$D$4:$H$4,"kötelező")+SUMIFS('2.5. sz. Gyermekjóléti'!D41:J41,'2.5. sz. Gyermekjóléti'!$D$4:$J$4,"kötelező")+SUMIFS('2.6 sz. Területi'!D41:V41,'2.6 sz. Területi'!$D$4:$V$4,"kötelező")+SUMIFS('2.7. sz. Könyvtár'!D41:J41,'2.7. sz. Könyvtár'!$D$4:$J$4,"kötelező")+SUMIFS('2.8. sz. Műv.Ház'!D41:I41,'2.8. sz. Műv.Ház'!$D$4:$I$4,"kötelező")+SUMIFS('2.9. sz. Szivárvány Ó.'!D41:J41,'2.9. sz. Szivárvány Ó.'!$D$4:$J$4,"kötelező")</f>
        <v>173058</v>
      </c>
      <c r="E41" s="8">
        <f>SUMIFS('2.1. sz. PMH'!D41:M41,'2.1. sz. PMH'!$D$4:$M$4,"önként vállalt")+SUMIFS('2.2. sz. Hétszínvirág Óvoda'!D41:K41,'2.2. sz. Hétszínvirág Óvoda'!$D$4:$K$4,"önként vállalt")+SUMIFS('2.3. sz. Mese Óvoda'!D41:H41,'2.3. sz. Mese Óvoda'!$D$4:$H$4,"önként vállalt")+SUMIFS('2.4. sz. Bölcsőde'!D41:H41,'2.4. sz. Bölcsőde'!$D$4:$H$4,"önként vállalt")+SUMIFS('2.5. sz. Gyermekjóléti'!D41:J41,'2.5. sz. Gyermekjóléti'!$D$4:$J$4,"önként vállalt")+SUMIFS('2.6 sz. Területi'!D41:V41,'2.6 sz. Területi'!$D$4:$V$4,"önként vállalt")+SUMIFS('2.7. sz. Könyvtár'!D41:J41,'2.7. sz. Könyvtár'!$D$4:$J$4,"önként vállalt")+SUMIFS('2.8. sz. Műv.Ház'!D41:I41,'2.8. sz. Műv.Ház'!$D$4:$I$4,"önként vállalt")+SUMIFS('2.9. sz. Szivárvány Ó.'!D41:J41,'2.9. sz. Szivárvány Ó.'!$D$4:$J$4,"önként vállalt")</f>
        <v>0</v>
      </c>
      <c r="F41" s="8">
        <f>SUMIFS('2.1. sz. PMH'!D41:M41,'2.1. sz. PMH'!$D$4:$M$4,"államigazgatási")+SUMIFS('2.2. sz. Hétszínvirág Óvoda'!D41:K41,'2.2. sz. Hétszínvirág Óvoda'!$D$4:$K$4,"államigazgatási")+SUMIFS('2.3. sz. Mese Óvoda'!D41:H41,'2.3. sz. Mese Óvoda'!$D$4:$H$4,"államigazgatási")+SUMIFS('2.4. sz. Bölcsőde'!D41:H41,'2.4. sz. Bölcsőde'!$D$4:$H$4,"államigazgatási")+SUMIFS('2.5. sz. Gyermekjóléti'!D41:J41,'2.5. sz. Gyermekjóléti'!$D$4:$J$4,"államigazgatási")+SUMIFS('2.6 sz. Területi'!D41:V41,'2.6 sz. Területi'!$D$4:$V$4,"államigazgatási")+SUMIFS('2.7. sz. Könyvtár'!D41:J41,'2.7. sz. Könyvtár'!$D$4:$J$4,"államigazgatási")+SUMIFS('2.8. sz. Műv.Ház'!D41:I41,'2.8. sz. Műv.Ház'!$D$4:$I$4,"államigazgatási")+SUMIFS('2.9. sz. Szivárvány Ó.'!D41:J41,'2.9. sz. Szivárvány Ó.'!$D$4:$J$4,"államigazgatási")</f>
        <v>0</v>
      </c>
      <c r="G41" s="8">
        <f t="shared" si="0"/>
        <v>173058</v>
      </c>
      <c r="H41" s="121">
        <f>'2.1. sz. PMH'!N41+'2.2. sz. Hétszínvirág Óvoda'!L41+'2.3. sz. Mese Óvoda'!J41+'2.4. sz. Bölcsőde'!I41+'2.5. sz. Gyermekjóléti'!K41+'2.6 sz. Területi'!W41+'2.7. sz. Könyvtár'!K41</f>
        <v>173058</v>
      </c>
      <c r="I41" s="120">
        <f>H41-G41</f>
        <v>0</v>
      </c>
    </row>
    <row r="42" spans="1:10" ht="23.25" customHeight="1" x14ac:dyDescent="0.25">
      <c r="A42" s="32" t="s">
        <v>293</v>
      </c>
      <c r="B42" s="39" t="s">
        <v>570</v>
      </c>
      <c r="C42" s="37"/>
      <c r="D42" s="8">
        <f>SUMIFS('2.1. sz. PMH'!D42:M42,'2.1. sz. PMH'!$D$4:$M$4,"kötelező")+SUMIFS('2.2. sz. Hétszínvirág Óvoda'!D42:K42,'2.2. sz. Hétszínvirág Óvoda'!$D$4:$K$4,"kötelező")+SUMIFS('2.3. sz. Mese Óvoda'!D42:I42,'2.3. sz. Mese Óvoda'!$D$4:$I$4,"kötelező")+SUMIFS('2.4. sz. Bölcsőde'!D42:H42,'2.4. sz. Bölcsőde'!$D$4:$H$4,"kötelező")+SUMIFS('2.5. sz. Gyermekjóléti'!D42:J42,'2.5. sz. Gyermekjóléti'!$D$4:$J$4,"kötelező")+SUMIFS('2.6 sz. Területi'!D42:V42,'2.6 sz. Területi'!$D$4:$V$4,"kötelező")+SUMIFS('2.7. sz. Könyvtár'!D42:J42,'2.7. sz. Könyvtár'!$D$4:$J$4,"kötelező")+SUMIFS('2.8. sz. Műv.Ház'!D42:I42,'2.8. sz. Műv.Ház'!$D$4:$I$4,"kötelező")+SUMIFS('2.9. sz. Szivárvány Ó.'!D42:J42,'2.9. sz. Szivárvány Ó.'!$D$4:$J$4,"kötelező")</f>
        <v>2989846329</v>
      </c>
      <c r="E42" s="8">
        <f>SUMIFS('2.1. sz. PMH'!D42:M42,'2.1. sz. PMH'!$D$4:$M$4,"önként vállalt")+SUMIFS('2.2. sz. Hétszínvirág Óvoda'!D42:K42,'2.2. sz. Hétszínvirág Óvoda'!$D$4:$K$4,"önként vállalt")+SUMIFS('2.3. sz. Mese Óvoda'!D42:H42,'2.3. sz. Mese Óvoda'!$D$4:$H$4,"önként vállalt")+SUMIFS('2.4. sz. Bölcsőde'!D42:H42,'2.4. sz. Bölcsőde'!$D$4:$H$4,"önként vállalt")+SUMIFS('2.5. sz. Gyermekjóléti'!D42:J42,'2.5. sz. Gyermekjóléti'!$D$4:$J$4,"önként vállalt")+SUMIFS('2.6 sz. Területi'!D42:V42,'2.6 sz. Területi'!$D$4:$V$4,"önként vállalt")+SUMIFS('2.7. sz. Könyvtár'!D42:J42,'2.7. sz. Könyvtár'!$D$4:$J$4,"önként vállalt")+SUMIFS('2.8. sz. Műv.Ház'!D42:I42,'2.8. sz. Műv.Ház'!$D$4:$I$4,"önként vállalt")+SUMIFS('2.9. sz. Szivárvány Ó.'!D42:J42,'2.9. sz. Szivárvány Ó.'!$D$4:$J$4,"önként vállalt")</f>
        <v>0</v>
      </c>
      <c r="F42" s="8">
        <f>SUMIFS('2.1. sz. PMH'!D42:M42,'2.1. sz. PMH'!$D$4:$M$4,"államigazgatási")+SUMIFS('2.2. sz. Hétszínvirág Óvoda'!D42:K42,'2.2. sz. Hétszínvirág Óvoda'!$D$4:$K$4,"államigazgatási")+SUMIFS('2.3. sz. Mese Óvoda'!D42:H42,'2.3. sz. Mese Óvoda'!$D$4:$H$4,"államigazgatási")+SUMIFS('2.4. sz. Bölcsőde'!D42:H42,'2.4. sz. Bölcsőde'!$D$4:$H$4,"államigazgatási")+SUMIFS('2.5. sz. Gyermekjóléti'!D42:J42,'2.5. sz. Gyermekjóléti'!$D$4:$J$4,"államigazgatási")+SUMIFS('2.6 sz. Területi'!D42:V42,'2.6 sz. Területi'!$D$4:$V$4,"államigazgatási")+SUMIFS('2.7. sz. Könyvtár'!D42:J42,'2.7. sz. Könyvtár'!$D$4:$J$4,"államigazgatási")+SUMIFS('2.8. sz. Műv.Ház'!D42:I42,'2.8. sz. Műv.Ház'!$D$4:$I$4,"államigazgatási")+SUMIFS('2.9. sz. Szivárvány Ó.'!D42:J42,'2.9. sz. Szivárvány Ó.'!$D$4:$J$4,"államigazgatási")</f>
        <v>0</v>
      </c>
      <c r="G42" s="8">
        <f t="shared" si="0"/>
        <v>2989846329</v>
      </c>
      <c r="H42" s="121">
        <f>'2.1. sz. PMH'!N42+'2.2. sz. Hétszínvirág Óvoda'!L42+'2.3. sz. Mese Óvoda'!J42+'2.4. sz. Bölcsőde'!I42+'2.5. sz. Gyermekjóléti'!K42+'2.6 sz. Területi'!W42+'2.7. sz. Könyvtár'!K42</f>
        <v>2610800437</v>
      </c>
      <c r="I42" s="120">
        <f>H42-G42</f>
        <v>-379045892</v>
      </c>
      <c r="J42" s="120">
        <f>+G42+G43</f>
        <v>3043798119</v>
      </c>
    </row>
    <row r="43" spans="1:10" ht="23.25" customHeight="1" x14ac:dyDescent="0.25">
      <c r="A43" s="32" t="s">
        <v>294</v>
      </c>
      <c r="B43" s="39" t="s">
        <v>664</v>
      </c>
      <c r="C43" s="37"/>
      <c r="D43" s="8">
        <f>SUMIFS('2.1. sz. PMH'!D43:M43,'2.1. sz. PMH'!$D$4:$M$4,"kötelező")+SUMIFS('2.2. sz. Hétszínvirág Óvoda'!D43:K43,'2.2. sz. Hétszínvirág Óvoda'!$D$4:$K$4,"kötelező")+SUMIFS('2.3. sz. Mese Óvoda'!D43:I43,'2.3. sz. Mese Óvoda'!$D$4:$I$4,"kötelező")+SUMIFS('2.4. sz. Bölcsőde'!D43:H43,'2.4. sz. Bölcsőde'!$D$4:$H$4,"kötelező")+SUMIFS('2.5. sz. Gyermekjóléti'!D43:J43,'2.5. sz. Gyermekjóléti'!$D$4:$J$4,"kötelező")+SUMIFS('2.6 sz. Területi'!D43:V43,'2.6 sz. Területi'!$D$4:$V$4,"kötelező")+SUMIFS('2.7. sz. Könyvtár'!D43:J43,'2.7. sz. Könyvtár'!$D$4:$J$4,"kötelező")+SUMIFS('2.8. sz. Műv.Ház'!D43:I43,'2.8. sz. Műv.Ház'!$D$4:$I$4,"kötelező")+SUMIFS('2.9. sz. Szivárvány Ó.'!D43:J43,'2.9. sz. Szivárvány Ó.'!$D$4:$J$4,"kötelező")</f>
        <v>53951790</v>
      </c>
      <c r="E43" s="8">
        <f>SUMIFS('2.1. sz. PMH'!D43:M43,'2.1. sz. PMH'!$D$4:$M$4,"önként vállalt")+SUMIFS('2.2. sz. Hétszínvirág Óvoda'!D43:K43,'2.2. sz. Hétszínvirág Óvoda'!$D$4:$K$4,"önként vállalt")+SUMIFS('2.3. sz. Mese Óvoda'!D43:H43,'2.3. sz. Mese Óvoda'!$D$4:$H$4,"önként vállalt")+SUMIFS('2.4. sz. Bölcsőde'!D43:H43,'2.4. sz. Bölcsőde'!$D$4:$H$4,"önként vállalt")+SUMIFS('2.5. sz. Gyermekjóléti'!D43:J43,'2.5. sz. Gyermekjóléti'!$D$4:$J$4,"önként vállalt")+SUMIFS('2.6 sz. Területi'!D43:V43,'2.6 sz. Területi'!$D$4:$V$4,"önként vállalt")+SUMIFS('2.7. sz. Könyvtár'!D43:J43,'2.7. sz. Könyvtár'!$D$4:$J$4,"önként vállalt")+SUMIFS('2.8. sz. Műv.Ház'!D43:I43,'2.8. sz. Műv.Ház'!$D$4:$I$4,"önként vállalt")+SUMIFS('2.9. sz. Szivárvány Ó.'!D43:J43,'2.9. sz. Szivárvány Ó.'!$D$4:$J$4,"önként vállalt")</f>
        <v>0</v>
      </c>
      <c r="F43" s="8">
        <f>SUMIFS('2.1. sz. PMH'!D43:M43,'2.1. sz. PMH'!$D$4:$M$4,"államigazgatási")+SUMIFS('2.2. sz. Hétszínvirág Óvoda'!D43:K43,'2.2. sz. Hétszínvirág Óvoda'!$D$4:$K$4,"államigazgatási")+SUMIFS('2.3. sz. Mese Óvoda'!D43:H43,'2.3. sz. Mese Óvoda'!$D$4:$H$4,"államigazgatási")+SUMIFS('2.4. sz. Bölcsőde'!D43:H43,'2.4. sz. Bölcsőde'!$D$4:$H$4,"államigazgatási")+SUMIFS('2.5. sz. Gyermekjóléti'!D43:J43,'2.5. sz. Gyermekjóléti'!$D$4:$J$4,"államigazgatási")+SUMIFS('2.6 sz. Területi'!D43:V43,'2.6 sz. Területi'!$D$4:$V$4,"államigazgatási")+SUMIFS('2.7. sz. Könyvtár'!D43:J43,'2.7. sz. Könyvtár'!$D$4:$J$4,"államigazgatási")+SUMIFS('2.8. sz. Műv.Ház'!D43:I43,'2.8. sz. Műv.Ház'!$D$4:$I$4,"államigazgatási")+SUMIFS('2.9. sz. Szivárvány Ó.'!D43:J43,'2.9. sz. Szivárvány Ó.'!$D$4:$J$4,"államigazgatási")</f>
        <v>0</v>
      </c>
      <c r="G43" s="8">
        <f t="shared" si="0"/>
        <v>53951790</v>
      </c>
      <c r="H43" s="121">
        <f>'2.1. sz. PMH'!N43+'2.2. sz. Hétszínvirág Óvoda'!L43+'2.3. sz. Mese Óvoda'!J43+'2.4. sz. Bölcsőde'!I43+'2.5. sz. Gyermekjóléti'!K43+'2.6 sz. Területi'!W43+'2.7. sz. Könyvtár'!K43</f>
        <v>50111890</v>
      </c>
      <c r="I43" s="120">
        <f>H43-G43</f>
        <v>-3839900</v>
      </c>
    </row>
    <row r="44" spans="1:10" ht="23.25" customHeight="1" x14ac:dyDescent="0.25">
      <c r="A44" s="32" t="s">
        <v>295</v>
      </c>
      <c r="B44" s="39" t="s">
        <v>608</v>
      </c>
      <c r="C44" s="37"/>
      <c r="D44" s="8">
        <f>SUMIFS('2.1. sz. PMH'!D44:M44,'2.1. sz. PMH'!$D$4:$M$4,"kötelező")+SUMIFS('2.2. sz. Hétszínvirág Óvoda'!D44:K44,'2.2. sz. Hétszínvirág Óvoda'!$D$4:$K$4,"kötelező")+SUMIFS('2.3. sz. Mese Óvoda'!D44:I44,'2.3. sz. Mese Óvoda'!$D$4:$I$4,"kötelező")+SUMIFS('2.4. sz. Bölcsőde'!D44:H44,'2.4. sz. Bölcsőde'!$D$4:$H$4,"kötelező")+SUMIFS('2.5. sz. Gyermekjóléti'!D44:J44,'2.5. sz. Gyermekjóléti'!$D$4:$J$4,"kötelező")+SUMIFS('2.6 sz. Területi'!D44:V44,'2.6 sz. Területi'!$D$4:$V$4,"kötelező")+SUMIFS('2.7. sz. Könyvtár'!D44:J44,'2.7. sz. Könyvtár'!$D$4:$J$4,"kötelező")+SUMIFS('2.8. sz. Műv.Ház'!D44:I44,'2.8. sz. Műv.Ház'!$D$4:$I$4,"kötelező")+SUMIFS('2.9. sz. Szivárvány Ó.'!D44:J44,'2.9. sz. Szivárvány Ó.'!$D$4:$J$4,"kötelező")</f>
        <v>0</v>
      </c>
      <c r="E44" s="8">
        <f>SUMIFS('2.1. sz. PMH'!D44:M44,'2.1. sz. PMH'!$D$4:$M$4,"önként vállalt")+SUMIFS('2.2. sz. Hétszínvirág Óvoda'!D44:K44,'2.2. sz. Hétszínvirág Óvoda'!$D$4:$K$4,"önként vállalt")+SUMIFS('2.3. sz. Mese Óvoda'!D44:H44,'2.3. sz. Mese Óvoda'!$D$4:$H$4,"önként vállalt")+SUMIFS('2.4. sz. Bölcsőde'!D44:H44,'2.4. sz. Bölcsőde'!$D$4:$H$4,"önként vállalt")+SUMIFS('2.5. sz. Gyermekjóléti'!D44:J44,'2.5. sz. Gyermekjóléti'!$D$4:$J$4,"önként vállalt")+SUMIFS('2.6 sz. Területi'!D44:V44,'2.6 sz. Területi'!$D$4:$V$4,"önként vállalt")+SUMIFS('2.7. sz. Könyvtár'!D44:J44,'2.7. sz. Könyvtár'!$D$4:$J$4,"önként vállalt")+SUMIFS('2.8. sz. Műv.Ház'!D44:I44,'2.8. sz. Műv.Ház'!$D$4:$I$4,"önként vállalt")+SUMIFS('2.9. sz. Szivárvány Ó.'!D44:J44,'2.9. sz. Szivárvány Ó.'!$D$4:$J$4,"önként vállalt")</f>
        <v>0</v>
      </c>
      <c r="F44" s="8">
        <f>SUMIFS('2.1. sz. PMH'!D44:M44,'2.1. sz. PMH'!$D$4:$M$4,"államigazgatási")+SUMIFS('2.2. sz. Hétszínvirág Óvoda'!D44:K44,'2.2. sz. Hétszínvirág Óvoda'!$D$4:$K$4,"államigazgatási")+SUMIFS('2.3. sz. Mese Óvoda'!D44:H44,'2.3. sz. Mese Óvoda'!$D$4:$H$4,"államigazgatási")+SUMIFS('2.4. sz. Bölcsőde'!D44:H44,'2.4. sz. Bölcsőde'!$D$4:$H$4,"államigazgatási")+SUMIFS('2.5. sz. Gyermekjóléti'!D44:J44,'2.5. sz. Gyermekjóléti'!$D$4:$J$4,"államigazgatási")+SUMIFS('2.6 sz. Területi'!D44:V44,'2.6 sz. Területi'!$D$4:$V$4,"államigazgatási")+SUMIFS('2.7. sz. Könyvtár'!D44:J44,'2.7. sz. Könyvtár'!$D$4:$J$4,"államigazgatási")+SUMIFS('2.8. sz. Műv.Ház'!D44:I44,'2.8. sz. Műv.Ház'!$D$4:$I$4,"államigazgatási")+SUMIFS('2.9. sz. Szivárvány Ó.'!D44:J44,'2.9. sz. Szivárvány Ó.'!$D$4:$J$4,"államigazgatási")</f>
        <v>0</v>
      </c>
      <c r="G44" s="8">
        <f t="shared" si="0"/>
        <v>0</v>
      </c>
      <c r="H44" s="121">
        <f>'2.1. sz. PMH'!N44+'2.2. sz. Hétszínvirág Óvoda'!L44+'2.3. sz. Mese Óvoda'!J44+'2.4. sz. Bölcsőde'!I44+'2.5. sz. Gyermekjóléti'!K44+'2.6 sz. Területi'!W44+'2.7. sz. Könyvtár'!K44</f>
        <v>0</v>
      </c>
      <c r="I44" s="120">
        <f>H44-G44</f>
        <v>0</v>
      </c>
    </row>
    <row r="45" spans="1:10" ht="23.25" customHeight="1" x14ac:dyDescent="0.25">
      <c r="A45" s="32" t="s">
        <v>296</v>
      </c>
      <c r="B45" s="39" t="s">
        <v>888</v>
      </c>
      <c r="C45" s="37"/>
      <c r="D45" s="8">
        <f>SUMIFS('2.1. sz. PMH'!D45:M45,'2.1. sz. PMH'!$D$4:$M$4,"kötelező")+SUMIFS('2.2. sz. Hétszínvirág Óvoda'!D45:K45,'2.2. sz. Hétszínvirág Óvoda'!$D$4:$K$4,"kötelező")+SUMIFS('2.3. sz. Mese Óvoda'!D45:I45,'2.3. sz. Mese Óvoda'!$D$4:$I$4,"kötelező")+SUMIFS('2.4. sz. Bölcsőde'!D45:H45,'2.4. sz. Bölcsőde'!$D$4:$H$4,"kötelező")+SUMIFS('2.5. sz. Gyermekjóléti'!D45:J45,'2.5. sz. Gyermekjóléti'!$D$4:$J$4,"kötelező")+SUMIFS('2.6 sz. Területi'!D45:V45,'2.6 sz. Területi'!$D$4:$V$4,"kötelező")+SUMIFS('2.7. sz. Könyvtár'!D45:J45,'2.7. sz. Könyvtár'!$D$4:$J$4,"kötelező")+SUMIFS('2.8. sz. Műv.Ház'!D45:I45,'2.8. sz. Műv.Ház'!$D$4:$I$4,"kötelező")+SUMIFS('2.9. sz. Szivárvány Ó.'!D45:J45,'2.9. sz. Szivárvány Ó.'!$D$4:$J$4,"kötelező")</f>
        <v>0</v>
      </c>
      <c r="E45" s="8">
        <f>SUMIFS('2.1. sz. PMH'!D45:M45,'2.1. sz. PMH'!$D$4:$M$4,"önként vállalt")+SUMIFS('2.2. sz. Hétszínvirág Óvoda'!D45:K45,'2.2. sz. Hétszínvirág Óvoda'!$D$4:$K$4,"önként vállalt")+SUMIFS('2.3. sz. Mese Óvoda'!D45:H45,'2.3. sz. Mese Óvoda'!$D$4:$H$4,"önként vállalt")+SUMIFS('2.4. sz. Bölcsőde'!D45:H45,'2.4. sz. Bölcsőde'!$D$4:$H$4,"önként vállalt")+SUMIFS('2.5. sz. Gyermekjóléti'!D45:J45,'2.5. sz. Gyermekjóléti'!$D$4:$J$4,"önként vállalt")+SUMIFS('2.6 sz. Területi'!D45:V45,'2.6 sz. Területi'!$D$4:$V$4,"önként vállalt")+SUMIFS('2.7. sz. Könyvtár'!D45:J45,'2.7. sz. Könyvtár'!$D$4:$J$4,"önként vállalt")+SUMIFS('2.8. sz. Műv.Ház'!D45:I45,'2.8. sz. Műv.Ház'!$D$4:$I$4,"önként vállalt")+SUMIFS('2.9. sz. Szivárvány Ó.'!D45:J45,'2.9. sz. Szivárvány Ó.'!$D$4:$J$4,"önként vállalt")</f>
        <v>0</v>
      </c>
      <c r="F45" s="8">
        <f>SUMIFS('2.1. sz. PMH'!D45:M45,'2.1. sz. PMH'!$D$4:$M$4,"államigazgatási")+SUMIFS('2.2. sz. Hétszínvirág Óvoda'!D45:K45,'2.2. sz. Hétszínvirág Óvoda'!$D$4:$K$4,"államigazgatási")+SUMIFS('2.3. sz. Mese Óvoda'!D45:H45,'2.3. sz. Mese Óvoda'!$D$4:$H$4,"államigazgatási")+SUMIFS('2.4. sz. Bölcsőde'!D45:H45,'2.4. sz. Bölcsőde'!$D$4:$H$4,"államigazgatási")+SUMIFS('2.5. sz. Gyermekjóléti'!D45:J45,'2.5. sz. Gyermekjóléti'!$D$4:$J$4,"államigazgatási")+SUMIFS('2.6 sz. Területi'!D45:V45,'2.6 sz. Területi'!$D$4:$V$4,"államigazgatási")+SUMIFS('2.7. sz. Könyvtár'!D45:J45,'2.7. sz. Könyvtár'!$D$4:$J$4,"államigazgatási")+SUMIFS('2.8. sz. Műv.Ház'!D45:I45,'2.8. sz. Műv.Ház'!$D$4:$I$4,"államigazgatási")+SUMIFS('2.9. sz. Szivárvány Ó.'!D45:J45,'2.9. sz. Szivárvány Ó.'!$D$4:$J$4,"államigazgatási")</f>
        <v>0</v>
      </c>
      <c r="G45" s="8">
        <f t="shared" si="0"/>
        <v>0</v>
      </c>
      <c r="H45" s="121"/>
      <c r="I45" s="120"/>
    </row>
    <row r="46" spans="1:10" s="43" customFormat="1" ht="23.25" customHeight="1" x14ac:dyDescent="0.25">
      <c r="A46" s="32" t="s">
        <v>297</v>
      </c>
      <c r="B46" s="40" t="s">
        <v>120</v>
      </c>
      <c r="C46" s="33"/>
      <c r="D46" s="8">
        <f>SUMIFS('2.1. sz. PMH'!D46:M46,'2.1. sz. PMH'!$D$4:$M$4,"kötelező")+SUMIFS('2.2. sz. Hétszínvirág Óvoda'!D46:K46,'2.2. sz. Hétszínvirág Óvoda'!$D$4:$K$4,"kötelező")+SUMIFS('2.3. sz. Mese Óvoda'!D46:I46,'2.3. sz. Mese Óvoda'!$D$4:$I$4,"kötelező")+SUMIFS('2.4. sz. Bölcsőde'!D46:H46,'2.4. sz. Bölcsőde'!$D$4:$H$4,"kötelező")+SUMIFS('2.5. sz. Gyermekjóléti'!D46:J46,'2.5. sz. Gyermekjóléti'!$D$4:$J$4,"kötelező")+SUMIFS('2.6 sz. Területi'!D46:V46,'2.6 sz. Területi'!$D$4:$V$4,"kötelező")+SUMIFS('2.7. sz. Könyvtár'!D46:J46,'2.7. sz. Könyvtár'!$D$4:$J$4,"kötelező")+SUMIFS('2.8. sz. Műv.Ház'!D46:I46,'2.8. sz. Műv.Ház'!$D$4:$I$4,"kötelező")+SUMIFS('2.9. sz. Szivárvány Ó.'!D46:J46,'2.9. sz. Szivárvány Ó.'!$D$4:$J$4,"kötelező")</f>
        <v>3340901952</v>
      </c>
      <c r="E46" s="9">
        <f>SUMIFS('2.1. sz. PMH'!D46:M46,'2.1. sz. PMH'!$D$4:$M$4,"önként vállalt")+SUMIFS('2.2. sz. Hétszínvirág Óvoda'!D46:K46,'2.2. sz. Hétszínvirág Óvoda'!$D$4:$K$4,"önként vállalt")+SUMIFS('2.3. sz. Mese Óvoda'!D46:H46,'2.3. sz. Mese Óvoda'!$D$4:$H$4,"önként vállalt")+SUMIFS('2.4. sz. Bölcsőde'!D46:H46,'2.4. sz. Bölcsőde'!$D$4:$H$4,"önként vállalt")+SUMIFS('2.5. sz. Gyermekjóléti'!D46:J46,'2.5. sz. Gyermekjóléti'!$D$4:$J$4,"önként vállalt")+SUMIFS('2.6 sz. Területi'!D46:V46,'2.6 sz. Területi'!$D$4:$V$4,"önként vállalt")+SUMIFS('2.7. sz. Könyvtár'!D46:J46,'2.7. sz. Könyvtár'!$D$4:$J$4,"önként vállalt")+SUMIFS('2.8. sz. Műv.Ház'!D46:I46,'2.8. sz. Műv.Ház'!$D$4:$I$4,"önként vállalt")+SUMIFS('2.9. sz. Szivárvány Ó.'!D46:J46,'2.9. sz. Szivárvány Ó.'!$D$4:$J$4,"önként vállalt")</f>
        <v>6500000</v>
      </c>
      <c r="F46" s="9">
        <f>SUMIFS('2.1. sz. PMH'!D46:M46,'2.1. sz. PMH'!$D$4:$M$4,"államigazgatási")+SUMIFS('2.2. sz. Hétszínvirág Óvoda'!D46:K46,'2.2. sz. Hétszínvirág Óvoda'!$D$4:$K$4,"államigazgatási")+SUMIFS('2.3. sz. Mese Óvoda'!D46:H46,'2.3. sz. Mese Óvoda'!$D$4:$H$4,"államigazgatási")+SUMIFS('2.4. sz. Bölcsőde'!D46:H46,'2.4. sz. Bölcsőde'!$D$4:$H$4,"államigazgatási")+SUMIFS('2.5. sz. Gyermekjóléti'!D46:J46,'2.5. sz. Gyermekjóléti'!$D$4:$J$4,"államigazgatási")+SUMIFS('2.6 sz. Területi'!D46:V46,'2.6 sz. Területi'!$D$4:$V$4,"államigazgatási")+SUMIFS('2.7. sz. Könyvtár'!D46:J46,'2.7. sz. Könyvtár'!$D$4:$J$4,"államigazgatási")+SUMIFS('2.8. sz. Műv.Ház'!D46:I46,'2.8. sz. Műv.Ház'!$D$4:$I$4,"államigazgatási")+SUMIFS('2.9. sz. Szivárvány Ó.'!D46:J46,'2.9. sz. Szivárvány Ó.'!$D$4:$J$4,"államigazgatási")</f>
        <v>3013800</v>
      </c>
      <c r="G46" s="9">
        <f t="shared" si="0"/>
        <v>3350415752</v>
      </c>
      <c r="H46" s="121">
        <f>'2.1. sz. PMH'!N46+'2.2. sz. Hétszínvirág Óvoda'!L46+'2.3. sz. Mese Óvoda'!J46+'2.4. sz. Bölcsőde'!I46+'2.5. sz. Gyermekjóléti'!K46+'2.6 sz. Területi'!W46+'2.7. sz. Könyvtár'!K46</f>
        <v>2946124520</v>
      </c>
      <c r="I46" s="120">
        <f>H46-G46</f>
        <v>-404291232</v>
      </c>
    </row>
    <row r="47" spans="1:10" s="43" customFormat="1" ht="23.25" customHeight="1" x14ac:dyDescent="0.25">
      <c r="A47" s="32" t="s">
        <v>298</v>
      </c>
      <c r="B47" s="40" t="s">
        <v>121</v>
      </c>
      <c r="C47" s="33"/>
      <c r="D47" s="8">
        <f>SUMIFS('2.1. sz. PMH'!D47:M47,'2.1. sz. PMH'!$D$4:$M$4,"kötelező")+SUMIFS('2.2. sz. Hétszínvirág Óvoda'!D47:K47,'2.2. sz. Hétszínvirág Óvoda'!$D$4:$K$4,"kötelező")+SUMIFS('2.3. sz. Mese Óvoda'!D47:I47,'2.3. sz. Mese Óvoda'!$D$4:$I$4,"kötelező")+SUMIFS('2.4. sz. Bölcsőde'!D47:H47,'2.4. sz. Bölcsőde'!$D$4:$H$4,"kötelező")+SUMIFS('2.5. sz. Gyermekjóléti'!D47:J47,'2.5. sz. Gyermekjóléti'!$D$4:$J$4,"kötelező")+SUMIFS('2.6 sz. Területi'!D47:V47,'2.6 sz. Területi'!$D$4:$V$4,"kötelező")+SUMIFS('2.7. sz. Könyvtár'!D47:J47,'2.7. sz. Könyvtár'!$D$4:$J$4,"kötelező")+SUMIFS('2.8. sz. Műv.Ház'!D47:I47,'2.8. sz. Műv.Ház'!$D$4:$I$4,"kötelező")+SUMIFS('2.9. sz. Szivárvány Ó.'!D47:J47,'2.9. sz. Szivárvány Ó.'!$D$4:$J$4,"kötelező")</f>
        <v>58300048</v>
      </c>
      <c r="E47" s="9">
        <f>SUMIFS('2.1. sz. PMH'!D47:M47,'2.1. sz. PMH'!$D$4:$M$4,"önként vállalt")+SUMIFS('2.2. sz. Hétszínvirág Óvoda'!D47:K47,'2.2. sz. Hétszínvirág Óvoda'!$D$4:$K$4,"önként vállalt")+SUMIFS('2.3. sz. Mese Óvoda'!D47:H47,'2.3. sz. Mese Óvoda'!$D$4:$H$4,"önként vállalt")+SUMIFS('2.4. sz. Bölcsőde'!D47:H47,'2.4. sz. Bölcsőde'!$D$4:$H$4,"önként vállalt")+SUMIFS('2.5. sz. Gyermekjóléti'!D47:J47,'2.5. sz. Gyermekjóléti'!$D$4:$J$4,"önként vállalt")+SUMIFS('2.6 sz. Területi'!D47:V47,'2.6 sz. Területi'!$D$4:$V$4,"önként vállalt")+SUMIFS('2.7. sz. Könyvtár'!D47:J47,'2.7. sz. Könyvtár'!$D$4:$J$4,"önként vállalt")+SUMIFS('2.8. sz. Műv.Ház'!D47:I47,'2.8. sz. Műv.Ház'!$D$4:$I$4,"önként vállalt")+SUMIFS('2.9. sz. Szivárvány Ó.'!D47:J47,'2.9. sz. Szivárvány Ó.'!$D$4:$J$4,"önként vállalt")</f>
        <v>0</v>
      </c>
      <c r="F47" s="9">
        <f>SUMIFS('2.1. sz. PMH'!D47:M47,'2.1. sz. PMH'!$D$4:$M$4,"államigazgatási")+SUMIFS('2.2. sz. Hétszínvirág Óvoda'!D47:K47,'2.2. sz. Hétszínvirág Óvoda'!$D$4:$K$4,"államigazgatási")+SUMIFS('2.3. sz. Mese Óvoda'!D47:H47,'2.3. sz. Mese Óvoda'!$D$4:$H$4,"államigazgatási")+SUMIFS('2.4. sz. Bölcsőde'!D47:H47,'2.4. sz. Bölcsőde'!$D$4:$H$4,"államigazgatási")+SUMIFS('2.5. sz. Gyermekjóléti'!D47:J47,'2.5. sz. Gyermekjóléti'!$D$4:$J$4,"államigazgatási")+SUMIFS('2.6 sz. Területi'!D47:V47,'2.6 sz. Területi'!$D$4:$V$4,"államigazgatási")+SUMIFS('2.7. sz. Könyvtár'!D47:J47,'2.7. sz. Könyvtár'!$D$4:$J$4,"államigazgatási")+SUMIFS('2.8. sz. Műv.Ház'!D47:I47,'2.8. sz. Műv.Ház'!$D$4:$I$4,"államigazgatási")+SUMIFS('2.9. sz. Szivárvány Ó.'!D47:J47,'2.9. sz. Szivárvány Ó.'!$D$4:$J$4,"államigazgatási")</f>
        <v>0</v>
      </c>
      <c r="G47" s="9">
        <f t="shared" si="0"/>
        <v>58300048</v>
      </c>
      <c r="H47" s="121">
        <f>'2.1. sz. PMH'!N47+'2.2. sz. Hétszínvirág Óvoda'!L47+'2.3. sz. Mese Óvoda'!J47+'2.4. sz. Bölcsőde'!I47+'2.5. sz. Gyermekjóléti'!K47+'2.6 sz. Területi'!W47+'2.7. sz. Könyvtár'!K47</f>
        <v>54460148</v>
      </c>
      <c r="I47" s="120">
        <f>H47-G47</f>
        <v>-3839900</v>
      </c>
    </row>
    <row r="48" spans="1:10" s="43" customFormat="1" ht="23.25" customHeight="1" x14ac:dyDescent="0.25">
      <c r="A48" s="32" t="s">
        <v>299</v>
      </c>
      <c r="B48" s="40" t="s">
        <v>344</v>
      </c>
      <c r="C48" s="33"/>
      <c r="D48" s="8">
        <f>SUMIFS('2.1. sz. PMH'!D48:M48,'2.1. sz. PMH'!$D$4:$M$4,"kötelező")+SUMIFS('2.2. sz. Hétszínvirág Óvoda'!D48:K48,'2.2. sz. Hétszínvirág Óvoda'!$D$4:$K$4,"kötelező")+SUMIFS('2.3. sz. Mese Óvoda'!D48:I48,'2.3. sz. Mese Óvoda'!$D$4:$I$4,"kötelező")+SUMIFS('2.4. sz. Bölcsőde'!D48:H48,'2.4. sz. Bölcsőde'!$D$4:$H$4,"kötelező")+SUMIFS('2.5. sz. Gyermekjóléti'!D48:J48,'2.5. sz. Gyermekjóléti'!$D$4:$J$4,"kötelező")+SUMIFS('2.6 sz. Területi'!D48:V48,'2.6 sz. Területi'!$D$4:$V$4,"kötelező")+SUMIFS('2.7. sz. Könyvtár'!D48:J48,'2.7. sz. Könyvtár'!$D$4:$J$4,"kötelező")+SUMIFS('2.8. sz. Műv.Ház'!D48:I48,'2.8. sz. Műv.Ház'!$D$4:$I$4,"kötelező")+SUMIFS('2.9. sz. Szivárvány Ó.'!D48:J48,'2.9. sz. Szivárvány Ó.'!$D$4:$J$4,"kötelező")</f>
        <v>3399202000</v>
      </c>
      <c r="E48" s="9">
        <f>SUMIFS('2.1. sz. PMH'!D48:M48,'2.1. sz. PMH'!$D$4:$M$4,"önként vállalt")+SUMIFS('2.2. sz. Hétszínvirág Óvoda'!D48:K48,'2.2. sz. Hétszínvirág Óvoda'!$D$4:$K$4,"önként vállalt")+SUMIFS('2.3. sz. Mese Óvoda'!D48:H48,'2.3. sz. Mese Óvoda'!$D$4:$H$4,"önként vállalt")+SUMIFS('2.4. sz. Bölcsőde'!D48:H48,'2.4. sz. Bölcsőde'!$D$4:$H$4,"önként vállalt")+SUMIFS('2.5. sz. Gyermekjóléti'!D48:J48,'2.5. sz. Gyermekjóléti'!$D$4:$J$4,"önként vállalt")+SUMIFS('2.6 sz. Területi'!D48:V48,'2.6 sz. Területi'!$D$4:$V$4,"önként vállalt")+SUMIFS('2.7. sz. Könyvtár'!D48:J48,'2.7. sz. Könyvtár'!$D$4:$J$4,"önként vállalt")+SUMIFS('2.8. sz. Műv.Ház'!D48:I48,'2.8. sz. Műv.Ház'!$D$4:$I$4,"önként vállalt")+SUMIFS('2.9. sz. Szivárvány Ó.'!D48:J48,'2.9. sz. Szivárvány Ó.'!$D$4:$J$4,"önként vállalt")</f>
        <v>6500000</v>
      </c>
      <c r="F48" s="9">
        <f>SUMIFS('2.1. sz. PMH'!D48:M48,'2.1. sz. PMH'!$D$4:$M$4,"államigazgatási")+SUMIFS('2.2. sz. Hétszínvirág Óvoda'!D48:K48,'2.2. sz. Hétszínvirág Óvoda'!$D$4:$K$4,"államigazgatási")+SUMIFS('2.3. sz. Mese Óvoda'!D48:H48,'2.3. sz. Mese Óvoda'!$D$4:$H$4,"államigazgatási")+SUMIFS('2.4. sz. Bölcsőde'!D48:H48,'2.4. sz. Bölcsőde'!$D$4:$H$4,"államigazgatási")+SUMIFS('2.5. sz. Gyermekjóléti'!D48:J48,'2.5. sz. Gyermekjóléti'!$D$4:$J$4,"államigazgatási")+SUMIFS('2.6 sz. Területi'!D48:V48,'2.6 sz. Területi'!$D$4:$V$4,"államigazgatási")+SUMIFS('2.7. sz. Könyvtár'!D48:J48,'2.7. sz. Könyvtár'!$D$4:$J$4,"államigazgatási")+SUMIFS('2.8. sz. Műv.Ház'!D48:I48,'2.8. sz. Műv.Ház'!$D$4:$I$4,"államigazgatási")+SUMIFS('2.9. sz. Szivárvány Ó.'!D48:J48,'2.9. sz. Szivárvány Ó.'!$D$4:$J$4,"államigazgatási")</f>
        <v>3013800</v>
      </c>
      <c r="G48" s="9">
        <f t="shared" si="0"/>
        <v>3408715800</v>
      </c>
      <c r="H48" s="121">
        <f>'2.1. sz. PMH'!N48+'2.2. sz. Hétszínvirág Óvoda'!L48+'2.3. sz. Mese Óvoda'!J48+'2.4. sz. Bölcsőde'!I48+'2.5. sz. Gyermekjóléti'!K48+'2.6 sz. Területi'!W48+'2.7. sz. Könyvtár'!K48</f>
        <v>3000584668</v>
      </c>
      <c r="I48" s="120">
        <f>H48-G48</f>
        <v>-408131132</v>
      </c>
      <c r="J48" s="122">
        <f>G48-G29</f>
        <v>0</v>
      </c>
    </row>
    <row r="49" spans="1:9" ht="23.25" customHeight="1" x14ac:dyDescent="0.25">
      <c r="A49" s="32" t="s">
        <v>300</v>
      </c>
      <c r="B49" s="585" t="s">
        <v>465</v>
      </c>
      <c r="C49" s="267"/>
      <c r="D49" s="8">
        <f>SUMIFS('2.1. sz. PMH'!D49:M49,'2.1. sz. PMH'!$D$4:$M$4,"kötelező")+SUMIFS('2.2. sz. Hétszínvirág Óvoda'!D49:K49,'2.2. sz. Hétszínvirág Óvoda'!$D$4:$K$4,"kötelező")+SUMIFS('2.3. sz. Mese Óvoda'!D49:I49,'2.3. sz. Mese Óvoda'!$D$4:$I$4,"kötelező")+SUMIFS('2.4. sz. Bölcsőde'!D49:H49,'2.4. sz. Bölcsőde'!$D$4:$H$4,"kötelező")+SUMIFS('2.5. sz. Gyermekjóléti'!D49:J49,'2.5. sz. Gyermekjóléti'!$D$4:$J$4,"kötelező")+SUMIFS('2.6 sz. Területi'!D49:V49,'2.6 sz. Területi'!$D$4:$V$4,"kötelező")+SUMIFS('2.7. sz. Könyvtár'!D49:J49,'2.7. sz. Könyvtár'!$D$4:$J$4,"kötelező")+SUMIFS('2.8. sz. Műv.Ház'!D49:I49,'2.8. sz. Műv.Ház'!$D$4:$I$4,"kötelező")+SUMIFS('2.9. sz. Szivárvány Ó.'!D49:J49,'2.9. sz. Szivárvány Ó.'!$D$4:$J$4,"kötelező")</f>
        <v>336</v>
      </c>
      <c r="E49" s="8">
        <f>SUMIFS('2.1. sz. PMH'!D49:M49,'2.1. sz. PMH'!$D$4:$M$4,"önként vállalt")+SUMIFS('2.2. sz. Hétszínvirág Óvoda'!D49:K49,'2.2. sz. Hétszínvirág Óvoda'!$D$4:$K$4,"önként vállalt")+SUMIFS('2.3. sz. Mese Óvoda'!D49:H49,'2.3. sz. Mese Óvoda'!$D$4:$H$4,"önként vállalt")+SUMIFS('2.4. sz. Bölcsőde'!D49:H49,'2.4. sz. Bölcsőde'!$D$4:$H$4,"önként vállalt")+SUMIFS('2.5. sz. Gyermekjóléti'!D49:J49,'2.5. sz. Gyermekjóléti'!$D$4:$J$4,"önként vállalt")+SUMIFS('2.6 sz. Területi'!D49:V49,'2.6 sz. Területi'!$D$4:$V$4,"önként vállalt")+SUMIFS('2.7. sz. Könyvtár'!D49:J49,'2.7. sz. Könyvtár'!$D$4:$J$4,"önként vállalt")+SUMIFS('2.8. sz. Műv.Ház'!D49:I49,'2.8. sz. Műv.Ház'!$D$4:$I$4,"önként vállalt")+SUMIFS('2.9. sz. Szivárvány Ó.'!D49:J49,'2.9. sz. Szivárvány Ó.'!$D$4:$J$4,"önként vállalt")</f>
        <v>11</v>
      </c>
      <c r="F49" s="8">
        <f>SUMIFS('2.1. sz. PMH'!D49:M49,'2.1. sz. PMH'!$D$4:$M$4,"államigazgatási")+SUMIFS('2.2. sz. Hétszínvirág Óvoda'!D49:K49,'2.2. sz. Hétszínvirág Óvoda'!$D$4:$K$4,"államigazgatási")+SUMIFS('2.3. sz. Mese Óvoda'!D49:H49,'2.3. sz. Mese Óvoda'!$D$4:$H$4,"államigazgatási")+SUMIFS('2.4. sz. Bölcsőde'!D49:H49,'2.4. sz. Bölcsőde'!$D$4:$H$4,"államigazgatási")+SUMIFS('2.5. sz. Gyermekjóléti'!D49:J49,'2.5. sz. Gyermekjóléti'!$D$4:$J$4,"államigazgatási")+SUMIFS('2.6 sz. Területi'!D49:V49,'2.6 sz. Területi'!$D$4:$V$4,"államigazgatási")+SUMIFS('2.7. sz. Könyvtár'!D49:J49,'2.7. sz. Könyvtár'!$D$4:$J$4,"államigazgatási")+SUMIFS('2.8. sz. Műv.Ház'!D49:I49,'2.8. sz. Műv.Ház'!$D$4:$I$4,"államigazgatási")+SUMIFS('2.9. sz. Szivárvány Ó.'!D49:J49,'2.9. sz. Szivárvány Ó.'!$D$4:$J$4,"államigazgatási")</f>
        <v>10</v>
      </c>
      <c r="G49" s="8">
        <f t="shared" si="0"/>
        <v>357</v>
      </c>
      <c r="H49" s="121">
        <f>'2.1. sz. PMH'!N49+'2.2. sz. Hétszínvirág Óvoda'!L49+'2.3. sz. Mese Óvoda'!J49+'2.4. sz. Bölcsőde'!I49+'2.5. sz. Gyermekjóléti'!K49+'2.6 sz. Területi'!W49+'2.7. sz. Könyvtár'!K49</f>
        <v>301</v>
      </c>
      <c r="I49" s="120">
        <f>H49-G49</f>
        <v>-56</v>
      </c>
    </row>
    <row r="50" spans="1:9" ht="23.25" customHeight="1" x14ac:dyDescent="0.25">
      <c r="A50" s="32" t="s">
        <v>301</v>
      </c>
      <c r="B50" s="65" t="s">
        <v>1047</v>
      </c>
      <c r="C50" s="267"/>
      <c r="D50" s="8">
        <f>SUMIFS('2.1. sz. PMH'!D50:M50,'2.1. sz. PMH'!$D$4:$M$4,"kötelező")+SUMIFS('2.2. sz. Hétszínvirág Óvoda'!D50:K50,'2.2. sz. Hétszínvirág Óvoda'!$D$4:$K$4,"kötelező")+SUMIFS('2.3. sz. Mese Óvoda'!D50:I50,'2.3. sz. Mese Óvoda'!$D$4:$I$4,"kötelező")+SUMIFS('2.4. sz. Bölcsőde'!D50:H50,'2.4. sz. Bölcsőde'!$D$4:$H$4,"kötelező")+SUMIFS('2.5. sz. Gyermekjóléti'!D50:J50,'2.5. sz. Gyermekjóléti'!$D$4:$J$4,"kötelező")+SUMIFS('2.6 sz. Területi'!D50:V50,'2.6 sz. Területi'!$D$4:$V$4,"kötelező")+SUMIFS('2.7. sz. Könyvtár'!D50:J50,'2.7. sz. Könyvtár'!$D$4:$J$4,"kötelező")+SUMIFS('2.8. sz. Műv.Ház'!D50:I50,'2.8. sz. Műv.Ház'!$D$4:$I$4,"kötelező")+SUMIFS('2.9. sz. Szivárvány Ó.'!D50:J50,'2.9. sz. Szivárvány Ó.'!$D$4:$J$4,"kötelező")</f>
        <v>0</v>
      </c>
      <c r="E50" s="8">
        <f>SUMIFS('2.1. sz. PMH'!D50:M50,'2.1. sz. PMH'!$D$4:$M$4,"önként vállalt")+SUMIFS('2.2. sz. Hétszínvirág Óvoda'!D50:K50,'2.2. sz. Hétszínvirág Óvoda'!$D$4:$K$4,"önként vállalt")+SUMIFS('2.3. sz. Mese Óvoda'!D50:H50,'2.3. sz. Mese Óvoda'!$D$4:$H$4,"önként vállalt")+SUMIFS('2.4. sz. Bölcsőde'!D50:H50,'2.4. sz. Bölcsőde'!$D$4:$H$4,"önként vállalt")+SUMIFS('2.5. sz. Gyermekjóléti'!D50:J50,'2.5. sz. Gyermekjóléti'!$D$4:$J$4,"önként vállalt")+SUMIFS('2.6 sz. Területi'!D50:V50,'2.6 sz. Területi'!$D$4:$V$4,"önként vállalt")+SUMIFS('2.7. sz. Könyvtár'!D50:J50,'2.7. sz. Könyvtár'!$D$4:$J$4,"önként vállalt")+SUMIFS('2.8. sz. Műv.Ház'!D50:I50,'2.8. sz. Műv.Ház'!$D$4:$I$4,"önként vállalt")+SUMIFS('2.9. sz. Szivárvány Ó.'!D50:J50,'2.9. sz. Szivárvány Ó.'!$D$4:$J$4,"önként vállalt")</f>
        <v>0</v>
      </c>
      <c r="F50" s="8">
        <f>SUMIFS('2.1. sz. PMH'!D50:M50,'2.1. sz. PMH'!$D$4:$M$4,"államigazgatási")+SUMIFS('2.2. sz. Hétszínvirág Óvoda'!D50:K50,'2.2. sz. Hétszínvirág Óvoda'!$D$4:$K$4,"államigazgatási")+SUMIFS('2.3. sz. Mese Óvoda'!D50:H50,'2.3. sz. Mese Óvoda'!$D$4:$H$4,"államigazgatási")+SUMIFS('2.4. sz. Bölcsőde'!D50:H50,'2.4. sz. Bölcsőde'!$D$4:$H$4,"államigazgatási")+SUMIFS('2.5. sz. Gyermekjóléti'!D50:J50,'2.5. sz. Gyermekjóléti'!$D$4:$J$4,"államigazgatási")+SUMIFS('2.6 sz. Területi'!D50:V50,'2.6 sz. Területi'!$D$4:$V$4,"államigazgatási")+SUMIFS('2.7. sz. Könyvtár'!D50:J50,'2.7. sz. Könyvtár'!$D$4:$J$4,"államigazgatási")+SUMIFS('2.8. sz. Műv.Ház'!D50:I50,'2.8. sz. Műv.Ház'!$D$4:$I$4,"államigazgatási")+SUMIFS('2.9. sz. Szivárvány Ó.'!D50:J50,'2.9. sz. Szivárvány Ó.'!$D$4:$J$4,"államigazgatási")</f>
        <v>0</v>
      </c>
      <c r="G50" s="311"/>
      <c r="H50" s="121"/>
      <c r="I50" s="120"/>
    </row>
    <row r="51" spans="1:9" x14ac:dyDescent="0.25">
      <c r="A51" s="81"/>
      <c r="D51" s="21"/>
      <c r="E51" s="21"/>
      <c r="F51" s="21"/>
      <c r="G51" s="21"/>
    </row>
    <row r="52" spans="1:9" x14ac:dyDescent="0.25">
      <c r="D52" s="42"/>
      <c r="E52" s="42"/>
      <c r="F52" s="42"/>
      <c r="G52" s="42"/>
    </row>
    <row r="53" spans="1:9" x14ac:dyDescent="0.25">
      <c r="D53" s="42"/>
      <c r="E53" s="42"/>
      <c r="F53" s="42"/>
      <c r="G53" s="42"/>
    </row>
    <row r="54" spans="1:9" x14ac:dyDescent="0.25">
      <c r="G54" s="15">
        <f>+G48-G29</f>
        <v>0</v>
      </c>
    </row>
  </sheetData>
  <mergeCells count="11">
    <mergeCell ref="G4:G6"/>
    <mergeCell ref="A2:C2"/>
    <mergeCell ref="B4:C4"/>
    <mergeCell ref="B5:C5"/>
    <mergeCell ref="A3:A6"/>
    <mergeCell ref="B3:C3"/>
    <mergeCell ref="D2:G2"/>
    <mergeCell ref="D3:G3"/>
    <mergeCell ref="D4:D6"/>
    <mergeCell ref="E4:E6"/>
    <mergeCell ref="F4:F6"/>
  </mergeCells>
  <phoneticPr fontId="4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7"/>
  <sheetViews>
    <sheetView tabSelected="1" zoomScale="71" zoomScaleNormal="100" zoomScaleSheetLayoutView="71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14" sqref="G14"/>
    </sheetView>
  </sheetViews>
  <sheetFormatPr defaultColWidth="11.140625" defaultRowHeight="15.75" x14ac:dyDescent="0.25"/>
  <cols>
    <col min="1" max="1" width="7.140625" style="7" customWidth="1"/>
    <col min="2" max="2" width="71.28515625" style="4" customWidth="1"/>
    <col min="3" max="3" width="7.28515625" style="4" customWidth="1"/>
    <col min="4" max="4" width="20.42578125" style="4" customWidth="1"/>
    <col min="5" max="5" width="19.7109375" style="4" customWidth="1"/>
    <col min="6" max="6" width="17.7109375" style="4" customWidth="1"/>
    <col min="7" max="7" width="20.28515625" style="4" customWidth="1"/>
    <col min="8" max="8" width="21.42578125" style="4" customWidth="1"/>
    <col min="9" max="9" width="18.42578125" style="4" bestFit="1" customWidth="1"/>
    <col min="10" max="10" width="20.140625" style="4" bestFit="1" customWidth="1"/>
    <col min="11" max="11" width="32.140625" style="4" customWidth="1"/>
    <col min="12" max="12" width="16.5703125" style="4" bestFit="1" customWidth="1"/>
    <col min="13" max="22" width="9.140625" style="4" customWidth="1"/>
    <col min="23" max="23" width="7.140625" style="4" customWidth="1"/>
    <col min="24" max="24" width="58.28515625" style="4" bestFit="1" customWidth="1"/>
    <col min="25" max="25" width="6.85546875" style="4" bestFit="1" customWidth="1"/>
    <col min="26" max="26" width="11.28515625" style="4" customWidth="1"/>
    <col min="27" max="27" width="9.42578125" style="4" customWidth="1"/>
    <col min="28" max="28" width="12.7109375" style="4" customWidth="1"/>
    <col min="29" max="29" width="14.7109375" style="4" customWidth="1"/>
    <col min="30" max="35" width="13" style="4" customWidth="1"/>
    <col min="36" max="36" width="6.85546875" style="4" customWidth="1"/>
    <col min="37" max="37" width="15.7109375" style="4" customWidth="1"/>
    <col min="38" max="39" width="11.140625" style="4" bestFit="1" customWidth="1"/>
    <col min="40" max="40" width="15.42578125" style="4" customWidth="1"/>
    <col min="41" max="41" width="13.7109375" style="4" customWidth="1"/>
    <col min="42" max="42" width="12.85546875" style="4" customWidth="1"/>
    <col min="43" max="43" width="14.140625" style="4" bestFit="1" customWidth="1"/>
    <col min="44" max="44" width="14.140625" style="4" customWidth="1"/>
    <col min="45" max="45" width="14.140625" style="4" bestFit="1" customWidth="1"/>
    <col min="46" max="46" width="12.42578125" style="4" customWidth="1"/>
    <col min="47" max="47" width="11.140625" style="4" bestFit="1" customWidth="1"/>
    <col min="48" max="48" width="15.140625" style="4" bestFit="1" customWidth="1"/>
    <col min="49" max="49" width="11.140625" style="4" bestFit="1" customWidth="1"/>
    <col min="50" max="50" width="12.42578125" style="4" customWidth="1"/>
    <col min="51" max="51" width="12.7109375" style="4" customWidth="1"/>
    <col min="52" max="52" width="12.28515625" style="4" customWidth="1"/>
    <col min="53" max="53" width="14.28515625" style="4" customWidth="1"/>
    <col min="54" max="55" width="14.140625" style="4" customWidth="1"/>
    <col min="56" max="56" width="15.140625" style="4" bestFit="1" customWidth="1"/>
    <col min="57" max="57" width="12.7109375" style="4" customWidth="1"/>
    <col min="58" max="58" width="12.28515625" style="4" customWidth="1"/>
    <col min="59" max="59" width="13.28515625" style="4" customWidth="1"/>
    <col min="60" max="61" width="11.140625" style="4" bestFit="1" customWidth="1"/>
    <col min="62" max="62" width="15.28515625" style="4" customWidth="1"/>
    <col min="63" max="65" width="13.7109375" style="4" customWidth="1"/>
    <col min="66" max="67" width="12.42578125" style="4" bestFit="1" customWidth="1"/>
    <col min="68" max="68" width="13.140625" style="4" bestFit="1" customWidth="1"/>
    <col min="69" max="69" width="14" style="4" customWidth="1"/>
    <col min="70" max="70" width="15" style="4" customWidth="1"/>
    <col min="71" max="71" width="13.85546875" style="4" customWidth="1"/>
    <col min="72" max="72" width="14.7109375" style="4" bestFit="1" customWidth="1"/>
    <col min="73" max="74" width="11.140625" style="4" bestFit="1" customWidth="1"/>
    <col min="75" max="75" width="11.140625" style="4" customWidth="1"/>
    <col min="76" max="78" width="11.140625" style="4" bestFit="1" customWidth="1"/>
    <col min="79" max="80" width="11.140625" style="4" customWidth="1"/>
    <col min="81" max="81" width="11.140625" style="4" bestFit="1" customWidth="1"/>
    <col min="82" max="84" width="11.140625" style="4" customWidth="1"/>
    <col min="85" max="16384" width="11.140625" style="4"/>
  </cols>
  <sheetData>
    <row r="1" spans="1:12" ht="19.5" customHeight="1" x14ac:dyDescent="0.25">
      <c r="A1" s="6"/>
      <c r="B1" s="3"/>
      <c r="C1" s="3"/>
      <c r="G1" s="45"/>
      <c r="H1" s="45" t="s">
        <v>458</v>
      </c>
    </row>
    <row r="2" spans="1:12" ht="33" customHeight="1" x14ac:dyDescent="0.25">
      <c r="A2" s="1082" t="s">
        <v>267</v>
      </c>
      <c r="B2" s="1082"/>
      <c r="C2" s="1082"/>
      <c r="D2" s="1119" t="s">
        <v>166</v>
      </c>
      <c r="E2" s="1119"/>
      <c r="F2" s="1119"/>
      <c r="G2" s="1119"/>
      <c r="H2" s="1119"/>
    </row>
    <row r="3" spans="1:12" ht="38.25" customHeight="1" x14ac:dyDescent="0.25">
      <c r="A3" s="1083" t="s">
        <v>201</v>
      </c>
      <c r="B3" s="1082" t="s">
        <v>259</v>
      </c>
      <c r="C3" s="1082"/>
      <c r="D3" s="1119" t="s">
        <v>289</v>
      </c>
      <c r="E3" s="1119"/>
      <c r="F3" s="1119"/>
      <c r="G3" s="1119"/>
      <c r="H3" s="1075" t="s">
        <v>1440</v>
      </c>
    </row>
    <row r="4" spans="1:12" ht="27" customHeight="1" x14ac:dyDescent="0.25">
      <c r="A4" s="1083"/>
      <c r="B4" s="1082" t="s">
        <v>11</v>
      </c>
      <c r="C4" s="1082"/>
      <c r="D4" s="1119" t="s">
        <v>237</v>
      </c>
      <c r="E4" s="1119" t="s">
        <v>342</v>
      </c>
      <c r="F4" s="1119" t="s">
        <v>239</v>
      </c>
      <c r="G4" s="1119" t="s">
        <v>258</v>
      </c>
      <c r="H4" s="1075"/>
      <c r="J4" s="15">
        <f>+G8+G9+G10+G11+G12</f>
        <v>7018073861</v>
      </c>
    </row>
    <row r="5" spans="1:12" ht="25.5" customHeight="1" x14ac:dyDescent="0.25">
      <c r="A5" s="1083"/>
      <c r="B5" s="1082" t="s">
        <v>776</v>
      </c>
      <c r="C5" s="1082"/>
      <c r="D5" s="1119"/>
      <c r="E5" s="1119"/>
      <c r="F5" s="1119"/>
      <c r="G5" s="1119"/>
      <c r="H5" s="1075"/>
      <c r="J5" s="15">
        <f>+G16+G17+G18</f>
        <v>1127844893</v>
      </c>
    </row>
    <row r="6" spans="1:12" ht="35.25" customHeight="1" x14ac:dyDescent="0.25">
      <c r="A6" s="1083"/>
      <c r="B6" s="124" t="s">
        <v>202</v>
      </c>
      <c r="C6" s="125" t="s">
        <v>260</v>
      </c>
      <c r="D6" s="1119"/>
      <c r="E6" s="1119"/>
      <c r="F6" s="1119"/>
      <c r="G6" s="1119"/>
      <c r="H6" s="1075"/>
    </row>
    <row r="7" spans="1:12" ht="16.5" customHeight="1" x14ac:dyDescent="0.25">
      <c r="A7" s="126" t="s">
        <v>203</v>
      </c>
      <c r="B7" s="127" t="s">
        <v>204</v>
      </c>
      <c r="C7" s="127" t="s">
        <v>205</v>
      </c>
      <c r="D7" s="127" t="s">
        <v>206</v>
      </c>
      <c r="E7" s="127" t="s">
        <v>207</v>
      </c>
      <c r="F7" s="127" t="s">
        <v>208</v>
      </c>
      <c r="G7" s="127" t="s">
        <v>209</v>
      </c>
      <c r="H7" s="127" t="s">
        <v>210</v>
      </c>
    </row>
    <row r="8" spans="1:12" ht="24.75" customHeight="1" x14ac:dyDescent="0.25">
      <c r="A8" s="10" t="s">
        <v>203</v>
      </c>
      <c r="B8" s="125" t="s">
        <v>345</v>
      </c>
      <c r="C8" s="1" t="s">
        <v>214</v>
      </c>
      <c r="D8" s="8">
        <f>'2.10. sz. Intézmények összesen'!D8+'1.a sz. Önkormányzat 2021. '!EG8</f>
        <v>1953452213</v>
      </c>
      <c r="E8" s="8">
        <f>'2.10. sz. Intézmények összesen'!E8+'1.a sz. Önkormányzat 2021. '!EH8</f>
        <v>121969768</v>
      </c>
      <c r="F8" s="8">
        <f>'2.10. sz. Intézmények összesen'!F8+'1.a sz. Önkormányzat 2021. '!EI8</f>
        <v>81275988</v>
      </c>
      <c r="G8" s="8">
        <f t="shared" ref="G8:G50" si="0">D8+E8+F8</f>
        <v>2156697969</v>
      </c>
      <c r="H8" s="8">
        <f>'1.a sz. Önkormányzat 2021. '!EK8</f>
        <v>0</v>
      </c>
      <c r="I8" s="15">
        <f t="shared" ref="I8:I25" si="1">+D8+E8+F8</f>
        <v>2156697969</v>
      </c>
      <c r="J8" s="15">
        <f t="shared" ref="J8:J25" si="2">+I8-G8</f>
        <v>0</v>
      </c>
      <c r="K8" s="15">
        <f>+G8+G9+G10+G11+G12</f>
        <v>7018073861</v>
      </c>
    </row>
    <row r="9" spans="1:12" s="2" customFormat="1" ht="24.75" customHeight="1" x14ac:dyDescent="0.25">
      <c r="A9" s="10" t="s">
        <v>204</v>
      </c>
      <c r="B9" s="128" t="s">
        <v>215</v>
      </c>
      <c r="C9" s="1" t="s">
        <v>216</v>
      </c>
      <c r="D9" s="8">
        <f>'2.10. sz. Intézmények összesen'!D9+'1.a sz. Önkormányzat 2021. '!EG9</f>
        <v>341167467</v>
      </c>
      <c r="E9" s="8">
        <f>'2.10. sz. Intézmények összesen'!E9+'1.a sz. Önkormányzat 2021. '!EH9</f>
        <v>19829118</v>
      </c>
      <c r="F9" s="8">
        <f>'2.10. sz. Intézmények összesen'!F9+'1.a sz. Önkormányzat 2021. '!EI9</f>
        <v>13423478</v>
      </c>
      <c r="G9" s="8">
        <f t="shared" si="0"/>
        <v>374420063</v>
      </c>
      <c r="H9" s="8">
        <f>'1.a sz. Önkormányzat 2021. '!EK9</f>
        <v>0</v>
      </c>
      <c r="I9" s="15">
        <f t="shared" si="1"/>
        <v>374420063</v>
      </c>
      <c r="J9" s="15">
        <f t="shared" si="2"/>
        <v>0</v>
      </c>
      <c r="K9" s="332">
        <f>+G16+G17+G18</f>
        <v>1127844893</v>
      </c>
    </row>
    <row r="10" spans="1:12" ht="24.75" customHeight="1" x14ac:dyDescent="0.25">
      <c r="A10" s="10" t="s">
        <v>205</v>
      </c>
      <c r="B10" s="128" t="s">
        <v>346</v>
      </c>
      <c r="C10" s="1" t="s">
        <v>217</v>
      </c>
      <c r="D10" s="8">
        <f>'2.10. sz. Intézmények összesen'!D10+'1.a sz. Önkormányzat 2021. '!EG10</f>
        <v>2014591801</v>
      </c>
      <c r="E10" s="8">
        <f>'2.10. sz. Intézmények összesen'!E10+'1.a sz. Önkormányzat 2021. '!EH10</f>
        <v>250553362</v>
      </c>
      <c r="F10" s="8">
        <f>'2.10. sz. Intézmények összesen'!F10+'1.a sz. Önkormányzat 2021. '!EI10</f>
        <v>23711887</v>
      </c>
      <c r="G10" s="8">
        <f t="shared" si="0"/>
        <v>2288857050</v>
      </c>
      <c r="H10" s="8">
        <f>'1.a sz. Önkormányzat 2021. '!EK10</f>
        <v>0</v>
      </c>
      <c r="I10" s="15">
        <f t="shared" si="1"/>
        <v>2288857050</v>
      </c>
      <c r="J10" s="15">
        <f t="shared" si="2"/>
        <v>0</v>
      </c>
      <c r="L10" s="15">
        <f>+K10-G10</f>
        <v>-2288857050</v>
      </c>
    </row>
    <row r="11" spans="1:12" ht="24.75" customHeight="1" x14ac:dyDescent="0.25">
      <c r="A11" s="10" t="s">
        <v>206</v>
      </c>
      <c r="B11" s="129" t="s">
        <v>347</v>
      </c>
      <c r="C11" s="1" t="s">
        <v>218</v>
      </c>
      <c r="D11" s="8">
        <f>'2.10. sz. Intézmények összesen'!D11+'1.a sz. Önkormányzat 2021. '!EG11</f>
        <v>41000000</v>
      </c>
      <c r="E11" s="8">
        <f>'2.10. sz. Intézmények összesen'!E11+'1.a sz. Önkormányzat 2021. '!EH11</f>
        <v>0</v>
      </c>
      <c r="F11" s="8">
        <f>'2.10. sz. Intézmények összesen'!F11+'1.a sz. Önkormányzat 2021. '!EI11</f>
        <v>0</v>
      </c>
      <c r="G11" s="8">
        <f t="shared" si="0"/>
        <v>41000000</v>
      </c>
      <c r="H11" s="8">
        <f>'1.a sz. Önkormányzat 2021. '!EK11</f>
        <v>0</v>
      </c>
      <c r="I11" s="15">
        <f t="shared" si="1"/>
        <v>41000000</v>
      </c>
      <c r="J11" s="15">
        <f t="shared" si="2"/>
        <v>0</v>
      </c>
      <c r="L11" s="15">
        <f>+K11-G11</f>
        <v>-41000000</v>
      </c>
    </row>
    <row r="12" spans="1:12" ht="24.75" customHeight="1" x14ac:dyDescent="0.25">
      <c r="A12" s="10" t="s">
        <v>207</v>
      </c>
      <c r="B12" s="129" t="s">
        <v>249</v>
      </c>
      <c r="C12" s="1" t="s">
        <v>219</v>
      </c>
      <c r="D12" s="8">
        <f>'2.10. sz. Intézmények összesen'!D12+'1.a sz. Önkormányzat 2021. '!EG12</f>
        <v>1984427115</v>
      </c>
      <c r="E12" s="8">
        <f>'2.10. sz. Intézmények összesen'!E12+'1.a sz. Önkormányzat 2021. '!EH12</f>
        <v>172671664</v>
      </c>
      <c r="F12" s="8">
        <f>'2.10. sz. Intézmények összesen'!F12+'1.a sz. Önkormányzat 2021. '!EI12</f>
        <v>0</v>
      </c>
      <c r="G12" s="8">
        <f t="shared" si="0"/>
        <v>2157098779</v>
      </c>
      <c r="H12" s="8">
        <f>'1.a sz. Önkormányzat 2021. '!EK12</f>
        <v>0</v>
      </c>
      <c r="I12" s="15">
        <f t="shared" si="1"/>
        <v>2157098779</v>
      </c>
      <c r="J12" s="15">
        <f t="shared" si="2"/>
        <v>0</v>
      </c>
      <c r="L12" s="15"/>
    </row>
    <row r="13" spans="1:12" ht="24.75" customHeight="1" x14ac:dyDescent="0.25">
      <c r="A13" s="10" t="s">
        <v>208</v>
      </c>
      <c r="B13" s="130" t="s">
        <v>133</v>
      </c>
      <c r="C13" s="1"/>
      <c r="D13" s="8">
        <f>'2.10. sz. Intézmények összesen'!D13+'1.a sz. Önkormányzat 2021. '!EG13</f>
        <v>95826000</v>
      </c>
      <c r="E13" s="8">
        <f>'2.10. sz. Intézmények összesen'!E13+'1.a sz. Önkormányzat 2021. '!EH13</f>
        <v>172671664</v>
      </c>
      <c r="F13" s="8">
        <f>'2.10. sz. Intézmények összesen'!F13+'1.a sz. Önkormányzat 2021. '!EI13</f>
        <v>0</v>
      </c>
      <c r="G13" s="8">
        <f t="shared" si="0"/>
        <v>268497664</v>
      </c>
      <c r="H13" s="8">
        <f>'1.a sz. Önkormányzat 2021. '!EK13</f>
        <v>0</v>
      </c>
      <c r="I13" s="15">
        <f t="shared" si="1"/>
        <v>268497664</v>
      </c>
      <c r="J13" s="15">
        <f t="shared" si="2"/>
        <v>0</v>
      </c>
      <c r="L13" s="15"/>
    </row>
    <row r="14" spans="1:12" s="19" customFormat="1" ht="24.75" customHeight="1" x14ac:dyDescent="0.25">
      <c r="A14" s="10" t="s">
        <v>209</v>
      </c>
      <c r="B14" s="130" t="s">
        <v>123</v>
      </c>
      <c r="C14" s="17"/>
      <c r="D14" s="8">
        <f>'2.10. sz. Intézmények összesen'!D14+'1.a sz. Önkormányzat 2021. '!EG14</f>
        <v>938291429</v>
      </c>
      <c r="E14" s="8">
        <f>'2.10. sz. Intézmények összesen'!E14+'1.a sz. Önkormányzat 2021. '!EH14</f>
        <v>0</v>
      </c>
      <c r="F14" s="8">
        <f>'2.10. sz. Intézmények összesen'!F14+'1.a sz. Önkormányzat 2021. '!EI14</f>
        <v>0</v>
      </c>
      <c r="G14" s="8">
        <f t="shared" si="0"/>
        <v>938291429</v>
      </c>
      <c r="H14" s="8">
        <f>'1.a sz. Önkormányzat 2021. '!EK14</f>
        <v>0</v>
      </c>
      <c r="I14" s="15">
        <f t="shared" si="1"/>
        <v>938291429</v>
      </c>
      <c r="J14" s="15">
        <f t="shared" si="2"/>
        <v>0</v>
      </c>
      <c r="L14" s="15"/>
    </row>
    <row r="15" spans="1:12" s="19" customFormat="1" ht="24.75" customHeight="1" x14ac:dyDescent="0.25">
      <c r="A15" s="10" t="s">
        <v>210</v>
      </c>
      <c r="B15" s="130" t="s">
        <v>582</v>
      </c>
      <c r="C15" s="17"/>
      <c r="D15" s="8">
        <f>'2.10. sz. Intézmények összesen'!D15+'1.a sz. Önkormányzat 2021. '!EG15</f>
        <v>950309686</v>
      </c>
      <c r="E15" s="8">
        <f>'2.10. sz. Intézmények összesen'!E15+'1.a sz. Önkormányzat 2021. '!EH15</f>
        <v>0</v>
      </c>
      <c r="F15" s="8">
        <f>'2.10. sz. Intézmények összesen'!F15+'1.a sz. Önkormányzat 2021. '!EI15</f>
        <v>0</v>
      </c>
      <c r="G15" s="8">
        <f t="shared" si="0"/>
        <v>950309686</v>
      </c>
      <c r="H15" s="8">
        <f>'1.a sz. Önkormányzat 2021. '!EK15</f>
        <v>0</v>
      </c>
      <c r="I15" s="15">
        <f t="shared" si="1"/>
        <v>950309686</v>
      </c>
      <c r="J15" s="15">
        <f t="shared" si="2"/>
        <v>0</v>
      </c>
      <c r="L15" s="15"/>
    </row>
    <row r="16" spans="1:12" s="2" customFormat="1" ht="24.75" customHeight="1" x14ac:dyDescent="0.25">
      <c r="A16" s="10" t="s">
        <v>211</v>
      </c>
      <c r="B16" s="131" t="s">
        <v>256</v>
      </c>
      <c r="C16" s="1" t="s">
        <v>220</v>
      </c>
      <c r="D16" s="8">
        <f>'2.10. sz. Intézmények összesen'!D16+'1.a sz. Önkormányzat 2021. '!EG16</f>
        <v>871538672</v>
      </c>
      <c r="E16" s="8">
        <f>'2.10. sz. Intézmények összesen'!E16+'1.a sz. Önkormányzat 2021. '!EH16</f>
        <v>35147526</v>
      </c>
      <c r="F16" s="8">
        <f>'2.10. sz. Intézmények összesen'!F16+'1.a sz. Önkormányzat 2021. '!EI16</f>
        <v>6413500</v>
      </c>
      <c r="G16" s="8">
        <f t="shared" si="0"/>
        <v>913099698</v>
      </c>
      <c r="H16" s="8">
        <f>'1.a sz. Önkormányzat 2021. '!EK16</f>
        <v>0</v>
      </c>
      <c r="I16" s="15">
        <f t="shared" si="1"/>
        <v>913099698</v>
      </c>
      <c r="J16" s="15">
        <f t="shared" si="2"/>
        <v>0</v>
      </c>
      <c r="L16" s="15">
        <f>+K16-G16</f>
        <v>-913099698</v>
      </c>
    </row>
    <row r="17" spans="1:12" s="2" customFormat="1" ht="24.75" customHeight="1" x14ac:dyDescent="0.25">
      <c r="A17" s="10" t="s">
        <v>212</v>
      </c>
      <c r="B17" s="129" t="s">
        <v>348</v>
      </c>
      <c r="C17" s="1" t="s">
        <v>221</v>
      </c>
      <c r="D17" s="8">
        <f>'2.10. sz. Intézmények összesen'!D17+'1.a sz. Önkormányzat 2021. '!EG17</f>
        <v>192425195</v>
      </c>
      <c r="E17" s="8">
        <f>'2.10. sz. Intézmények összesen'!E17+'1.a sz. Önkormányzat 2021. '!EH17</f>
        <v>0</v>
      </c>
      <c r="F17" s="8">
        <f>'2.10. sz. Intézmények összesen'!F17+'1.a sz. Önkormányzat 2021. '!EI17</f>
        <v>0</v>
      </c>
      <c r="G17" s="8">
        <f t="shared" si="0"/>
        <v>192425195</v>
      </c>
      <c r="H17" s="8">
        <f>'1.a sz. Önkormányzat 2021. '!EK17</f>
        <v>0</v>
      </c>
      <c r="I17" s="15">
        <f t="shared" si="1"/>
        <v>192425195</v>
      </c>
      <c r="J17" s="15">
        <f t="shared" si="2"/>
        <v>0</v>
      </c>
      <c r="L17" s="15">
        <f>+K17-G17</f>
        <v>-192425195</v>
      </c>
    </row>
    <row r="18" spans="1:12" ht="24.75" customHeight="1" x14ac:dyDescent="0.25">
      <c r="A18" s="10" t="s">
        <v>213</v>
      </c>
      <c r="B18" s="129" t="s">
        <v>250</v>
      </c>
      <c r="C18" s="1" t="s">
        <v>222</v>
      </c>
      <c r="D18" s="8">
        <f>'2.10. sz. Intézmények összesen'!D18+'1.a sz. Önkormányzat 2021. '!EG18</f>
        <v>6000000</v>
      </c>
      <c r="E18" s="8">
        <f>'2.10. sz. Intézmények összesen'!E18+'1.a sz. Önkormányzat 2021. '!EH18</f>
        <v>16320000</v>
      </c>
      <c r="F18" s="8">
        <f>'2.10. sz. Intézmények összesen'!F18+'1.a sz. Önkormányzat 2021. '!EI18</f>
        <v>0</v>
      </c>
      <c r="G18" s="8">
        <f t="shared" si="0"/>
        <v>22320000</v>
      </c>
      <c r="H18" s="8">
        <f>'1.a sz. Önkormányzat 2021. '!EK18</f>
        <v>0</v>
      </c>
      <c r="I18" s="15">
        <f t="shared" si="1"/>
        <v>22320000</v>
      </c>
      <c r="J18" s="15">
        <f t="shared" si="2"/>
        <v>0</v>
      </c>
      <c r="L18" s="15">
        <f>SUM(L10:L17)</f>
        <v>-3435381943</v>
      </c>
    </row>
    <row r="19" spans="1:12" ht="24.75" customHeight="1" x14ac:dyDescent="0.25">
      <c r="A19" s="10" t="s">
        <v>240</v>
      </c>
      <c r="B19" s="130" t="s">
        <v>132</v>
      </c>
      <c r="C19" s="1"/>
      <c r="D19" s="8">
        <f>'2.10. sz. Intézmények összesen'!D19+'1.a sz. Önkormányzat 2021. '!EG19</f>
        <v>6000000</v>
      </c>
      <c r="E19" s="8">
        <f>'2.10. sz. Intézmények összesen'!E19+'1.a sz. Önkormányzat 2021. '!EH19</f>
        <v>16320000</v>
      </c>
      <c r="F19" s="8">
        <f>'2.10. sz. Intézmények összesen'!F19+'1.a sz. Önkormányzat 2021. '!EI19</f>
        <v>0</v>
      </c>
      <c r="G19" s="8">
        <f t="shared" si="0"/>
        <v>22320000</v>
      </c>
      <c r="H19" s="8">
        <f>'1.a sz. Önkormányzat 2021. '!EK19</f>
        <v>0</v>
      </c>
      <c r="I19" s="15">
        <f t="shared" si="1"/>
        <v>22320000</v>
      </c>
      <c r="J19" s="15">
        <f t="shared" si="2"/>
        <v>0</v>
      </c>
      <c r="L19" s="4">
        <f>+H54</f>
        <v>0</v>
      </c>
    </row>
    <row r="20" spans="1:12" s="2" customFormat="1" ht="24.75" customHeight="1" x14ac:dyDescent="0.25">
      <c r="A20" s="10" t="s">
        <v>241</v>
      </c>
      <c r="B20" s="131" t="s">
        <v>251</v>
      </c>
      <c r="C20" s="1" t="s">
        <v>223</v>
      </c>
      <c r="D20" s="9">
        <f>'2.10. sz. Intézmények összesen'!D20+'1.a sz. Önkormányzat 2021. '!EG20</f>
        <v>7404602463</v>
      </c>
      <c r="E20" s="9">
        <f>'2.10. sz. Intézmények összesen'!E20+'1.a sz. Önkormányzat 2021. '!EH20</f>
        <v>616491438</v>
      </c>
      <c r="F20" s="9">
        <f>'2.10. sz. Intézmények összesen'!F20+'1.a sz. Önkormányzat 2021. '!EI20</f>
        <v>124824853</v>
      </c>
      <c r="G20" s="9">
        <f t="shared" si="0"/>
        <v>8145918754</v>
      </c>
      <c r="H20" s="9">
        <f>'1.a sz. Önkormányzat 2021. '!EK20</f>
        <v>0</v>
      </c>
      <c r="I20" s="15">
        <f t="shared" si="1"/>
        <v>8145918754</v>
      </c>
      <c r="J20" s="15">
        <f t="shared" si="2"/>
        <v>0</v>
      </c>
      <c r="L20" s="332">
        <f>+L19+L18</f>
        <v>-3435381943</v>
      </c>
    </row>
    <row r="21" spans="1:12" s="2" customFormat="1" ht="24.75" customHeight="1" x14ac:dyDescent="0.25">
      <c r="A21" s="10" t="s">
        <v>242</v>
      </c>
      <c r="B21" s="131" t="s">
        <v>236</v>
      </c>
      <c r="C21" s="1" t="s">
        <v>232</v>
      </c>
      <c r="D21" s="8">
        <f>'2.10. sz. Intézmények összesen'!D21+'1.a sz. Önkormányzat 2021. '!EG21</f>
        <v>3043798119</v>
      </c>
      <c r="E21" s="8">
        <f>'2.10. sz. Intézmények összesen'!E21+'1.a sz. Önkormányzat 2021. '!EH21</f>
        <v>90948771</v>
      </c>
      <c r="F21" s="8">
        <f>'2.10. sz. Intézmények összesen'!F21+'1.a sz. Önkormányzat 2021. '!EI21</f>
        <v>0</v>
      </c>
      <c r="G21" s="8">
        <f t="shared" si="0"/>
        <v>3134746890</v>
      </c>
      <c r="H21" s="8">
        <f>'1.a sz. Önkormányzat 2021. '!EK21</f>
        <v>0</v>
      </c>
      <c r="I21" s="15">
        <f t="shared" si="1"/>
        <v>3134746890</v>
      </c>
      <c r="J21" s="15">
        <f t="shared" si="2"/>
        <v>0</v>
      </c>
      <c r="K21" s="332">
        <f>+K20-G20</f>
        <v>-8145918754</v>
      </c>
    </row>
    <row r="22" spans="1:12" s="18" customFormat="1" ht="21.75" customHeight="1" x14ac:dyDescent="0.25">
      <c r="A22" s="10" t="s">
        <v>243</v>
      </c>
      <c r="B22" s="36" t="s">
        <v>894</v>
      </c>
      <c r="C22" s="17"/>
      <c r="D22" s="8">
        <f>'2.10. sz. Intézmények összesen'!D22+'1.a sz. Önkormányzat 2021. '!EG22</f>
        <v>0</v>
      </c>
      <c r="E22" s="8">
        <f>'2.10. sz. Intézmények összesen'!E22+'1.a sz. Önkormányzat 2021. '!EH22</f>
        <v>62766147</v>
      </c>
      <c r="F22" s="8">
        <f>'2.10. sz. Intézmények összesen'!F22+'1.a sz. Önkormányzat 2021. '!EI22</f>
        <v>0</v>
      </c>
      <c r="G22" s="8">
        <f t="shared" si="0"/>
        <v>62766147</v>
      </c>
      <c r="H22" s="8">
        <f>'1.a sz. Önkormányzat 2021. '!EK22</f>
        <v>0</v>
      </c>
      <c r="I22" s="15">
        <f t="shared" si="1"/>
        <v>62766147</v>
      </c>
      <c r="J22" s="15">
        <f t="shared" si="2"/>
        <v>0</v>
      </c>
    </row>
    <row r="23" spans="1:12" s="18" customFormat="1" ht="24.75" customHeight="1" x14ac:dyDescent="0.25">
      <c r="A23" s="10" t="s">
        <v>244</v>
      </c>
      <c r="B23" s="132" t="s">
        <v>585</v>
      </c>
      <c r="C23" s="17"/>
      <c r="D23" s="8">
        <f>'2.10. sz. Intézmények összesen'!D23+'1.a sz. Önkormányzat 2021. '!EG23</f>
        <v>2989846329</v>
      </c>
      <c r="E23" s="8">
        <f>'2.10. sz. Intézmények összesen'!E23+'1.a sz. Önkormányzat 2021. '!EH23</f>
        <v>0</v>
      </c>
      <c r="F23" s="8">
        <f>'2.10. sz. Intézmények összesen'!F23+'1.a sz. Önkormányzat 2021. '!EI23</f>
        <v>0</v>
      </c>
      <c r="G23" s="8">
        <f t="shared" si="0"/>
        <v>2989846329</v>
      </c>
      <c r="H23" s="8">
        <f>'1.a sz. Önkormányzat 2021. '!EK23</f>
        <v>0</v>
      </c>
      <c r="I23" s="15">
        <f t="shared" si="1"/>
        <v>2989846329</v>
      </c>
      <c r="J23" s="15">
        <f t="shared" si="2"/>
        <v>0</v>
      </c>
    </row>
    <row r="24" spans="1:12" s="18" customFormat="1" ht="24.75" customHeight="1" x14ac:dyDescent="0.25">
      <c r="A24" s="10" t="s">
        <v>245</v>
      </c>
      <c r="B24" s="132" t="s">
        <v>586</v>
      </c>
      <c r="C24" s="17"/>
      <c r="D24" s="8">
        <f>'2.10. sz. Intézmények összesen'!D24+'1.a sz. Önkormányzat 2021. '!EG24</f>
        <v>53951790</v>
      </c>
      <c r="E24" s="8">
        <f>'2.10. sz. Intézmények összesen'!E24+'1.a sz. Önkormányzat 2021. '!EH24</f>
        <v>0</v>
      </c>
      <c r="F24" s="8">
        <f>'2.10. sz. Intézmények összesen'!F24+'1.a sz. Önkormányzat 2021. '!EI24</f>
        <v>0</v>
      </c>
      <c r="G24" s="8">
        <f t="shared" si="0"/>
        <v>53951790</v>
      </c>
      <c r="H24" s="8">
        <f>'1.a sz. Önkormányzat 2021. '!EK24</f>
        <v>0</v>
      </c>
      <c r="I24" s="15">
        <f t="shared" si="1"/>
        <v>53951790</v>
      </c>
      <c r="J24" s="15">
        <f t="shared" si="2"/>
        <v>0</v>
      </c>
    </row>
    <row r="25" spans="1:12" s="18" customFormat="1" ht="24.75" customHeight="1" x14ac:dyDescent="0.25">
      <c r="A25" s="10" t="s">
        <v>246</v>
      </c>
      <c r="B25" s="132" t="s">
        <v>134</v>
      </c>
      <c r="C25" s="17"/>
      <c r="D25" s="8">
        <f>'2.10. sz. Intézmények összesen'!D25+'1.a sz. Önkormányzat 2021. '!EG25</f>
        <v>0</v>
      </c>
      <c r="E25" s="8">
        <f>'2.10. sz. Intézmények összesen'!E25+'1.a sz. Önkormányzat 2021. '!EH25</f>
        <v>28182624</v>
      </c>
      <c r="F25" s="8">
        <f>'2.10. sz. Intézmények összesen'!F25+'1.a sz. Önkormányzat 2021. '!EI25</f>
        <v>0</v>
      </c>
      <c r="G25" s="8">
        <f t="shared" si="0"/>
        <v>28182624</v>
      </c>
      <c r="H25" s="8">
        <f>'1.a sz. Önkormányzat 2021. '!EK25</f>
        <v>0</v>
      </c>
      <c r="I25" s="15">
        <f t="shared" si="1"/>
        <v>28182624</v>
      </c>
      <c r="J25" s="15">
        <f t="shared" si="2"/>
        <v>0</v>
      </c>
    </row>
    <row r="26" spans="1:12" s="18" customFormat="1" ht="24.75" customHeight="1" x14ac:dyDescent="0.25">
      <c r="A26" s="10" t="s">
        <v>247</v>
      </c>
      <c r="B26" s="338" t="s">
        <v>889</v>
      </c>
      <c r="C26" s="17"/>
      <c r="D26" s="8">
        <f>'2.10. sz. Intézmények összesen'!D26+'1.a sz. Önkormányzat 2021. '!EG26</f>
        <v>0</v>
      </c>
      <c r="E26" s="8">
        <f>'2.10. sz. Intézmények összesen'!E26+'1.a sz. Önkormányzat 2021. '!EH26</f>
        <v>0</v>
      </c>
      <c r="F26" s="8">
        <f>'2.10. sz. Intézmények összesen'!F26+'1.a sz. Önkormányzat 2021. '!EI26</f>
        <v>0</v>
      </c>
      <c r="G26" s="8">
        <f t="shared" si="0"/>
        <v>0</v>
      </c>
      <c r="H26" s="8">
        <f>'1.a sz. Önkormányzat 2021. '!EK26</f>
        <v>0</v>
      </c>
      <c r="I26" s="15"/>
      <c r="J26" s="15"/>
    </row>
    <row r="27" spans="1:12" s="2" customFormat="1" ht="24.75" customHeight="1" x14ac:dyDescent="0.25">
      <c r="A27" s="10" t="s">
        <v>248</v>
      </c>
      <c r="B27" s="65" t="s">
        <v>32</v>
      </c>
      <c r="C27" s="1"/>
      <c r="D27" s="9">
        <f>'2.10. sz. Intézmények összesen'!D27+'1.a sz. Önkormányzat 2021. '!EG27</f>
        <v>9324484925</v>
      </c>
      <c r="E27" s="9">
        <f>'2.10. sz. Intézmények összesen'!E27+'1.a sz. Önkormányzat 2021. '!EH27</f>
        <v>627790059</v>
      </c>
      <c r="F27" s="9">
        <f>'2.10. sz. Intézmények összesen'!F27+'1.a sz. Önkormányzat 2021. '!EI27</f>
        <v>118411353</v>
      </c>
      <c r="G27" s="9">
        <f t="shared" si="0"/>
        <v>10070686337</v>
      </c>
      <c r="H27" s="9">
        <f>'1.a sz. Önkormányzat 2021. '!EK27</f>
        <v>0</v>
      </c>
      <c r="I27" s="15">
        <f t="shared" ref="I27:I44" si="3">+D27+E27+F27</f>
        <v>10070686337</v>
      </c>
      <c r="J27" s="15">
        <f t="shared" ref="J27:J44" si="4">+I27-G27</f>
        <v>0</v>
      </c>
    </row>
    <row r="28" spans="1:12" s="2" customFormat="1" ht="24.75" customHeight="1" x14ac:dyDescent="0.25">
      <c r="A28" s="10" t="s">
        <v>276</v>
      </c>
      <c r="B28" s="65" t="s">
        <v>33</v>
      </c>
      <c r="C28" s="1"/>
      <c r="D28" s="9">
        <f>'2.10. sz. Intézmények összesen'!D28+'1.a sz. Önkormányzat 2021. '!EG28</f>
        <v>1123915657</v>
      </c>
      <c r="E28" s="9">
        <f>'2.10. sz. Intézmények összesen'!E28+'1.a sz. Önkormányzat 2021. '!EH28</f>
        <v>79650150</v>
      </c>
      <c r="F28" s="9">
        <f>'2.10. sz. Intézmények összesen'!F28+'1.a sz. Önkormányzat 2021. '!EI28</f>
        <v>6413500</v>
      </c>
      <c r="G28" s="9">
        <f t="shared" si="0"/>
        <v>1209979307</v>
      </c>
      <c r="H28" s="9">
        <f>'1.a sz. Önkormányzat 2021. '!EK28</f>
        <v>0</v>
      </c>
      <c r="I28" s="15">
        <f t="shared" si="3"/>
        <v>1209979307</v>
      </c>
      <c r="J28" s="15">
        <f t="shared" si="4"/>
        <v>0</v>
      </c>
    </row>
    <row r="29" spans="1:12" s="2" customFormat="1" ht="24.75" customHeight="1" x14ac:dyDescent="0.25">
      <c r="A29" s="10" t="s">
        <v>277</v>
      </c>
      <c r="B29" s="65" t="s">
        <v>343</v>
      </c>
      <c r="C29" s="1" t="s">
        <v>31</v>
      </c>
      <c r="D29" s="9">
        <f>'2.10. sz. Intézmények összesen'!D29+'1.a sz. Önkormányzat 2021. '!EG29</f>
        <v>10448400582</v>
      </c>
      <c r="E29" s="9">
        <f>'2.10. sz. Intézmények összesen'!E29+'1.a sz. Önkormányzat 2021. '!EH29</f>
        <v>707440209</v>
      </c>
      <c r="F29" s="9">
        <f>'2.10. sz. Intézmények összesen'!F29+'1.a sz. Önkormányzat 2021. '!EI29</f>
        <v>124824853</v>
      </c>
      <c r="G29" s="9">
        <f t="shared" si="0"/>
        <v>11280665644</v>
      </c>
      <c r="H29" s="9">
        <f>'1.a sz. Önkormányzat 2021. '!EK29</f>
        <v>0</v>
      </c>
      <c r="I29" s="15">
        <f t="shared" si="3"/>
        <v>11280665644</v>
      </c>
      <c r="J29" s="15">
        <f t="shared" si="4"/>
        <v>0</v>
      </c>
      <c r="K29" s="448"/>
    </row>
    <row r="30" spans="1:12" ht="24.75" customHeight="1" x14ac:dyDescent="0.25">
      <c r="A30" s="10" t="s">
        <v>278</v>
      </c>
      <c r="B30" s="128" t="s">
        <v>52</v>
      </c>
      <c r="C30" s="131" t="s">
        <v>224</v>
      </c>
      <c r="D30" s="8">
        <f>'2.10. sz. Intézmények összesen'!D30+'1.a sz. Önkormányzat 2021. '!EG30</f>
        <v>1653798953</v>
      </c>
      <c r="E30" s="8">
        <f>'2.10. sz. Intézmények összesen'!E30+'1.a sz. Önkormányzat 2021. '!EH30</f>
        <v>2900000</v>
      </c>
      <c r="F30" s="8">
        <f>'2.10. sz. Intézmények összesen'!F30+'1.a sz. Önkormányzat 2021. '!EI30</f>
        <v>0</v>
      </c>
      <c r="G30" s="8">
        <f t="shared" si="0"/>
        <v>1656698953</v>
      </c>
      <c r="H30" s="8">
        <f>'1.a sz. Önkormányzat 2021. '!EK30</f>
        <v>0</v>
      </c>
      <c r="I30" s="15">
        <f t="shared" si="3"/>
        <v>1656698953</v>
      </c>
      <c r="J30" s="15">
        <f t="shared" si="4"/>
        <v>0</v>
      </c>
      <c r="K30" s="15">
        <f>+K29-G29</f>
        <v>-11280665644</v>
      </c>
    </row>
    <row r="31" spans="1:12" ht="24.75" customHeight="1" x14ac:dyDescent="0.25">
      <c r="A31" s="10" t="s">
        <v>279</v>
      </c>
      <c r="B31" s="128" t="s">
        <v>235</v>
      </c>
      <c r="C31" s="131" t="s">
        <v>225</v>
      </c>
      <c r="D31" s="8">
        <f>'2.10. sz. Intézmények összesen'!D31+'1.a sz. Önkormányzat 2021. '!EG31</f>
        <v>0</v>
      </c>
      <c r="E31" s="8">
        <f>'2.10. sz. Intézmények összesen'!E31+'1.a sz. Önkormányzat 2021. '!EH31</f>
        <v>0</v>
      </c>
      <c r="F31" s="8">
        <f>'2.10. sz. Intézmények összesen'!F31+'1.a sz. Önkormányzat 2021. '!EI31</f>
        <v>0</v>
      </c>
      <c r="G31" s="8">
        <f t="shared" si="0"/>
        <v>0</v>
      </c>
      <c r="H31" s="8">
        <f>'1.a sz. Önkormányzat 2021. '!EK31</f>
        <v>0</v>
      </c>
      <c r="I31" s="15">
        <f t="shared" si="3"/>
        <v>0</v>
      </c>
      <c r="J31" s="15">
        <f t="shared" si="4"/>
        <v>0</v>
      </c>
    </row>
    <row r="32" spans="1:12" ht="24.75" customHeight="1" x14ac:dyDescent="0.25">
      <c r="A32" s="10" t="s">
        <v>280</v>
      </c>
      <c r="B32" s="128" t="s">
        <v>234</v>
      </c>
      <c r="C32" s="131" t="s">
        <v>226</v>
      </c>
      <c r="D32" s="8">
        <f>'2.10. sz. Intézmények összesen'!D32+'1.a sz. Önkormányzat 2021. '!EG32</f>
        <v>3820624585</v>
      </c>
      <c r="E32" s="8">
        <f>'2.10. sz. Intézmények összesen'!E32+'1.a sz. Önkormányzat 2021. '!EH32</f>
        <v>0</v>
      </c>
      <c r="F32" s="8">
        <f>'2.10. sz. Intézmények összesen'!F32+'1.a sz. Önkormányzat 2021. '!EI32</f>
        <v>3000000</v>
      </c>
      <c r="G32" s="8">
        <f t="shared" si="0"/>
        <v>3823624585</v>
      </c>
      <c r="H32" s="8">
        <f>'1.a sz. Önkormányzat 2021. '!EK32</f>
        <v>0</v>
      </c>
      <c r="I32" s="15">
        <f t="shared" si="3"/>
        <v>3823624585</v>
      </c>
      <c r="J32" s="15">
        <f t="shared" si="4"/>
        <v>0</v>
      </c>
      <c r="K32" s="15">
        <f>+G31+G34+G36</f>
        <v>67726400</v>
      </c>
    </row>
    <row r="33" spans="1:11" ht="24.75" customHeight="1" x14ac:dyDescent="0.25">
      <c r="A33" s="10" t="s">
        <v>281</v>
      </c>
      <c r="B33" s="129" t="s">
        <v>0</v>
      </c>
      <c r="C33" s="131" t="s">
        <v>227</v>
      </c>
      <c r="D33" s="8">
        <f>'2.10. sz. Intézmények összesen'!D33+'1.a sz. Önkormányzat 2021. '!EG33</f>
        <v>401955176</v>
      </c>
      <c r="E33" s="8">
        <f>'2.10. sz. Intézmények összesen'!E33+'1.a sz. Önkormányzat 2021. '!EH33</f>
        <v>18828600</v>
      </c>
      <c r="F33" s="8">
        <f>'2.10. sz. Intézmények összesen'!F33+'1.a sz. Önkormányzat 2021. '!EI33</f>
        <v>13800</v>
      </c>
      <c r="G33" s="8">
        <f>D33+E33+F33</f>
        <v>420797576</v>
      </c>
      <c r="H33" s="8">
        <f>'1.a sz. Önkormányzat 2021. '!EK33</f>
        <v>0</v>
      </c>
      <c r="I33" s="15">
        <f t="shared" si="3"/>
        <v>420797576</v>
      </c>
      <c r="J33" s="15">
        <f t="shared" si="4"/>
        <v>0</v>
      </c>
    </row>
    <row r="34" spans="1:11" ht="24.75" customHeight="1" x14ac:dyDescent="0.25">
      <c r="A34" s="10" t="s">
        <v>282</v>
      </c>
      <c r="B34" s="128" t="s">
        <v>257</v>
      </c>
      <c r="C34" s="131" t="s">
        <v>228</v>
      </c>
      <c r="D34" s="8">
        <f>'2.10. sz. Intézmények összesen'!D34+'1.a sz. Önkormányzat 2021. '!EG34</f>
        <v>0</v>
      </c>
      <c r="E34" s="8">
        <f>'2.10. sz. Intézmények összesen'!E34+'1.a sz. Önkormányzat 2021. '!EH34</f>
        <v>62752000</v>
      </c>
      <c r="F34" s="8">
        <f>'2.10. sz. Intézmények összesen'!F34+'1.a sz. Önkormányzat 2021. '!EI34</f>
        <v>0</v>
      </c>
      <c r="G34" s="8">
        <f t="shared" si="0"/>
        <v>62752000</v>
      </c>
      <c r="H34" s="8">
        <f>'1.a sz. Önkormányzat 2021. '!EK34</f>
        <v>0</v>
      </c>
      <c r="I34" s="15">
        <f t="shared" si="3"/>
        <v>62752000</v>
      </c>
      <c r="J34" s="15">
        <f t="shared" si="4"/>
        <v>0</v>
      </c>
    </row>
    <row r="35" spans="1:11" ht="24.75" customHeight="1" x14ac:dyDescent="0.25">
      <c r="A35" s="10" t="s">
        <v>283</v>
      </c>
      <c r="B35" s="128" t="s">
        <v>252</v>
      </c>
      <c r="C35" s="131" t="s">
        <v>229</v>
      </c>
      <c r="D35" s="8">
        <f>'2.10. sz. Intézmények összesen'!D35+'1.a sz. Önkormányzat 2021. '!EG35</f>
        <v>0</v>
      </c>
      <c r="E35" s="8">
        <f>'2.10. sz. Intézmények összesen'!E35+'1.a sz. Önkormányzat 2021. '!EH35</f>
        <v>0</v>
      </c>
      <c r="F35" s="8">
        <f>'2.10. sz. Intézmények összesen'!F35+'1.a sz. Önkormányzat 2021. '!EI35</f>
        <v>0</v>
      </c>
      <c r="G35" s="8">
        <f t="shared" si="0"/>
        <v>0</v>
      </c>
      <c r="H35" s="8">
        <f>'1.a sz. Önkormányzat 2021. '!EK35</f>
        <v>0</v>
      </c>
      <c r="I35" s="15">
        <f t="shared" si="3"/>
        <v>0</v>
      </c>
      <c r="J35" s="15">
        <f t="shared" si="4"/>
        <v>0</v>
      </c>
    </row>
    <row r="36" spans="1:11" ht="24.75" customHeight="1" x14ac:dyDescent="0.25">
      <c r="A36" s="10" t="s">
        <v>284</v>
      </c>
      <c r="B36" s="128" t="s">
        <v>253</v>
      </c>
      <c r="C36" s="131" t="s">
        <v>230</v>
      </c>
      <c r="D36" s="8">
        <f>'2.10. sz. Intézmények összesen'!D36+'1.a sz. Önkormányzat 2021. '!EG36</f>
        <v>4175200</v>
      </c>
      <c r="E36" s="8">
        <f>'2.10. sz. Intézmények összesen'!E36+'1.a sz. Önkormányzat 2021. '!EH36</f>
        <v>799200</v>
      </c>
      <c r="F36" s="8">
        <f>'2.10. sz. Intézmények összesen'!F36+'1.a sz. Önkormányzat 2021. '!EI36</f>
        <v>0</v>
      </c>
      <c r="G36" s="8">
        <f t="shared" si="0"/>
        <v>4974400</v>
      </c>
      <c r="H36" s="8">
        <f>'1.a sz. Önkormányzat 2021. '!EK36</f>
        <v>0</v>
      </c>
      <c r="I36" s="15">
        <f t="shared" si="3"/>
        <v>4974400</v>
      </c>
      <c r="J36" s="15">
        <f t="shared" si="4"/>
        <v>0</v>
      </c>
    </row>
    <row r="37" spans="1:11" s="2" customFormat="1" ht="24.75" customHeight="1" x14ac:dyDescent="0.25">
      <c r="A37" s="10" t="s">
        <v>285</v>
      </c>
      <c r="B37" s="129" t="s">
        <v>254</v>
      </c>
      <c r="C37" s="131" t="s">
        <v>231</v>
      </c>
      <c r="D37" s="9">
        <f>'2.10. sz. Intézmények összesen'!D37+'1.a sz. Önkormányzat 2021. '!EG37</f>
        <v>5880553914</v>
      </c>
      <c r="E37" s="9">
        <f>'2.10. sz. Intézmények összesen'!E37+'1.a sz. Önkormányzat 2021. '!EH37</f>
        <v>85279800</v>
      </c>
      <c r="F37" s="9">
        <f>'2.10. sz. Intézmények összesen'!F37+'1.a sz. Önkormányzat 2021. '!EI37</f>
        <v>3013800</v>
      </c>
      <c r="G37" s="9">
        <f t="shared" si="0"/>
        <v>5968847514</v>
      </c>
      <c r="H37" s="9">
        <f>'1.a sz. Önkormányzat 2021. '!EK37</f>
        <v>0</v>
      </c>
      <c r="I37" s="15">
        <f t="shared" si="3"/>
        <v>5968847514</v>
      </c>
      <c r="J37" s="15">
        <f t="shared" si="4"/>
        <v>0</v>
      </c>
    </row>
    <row r="38" spans="1:11" s="2" customFormat="1" ht="24.75" customHeight="1" x14ac:dyDescent="0.25">
      <c r="A38" s="10" t="s">
        <v>286</v>
      </c>
      <c r="B38" s="131" t="s">
        <v>255</v>
      </c>
      <c r="C38" s="1" t="s">
        <v>233</v>
      </c>
      <c r="D38" s="8">
        <f>'2.10. sz. Intézmények összesen'!D38+'1.a sz. Önkormányzat 2021. '!EG38</f>
        <v>5311818130</v>
      </c>
      <c r="E38" s="8">
        <f>'2.10. sz. Intézmények összesen'!E38+'1.a sz. Önkormányzat 2021. '!EH38</f>
        <v>0</v>
      </c>
      <c r="F38" s="8">
        <f>'2.10. sz. Intézmények összesen'!F38+'1.a sz. Önkormányzat 2021. '!EI38</f>
        <v>0</v>
      </c>
      <c r="G38" s="8">
        <f t="shared" si="0"/>
        <v>5311818130</v>
      </c>
      <c r="H38" s="8">
        <f>'1.a sz. Önkormányzat 2021. '!EK38</f>
        <v>0</v>
      </c>
      <c r="I38" s="15">
        <f t="shared" si="3"/>
        <v>5311818130</v>
      </c>
      <c r="J38" s="15">
        <f t="shared" si="4"/>
        <v>0</v>
      </c>
    </row>
    <row r="39" spans="1:11" s="2" customFormat="1" ht="24.75" customHeight="1" x14ac:dyDescent="0.25">
      <c r="A39" s="10" t="s">
        <v>287</v>
      </c>
      <c r="B39" s="132" t="s">
        <v>598</v>
      </c>
      <c r="C39" s="1"/>
      <c r="D39" s="8">
        <f>'2.10. sz. Intézmények összesen'!D39+'1.a sz. Önkormányzat 2021. '!EG39</f>
        <v>0</v>
      </c>
      <c r="E39" s="8">
        <f>'2.10. sz. Intézmények összesen'!E39+'1.a sz. Önkormányzat 2021. '!EH39</f>
        <v>0</v>
      </c>
      <c r="F39" s="8">
        <f>'2.10. sz. Intézmények összesen'!F39+'1.a sz. Önkormányzat 2021. '!EI39</f>
        <v>0</v>
      </c>
      <c r="G39" s="8">
        <f t="shared" si="0"/>
        <v>0</v>
      </c>
      <c r="H39" s="8">
        <f>'1.a sz. Önkormányzat 2021. '!EK39</f>
        <v>0</v>
      </c>
      <c r="I39" s="15">
        <f t="shared" si="3"/>
        <v>0</v>
      </c>
      <c r="J39" s="15">
        <f t="shared" si="4"/>
        <v>0</v>
      </c>
    </row>
    <row r="40" spans="1:11" s="18" customFormat="1" ht="24.75" customHeight="1" x14ac:dyDescent="0.25">
      <c r="A40" s="10" t="s">
        <v>288</v>
      </c>
      <c r="B40" s="132" t="s">
        <v>932</v>
      </c>
      <c r="C40" s="17"/>
      <c r="D40" s="8">
        <f>'2.10. sz. Intézmények összesen'!D40+'1.a sz. Önkormányzat 2021. '!EG40</f>
        <v>1410758710</v>
      </c>
      <c r="E40" s="8">
        <f>'2.10. sz. Intézmények összesen'!E40+'1.a sz. Önkormányzat 2021. '!EH40</f>
        <v>0</v>
      </c>
      <c r="F40" s="8">
        <f>'2.10. sz. Intézmények összesen'!F40+'1.a sz. Önkormányzat 2021. '!EI40</f>
        <v>0</v>
      </c>
      <c r="G40" s="8">
        <f t="shared" si="0"/>
        <v>1410758710</v>
      </c>
      <c r="H40" s="8">
        <f>'1.a sz. Önkormányzat 2021. '!EK40</f>
        <v>0</v>
      </c>
      <c r="I40" s="15">
        <f t="shared" si="3"/>
        <v>1410758710</v>
      </c>
      <c r="J40" s="15">
        <f t="shared" si="4"/>
        <v>0</v>
      </c>
      <c r="K40" s="451"/>
    </row>
    <row r="41" spans="1:11" s="18" customFormat="1" ht="24.75" customHeight="1" x14ac:dyDescent="0.25">
      <c r="A41" s="10" t="s">
        <v>292</v>
      </c>
      <c r="B41" s="132" t="s">
        <v>933</v>
      </c>
      <c r="C41" s="17"/>
      <c r="D41" s="8">
        <f>'2.10. sz. Intézmények összesen'!D41+'1.a sz. Önkormányzat 2021. '!EG41</f>
        <v>857261301</v>
      </c>
      <c r="E41" s="8">
        <f>'2.10. sz. Intézmények összesen'!E41+'1.a sz. Önkormányzat 2021. '!EH41</f>
        <v>0</v>
      </c>
      <c r="F41" s="8">
        <f>'2.10. sz. Intézmények összesen'!F41+'1.a sz. Önkormányzat 2021. '!EI41</f>
        <v>0</v>
      </c>
      <c r="G41" s="8">
        <f t="shared" si="0"/>
        <v>857261301</v>
      </c>
      <c r="H41" s="8">
        <f>'1.a sz. Önkormányzat 2021. '!EK41</f>
        <v>0</v>
      </c>
      <c r="I41" s="15">
        <f t="shared" si="3"/>
        <v>857261301</v>
      </c>
      <c r="J41" s="15">
        <f t="shared" si="4"/>
        <v>0</v>
      </c>
      <c r="K41" s="451"/>
    </row>
    <row r="42" spans="1:11" s="18" customFormat="1" ht="24.75" customHeight="1" x14ac:dyDescent="0.25">
      <c r="A42" s="10" t="s">
        <v>293</v>
      </c>
      <c r="B42" s="132" t="s">
        <v>570</v>
      </c>
      <c r="C42" s="17"/>
      <c r="D42" s="8">
        <f>'2.10. sz. Intézmények összesen'!D42+'1.a sz. Önkormányzat 2021. '!EG42</f>
        <v>2989846329</v>
      </c>
      <c r="E42" s="8">
        <f>'2.10. sz. Intézmények összesen'!E42+'1.a sz. Önkormányzat 2021. '!EH42</f>
        <v>0</v>
      </c>
      <c r="F42" s="8">
        <f>'2.10. sz. Intézmények összesen'!F42+'1.a sz. Önkormányzat 2021. '!EI42</f>
        <v>0</v>
      </c>
      <c r="G42" s="8">
        <f t="shared" si="0"/>
        <v>2989846329</v>
      </c>
      <c r="H42" s="8">
        <f>'1.a sz. Önkormányzat 2021. '!EK42</f>
        <v>0</v>
      </c>
      <c r="I42" s="15">
        <f t="shared" si="3"/>
        <v>2989846329</v>
      </c>
      <c r="J42" s="15">
        <f t="shared" si="4"/>
        <v>0</v>
      </c>
    </row>
    <row r="43" spans="1:11" s="18" customFormat="1" ht="24.75" customHeight="1" x14ac:dyDescent="0.25">
      <c r="A43" s="10" t="s">
        <v>294</v>
      </c>
      <c r="B43" s="132" t="s">
        <v>571</v>
      </c>
      <c r="C43" s="17"/>
      <c r="D43" s="8">
        <f>'2.10. sz. Intézmények összesen'!D43+'1.a sz. Önkormányzat 2021. '!EG43</f>
        <v>53951790</v>
      </c>
      <c r="E43" s="8">
        <f>'2.10. sz. Intézmények összesen'!E43+'1.a sz. Önkormányzat 2021. '!EH43</f>
        <v>0</v>
      </c>
      <c r="F43" s="8">
        <f>'2.10. sz. Intézmények összesen'!F43+'1.a sz. Önkormányzat 2021. '!EI43</f>
        <v>0</v>
      </c>
      <c r="G43" s="8">
        <f t="shared" si="0"/>
        <v>53951790</v>
      </c>
      <c r="H43" s="8">
        <f>'1.a sz. Önkormányzat 2021. '!EK43</f>
        <v>0</v>
      </c>
      <c r="I43" s="15">
        <f t="shared" si="3"/>
        <v>53951790</v>
      </c>
      <c r="J43" s="15">
        <f t="shared" si="4"/>
        <v>0</v>
      </c>
    </row>
    <row r="44" spans="1:11" s="18" customFormat="1" ht="24.75" customHeight="1" x14ac:dyDescent="0.25">
      <c r="A44" s="10" t="s">
        <v>295</v>
      </c>
      <c r="B44" s="132" t="s">
        <v>608</v>
      </c>
      <c r="C44" s="17"/>
      <c r="D44" s="8">
        <f>'2.10. sz. Intézmények összesen'!D44+'1.a sz. Önkormányzat 2021. '!EG44</f>
        <v>0</v>
      </c>
      <c r="E44" s="8">
        <f>'2.10. sz. Intézmények összesen'!E44+'1.a sz. Önkormányzat 2021. '!EH44</f>
        <v>0</v>
      </c>
      <c r="F44" s="8">
        <f>'2.10. sz. Intézmények összesen'!F44+'1.a sz. Önkormányzat 2021. '!EI44</f>
        <v>0</v>
      </c>
      <c r="G44" s="8">
        <f t="shared" si="0"/>
        <v>0</v>
      </c>
      <c r="H44" s="8">
        <f>'1.a sz. Önkormányzat 2021. '!EK44</f>
        <v>0</v>
      </c>
      <c r="I44" s="15">
        <f t="shared" si="3"/>
        <v>0</v>
      </c>
      <c r="J44" s="15">
        <f t="shared" si="4"/>
        <v>0</v>
      </c>
    </row>
    <row r="45" spans="1:11" s="18" customFormat="1" ht="24.75" customHeight="1" x14ac:dyDescent="0.25">
      <c r="A45" s="10" t="s">
        <v>296</v>
      </c>
      <c r="B45" s="132" t="s">
        <v>888</v>
      </c>
      <c r="C45" s="17"/>
      <c r="D45" s="8">
        <f>'2.10. sz. Intézmények összesen'!D45+'1.a sz. Önkormányzat 2021. '!EG45</f>
        <v>0</v>
      </c>
      <c r="E45" s="8">
        <f>'2.10. sz. Intézmények összesen'!E45+'1.a sz. Önkormányzat 2021. '!EH45</f>
        <v>0</v>
      </c>
      <c r="F45" s="8">
        <f>'2.10. sz. Intézmények összesen'!F45+'1.a sz. Önkormányzat 2021. '!EI45</f>
        <v>0</v>
      </c>
      <c r="G45" s="8">
        <f t="shared" si="0"/>
        <v>0</v>
      </c>
      <c r="H45" s="8">
        <f>'1.a sz. Önkormányzat 2021. '!EK45</f>
        <v>0</v>
      </c>
      <c r="I45" s="15"/>
      <c r="J45" s="15"/>
    </row>
    <row r="46" spans="1:11" s="2" customFormat="1" ht="24.75" customHeight="1" x14ac:dyDescent="0.25">
      <c r="A46" s="10" t="s">
        <v>297</v>
      </c>
      <c r="B46" s="65" t="s">
        <v>120</v>
      </c>
      <c r="C46" s="1"/>
      <c r="D46" s="9">
        <f>'2.10. sz. Intézmények összesen'!D46+'1.a sz. Önkormányzat 2021. '!EG46</f>
        <v>10276983753</v>
      </c>
      <c r="E46" s="9">
        <f>'2.10. sz. Intézmények összesen'!E46+'1.a sz. Önkormányzat 2021. '!EH46</f>
        <v>21728600</v>
      </c>
      <c r="F46" s="9">
        <f>'2.10. sz. Intézmények összesen'!F46+'1.a sz. Önkormányzat 2021. '!EI46</f>
        <v>3013800</v>
      </c>
      <c r="G46" s="9">
        <f t="shared" si="0"/>
        <v>10301726153</v>
      </c>
      <c r="H46" s="9">
        <f>'1.a sz. Önkormányzat 2021. '!EK46</f>
        <v>0</v>
      </c>
      <c r="I46" s="15">
        <f>+D46+E46+F46</f>
        <v>10301726153</v>
      </c>
      <c r="J46" s="15">
        <f>+I46-G46</f>
        <v>0</v>
      </c>
    </row>
    <row r="47" spans="1:11" s="2" customFormat="1" ht="24.75" customHeight="1" x14ac:dyDescent="0.25">
      <c r="A47" s="10" t="s">
        <v>298</v>
      </c>
      <c r="B47" s="65" t="s">
        <v>121</v>
      </c>
      <c r="C47" s="1"/>
      <c r="D47" s="9">
        <f>'2.10. sz. Intézmények összesen'!D47+'1.a sz. Önkormányzat 2021. '!EG47</f>
        <v>915388291</v>
      </c>
      <c r="E47" s="9">
        <f>'2.10. sz. Intézmények összesen'!E47+'1.a sz. Önkormányzat 2021. '!EH47</f>
        <v>63551200</v>
      </c>
      <c r="F47" s="9">
        <f>'2.10. sz. Intézmények összesen'!F47+'1.a sz. Önkormányzat 2021. '!EI47</f>
        <v>0</v>
      </c>
      <c r="G47" s="9">
        <f t="shared" si="0"/>
        <v>978939491</v>
      </c>
      <c r="H47" s="9">
        <f>'1.a sz. Önkormányzat 2021. '!EK47</f>
        <v>0</v>
      </c>
      <c r="I47" s="15">
        <f>+D47+E47+F47</f>
        <v>978939491</v>
      </c>
      <c r="J47" s="15">
        <f>+I47-G47</f>
        <v>0</v>
      </c>
      <c r="K47" s="332"/>
    </row>
    <row r="48" spans="1:11" s="2" customFormat="1" ht="24.75" customHeight="1" x14ac:dyDescent="0.25">
      <c r="A48" s="10" t="s">
        <v>299</v>
      </c>
      <c r="B48" s="65" t="s">
        <v>344</v>
      </c>
      <c r="C48" s="1" t="s">
        <v>955</v>
      </c>
      <c r="D48" s="9">
        <f>'2.10. sz. Intézmények összesen'!D48+'1.a sz. Önkormányzat 2021. '!EG48</f>
        <v>11192372044</v>
      </c>
      <c r="E48" s="9">
        <f>'2.10. sz. Intézmények összesen'!E48+'1.a sz. Önkormányzat 2021. '!EH48</f>
        <v>85279800</v>
      </c>
      <c r="F48" s="9">
        <f>'2.10. sz. Intézmények összesen'!F48+'1.a sz. Önkormányzat 2021. '!EI48</f>
        <v>3013800</v>
      </c>
      <c r="G48" s="9">
        <f t="shared" si="0"/>
        <v>11280665644</v>
      </c>
      <c r="H48" s="9">
        <f>'1.a sz. Önkormányzat 2021. '!EK48</f>
        <v>0</v>
      </c>
      <c r="I48" s="15">
        <f>+D48+E48+F48</f>
        <v>11280665644</v>
      </c>
      <c r="J48" s="15">
        <f>+I48-G48</f>
        <v>0</v>
      </c>
    </row>
    <row r="49" spans="1:13" s="2" customFormat="1" ht="24.75" customHeight="1" x14ac:dyDescent="0.25">
      <c r="A49" s="10" t="s">
        <v>300</v>
      </c>
      <c r="B49" s="585" t="s">
        <v>465</v>
      </c>
      <c r="C49" s="1"/>
      <c r="D49" s="8">
        <f>'2.10. sz. Intézmények összesen'!D49+'1.a sz. Önkormányzat 2021. '!EG49</f>
        <v>352</v>
      </c>
      <c r="E49" s="8">
        <f>'2.10. sz. Intézmények összesen'!E49+'1.a sz. Önkormányzat 2021. '!EH49</f>
        <v>22</v>
      </c>
      <c r="F49" s="8">
        <f>'2.10. sz. Intézmények összesen'!F49+'1.a sz. Önkormányzat 2021. '!EI49</f>
        <v>10</v>
      </c>
      <c r="G49" s="8">
        <f t="shared" si="0"/>
        <v>384</v>
      </c>
      <c r="H49" s="8">
        <f>'1.a sz. Önkormányzat 2021. '!EK49</f>
        <v>0</v>
      </c>
      <c r="I49" s="15">
        <f>+D49+E49+F49</f>
        <v>384</v>
      </c>
      <c r="J49" s="15">
        <f>+I49-G49</f>
        <v>0</v>
      </c>
    </row>
    <row r="50" spans="1:13" s="2" customFormat="1" ht="24.75" customHeight="1" x14ac:dyDescent="0.25">
      <c r="A50" s="10" t="s">
        <v>301</v>
      </c>
      <c r="B50" s="65" t="s">
        <v>1047</v>
      </c>
      <c r="C50" s="1"/>
      <c r="D50" s="8">
        <f>'2.10. sz. Intézmények összesen'!D50+'1.a sz. Önkormányzat 2021. '!EG50</f>
        <v>1250352245</v>
      </c>
      <c r="E50" s="8">
        <f>'2.10. sz. Intézmények összesen'!E50+'1.a sz. Önkormányzat 2021. '!EH50</f>
        <v>93000000</v>
      </c>
      <c r="F50" s="8">
        <f>'2.10. sz. Intézmények összesen'!F50+'1.a sz. Önkormányzat 2021. '!EI50</f>
        <v>0</v>
      </c>
      <c r="G50" s="8">
        <f t="shared" si="0"/>
        <v>1343352245</v>
      </c>
      <c r="H50" s="8">
        <f>'1.a sz. Önkormányzat 2021. '!EK50</f>
        <v>0</v>
      </c>
      <c r="I50" s="15">
        <f>+D50+E50+F50</f>
        <v>1343352245</v>
      </c>
      <c r="J50" s="15">
        <f>+I50-G50</f>
        <v>0</v>
      </c>
    </row>
    <row r="51" spans="1:13" x14ac:dyDescent="0.25">
      <c r="D51" s="42"/>
      <c r="E51" s="42"/>
      <c r="F51" s="42"/>
      <c r="G51" s="231"/>
      <c r="H51" s="42"/>
      <c r="I51" s="76"/>
      <c r="J51" s="76"/>
      <c r="K51" s="76"/>
      <c r="L51" s="76"/>
      <c r="M51" s="76"/>
    </row>
    <row r="52" spans="1:13" x14ac:dyDescent="0.25">
      <c r="D52" s="15"/>
      <c r="E52" s="15"/>
      <c r="F52" s="15"/>
      <c r="G52" s="15"/>
      <c r="H52" s="15"/>
      <c r="I52" s="76"/>
      <c r="J52" s="76"/>
      <c r="K52" s="76"/>
      <c r="L52" s="76"/>
      <c r="M52" s="76"/>
    </row>
    <row r="53" spans="1:13" ht="18.75" x14ac:dyDescent="0.3">
      <c r="G53" s="15"/>
      <c r="H53" s="583">
        <f>+G48-G29</f>
        <v>0</v>
      </c>
      <c r="I53" s="76"/>
      <c r="J53" s="42">
        <f>+G48-G29</f>
        <v>0</v>
      </c>
      <c r="K53" s="573" t="s">
        <v>668</v>
      </c>
      <c r="L53" s="574">
        <f>'5.sz.Műk.c.pe.átadás'!H47+'6.sz. Beruházások'!Q126+'8.sz.Tartalékok'!D67</f>
        <v>921237245</v>
      </c>
      <c r="M53" s="76"/>
    </row>
    <row r="54" spans="1:13" x14ac:dyDescent="0.25">
      <c r="I54" s="76"/>
      <c r="J54" s="76"/>
      <c r="K54" s="76"/>
      <c r="L54" s="76"/>
      <c r="M54" s="76"/>
    </row>
    <row r="55" spans="1:13" x14ac:dyDescent="0.25">
      <c r="F55" s="15"/>
      <c r="G55" s="15"/>
      <c r="H55" s="15">
        <f>+H53+H54</f>
        <v>0</v>
      </c>
      <c r="I55" s="76"/>
      <c r="J55" s="76"/>
      <c r="K55" s="76"/>
      <c r="L55" s="76"/>
      <c r="M55" s="76"/>
    </row>
    <row r="56" spans="1:13" x14ac:dyDescent="0.25">
      <c r="G56" s="15" t="s">
        <v>779</v>
      </c>
      <c r="H56" s="15" t="s">
        <v>780</v>
      </c>
      <c r="I56" s="76" t="s">
        <v>783</v>
      </c>
      <c r="J56" s="76"/>
      <c r="K56" s="76"/>
      <c r="L56" s="76"/>
      <c r="M56" s="76"/>
    </row>
    <row r="57" spans="1:13" x14ac:dyDescent="0.25">
      <c r="F57" s="4" t="s">
        <v>781</v>
      </c>
      <c r="G57" s="15">
        <f>+G8+G9+G10+G11+G12</f>
        <v>7018073861</v>
      </c>
      <c r="H57" s="15">
        <f>+G16+G17+G18</f>
        <v>1127844893</v>
      </c>
      <c r="I57" s="15">
        <f>+G21</f>
        <v>3134746890</v>
      </c>
      <c r="J57" s="15">
        <f>+G57+H57+I57</f>
        <v>11280665644</v>
      </c>
    </row>
    <row r="58" spans="1:13" x14ac:dyDescent="0.25">
      <c r="F58" s="4" t="s">
        <v>782</v>
      </c>
      <c r="G58" s="15">
        <f>+G30+G32+G33+G35</f>
        <v>5901121114</v>
      </c>
      <c r="H58" s="15">
        <f>+G31+G34+G36</f>
        <v>67726400</v>
      </c>
      <c r="I58" s="15">
        <f>+G38</f>
        <v>5311818130</v>
      </c>
      <c r="J58" s="15">
        <f>+G58+H58+I58</f>
        <v>11280665644</v>
      </c>
    </row>
    <row r="59" spans="1:13" x14ac:dyDescent="0.25">
      <c r="G59" s="15"/>
    </row>
    <row r="60" spans="1:13" x14ac:dyDescent="0.25">
      <c r="G60" s="15">
        <f>+G20-G37</f>
        <v>2177071240</v>
      </c>
      <c r="K60" s="15">
        <f>+G30+G32+G33+G35</f>
        <v>5901121114</v>
      </c>
    </row>
    <row r="61" spans="1:13" x14ac:dyDescent="0.25">
      <c r="K61" s="15">
        <f>+G31+G34+G36</f>
        <v>67726400</v>
      </c>
    </row>
    <row r="62" spans="1:13" x14ac:dyDescent="0.25">
      <c r="G62" s="15">
        <f>+G40+G41-G22-G25</f>
        <v>2177071240</v>
      </c>
      <c r="H62" s="15">
        <f>+G62-G60</f>
        <v>0</v>
      </c>
    </row>
    <row r="64" spans="1:13" x14ac:dyDescent="0.25">
      <c r="G64" s="15">
        <f>+G48-G29</f>
        <v>0</v>
      </c>
    </row>
    <row r="67" spans="8:8" x14ac:dyDescent="0.25">
      <c r="H67" s="15"/>
    </row>
  </sheetData>
  <mergeCells count="12">
    <mergeCell ref="E4:E6"/>
    <mergeCell ref="B5:C5"/>
    <mergeCell ref="H3:H6"/>
    <mergeCell ref="G4:G6"/>
    <mergeCell ref="D4:D6"/>
    <mergeCell ref="F4:F6"/>
    <mergeCell ref="A2:C2"/>
    <mergeCell ref="A3:A6"/>
    <mergeCell ref="B3:C3"/>
    <mergeCell ref="B4:C4"/>
    <mergeCell ref="D2:H2"/>
    <mergeCell ref="D3:G3"/>
  </mergeCells>
  <phoneticPr fontId="4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50" fitToHeight="0" orientation="portrait" r:id="rId1"/>
  <headerFooter alignWithMargins="0">
    <oddHeader>&amp;C2021. évi költségvetés&amp;R&amp;A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view="pageBreakPreview" topLeftCell="A13" zoomScaleNormal="100" zoomScaleSheetLayoutView="100" workbookViewId="0">
      <selection activeCell="K11" sqref="K11"/>
    </sheetView>
  </sheetViews>
  <sheetFormatPr defaultRowHeight="12.75" x14ac:dyDescent="0.2"/>
  <cols>
    <col min="1" max="1" width="3.7109375" style="22" customWidth="1"/>
    <col min="2" max="2" width="4" style="22" customWidth="1"/>
    <col min="3" max="3" width="5" style="22" customWidth="1"/>
    <col min="4" max="4" width="44.85546875" style="22" customWidth="1"/>
    <col min="5" max="5" width="15.7109375" style="22" customWidth="1"/>
    <col min="6" max="6" width="15.5703125" style="22" customWidth="1"/>
    <col min="7" max="8" width="16" style="22" customWidth="1"/>
    <col min="9" max="9" width="17.5703125" style="22" customWidth="1"/>
    <col min="10" max="10" width="15.28515625" style="22" customWidth="1"/>
    <col min="11" max="16384" width="9.140625" style="22"/>
  </cols>
  <sheetData>
    <row r="1" spans="1:10" ht="23.25" customHeight="1" x14ac:dyDescent="0.2">
      <c r="A1" s="1120" t="s">
        <v>70</v>
      </c>
      <c r="B1" s="1120"/>
      <c r="C1" s="1120"/>
      <c r="D1" s="1120"/>
      <c r="E1" s="1120"/>
      <c r="F1" s="1120"/>
      <c r="G1" s="1120"/>
      <c r="H1" s="1120"/>
      <c r="I1" s="1120"/>
      <c r="J1" s="1120"/>
    </row>
    <row r="2" spans="1:10" ht="24.75" customHeight="1" x14ac:dyDescent="0.25">
      <c r="A2" s="535"/>
      <c r="B2" s="1121" t="s">
        <v>1056</v>
      </c>
      <c r="C2" s="1121"/>
      <c r="D2" s="1121"/>
      <c r="E2" s="1121"/>
      <c r="F2" s="1121"/>
      <c r="G2" s="1121"/>
      <c r="H2" s="1121"/>
      <c r="I2" s="1121"/>
      <c r="J2" s="1121"/>
    </row>
    <row r="3" spans="1:10" ht="13.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51" t="s">
        <v>458</v>
      </c>
    </row>
    <row r="4" spans="1:10" ht="73.5" customHeight="1" x14ac:dyDescent="0.2">
      <c r="A4" s="537" t="s">
        <v>53</v>
      </c>
      <c r="B4" s="537" t="s">
        <v>777</v>
      </c>
      <c r="C4" s="537" t="s">
        <v>55</v>
      </c>
      <c r="D4" s="538" t="s">
        <v>2</v>
      </c>
      <c r="E4" s="497" t="s">
        <v>370</v>
      </c>
      <c r="F4" s="46" t="s">
        <v>575</v>
      </c>
      <c r="G4" s="46" t="s">
        <v>382</v>
      </c>
      <c r="H4" s="46" t="s">
        <v>1040</v>
      </c>
      <c r="I4" s="496" t="s">
        <v>62</v>
      </c>
      <c r="J4" s="183" t="s">
        <v>126</v>
      </c>
    </row>
    <row r="5" spans="1:10" s="49" customFormat="1" ht="22.5" customHeight="1" x14ac:dyDescent="0.2">
      <c r="A5" s="1124" t="s">
        <v>59</v>
      </c>
      <c r="B5" s="1125"/>
      <c r="C5" s="1125"/>
      <c r="D5" s="1125"/>
      <c r="E5" s="89">
        <f>SUM(E6:E11)</f>
        <v>8000000</v>
      </c>
      <c r="F5" s="89">
        <f>SUM(F6:F11)</f>
        <v>4000000</v>
      </c>
      <c r="G5" s="89">
        <f>SUM(G6:G11)</f>
        <v>1320000</v>
      </c>
      <c r="H5" s="89">
        <f>SUM(H6:H11)</f>
        <v>3000000</v>
      </c>
      <c r="I5" s="89">
        <f>SUM(I6:I11)</f>
        <v>0</v>
      </c>
      <c r="J5" s="134">
        <f>SUM(E5:I5)</f>
        <v>16320000</v>
      </c>
    </row>
    <row r="6" spans="1:10" s="348" customFormat="1" ht="19.5" customHeight="1" x14ac:dyDescent="0.2">
      <c r="A6" s="190" t="s">
        <v>203</v>
      </c>
      <c r="B6" s="452">
        <v>301</v>
      </c>
      <c r="C6" s="191" t="s">
        <v>371</v>
      </c>
      <c r="D6" s="86" t="s">
        <v>57</v>
      </c>
      <c r="E6" s="136">
        <v>4000000</v>
      </c>
      <c r="F6" s="136"/>
      <c r="G6" s="453"/>
      <c r="H6" s="453"/>
      <c r="I6" s="453"/>
      <c r="J6" s="590">
        <f>E6+F6+I6+G6</f>
        <v>4000000</v>
      </c>
    </row>
    <row r="7" spans="1:10" ht="27" customHeight="1" x14ac:dyDescent="0.2">
      <c r="A7" s="190" t="s">
        <v>204</v>
      </c>
      <c r="B7" s="193">
        <v>302</v>
      </c>
      <c r="C7" s="194" t="s">
        <v>371</v>
      </c>
      <c r="D7" s="92" t="s">
        <v>58</v>
      </c>
      <c r="E7" s="198"/>
      <c r="F7" s="181">
        <v>4000000</v>
      </c>
      <c r="G7" s="195"/>
      <c r="H7" s="195"/>
      <c r="I7" s="195"/>
      <c r="J7" s="591">
        <f t="shared" ref="J7:J12" si="0">SUM(E7:I7)</f>
        <v>4000000</v>
      </c>
    </row>
    <row r="8" spans="1:10" ht="25.5" x14ac:dyDescent="0.2">
      <c r="A8" s="190" t="s">
        <v>205</v>
      </c>
      <c r="B8" s="193">
        <v>301</v>
      </c>
      <c r="C8" s="194" t="s">
        <v>56</v>
      </c>
      <c r="D8" s="454" t="s">
        <v>164</v>
      </c>
      <c r="E8" s="181">
        <v>500000</v>
      </c>
      <c r="F8" s="455"/>
      <c r="G8" s="195"/>
      <c r="H8" s="195"/>
      <c r="I8" s="195"/>
      <c r="J8" s="591">
        <f t="shared" si="0"/>
        <v>500000</v>
      </c>
    </row>
    <row r="9" spans="1:10" ht="25.5" x14ac:dyDescent="0.2">
      <c r="A9" s="190" t="s">
        <v>206</v>
      </c>
      <c r="B9" s="630">
        <v>303</v>
      </c>
      <c r="C9" s="631" t="s">
        <v>371</v>
      </c>
      <c r="D9" s="632" t="s">
        <v>1041</v>
      </c>
      <c r="E9" s="198"/>
      <c r="F9" s="551"/>
      <c r="G9" s="458"/>
      <c r="H9" s="458">
        <v>3000000</v>
      </c>
      <c r="I9" s="458"/>
      <c r="J9" s="591">
        <f t="shared" si="0"/>
        <v>3000000</v>
      </c>
    </row>
    <row r="10" spans="1:10" ht="31.5" customHeight="1" x14ac:dyDescent="0.2">
      <c r="A10" s="190" t="s">
        <v>207</v>
      </c>
      <c r="B10" s="196" t="s">
        <v>68</v>
      </c>
      <c r="C10" s="197" t="s">
        <v>371</v>
      </c>
      <c r="D10" s="456" t="s">
        <v>875</v>
      </c>
      <c r="E10" s="198">
        <v>3500000</v>
      </c>
      <c r="F10" s="198"/>
      <c r="G10" s="458"/>
      <c r="H10" s="458"/>
      <c r="I10" s="458"/>
      <c r="J10" s="591">
        <f t="shared" si="0"/>
        <v>3500000</v>
      </c>
    </row>
    <row r="11" spans="1:10" ht="32.25" customHeight="1" x14ac:dyDescent="0.2">
      <c r="A11" s="190" t="s">
        <v>208</v>
      </c>
      <c r="B11" s="196">
        <v>307</v>
      </c>
      <c r="C11" s="197" t="s">
        <v>371</v>
      </c>
      <c r="D11" s="456" t="s">
        <v>829</v>
      </c>
      <c r="E11" s="198"/>
      <c r="F11" s="198"/>
      <c r="G11" s="458">
        <v>1320000</v>
      </c>
      <c r="H11" s="458"/>
      <c r="I11" s="458"/>
      <c r="J11" s="591">
        <f t="shared" si="0"/>
        <v>1320000</v>
      </c>
    </row>
    <row r="12" spans="1:10" s="49" customFormat="1" ht="20.25" customHeight="1" x14ac:dyDescent="0.2">
      <c r="A12" s="1124" t="s">
        <v>63</v>
      </c>
      <c r="B12" s="1125"/>
      <c r="C12" s="1125"/>
      <c r="D12" s="1125"/>
      <c r="E12" s="89">
        <f>SUM(E14)</f>
        <v>0</v>
      </c>
      <c r="F12" s="89">
        <f>SUM(F14)</f>
        <v>0</v>
      </c>
      <c r="G12" s="89">
        <f>SUM(G14)</f>
        <v>0</v>
      </c>
      <c r="H12" s="89">
        <f>SUM(H14)</f>
        <v>0</v>
      </c>
      <c r="I12" s="89">
        <f>SUM(I14)</f>
        <v>6000000</v>
      </c>
      <c r="J12" s="134">
        <f t="shared" si="0"/>
        <v>6000000</v>
      </c>
    </row>
    <row r="13" spans="1:10" s="49" customFormat="1" ht="20.25" customHeight="1" x14ac:dyDescent="0.2">
      <c r="A13" s="1126" t="s">
        <v>521</v>
      </c>
      <c r="B13" s="1127"/>
      <c r="C13" s="1127"/>
      <c r="D13" s="1128"/>
      <c r="E13" s="1129"/>
      <c r="F13" s="1130"/>
      <c r="G13" s="1130"/>
      <c r="H13" s="1130"/>
      <c r="I13" s="1130"/>
      <c r="J13" s="134">
        <f>E13+F13+I13+G13</f>
        <v>0</v>
      </c>
    </row>
    <row r="14" spans="1:10" ht="25.5" customHeight="1" x14ac:dyDescent="0.2">
      <c r="A14" s="312" t="s">
        <v>203</v>
      </c>
      <c r="B14" s="313" t="s">
        <v>98</v>
      </c>
      <c r="C14" s="459" t="s">
        <v>61</v>
      </c>
      <c r="D14" s="460" t="s">
        <v>60</v>
      </c>
      <c r="E14" s="461"/>
      <c r="F14" s="461"/>
      <c r="G14" s="462"/>
      <c r="H14" s="462"/>
      <c r="I14" s="462">
        <v>6000000</v>
      </c>
      <c r="J14" s="134">
        <f>SUM(E14:I14)</f>
        <v>6000000</v>
      </c>
    </row>
    <row r="15" spans="1:10" ht="31.5" customHeight="1" x14ac:dyDescent="0.2">
      <c r="A15" s="1122" t="s">
        <v>29</v>
      </c>
      <c r="B15" s="1123"/>
      <c r="C15" s="1123"/>
      <c r="D15" s="1123"/>
      <c r="E15" s="93">
        <f>+E12+E5</f>
        <v>8000000</v>
      </c>
      <c r="F15" s="93">
        <f>+F12+F5</f>
        <v>4000000</v>
      </c>
      <c r="G15" s="93">
        <f>+G12+G5</f>
        <v>1320000</v>
      </c>
      <c r="H15" s="93">
        <f>+H12+H5</f>
        <v>3000000</v>
      </c>
      <c r="I15" s="93">
        <f>+I12+I5</f>
        <v>6000000</v>
      </c>
      <c r="J15" s="134">
        <f>SUM(E15:I15)</f>
        <v>22320000</v>
      </c>
    </row>
    <row r="16" spans="1:10" x14ac:dyDescent="0.2">
      <c r="E16" s="50"/>
      <c r="F16" s="50"/>
      <c r="G16" s="50"/>
      <c r="H16" s="50"/>
      <c r="I16" s="50"/>
    </row>
    <row r="17" spans="5:9" x14ac:dyDescent="0.2">
      <c r="E17" s="50"/>
      <c r="F17" s="50"/>
      <c r="G17" s="50"/>
      <c r="H17" s="50"/>
      <c r="I17" s="50"/>
    </row>
    <row r="18" spans="5:9" x14ac:dyDescent="0.2">
      <c r="E18" s="50"/>
      <c r="F18" s="50"/>
      <c r="G18" s="50"/>
      <c r="H18" s="50"/>
      <c r="I18" s="50"/>
    </row>
    <row r="19" spans="5:9" x14ac:dyDescent="0.2">
      <c r="E19" s="50"/>
      <c r="F19" s="50"/>
      <c r="G19" s="50"/>
      <c r="H19" s="50"/>
      <c r="I19" s="50"/>
    </row>
    <row r="20" spans="5:9" x14ac:dyDescent="0.2">
      <c r="E20" s="50"/>
      <c r="F20" s="50"/>
      <c r="G20" s="50"/>
      <c r="H20" s="50"/>
      <c r="I20" s="50"/>
    </row>
    <row r="21" spans="5:9" x14ac:dyDescent="0.2">
      <c r="E21" s="50"/>
      <c r="F21" s="50"/>
      <c r="G21" s="50"/>
      <c r="H21" s="50"/>
      <c r="I21" s="50"/>
    </row>
  </sheetData>
  <mergeCells count="7">
    <mergeCell ref="A1:J1"/>
    <mergeCell ref="B2:J2"/>
    <mergeCell ref="A15:D15"/>
    <mergeCell ref="A12:D12"/>
    <mergeCell ref="A5:D5"/>
    <mergeCell ref="A13:D13"/>
    <mergeCell ref="E13:I13"/>
  </mergeCells>
  <phoneticPr fontId="4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  <headerFooter>
    <oddHeader>&amp;C2021. évi költségvetés
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topLeftCell="A28" zoomScale="90" zoomScaleNormal="100" zoomScaleSheetLayoutView="90" workbookViewId="0">
      <selection activeCell="G35" sqref="G35"/>
    </sheetView>
  </sheetViews>
  <sheetFormatPr defaultRowHeight="12.75" x14ac:dyDescent="0.2"/>
  <cols>
    <col min="1" max="1" width="4.28515625" style="22" customWidth="1"/>
    <col min="2" max="2" width="3.5703125" style="22" bestFit="1" customWidth="1"/>
    <col min="3" max="3" width="5" style="22" customWidth="1"/>
    <col min="4" max="4" width="58.5703125" style="22" customWidth="1"/>
    <col min="5" max="5" width="18.5703125" style="22" customWidth="1"/>
    <col min="6" max="6" width="20" style="22" customWidth="1"/>
    <col min="7" max="8" width="20.28515625" style="22" customWidth="1"/>
    <col min="9" max="9" width="16" style="22" customWidth="1"/>
    <col min="10" max="11" width="14.140625" style="22" bestFit="1" customWidth="1"/>
    <col min="12" max="16384" width="9.140625" style="22"/>
  </cols>
  <sheetData>
    <row r="1" spans="1:10" ht="23.25" customHeight="1" x14ac:dyDescent="0.2">
      <c r="A1" s="1120" t="s">
        <v>64</v>
      </c>
      <c r="B1" s="1120"/>
      <c r="C1" s="1120"/>
      <c r="D1" s="1120"/>
      <c r="E1" s="1120"/>
      <c r="F1" s="1120"/>
      <c r="G1" s="1120"/>
      <c r="H1" s="1120"/>
      <c r="I1" s="1120"/>
    </row>
    <row r="2" spans="1:10" ht="27.75" customHeight="1" x14ac:dyDescent="0.25">
      <c r="A2" s="1121" t="s">
        <v>1056</v>
      </c>
      <c r="B2" s="1121"/>
      <c r="C2" s="1121"/>
      <c r="D2" s="1121"/>
      <c r="E2" s="1121"/>
      <c r="F2" s="1121"/>
      <c r="G2" s="1121"/>
      <c r="H2" s="1121"/>
      <c r="I2" s="1121"/>
    </row>
    <row r="3" spans="1:10" x14ac:dyDescent="0.2">
      <c r="I3" s="51" t="s">
        <v>458</v>
      </c>
    </row>
    <row r="4" spans="1:10" ht="68.25" customHeight="1" x14ac:dyDescent="0.2">
      <c r="A4" s="539" t="s">
        <v>53</v>
      </c>
      <c r="B4" s="540" t="s">
        <v>777</v>
      </c>
      <c r="C4" s="541" t="s">
        <v>1</v>
      </c>
      <c r="D4" s="536" t="s">
        <v>2</v>
      </c>
      <c r="E4" s="53" t="s">
        <v>71</v>
      </c>
      <c r="F4" s="53" t="s">
        <v>832</v>
      </c>
      <c r="G4" s="53" t="s">
        <v>67</v>
      </c>
      <c r="H4" s="496" t="s">
        <v>922</v>
      </c>
      <c r="I4" s="47" t="s">
        <v>11</v>
      </c>
    </row>
    <row r="5" spans="1:10" ht="17.25" customHeight="1" x14ac:dyDescent="0.2">
      <c r="A5" s="1144" t="s">
        <v>55</v>
      </c>
      <c r="B5" s="1145"/>
      <c r="C5" s="1145"/>
      <c r="D5" s="1145"/>
      <c r="E5" s="54" t="s">
        <v>85</v>
      </c>
      <c r="F5" s="533" t="s">
        <v>833</v>
      </c>
      <c r="G5" s="473" t="s">
        <v>412</v>
      </c>
      <c r="H5" s="559"/>
      <c r="I5" s="55"/>
      <c r="J5" s="50"/>
    </row>
    <row r="6" spans="1:10" s="49" customFormat="1" ht="23.25" customHeight="1" x14ac:dyDescent="0.2">
      <c r="A6" s="1146" t="s">
        <v>72</v>
      </c>
      <c r="B6" s="1147"/>
      <c r="C6" s="1147"/>
      <c r="D6" s="56" t="s">
        <v>690</v>
      </c>
      <c r="E6" s="57">
        <f>SUM(E7:E14)</f>
        <v>0</v>
      </c>
      <c r="F6" s="57">
        <f>SUM(F7:F14)</f>
        <v>0</v>
      </c>
      <c r="G6" s="57">
        <f>SUM(G7:G14)</f>
        <v>42962800</v>
      </c>
      <c r="H6" s="57">
        <f>SUM(H7:H14)</f>
        <v>0</v>
      </c>
      <c r="I6" s="58"/>
      <c r="J6" s="59"/>
    </row>
    <row r="7" spans="1:10" ht="23.25" customHeight="1" x14ac:dyDescent="0.2">
      <c r="A7" s="190" t="s">
        <v>203</v>
      </c>
      <c r="B7" s="452">
        <v>312</v>
      </c>
      <c r="C7" s="192"/>
      <c r="D7" s="192" t="s">
        <v>999</v>
      </c>
      <c r="E7" s="199"/>
      <c r="F7" s="199"/>
      <c r="G7" s="199">
        <v>25216800</v>
      </c>
      <c r="H7" s="560"/>
      <c r="I7" s="464" t="s">
        <v>238</v>
      </c>
      <c r="J7" s="50"/>
    </row>
    <row r="8" spans="1:10" ht="23.25" customHeight="1" x14ac:dyDescent="0.2">
      <c r="A8" s="189" t="s">
        <v>205</v>
      </c>
      <c r="B8" s="193">
        <v>306</v>
      </c>
      <c r="C8" s="162"/>
      <c r="D8" s="162" t="s">
        <v>73</v>
      </c>
      <c r="E8" s="199"/>
      <c r="F8" s="199"/>
      <c r="G8" s="200">
        <v>390000</v>
      </c>
      <c r="H8" s="561"/>
      <c r="I8" s="100" t="s">
        <v>238</v>
      </c>
      <c r="J8" s="50"/>
    </row>
    <row r="9" spans="1:10" ht="23.25" customHeight="1" x14ac:dyDescent="0.2">
      <c r="A9" s="201" t="s">
        <v>206</v>
      </c>
      <c r="B9" s="196">
        <v>313</v>
      </c>
      <c r="C9" s="178"/>
      <c r="D9" s="202" t="s">
        <v>433</v>
      </c>
      <c r="E9" s="199"/>
      <c r="F9" s="199"/>
      <c r="G9" s="200">
        <v>14856000</v>
      </c>
      <c r="H9" s="561"/>
      <c r="I9" s="100" t="s">
        <v>238</v>
      </c>
      <c r="J9" s="50"/>
    </row>
    <row r="10" spans="1:10" ht="23.25" customHeight="1" x14ac:dyDescent="0.2">
      <c r="A10" s="201" t="s">
        <v>207</v>
      </c>
      <c r="B10" s="193">
        <v>306</v>
      </c>
      <c r="C10" s="345"/>
      <c r="D10" s="202" t="s">
        <v>669</v>
      </c>
      <c r="E10" s="346"/>
      <c r="F10" s="346"/>
      <c r="G10" s="200">
        <v>500000</v>
      </c>
      <c r="H10" s="561"/>
      <c r="I10" s="100" t="s">
        <v>238</v>
      </c>
      <c r="J10" s="50"/>
    </row>
    <row r="11" spans="1:10" ht="23.25" customHeight="1" x14ac:dyDescent="0.2">
      <c r="A11" s="201" t="s">
        <v>208</v>
      </c>
      <c r="B11" s="193">
        <v>306</v>
      </c>
      <c r="C11" s="345"/>
      <c r="D11" s="202" t="s">
        <v>671</v>
      </c>
      <c r="E11" s="346"/>
      <c r="F11" s="346"/>
      <c r="G11" s="200">
        <v>300000</v>
      </c>
      <c r="H11" s="561"/>
      <c r="I11" s="100" t="s">
        <v>238</v>
      </c>
      <c r="J11" s="50"/>
    </row>
    <row r="12" spans="1:10" ht="23.25" customHeight="1" x14ac:dyDescent="0.2">
      <c r="A12" s="201" t="s">
        <v>209</v>
      </c>
      <c r="B12" s="193">
        <v>306</v>
      </c>
      <c r="C12" s="345"/>
      <c r="D12" s="202" t="s">
        <v>670</v>
      </c>
      <c r="E12" s="346"/>
      <c r="F12" s="346"/>
      <c r="G12" s="200">
        <v>700000</v>
      </c>
      <c r="H12" s="561"/>
      <c r="I12" s="100" t="s">
        <v>238</v>
      </c>
      <c r="J12" s="50"/>
    </row>
    <row r="13" spans="1:10" ht="23.25" customHeight="1" x14ac:dyDescent="0.2">
      <c r="A13" s="201" t="s">
        <v>210</v>
      </c>
      <c r="B13" s="196">
        <v>306</v>
      </c>
      <c r="C13" s="345"/>
      <c r="D13" s="202" t="s">
        <v>656</v>
      </c>
      <c r="E13" s="346"/>
      <c r="F13" s="346"/>
      <c r="G13" s="200">
        <v>1000000</v>
      </c>
      <c r="H13" s="561"/>
      <c r="I13" s="100" t="s">
        <v>238</v>
      </c>
      <c r="J13" s="50"/>
    </row>
    <row r="14" spans="1:10" ht="23.25" customHeight="1" x14ac:dyDescent="0.2">
      <c r="A14" s="201" t="s">
        <v>211</v>
      </c>
      <c r="B14" s="196">
        <v>306</v>
      </c>
      <c r="C14" s="345"/>
      <c r="D14" s="202" t="s">
        <v>982</v>
      </c>
      <c r="E14" s="346"/>
      <c r="F14" s="346"/>
      <c r="G14" s="200"/>
      <c r="H14" s="561"/>
      <c r="I14" s="100" t="s">
        <v>238</v>
      </c>
      <c r="J14" s="50"/>
    </row>
    <row r="15" spans="1:10" s="49" customFormat="1" ht="23.25" customHeight="1" x14ac:dyDescent="0.2">
      <c r="A15" s="1135" t="s">
        <v>74</v>
      </c>
      <c r="B15" s="1136"/>
      <c r="C15" s="1136"/>
      <c r="D15" s="88" t="s">
        <v>75</v>
      </c>
      <c r="E15" s="167">
        <f>+E16</f>
        <v>0</v>
      </c>
      <c r="F15" s="167">
        <f>+F16</f>
        <v>0</v>
      </c>
      <c r="G15" s="167">
        <f>+G16</f>
        <v>3080000</v>
      </c>
      <c r="H15" s="167">
        <f>+H16</f>
        <v>0</v>
      </c>
      <c r="I15" s="168"/>
      <c r="J15" s="59"/>
    </row>
    <row r="16" spans="1:10" ht="23.25" customHeight="1" x14ac:dyDescent="0.2">
      <c r="A16" s="203" t="s">
        <v>203</v>
      </c>
      <c r="B16" s="204">
        <v>307</v>
      </c>
      <c r="C16" s="205"/>
      <c r="D16" s="205" t="s">
        <v>76</v>
      </c>
      <c r="E16" s="465"/>
      <c r="F16" s="465"/>
      <c r="G16" s="465">
        <v>3080000</v>
      </c>
      <c r="H16" s="562"/>
      <c r="I16" s="206" t="s">
        <v>238</v>
      </c>
      <c r="J16" s="50"/>
    </row>
    <row r="17" spans="1:10" s="170" customFormat="1" ht="27.6" customHeight="1" x14ac:dyDescent="0.2">
      <c r="A17" s="1135" t="s">
        <v>138</v>
      </c>
      <c r="B17" s="1136"/>
      <c r="C17" s="1136"/>
      <c r="D17" s="166" t="s">
        <v>462</v>
      </c>
      <c r="E17" s="167">
        <f>SUM(E18:E18)</f>
        <v>70000</v>
      </c>
      <c r="F17" s="167">
        <f>SUM(F18:F18)</f>
        <v>0</v>
      </c>
      <c r="G17" s="167">
        <f>SUM(G18:G18)</f>
        <v>0</v>
      </c>
      <c r="H17" s="167">
        <f>SUM(H18:H18)</f>
        <v>0</v>
      </c>
      <c r="I17" s="168"/>
      <c r="J17" s="169"/>
    </row>
    <row r="18" spans="1:10" s="170" customFormat="1" ht="27.6" customHeight="1" x14ac:dyDescent="0.2">
      <c r="A18" s="190" t="s">
        <v>203</v>
      </c>
      <c r="B18" s="452">
        <v>308</v>
      </c>
      <c r="C18" s="192"/>
      <c r="D18" s="467" t="s">
        <v>78</v>
      </c>
      <c r="E18" s="368">
        <v>70000</v>
      </c>
      <c r="F18" s="368"/>
      <c r="G18" s="368"/>
      <c r="H18" s="563"/>
      <c r="I18" s="369" t="s">
        <v>238</v>
      </c>
      <c r="J18" s="169"/>
    </row>
    <row r="19" spans="1:10" s="49" customFormat="1" ht="23.25" customHeight="1" x14ac:dyDescent="0.2">
      <c r="A19" s="1135" t="s">
        <v>79</v>
      </c>
      <c r="B19" s="1136"/>
      <c r="C19" s="1136"/>
      <c r="D19" s="166" t="s">
        <v>80</v>
      </c>
      <c r="E19" s="167">
        <f>+E20</f>
        <v>0</v>
      </c>
      <c r="F19" s="167">
        <f>+F20</f>
        <v>0</v>
      </c>
      <c r="G19" s="167">
        <f>+G20</f>
        <v>79620000</v>
      </c>
      <c r="H19" s="167">
        <f>+H20</f>
        <v>0</v>
      </c>
      <c r="I19" s="168"/>
      <c r="J19" s="59"/>
    </row>
    <row r="20" spans="1:10" ht="23.25" customHeight="1" x14ac:dyDescent="0.2">
      <c r="A20" s="203" t="s">
        <v>203</v>
      </c>
      <c r="B20" s="204">
        <v>309</v>
      </c>
      <c r="C20" s="205"/>
      <c r="D20" s="205" t="s">
        <v>907</v>
      </c>
      <c r="E20" s="465"/>
      <c r="F20" s="465"/>
      <c r="G20" s="465">
        <f>72000000+7620000</f>
        <v>79620000</v>
      </c>
      <c r="H20" s="562"/>
      <c r="I20" s="206" t="s">
        <v>238</v>
      </c>
      <c r="J20" s="50"/>
    </row>
    <row r="21" spans="1:10" s="49" customFormat="1" ht="23.25" customHeight="1" x14ac:dyDescent="0.2">
      <c r="A21" s="1135" t="s">
        <v>81</v>
      </c>
      <c r="B21" s="1136"/>
      <c r="C21" s="1136"/>
      <c r="D21" s="166" t="s">
        <v>82</v>
      </c>
      <c r="E21" s="167">
        <f>SUM(E22:E22)</f>
        <v>4000000</v>
      </c>
      <c r="F21" s="167">
        <f>SUM(F22:F22)</f>
        <v>0</v>
      </c>
      <c r="G21" s="167">
        <f>SUM(G22:G22)</f>
        <v>0</v>
      </c>
      <c r="H21" s="167">
        <f>SUM(H22:H22)</f>
        <v>0</v>
      </c>
      <c r="I21" s="168"/>
      <c r="J21" s="59"/>
    </row>
    <row r="22" spans="1:10" ht="23.25" customHeight="1" x14ac:dyDescent="0.2">
      <c r="A22" s="367" t="s">
        <v>203</v>
      </c>
      <c r="B22" s="466">
        <v>310</v>
      </c>
      <c r="C22" s="467"/>
      <c r="D22" s="467" t="s">
        <v>83</v>
      </c>
      <c r="E22" s="368">
        <v>4000000</v>
      </c>
      <c r="F22" s="368"/>
      <c r="G22" s="368"/>
      <c r="H22" s="563"/>
      <c r="I22" s="369" t="s">
        <v>238</v>
      </c>
      <c r="J22" s="50"/>
    </row>
    <row r="23" spans="1:10" ht="23.25" customHeight="1" x14ac:dyDescent="0.2">
      <c r="A23" s="1139" t="s">
        <v>638</v>
      </c>
      <c r="B23" s="1140"/>
      <c r="C23" s="1140"/>
      <c r="D23" s="468" t="s">
        <v>822</v>
      </c>
      <c r="E23" s="167">
        <f>SUM(E24:E24)</f>
        <v>0</v>
      </c>
      <c r="F23" s="167">
        <f>SUM(F24:F24)</f>
        <v>0</v>
      </c>
      <c r="G23" s="167">
        <f>SUM(G24:G24)</f>
        <v>1500000</v>
      </c>
      <c r="H23" s="167">
        <f>SUM(H24:H24)</f>
        <v>0</v>
      </c>
      <c r="I23" s="469"/>
      <c r="J23" s="50"/>
    </row>
    <row r="24" spans="1:10" ht="23.25" customHeight="1" x14ac:dyDescent="0.2">
      <c r="A24" s="207" t="s">
        <v>203</v>
      </c>
      <c r="B24" s="578">
        <v>306</v>
      </c>
      <c r="C24" s="579"/>
      <c r="D24" s="580" t="s">
        <v>655</v>
      </c>
      <c r="E24" s="581"/>
      <c r="F24" s="581"/>
      <c r="G24" s="581">
        <v>1500000</v>
      </c>
      <c r="H24" s="582"/>
      <c r="I24" s="168" t="s">
        <v>238</v>
      </c>
      <c r="J24" s="50"/>
    </row>
    <row r="25" spans="1:10" ht="23.25" customHeight="1" x14ac:dyDescent="0.2">
      <c r="A25" s="1141" t="s">
        <v>175</v>
      </c>
      <c r="B25" s="1142"/>
      <c r="C25" s="1143"/>
      <c r="D25" s="468" t="s">
        <v>1000</v>
      </c>
      <c r="E25" s="167">
        <f>SUM(E26:E26)</f>
        <v>0</v>
      </c>
      <c r="F25" s="167">
        <f>SUM(F26:F26)</f>
        <v>0</v>
      </c>
      <c r="G25" s="167">
        <f>SUM(G26:G26)</f>
        <v>1350000</v>
      </c>
      <c r="H25" s="167">
        <f>SUM(H26:H26)</f>
        <v>0</v>
      </c>
      <c r="I25" s="469"/>
      <c r="J25" s="50"/>
    </row>
    <row r="26" spans="1:10" ht="23.25" customHeight="1" x14ac:dyDescent="0.2">
      <c r="A26" s="207" t="s">
        <v>203</v>
      </c>
      <c r="B26" s="621" t="s">
        <v>926</v>
      </c>
      <c r="C26" s="579"/>
      <c r="D26" s="620" t="s">
        <v>1001</v>
      </c>
      <c r="E26" s="581"/>
      <c r="F26" s="581"/>
      <c r="G26" s="581">
        <f>1200000+150000</f>
        <v>1350000</v>
      </c>
      <c r="H26" s="582"/>
      <c r="I26" s="168" t="s">
        <v>238</v>
      </c>
      <c r="J26" s="50"/>
    </row>
    <row r="27" spans="1:10" s="64" customFormat="1" ht="23.25" customHeight="1" x14ac:dyDescent="0.25">
      <c r="A27" s="1152" t="s">
        <v>558</v>
      </c>
      <c r="B27" s="1152"/>
      <c r="C27" s="1152"/>
      <c r="D27" s="1152"/>
      <c r="E27" s="1152"/>
      <c r="F27" s="1152"/>
      <c r="G27" s="1152"/>
      <c r="H27" s="1152"/>
      <c r="I27" s="1152"/>
      <c r="J27" s="63"/>
    </row>
    <row r="28" spans="1:10" ht="73.5" customHeight="1" x14ac:dyDescent="0.2">
      <c r="A28" s="470" t="s">
        <v>53</v>
      </c>
      <c r="B28" s="471" t="s">
        <v>54</v>
      </c>
      <c r="C28" s="498" t="s">
        <v>1</v>
      </c>
      <c r="D28" s="467" t="s">
        <v>2</v>
      </c>
      <c r="E28" s="472" t="s">
        <v>71</v>
      </c>
      <c r="F28" s="53" t="s">
        <v>832</v>
      </c>
      <c r="G28" s="472" t="s">
        <v>67</v>
      </c>
      <c r="H28" s="496" t="s">
        <v>922</v>
      </c>
      <c r="I28" s="463" t="s">
        <v>11</v>
      </c>
    </row>
    <row r="29" spans="1:10" ht="20.25" customHeight="1" x14ac:dyDescent="0.2">
      <c r="A29" s="1137" t="s">
        <v>55</v>
      </c>
      <c r="B29" s="1138"/>
      <c r="C29" s="1138"/>
      <c r="D29" s="1138"/>
      <c r="E29" s="473" t="s">
        <v>85</v>
      </c>
      <c r="F29" s="533" t="s">
        <v>833</v>
      </c>
      <c r="G29" s="473" t="s">
        <v>412</v>
      </c>
      <c r="H29" s="559"/>
      <c r="I29" s="417"/>
      <c r="J29" s="50"/>
    </row>
    <row r="30" spans="1:10" s="49" customFormat="1" ht="23.25" customHeight="1" x14ac:dyDescent="0.2">
      <c r="A30" s="1135" t="s">
        <v>65</v>
      </c>
      <c r="B30" s="1136"/>
      <c r="C30" s="1136"/>
      <c r="D30" s="88" t="s">
        <v>66</v>
      </c>
      <c r="E30" s="474">
        <f>SUM(E31:E32)</f>
        <v>0</v>
      </c>
      <c r="F30" s="474">
        <f>SUM(F31:F32)</f>
        <v>0</v>
      </c>
      <c r="G30" s="474">
        <f>SUM(G31:G32)</f>
        <v>11532529</v>
      </c>
      <c r="H30" s="474">
        <f>SUM(H31:H32)</f>
        <v>0</v>
      </c>
      <c r="I30" s="475"/>
      <c r="J30" s="59"/>
    </row>
    <row r="31" spans="1:10" ht="34.15" customHeight="1" x14ac:dyDescent="0.2">
      <c r="A31" s="190" t="s">
        <v>203</v>
      </c>
      <c r="B31" s="208" t="s">
        <v>811</v>
      </c>
      <c r="C31" s="209"/>
      <c r="D31" s="476" t="s">
        <v>1501</v>
      </c>
      <c r="E31" s="136"/>
      <c r="F31" s="136"/>
      <c r="G31" s="135">
        <v>5730558</v>
      </c>
      <c r="H31" s="564"/>
      <c r="I31" s="97" t="s">
        <v>238</v>
      </c>
      <c r="J31" s="50"/>
    </row>
    <row r="32" spans="1:10" ht="27.75" customHeight="1" x14ac:dyDescent="0.2">
      <c r="A32" s="201" t="s">
        <v>204</v>
      </c>
      <c r="B32" s="160" t="s">
        <v>811</v>
      </c>
      <c r="C32" s="477"/>
      <c r="D32" s="908" t="s">
        <v>1502</v>
      </c>
      <c r="E32" s="136"/>
      <c r="F32" s="457"/>
      <c r="G32" s="159">
        <f>4000000+1801971</f>
        <v>5801971</v>
      </c>
      <c r="H32" s="550"/>
      <c r="I32" s="96" t="s">
        <v>238</v>
      </c>
      <c r="J32" s="50"/>
    </row>
    <row r="33" spans="1:11" s="49" customFormat="1" ht="23.25" customHeight="1" x14ac:dyDescent="0.2">
      <c r="A33" s="1135" t="s">
        <v>84</v>
      </c>
      <c r="B33" s="1136"/>
      <c r="C33" s="1136"/>
      <c r="D33" s="88" t="s">
        <v>455</v>
      </c>
      <c r="E33" s="478">
        <f>SUM(E34:E36)</f>
        <v>0</v>
      </c>
      <c r="F33" s="478">
        <f>SUM(F34:F36)</f>
        <v>0</v>
      </c>
      <c r="G33" s="478">
        <f>SUM(G34:G36)</f>
        <v>97782335</v>
      </c>
      <c r="H33" s="478">
        <f>SUM(H34:H36)</f>
        <v>0</v>
      </c>
      <c r="I33" s="133"/>
      <c r="J33" s="59"/>
    </row>
    <row r="34" spans="1:11" ht="23.25" customHeight="1" x14ac:dyDescent="0.2">
      <c r="A34" s="190" t="s">
        <v>203</v>
      </c>
      <c r="B34" s="208" t="s">
        <v>812</v>
      </c>
      <c r="C34" s="209"/>
      <c r="D34" s="476" t="s">
        <v>773</v>
      </c>
      <c r="E34" s="182"/>
      <c r="F34" s="182"/>
      <c r="G34" s="136">
        <v>81000000</v>
      </c>
      <c r="H34" s="453"/>
      <c r="I34" s="97" t="s">
        <v>238</v>
      </c>
      <c r="J34" s="50"/>
    </row>
    <row r="35" spans="1:11" ht="36" customHeight="1" x14ac:dyDescent="0.2">
      <c r="A35" s="189" t="s">
        <v>204</v>
      </c>
      <c r="B35" s="160" t="s">
        <v>812</v>
      </c>
      <c r="C35" s="210"/>
      <c r="D35" s="92" t="s">
        <v>1503</v>
      </c>
      <c r="E35" s="182"/>
      <c r="F35" s="182"/>
      <c r="G35" s="181">
        <f>5000000+3281422+1000000</f>
        <v>9281422</v>
      </c>
      <c r="H35" s="195"/>
      <c r="I35" s="98" t="s">
        <v>238</v>
      </c>
      <c r="J35" s="50"/>
    </row>
    <row r="36" spans="1:11" ht="24" customHeight="1" x14ac:dyDescent="0.2">
      <c r="A36" s="189" t="s">
        <v>205</v>
      </c>
      <c r="B36" s="208" t="s">
        <v>812</v>
      </c>
      <c r="C36" s="210"/>
      <c r="D36" s="92" t="s">
        <v>1469</v>
      </c>
      <c r="E36" s="182"/>
      <c r="F36" s="182"/>
      <c r="G36" s="181">
        <v>7500913</v>
      </c>
      <c r="H36" s="195"/>
      <c r="I36" s="98" t="s">
        <v>238</v>
      </c>
      <c r="J36" s="50"/>
    </row>
    <row r="37" spans="1:11" ht="23.25" customHeight="1" x14ac:dyDescent="0.2">
      <c r="A37" s="479"/>
      <c r="B37" s="480"/>
      <c r="C37" s="252"/>
      <c r="D37" s="502" t="s">
        <v>87</v>
      </c>
      <c r="E37" s="501">
        <f>+E30+E33</f>
        <v>0</v>
      </c>
      <c r="F37" s="226">
        <f>+F30+F33</f>
        <v>0</v>
      </c>
      <c r="G37" s="478">
        <f>+G30+G33</f>
        <v>109314864</v>
      </c>
      <c r="H37" s="478">
        <f>+H30+H33</f>
        <v>0</v>
      </c>
      <c r="I37" s="481"/>
      <c r="J37" s="50"/>
    </row>
    <row r="38" spans="1:11" x14ac:dyDescent="0.2">
      <c r="A38" s="84"/>
      <c r="B38" s="482"/>
      <c r="C38" s="84"/>
      <c r="D38" s="84"/>
      <c r="E38" s="171"/>
      <c r="F38" s="171"/>
      <c r="G38" s="171"/>
      <c r="H38" s="171"/>
      <c r="I38" s="171"/>
      <c r="J38" s="50"/>
    </row>
    <row r="39" spans="1:11" s="64" customFormat="1" ht="22.5" customHeight="1" x14ac:dyDescent="0.25">
      <c r="A39" s="1148" t="s">
        <v>86</v>
      </c>
      <c r="B39" s="1148"/>
      <c r="C39" s="1148"/>
      <c r="D39" s="1148"/>
      <c r="E39" s="1148"/>
      <c r="F39" s="1148"/>
      <c r="G39" s="1148"/>
      <c r="H39" s="1148"/>
      <c r="I39" s="1148"/>
      <c r="J39" s="63"/>
    </row>
    <row r="40" spans="1:11" ht="69" customHeight="1" x14ac:dyDescent="0.2">
      <c r="A40" s="470" t="s">
        <v>53</v>
      </c>
      <c r="B40" s="471" t="s">
        <v>54</v>
      </c>
      <c r="C40" s="498" t="s">
        <v>1</v>
      </c>
      <c r="D40" s="467" t="s">
        <v>2</v>
      </c>
      <c r="E40" s="472" t="s">
        <v>71</v>
      </c>
      <c r="F40" s="499" t="s">
        <v>832</v>
      </c>
      <c r="G40" s="472" t="s">
        <v>67</v>
      </c>
      <c r="H40" s="496" t="s">
        <v>922</v>
      </c>
      <c r="I40" s="463" t="s">
        <v>67</v>
      </c>
    </row>
    <row r="41" spans="1:11" ht="18" customHeight="1" x14ac:dyDescent="0.2">
      <c r="A41" s="1132" t="s">
        <v>55</v>
      </c>
      <c r="B41" s="1133"/>
      <c r="C41" s="1133"/>
      <c r="D41" s="1134"/>
      <c r="E41" s="483" t="s">
        <v>85</v>
      </c>
      <c r="F41" s="54" t="s">
        <v>833</v>
      </c>
      <c r="G41" s="483" t="s">
        <v>412</v>
      </c>
      <c r="H41" s="565"/>
      <c r="I41" s="484"/>
      <c r="J41" s="50"/>
    </row>
    <row r="42" spans="1:11" ht="19.5" customHeight="1" x14ac:dyDescent="0.2">
      <c r="A42" s="190" t="s">
        <v>203</v>
      </c>
      <c r="B42" s="211" t="s">
        <v>813</v>
      </c>
      <c r="C42" s="209"/>
      <c r="D42" s="191" t="s">
        <v>88</v>
      </c>
      <c r="E42" s="136">
        <v>4000000</v>
      </c>
      <c r="F42" s="136"/>
      <c r="G42" s="182"/>
      <c r="H42" s="566"/>
      <c r="I42" s="97" t="s">
        <v>238</v>
      </c>
      <c r="J42" s="50"/>
    </row>
    <row r="43" spans="1:11" ht="19.5" customHeight="1" x14ac:dyDescent="0.2">
      <c r="A43" s="189" t="s">
        <v>204</v>
      </c>
      <c r="B43" s="212" t="s">
        <v>813</v>
      </c>
      <c r="C43" s="210"/>
      <c r="D43" s="194" t="s">
        <v>89</v>
      </c>
      <c r="E43" s="181">
        <v>18600000</v>
      </c>
      <c r="F43" s="136"/>
      <c r="G43" s="182"/>
      <c r="H43" s="566"/>
      <c r="I43" s="98" t="s">
        <v>238</v>
      </c>
      <c r="J43" s="50"/>
    </row>
    <row r="44" spans="1:11" ht="19.5" customHeight="1" x14ac:dyDescent="0.2">
      <c r="A44" s="213" t="s">
        <v>205</v>
      </c>
      <c r="B44" s="214">
        <v>311</v>
      </c>
      <c r="C44" s="215"/>
      <c r="D44" s="485" t="s">
        <v>644</v>
      </c>
      <c r="E44" s="216">
        <v>4000000</v>
      </c>
      <c r="F44" s="457"/>
      <c r="G44" s="489"/>
      <c r="H44" s="567"/>
      <c r="I44" s="253" t="s">
        <v>238</v>
      </c>
      <c r="J44" s="50"/>
    </row>
    <row r="45" spans="1:11" s="49" customFormat="1" ht="22.5" customHeight="1" x14ac:dyDescent="0.2">
      <c r="A45" s="1149" t="s">
        <v>432</v>
      </c>
      <c r="B45" s="1150"/>
      <c r="C45" s="1150"/>
      <c r="D45" s="1151"/>
      <c r="E45" s="500">
        <f>SUM(E42:E44)</f>
        <v>26600000</v>
      </c>
      <c r="F45" s="180">
        <f>SUM(F42:F44)</f>
        <v>0</v>
      </c>
      <c r="G45" s="500">
        <f>SUM(G42:G44)</f>
        <v>0</v>
      </c>
      <c r="H45" s="500">
        <f>SUM(H42:H44)</f>
        <v>0</v>
      </c>
      <c r="I45" s="137"/>
    </row>
    <row r="47" spans="1:11" ht="43.5" customHeight="1" x14ac:dyDescent="0.2">
      <c r="A47" s="1131" t="s">
        <v>91</v>
      </c>
      <c r="B47" s="1131"/>
      <c r="C47" s="1131"/>
      <c r="D47" s="1131"/>
      <c r="E47" s="138">
        <f>+E45+E37+E6+E15+E17+E19+E21+E23</f>
        <v>30670000</v>
      </c>
      <c r="F47" s="138">
        <f>+F45+F37+F6+F15+F17+F19+F21+F23</f>
        <v>0</v>
      </c>
      <c r="G47" s="138">
        <f>+G45+G37+G6+G15+G17+G19+G21+G23+G25</f>
        <v>237827664</v>
      </c>
      <c r="H47" s="138">
        <f>+H45+H37+H6+H15+H17+H19+H21+H23</f>
        <v>0</v>
      </c>
      <c r="I47" s="138"/>
      <c r="J47" s="66">
        <f>E47+F47+G47</f>
        <v>268497664</v>
      </c>
      <c r="K47" s="66" t="e">
        <f>#REF!+#REF!+#REF!</f>
        <v>#REF!</v>
      </c>
    </row>
    <row r="49" spans="7:8" ht="33.75" customHeight="1" x14ac:dyDescent="0.2">
      <c r="G49" s="66">
        <f>+G47+E47</f>
        <v>268497664</v>
      </c>
      <c r="H49" s="66"/>
    </row>
    <row r="50" spans="7:8" ht="18.75" customHeight="1" x14ac:dyDescent="0.2"/>
    <row r="52" spans="7:8" x14ac:dyDescent="0.2">
      <c r="G52" s="66">
        <f>+G49-'3. sz.Városi szintű összesen'!G13</f>
        <v>0</v>
      </c>
    </row>
    <row r="53" spans="7:8" ht="18.75" customHeight="1" x14ac:dyDescent="0.2"/>
    <row r="54" spans="7:8" ht="18.75" customHeight="1" x14ac:dyDescent="0.2"/>
    <row r="55" spans="7:8" ht="18.75" customHeight="1" x14ac:dyDescent="0.2"/>
    <row r="56" spans="7:8" ht="18.75" customHeight="1" x14ac:dyDescent="0.2"/>
    <row r="62" spans="7:8" ht="21" customHeight="1" x14ac:dyDescent="0.2"/>
    <row r="63" spans="7:8" ht="21" customHeight="1" x14ac:dyDescent="0.2"/>
    <row r="64" spans="7:8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4" ht="21.75" customHeight="1" x14ac:dyDescent="0.2"/>
  </sheetData>
  <mergeCells count="18">
    <mergeCell ref="A1:I1"/>
    <mergeCell ref="A5:D5"/>
    <mergeCell ref="A6:C6"/>
    <mergeCell ref="A15:C15"/>
    <mergeCell ref="A39:I39"/>
    <mergeCell ref="A45:D45"/>
    <mergeCell ref="A27:I27"/>
    <mergeCell ref="A33:C33"/>
    <mergeCell ref="A30:C30"/>
    <mergeCell ref="A21:C21"/>
    <mergeCell ref="A47:D47"/>
    <mergeCell ref="A41:D41"/>
    <mergeCell ref="A2:I2"/>
    <mergeCell ref="A17:C17"/>
    <mergeCell ref="A29:D29"/>
    <mergeCell ref="A19:C19"/>
    <mergeCell ref="A23:C23"/>
    <mergeCell ref="A25:C25"/>
  </mergeCells>
  <phoneticPr fontId="41" type="noConversion"/>
  <printOptions horizontalCentered="1" verticalCentered="1"/>
  <pageMargins left="0.51181102362204722" right="0.11811023622047245" top="0.39370078740157483" bottom="0.35433070866141736" header="0.31496062992125984" footer="0.31496062992125984"/>
  <pageSetup paperSize="9" scale="55" orientation="portrait" r:id="rId1"/>
  <headerFooter>
    <oddHeader>&amp;C2021. évi költségvetés&amp;R&amp;A</oddHeader>
    <oddFooter>&amp;C&amp;P/&amp;N</oddFooter>
  </headerFooter>
  <rowBreaks count="1" manualBreakCount="1">
    <brk id="4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32"/>
  <sheetViews>
    <sheetView view="pageBreakPreview" zoomScale="80" zoomScaleNormal="80" zoomScaleSheetLayoutView="80" workbookViewId="0">
      <pane xSplit="4" ySplit="7" topLeftCell="E116" activePane="bottomRight" state="frozen"/>
      <selection pane="topRight" activeCell="E1" sqref="E1"/>
      <selection pane="bottomLeft" activeCell="A8" sqref="A8"/>
      <selection pane="bottomRight" activeCell="D79" sqref="D79"/>
    </sheetView>
  </sheetViews>
  <sheetFormatPr defaultRowHeight="12.75" x14ac:dyDescent="0.2"/>
  <cols>
    <col min="1" max="1" width="6.7109375" style="11" customWidth="1"/>
    <col min="2" max="2" width="11.7109375" style="84" customWidth="1"/>
    <col min="3" max="3" width="56.5703125" style="84" customWidth="1"/>
    <col min="4" max="4" width="6.5703125" style="915" customWidth="1"/>
    <col min="5" max="5" width="18" style="11" customWidth="1"/>
    <col min="6" max="6" width="17.5703125" style="11" customWidth="1"/>
    <col min="7" max="7" width="17.7109375" style="11" customWidth="1"/>
    <col min="8" max="8" width="14.7109375" style="11" customWidth="1"/>
    <col min="9" max="10" width="15.28515625" style="11" customWidth="1"/>
    <col min="11" max="11" width="16" style="11" customWidth="1"/>
    <col min="12" max="12" width="17.5703125" style="11" customWidth="1"/>
    <col min="13" max="13" width="20" style="165" customWidth="1"/>
    <col min="14" max="14" width="16.7109375" style="11" bestFit="1" customWidth="1"/>
    <col min="15" max="15" width="17.42578125" style="11" customWidth="1"/>
    <col min="16" max="16" width="11.42578125" style="11" customWidth="1"/>
    <col min="17" max="17" width="16.42578125" style="11" customWidth="1"/>
    <col min="18" max="18" width="14.85546875" style="11" customWidth="1"/>
    <col min="19" max="19" width="9.28515625" style="11" bestFit="1" customWidth="1"/>
    <col min="20" max="20" width="15.5703125" style="11" bestFit="1" customWidth="1"/>
    <col min="21" max="21" width="13" style="11" customWidth="1"/>
    <col min="22" max="22" width="9.28515625" style="11" bestFit="1" customWidth="1"/>
    <col min="23" max="16384" width="9.140625" style="11"/>
  </cols>
  <sheetData>
    <row r="1" spans="1:22" ht="31.5" customHeight="1" x14ac:dyDescent="0.2">
      <c r="A1" s="1153" t="s">
        <v>30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</row>
    <row r="2" spans="1:22" ht="31.5" customHeight="1" x14ac:dyDescent="0.25">
      <c r="A2" s="1163" t="s">
        <v>1056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</row>
    <row r="3" spans="1:22" ht="27" customHeight="1" x14ac:dyDescent="0.2">
      <c r="A3" s="165"/>
      <c r="B3" s="1058"/>
      <c r="C3" s="1058"/>
      <c r="D3" s="1064"/>
      <c r="E3" s="165"/>
      <c r="F3" s="165"/>
      <c r="G3" s="165"/>
      <c r="H3" s="165"/>
      <c r="I3" s="165"/>
      <c r="J3" s="165"/>
      <c r="K3" s="165"/>
      <c r="L3" s="150"/>
      <c r="N3" s="165"/>
      <c r="O3" s="165"/>
      <c r="P3" s="165"/>
      <c r="Q3" s="165"/>
      <c r="R3" s="83" t="s">
        <v>458</v>
      </c>
    </row>
    <row r="4" spans="1:22" ht="19.5" customHeight="1" x14ac:dyDescent="0.2">
      <c r="A4" s="1161" t="s">
        <v>816</v>
      </c>
      <c r="B4" s="1157" t="s">
        <v>1</v>
      </c>
      <c r="C4" s="1157" t="s">
        <v>2</v>
      </c>
      <c r="D4" s="1157" t="s">
        <v>778</v>
      </c>
      <c r="E4" s="1167" t="s">
        <v>1444</v>
      </c>
      <c r="F4" s="1159" t="s">
        <v>3</v>
      </c>
      <c r="G4" s="1159" t="s">
        <v>4</v>
      </c>
      <c r="H4" s="1159" t="s">
        <v>5</v>
      </c>
      <c r="I4" s="1159" t="s">
        <v>6</v>
      </c>
      <c r="J4" s="1159" t="s">
        <v>1441</v>
      </c>
      <c r="K4" s="1164" t="s">
        <v>837</v>
      </c>
      <c r="L4" s="1159" t="s">
        <v>7</v>
      </c>
      <c r="M4" s="1154" t="s">
        <v>1057</v>
      </c>
      <c r="N4" s="1155"/>
      <c r="O4" s="1155"/>
      <c r="P4" s="1155"/>
      <c r="Q4" s="1156"/>
      <c r="R4" s="1160" t="s">
        <v>11</v>
      </c>
    </row>
    <row r="5" spans="1:22" ht="83.25" customHeight="1" x14ac:dyDescent="0.2">
      <c r="A5" s="1162"/>
      <c r="B5" s="1158"/>
      <c r="C5" s="1158"/>
      <c r="D5" s="1158"/>
      <c r="E5" s="1167"/>
      <c r="F5" s="1159"/>
      <c r="G5" s="1159"/>
      <c r="H5" s="1159"/>
      <c r="I5" s="1159"/>
      <c r="J5" s="1159"/>
      <c r="K5" s="1165"/>
      <c r="L5" s="1159"/>
      <c r="M5" s="1161" t="s">
        <v>8</v>
      </c>
      <c r="N5" s="1161" t="s">
        <v>9</v>
      </c>
      <c r="O5" s="1161" t="s">
        <v>192</v>
      </c>
      <c r="P5" s="1161" t="s">
        <v>10</v>
      </c>
      <c r="Q5" s="1161" t="s">
        <v>668</v>
      </c>
      <c r="R5" s="1160"/>
    </row>
    <row r="6" spans="1:22" ht="19.5" customHeight="1" x14ac:dyDescent="0.2">
      <c r="A6" s="1166" t="s">
        <v>260</v>
      </c>
      <c r="B6" s="1166"/>
      <c r="C6" s="1166"/>
      <c r="D6" s="1166"/>
      <c r="E6" s="1166"/>
      <c r="F6" s="95" t="s">
        <v>12</v>
      </c>
      <c r="G6" s="94" t="s">
        <v>13</v>
      </c>
      <c r="H6" s="94" t="s">
        <v>14</v>
      </c>
      <c r="I6" s="94" t="s">
        <v>15</v>
      </c>
      <c r="J6" s="532" t="s">
        <v>1442</v>
      </c>
      <c r="K6" s="532" t="s">
        <v>836</v>
      </c>
      <c r="L6" s="532" t="s">
        <v>16</v>
      </c>
      <c r="M6" s="1162"/>
      <c r="N6" s="1162"/>
      <c r="O6" s="1162"/>
      <c r="P6" s="1162"/>
      <c r="Q6" s="1162"/>
      <c r="R6" s="1160"/>
    </row>
    <row r="7" spans="1:22" s="12" customFormat="1" ht="21" customHeight="1" x14ac:dyDescent="0.2">
      <c r="A7" s="305" t="s">
        <v>28</v>
      </c>
      <c r="B7" s="1059"/>
      <c r="C7" s="1059"/>
      <c r="D7" s="1065"/>
      <c r="E7" s="307">
        <f t="shared" ref="E7:Q7" si="0">SUM(E8:E9)</f>
        <v>0</v>
      </c>
      <c r="F7" s="307">
        <f t="shared" si="0"/>
        <v>0</v>
      </c>
      <c r="G7" s="307">
        <f t="shared" si="0"/>
        <v>0</v>
      </c>
      <c r="H7" s="307">
        <f t="shared" si="0"/>
        <v>0</v>
      </c>
      <c r="I7" s="307">
        <f t="shared" si="0"/>
        <v>0</v>
      </c>
      <c r="J7" s="307">
        <f t="shared" si="0"/>
        <v>0</v>
      </c>
      <c r="K7" s="307">
        <f t="shared" si="0"/>
        <v>0</v>
      </c>
      <c r="L7" s="542">
        <f t="shared" si="0"/>
        <v>0</v>
      </c>
      <c r="M7" s="308">
        <f t="shared" si="0"/>
        <v>0</v>
      </c>
      <c r="N7" s="308">
        <f t="shared" si="0"/>
        <v>0</v>
      </c>
      <c r="O7" s="308">
        <f t="shared" si="0"/>
        <v>0</v>
      </c>
      <c r="P7" s="308">
        <f t="shared" si="0"/>
        <v>0</v>
      </c>
      <c r="Q7" s="308">
        <f t="shared" si="0"/>
        <v>0</v>
      </c>
      <c r="R7" s="306"/>
      <c r="S7" s="179"/>
      <c r="U7" s="179"/>
      <c r="V7" s="179"/>
    </row>
    <row r="8" spans="1:22" s="170" customFormat="1" ht="21" customHeight="1" x14ac:dyDescent="0.2">
      <c r="A8" s="367"/>
      <c r="B8" s="467"/>
      <c r="C8" s="932"/>
      <c r="D8" s="472"/>
      <c r="E8" s="933">
        <f>F8+G8+H8+I8+L8+J8+K8</f>
        <v>0</v>
      </c>
      <c r="F8" s="933"/>
      <c r="G8" s="933"/>
      <c r="H8" s="933"/>
      <c r="I8" s="933"/>
      <c r="J8" s="934"/>
      <c r="K8" s="934"/>
      <c r="L8" s="935"/>
      <c r="M8" s="936">
        <f>+E8</f>
        <v>0</v>
      </c>
      <c r="N8" s="937"/>
      <c r="O8" s="933"/>
      <c r="P8" s="937"/>
      <c r="Q8" s="938"/>
      <c r="R8" s="98"/>
      <c r="S8" s="554"/>
      <c r="U8" s="554"/>
      <c r="V8" s="554"/>
    </row>
    <row r="9" spans="1:22" s="170" customFormat="1" ht="24" customHeight="1" x14ac:dyDescent="0.2">
      <c r="A9" s="548"/>
      <c r="B9" s="217"/>
      <c r="C9" s="218"/>
      <c r="D9" s="225"/>
      <c r="E9" s="135">
        <f>F9+G9+H9+I9+L9</f>
        <v>0</v>
      </c>
      <c r="F9" s="159"/>
      <c r="G9" s="159"/>
      <c r="H9" s="159"/>
      <c r="I9" s="159"/>
      <c r="J9" s="550"/>
      <c r="K9" s="550"/>
      <c r="L9" s="96"/>
      <c r="M9" s="936">
        <f>+E9</f>
        <v>0</v>
      </c>
      <c r="N9" s="551"/>
      <c r="O9" s="552"/>
      <c r="P9" s="552"/>
      <c r="Q9" s="553"/>
      <c r="R9" s="100"/>
      <c r="S9" s="554"/>
      <c r="U9" s="554"/>
      <c r="V9" s="554"/>
    </row>
    <row r="10" spans="1:22" s="170" customFormat="1" ht="21.75" customHeight="1" x14ac:dyDescent="0.2">
      <c r="A10" s="939" t="s">
        <v>17</v>
      </c>
      <c r="B10" s="88"/>
      <c r="C10" s="88"/>
      <c r="D10" s="166"/>
      <c r="E10" s="474">
        <f t="shared" ref="E10:Q10" si="1">SUM(E11:E20)</f>
        <v>42908300</v>
      </c>
      <c r="F10" s="474">
        <f t="shared" si="1"/>
        <v>0</v>
      </c>
      <c r="G10" s="474">
        <f t="shared" si="1"/>
        <v>33786063</v>
      </c>
      <c r="H10" s="474">
        <f t="shared" si="1"/>
        <v>0</v>
      </c>
      <c r="I10" s="474">
        <f t="shared" si="1"/>
        <v>0</v>
      </c>
      <c r="J10" s="474">
        <f t="shared" si="1"/>
        <v>0</v>
      </c>
      <c r="K10" s="474">
        <f t="shared" si="1"/>
        <v>0</v>
      </c>
      <c r="L10" s="133">
        <f t="shared" si="1"/>
        <v>9122237</v>
      </c>
      <c r="M10" s="474">
        <f t="shared" si="1"/>
        <v>42908300</v>
      </c>
      <c r="N10" s="474">
        <f t="shared" si="1"/>
        <v>0</v>
      </c>
      <c r="O10" s="474">
        <f t="shared" si="1"/>
        <v>0</v>
      </c>
      <c r="P10" s="474">
        <f t="shared" si="1"/>
        <v>0</v>
      </c>
      <c r="Q10" s="940">
        <f t="shared" si="1"/>
        <v>586000000</v>
      </c>
      <c r="R10" s="133"/>
      <c r="T10" s="554">
        <f>SUM(M10:Q10)</f>
        <v>628908300</v>
      </c>
      <c r="U10" s="554">
        <f>+T10-E10</f>
        <v>586000000</v>
      </c>
      <c r="V10" s="554"/>
    </row>
    <row r="11" spans="1:22" s="84" customFormat="1" ht="29.25" customHeight="1" x14ac:dyDescent="0.2">
      <c r="A11" s="543" t="s">
        <v>135</v>
      </c>
      <c r="B11" s="625" t="s">
        <v>617</v>
      </c>
      <c r="C11" s="86" t="s">
        <v>1569</v>
      </c>
      <c r="D11" s="1066" t="s">
        <v>1589</v>
      </c>
      <c r="E11" s="135">
        <f t="shared" ref="E11:E19" si="2">F11+G11+H11+I11+L11</f>
        <v>10812800</v>
      </c>
      <c r="F11" s="159"/>
      <c r="G11" s="159">
        <f>7874016+640000</f>
        <v>8514016</v>
      </c>
      <c r="H11" s="159"/>
      <c r="I11" s="159"/>
      <c r="J11" s="550"/>
      <c r="K11" s="550"/>
      <c r="L11" s="96">
        <f>2125984+172800</f>
        <v>2298784</v>
      </c>
      <c r="M11" s="627">
        <f>E11</f>
        <v>10812800</v>
      </c>
      <c r="N11" s="552"/>
      <c r="O11" s="198"/>
      <c r="P11" s="552"/>
      <c r="Q11" s="552"/>
      <c r="R11" s="97" t="s">
        <v>237</v>
      </c>
      <c r="T11" s="554"/>
      <c r="U11" s="554"/>
      <c r="V11" s="555"/>
    </row>
    <row r="12" spans="1:22" s="84" customFormat="1" ht="29.25" customHeight="1" x14ac:dyDescent="0.2">
      <c r="A12" s="543" t="s">
        <v>135</v>
      </c>
      <c r="B12" s="625" t="s">
        <v>617</v>
      </c>
      <c r="C12" s="86" t="s">
        <v>1008</v>
      </c>
      <c r="D12" s="1066"/>
      <c r="E12" s="135">
        <f t="shared" si="2"/>
        <v>0</v>
      </c>
      <c r="F12" s="159"/>
      <c r="G12" s="159">
        <v>0</v>
      </c>
      <c r="H12" s="159"/>
      <c r="I12" s="159"/>
      <c r="J12" s="550"/>
      <c r="K12" s="550"/>
      <c r="L12" s="96">
        <v>0</v>
      </c>
      <c r="M12" s="627">
        <f t="shared" ref="M12:M20" si="3">E12</f>
        <v>0</v>
      </c>
      <c r="N12" s="552"/>
      <c r="O12" s="198"/>
      <c r="P12" s="552"/>
      <c r="Q12" s="552">
        <v>365000000</v>
      </c>
      <c r="R12" s="97" t="s">
        <v>237</v>
      </c>
      <c r="T12" s="554"/>
      <c r="U12" s="554"/>
      <c r="V12" s="555"/>
    </row>
    <row r="13" spans="1:22" s="84" customFormat="1" ht="29.25" customHeight="1" x14ac:dyDescent="0.2">
      <c r="A13" s="543" t="s">
        <v>135</v>
      </c>
      <c r="B13" s="625" t="s">
        <v>617</v>
      </c>
      <c r="C13" s="86" t="s">
        <v>1009</v>
      </c>
      <c r="D13" s="1066"/>
      <c r="E13" s="135">
        <f t="shared" si="2"/>
        <v>0</v>
      </c>
      <c r="F13" s="159"/>
      <c r="G13" s="159">
        <v>0</v>
      </c>
      <c r="H13" s="159"/>
      <c r="I13" s="159"/>
      <c r="J13" s="550"/>
      <c r="K13" s="550"/>
      <c r="L13" s="96">
        <v>0</v>
      </c>
      <c r="M13" s="627">
        <f t="shared" si="3"/>
        <v>0</v>
      </c>
      <c r="N13" s="552"/>
      <c r="O13" s="198"/>
      <c r="P13" s="552"/>
      <c r="Q13" s="552">
        <v>161000000</v>
      </c>
      <c r="R13" s="97" t="s">
        <v>237</v>
      </c>
      <c r="T13" s="554"/>
      <c r="U13" s="554"/>
      <c r="V13" s="555"/>
    </row>
    <row r="14" spans="1:22" s="84" customFormat="1" ht="29.25" customHeight="1" x14ac:dyDescent="0.2">
      <c r="A14" s="543" t="s">
        <v>135</v>
      </c>
      <c r="B14" s="625" t="s">
        <v>617</v>
      </c>
      <c r="C14" s="86" t="s">
        <v>1570</v>
      </c>
      <c r="D14" s="1066" t="s">
        <v>1590</v>
      </c>
      <c r="E14" s="135">
        <f t="shared" si="2"/>
        <v>8198500</v>
      </c>
      <c r="F14" s="159"/>
      <c r="G14" s="159">
        <f>5905512+550000</f>
        <v>6455512</v>
      </c>
      <c r="H14" s="159"/>
      <c r="I14" s="159"/>
      <c r="J14" s="550"/>
      <c r="K14" s="550"/>
      <c r="L14" s="96">
        <f>1594488+148500</f>
        <v>1742988</v>
      </c>
      <c r="M14" s="627">
        <f t="shared" si="3"/>
        <v>8198500</v>
      </c>
      <c r="N14" s="552"/>
      <c r="O14" s="198"/>
      <c r="P14" s="552"/>
      <c r="Q14" s="552">
        <v>7500000</v>
      </c>
      <c r="R14" s="97" t="s">
        <v>237</v>
      </c>
      <c r="T14" s="554"/>
      <c r="U14" s="554"/>
      <c r="V14" s="555"/>
    </row>
    <row r="15" spans="1:22" s="84" customFormat="1" ht="29.25" customHeight="1" x14ac:dyDescent="0.2">
      <c r="A15" s="543" t="s">
        <v>135</v>
      </c>
      <c r="B15" s="625" t="s">
        <v>617</v>
      </c>
      <c r="C15" s="86" t="s">
        <v>1011</v>
      </c>
      <c r="D15" s="1066" t="s">
        <v>1591</v>
      </c>
      <c r="E15" s="135">
        <f t="shared" si="2"/>
        <v>2500000</v>
      </c>
      <c r="F15" s="159"/>
      <c r="G15" s="159">
        <v>1968504</v>
      </c>
      <c r="H15" s="159"/>
      <c r="I15" s="159"/>
      <c r="J15" s="550"/>
      <c r="K15" s="550"/>
      <c r="L15" s="96">
        <v>531496</v>
      </c>
      <c r="M15" s="627">
        <f t="shared" si="3"/>
        <v>2500000</v>
      </c>
      <c r="N15" s="552"/>
      <c r="O15" s="198"/>
      <c r="P15" s="552"/>
      <c r="Q15" s="552">
        <v>2500000</v>
      </c>
      <c r="R15" s="97" t="s">
        <v>237</v>
      </c>
      <c r="T15" s="554"/>
      <c r="U15" s="554"/>
      <c r="V15" s="555"/>
    </row>
    <row r="16" spans="1:22" s="84" customFormat="1" ht="29.25" customHeight="1" x14ac:dyDescent="0.2">
      <c r="A16" s="543" t="s">
        <v>135</v>
      </c>
      <c r="B16" s="625" t="s">
        <v>617</v>
      </c>
      <c r="C16" s="86" t="s">
        <v>1012</v>
      </c>
      <c r="D16" s="1066" t="s">
        <v>1592</v>
      </c>
      <c r="E16" s="135">
        <f t="shared" si="2"/>
        <v>20000000</v>
      </c>
      <c r="F16" s="159"/>
      <c r="G16" s="159">
        <v>15748031</v>
      </c>
      <c r="H16" s="159"/>
      <c r="I16" s="159"/>
      <c r="J16" s="550"/>
      <c r="K16" s="550"/>
      <c r="L16" s="96">
        <v>4251969</v>
      </c>
      <c r="M16" s="627">
        <f t="shared" si="3"/>
        <v>20000000</v>
      </c>
      <c r="N16" s="552"/>
      <c r="O16" s="198"/>
      <c r="P16" s="552"/>
      <c r="Q16" s="552"/>
      <c r="R16" s="97" t="s">
        <v>237</v>
      </c>
      <c r="T16" s="554"/>
      <c r="U16" s="554"/>
      <c r="V16" s="555"/>
    </row>
    <row r="17" spans="1:22" s="84" customFormat="1" ht="29.25" customHeight="1" x14ac:dyDescent="0.2">
      <c r="A17" s="543" t="s">
        <v>135</v>
      </c>
      <c r="B17" s="625" t="s">
        <v>617</v>
      </c>
      <c r="C17" s="86" t="s">
        <v>1013</v>
      </c>
      <c r="D17" s="1066"/>
      <c r="E17" s="135">
        <f t="shared" si="2"/>
        <v>0</v>
      </c>
      <c r="F17" s="159"/>
      <c r="G17" s="159">
        <v>0</v>
      </c>
      <c r="H17" s="159"/>
      <c r="I17" s="159"/>
      <c r="J17" s="550"/>
      <c r="K17" s="550"/>
      <c r="L17" s="96">
        <v>0</v>
      </c>
      <c r="M17" s="627">
        <f t="shared" si="3"/>
        <v>0</v>
      </c>
      <c r="N17" s="552"/>
      <c r="O17" s="198"/>
      <c r="P17" s="552"/>
      <c r="Q17" s="552">
        <v>20000000</v>
      </c>
      <c r="R17" s="97" t="s">
        <v>237</v>
      </c>
      <c r="T17" s="554"/>
      <c r="U17" s="554"/>
      <c r="V17" s="555"/>
    </row>
    <row r="18" spans="1:22" s="84" customFormat="1" ht="50.25" customHeight="1" x14ac:dyDescent="0.2">
      <c r="A18" s="883" t="s">
        <v>135</v>
      </c>
      <c r="B18" s="625" t="s">
        <v>617</v>
      </c>
      <c r="C18" s="86" t="s">
        <v>1468</v>
      </c>
      <c r="D18" s="1066" t="s">
        <v>1467</v>
      </c>
      <c r="E18" s="135">
        <f t="shared" si="2"/>
        <v>1397000</v>
      </c>
      <c r="F18" s="159"/>
      <c r="G18" s="159">
        <v>1100000</v>
      </c>
      <c r="H18" s="159"/>
      <c r="I18" s="159"/>
      <c r="J18" s="550"/>
      <c r="K18" s="550"/>
      <c r="L18" s="96">
        <v>297000</v>
      </c>
      <c r="M18" s="627">
        <f t="shared" si="3"/>
        <v>1397000</v>
      </c>
      <c r="N18" s="552"/>
      <c r="O18" s="198"/>
      <c r="P18" s="552"/>
      <c r="Q18" s="552"/>
      <c r="R18" s="97" t="s">
        <v>237</v>
      </c>
      <c r="T18" s="554"/>
      <c r="U18" s="554"/>
      <c r="V18" s="555"/>
    </row>
    <row r="19" spans="1:22" s="84" customFormat="1" ht="29.25" customHeight="1" x14ac:dyDescent="0.2">
      <c r="A19" s="543" t="s">
        <v>135</v>
      </c>
      <c r="B19" s="625" t="s">
        <v>617</v>
      </c>
      <c r="C19" s="86" t="s">
        <v>1015</v>
      </c>
      <c r="D19" s="1066"/>
      <c r="E19" s="135">
        <f t="shared" si="2"/>
        <v>0</v>
      </c>
      <c r="F19" s="159"/>
      <c r="G19" s="159">
        <v>0</v>
      </c>
      <c r="H19" s="159"/>
      <c r="I19" s="159"/>
      <c r="J19" s="550"/>
      <c r="K19" s="550"/>
      <c r="L19" s="96">
        <v>0</v>
      </c>
      <c r="M19" s="627">
        <f t="shared" si="3"/>
        <v>0</v>
      </c>
      <c r="N19" s="552"/>
      <c r="O19" s="198"/>
      <c r="P19" s="552"/>
      <c r="Q19" s="552">
        <v>20000000</v>
      </c>
      <c r="R19" s="97" t="s">
        <v>237</v>
      </c>
      <c r="T19" s="554"/>
      <c r="U19" s="554"/>
      <c r="V19" s="555"/>
    </row>
    <row r="20" spans="1:22" s="84" customFormat="1" ht="24.75" customHeight="1" x14ac:dyDescent="0.2">
      <c r="A20" s="543" t="s">
        <v>135</v>
      </c>
      <c r="B20" s="625" t="s">
        <v>617</v>
      </c>
      <c r="C20" s="91" t="s">
        <v>1014</v>
      </c>
      <c r="D20" s="1067"/>
      <c r="E20" s="158">
        <f>F20+G20+H20+I20+L20</f>
        <v>0</v>
      </c>
      <c r="F20" s="158"/>
      <c r="G20" s="158">
        <v>0</v>
      </c>
      <c r="H20" s="158"/>
      <c r="I20" s="158"/>
      <c r="J20" s="158"/>
      <c r="K20" s="158"/>
      <c r="L20" s="617">
        <v>0</v>
      </c>
      <c r="M20" s="627">
        <f t="shared" si="3"/>
        <v>0</v>
      </c>
      <c r="N20" s="552"/>
      <c r="O20" s="552"/>
      <c r="P20" s="552"/>
      <c r="Q20" s="553">
        <v>10000000</v>
      </c>
      <c r="R20" s="97" t="s">
        <v>237</v>
      </c>
      <c r="T20" s="554"/>
      <c r="U20" s="554"/>
      <c r="V20" s="555"/>
    </row>
    <row r="21" spans="1:22" s="170" customFormat="1" ht="21" customHeight="1" x14ac:dyDescent="0.2">
      <c r="A21" s="939" t="s">
        <v>18</v>
      </c>
      <c r="B21" s="88"/>
      <c r="C21" s="88"/>
      <c r="D21" s="166"/>
      <c r="E21" s="474">
        <f t="shared" ref="E21:Q21" si="4">SUM(E22:E34)</f>
        <v>96000000</v>
      </c>
      <c r="F21" s="474">
        <f t="shared" si="4"/>
        <v>0</v>
      </c>
      <c r="G21" s="474">
        <f t="shared" si="4"/>
        <v>75590552</v>
      </c>
      <c r="H21" s="474">
        <f t="shared" si="4"/>
        <v>0</v>
      </c>
      <c r="I21" s="474">
        <f t="shared" si="4"/>
        <v>0</v>
      </c>
      <c r="J21" s="474">
        <f t="shared" si="4"/>
        <v>0</v>
      </c>
      <c r="K21" s="474">
        <f t="shared" si="4"/>
        <v>0</v>
      </c>
      <c r="L21" s="133">
        <f t="shared" si="4"/>
        <v>20409448</v>
      </c>
      <c r="M21" s="941">
        <f t="shared" si="4"/>
        <v>96000000</v>
      </c>
      <c r="N21" s="478">
        <f t="shared" si="4"/>
        <v>0</v>
      </c>
      <c r="O21" s="478">
        <f t="shared" si="4"/>
        <v>0</v>
      </c>
      <c r="P21" s="478">
        <f t="shared" si="4"/>
        <v>0</v>
      </c>
      <c r="Q21" s="478">
        <f t="shared" si="4"/>
        <v>165000000</v>
      </c>
      <c r="R21" s="133"/>
      <c r="T21" s="554">
        <f>SUM(M21:Q21)</f>
        <v>261000000</v>
      </c>
      <c r="U21" s="554">
        <f>+T21-E21</f>
        <v>165000000</v>
      </c>
      <c r="V21" s="554"/>
    </row>
    <row r="22" spans="1:22" s="84" customFormat="1" ht="28.5" customHeight="1" x14ac:dyDescent="0.2">
      <c r="A22" s="623" t="s">
        <v>98</v>
      </c>
      <c r="B22" s="624" t="s">
        <v>137</v>
      </c>
      <c r="C22" s="218" t="s">
        <v>923</v>
      </c>
      <c r="D22" s="1067" t="s">
        <v>1571</v>
      </c>
      <c r="E22" s="135">
        <f>F22+G22+H22+I22+L22</f>
        <v>10000000</v>
      </c>
      <c r="F22" s="159"/>
      <c r="G22" s="159">
        <v>7874016</v>
      </c>
      <c r="H22" s="159"/>
      <c r="I22" s="159"/>
      <c r="J22" s="550"/>
      <c r="K22" s="550"/>
      <c r="L22" s="96">
        <v>2125984</v>
      </c>
      <c r="M22" s="551">
        <f>E22</f>
        <v>10000000</v>
      </c>
      <c r="N22" s="552"/>
      <c r="O22" s="552"/>
      <c r="P22" s="552"/>
      <c r="Q22" s="552"/>
      <c r="R22" s="97" t="s">
        <v>237</v>
      </c>
      <c r="T22" s="554"/>
      <c r="U22" s="554"/>
      <c r="V22" s="555"/>
    </row>
    <row r="23" spans="1:22" s="84" customFormat="1" ht="28.5" customHeight="1" x14ac:dyDescent="0.2">
      <c r="A23" s="623" t="s">
        <v>98</v>
      </c>
      <c r="B23" s="624" t="s">
        <v>137</v>
      </c>
      <c r="C23" s="218" t="s">
        <v>1006</v>
      </c>
      <c r="D23" s="1067" t="s">
        <v>1607</v>
      </c>
      <c r="E23" s="135">
        <f>F23+G23+H23+I23+L23</f>
        <v>3000000</v>
      </c>
      <c r="F23" s="159"/>
      <c r="G23" s="159">
        <v>2362205</v>
      </c>
      <c r="H23" s="159"/>
      <c r="I23" s="159"/>
      <c r="J23" s="550"/>
      <c r="K23" s="550"/>
      <c r="L23" s="96">
        <v>637795</v>
      </c>
      <c r="M23" s="551">
        <f>E23</f>
        <v>3000000</v>
      </c>
      <c r="N23" s="552"/>
      <c r="O23" s="552"/>
      <c r="P23" s="552"/>
      <c r="Q23" s="198"/>
      <c r="R23" s="97" t="s">
        <v>237</v>
      </c>
      <c r="T23" s="554"/>
      <c r="U23" s="554"/>
      <c r="V23" s="555"/>
    </row>
    <row r="24" spans="1:22" s="84" customFormat="1" ht="28.5" customHeight="1" x14ac:dyDescent="0.2">
      <c r="A24" s="623" t="s">
        <v>98</v>
      </c>
      <c r="B24" s="624" t="s">
        <v>137</v>
      </c>
      <c r="C24" s="218" t="s">
        <v>686</v>
      </c>
      <c r="D24" s="1067" t="s">
        <v>1572</v>
      </c>
      <c r="E24" s="135">
        <f>F24+G24+H24+I24+L24</f>
        <v>40000000</v>
      </c>
      <c r="F24" s="159"/>
      <c r="G24" s="159">
        <v>31496063</v>
      </c>
      <c r="H24" s="159"/>
      <c r="I24" s="159"/>
      <c r="J24" s="550"/>
      <c r="K24" s="550"/>
      <c r="L24" s="96">
        <v>8503937</v>
      </c>
      <c r="M24" s="551">
        <f>E24</f>
        <v>40000000</v>
      </c>
      <c r="N24" s="552"/>
      <c r="O24" s="552"/>
      <c r="P24" s="552"/>
      <c r="Q24" s="552">
        <v>50000000</v>
      </c>
      <c r="R24" s="97" t="s">
        <v>237</v>
      </c>
      <c r="T24" s="554"/>
      <c r="U24" s="554"/>
      <c r="V24" s="555"/>
    </row>
    <row r="25" spans="1:22" s="84" customFormat="1" ht="28.5" customHeight="1" x14ac:dyDescent="0.2">
      <c r="A25" s="623" t="s">
        <v>98</v>
      </c>
      <c r="B25" s="624" t="s">
        <v>137</v>
      </c>
      <c r="C25" s="218" t="s">
        <v>1016</v>
      </c>
      <c r="D25" s="1067"/>
      <c r="E25" s="135">
        <f t="shared" ref="E25:E34" si="5">F25+G25+H25+I25+L25</f>
        <v>0</v>
      </c>
      <c r="F25" s="159"/>
      <c r="G25" s="159"/>
      <c r="H25" s="159"/>
      <c r="I25" s="159"/>
      <c r="J25" s="550"/>
      <c r="K25" s="550"/>
      <c r="L25" s="96"/>
      <c r="M25" s="551">
        <f t="shared" ref="M25:M34" si="6">E25</f>
        <v>0</v>
      </c>
      <c r="N25" s="552"/>
      <c r="O25" s="552"/>
      <c r="P25" s="552"/>
      <c r="Q25" s="552">
        <v>40000000</v>
      </c>
      <c r="R25" s="97" t="s">
        <v>237</v>
      </c>
      <c r="T25" s="554"/>
      <c r="U25" s="554"/>
      <c r="V25" s="555"/>
    </row>
    <row r="26" spans="1:22" s="84" customFormat="1" ht="28.5" customHeight="1" x14ac:dyDescent="0.2">
      <c r="A26" s="623" t="s">
        <v>98</v>
      </c>
      <c r="B26" s="624" t="s">
        <v>137</v>
      </c>
      <c r="C26" s="218" t="s">
        <v>1017</v>
      </c>
      <c r="D26" s="1067" t="s">
        <v>1593</v>
      </c>
      <c r="E26" s="135">
        <f t="shared" si="5"/>
        <v>5000000</v>
      </c>
      <c r="F26" s="159"/>
      <c r="G26" s="159">
        <v>3937008</v>
      </c>
      <c r="H26" s="159"/>
      <c r="I26" s="159"/>
      <c r="J26" s="550"/>
      <c r="K26" s="550"/>
      <c r="L26" s="96">
        <v>1062992</v>
      </c>
      <c r="M26" s="551">
        <f t="shared" si="6"/>
        <v>5000000</v>
      </c>
      <c r="N26" s="552"/>
      <c r="O26" s="552"/>
      <c r="P26" s="552"/>
      <c r="Q26" s="552"/>
      <c r="R26" s="97" t="s">
        <v>237</v>
      </c>
      <c r="T26" s="554"/>
      <c r="U26" s="554"/>
      <c r="V26" s="555"/>
    </row>
    <row r="27" spans="1:22" s="84" customFormat="1" ht="28.5" customHeight="1" x14ac:dyDescent="0.2">
      <c r="A27" s="623" t="s">
        <v>98</v>
      </c>
      <c r="B27" s="624" t="s">
        <v>137</v>
      </c>
      <c r="C27" s="218" t="s">
        <v>1018</v>
      </c>
      <c r="D27" s="1067" t="s">
        <v>1594</v>
      </c>
      <c r="E27" s="135">
        <f t="shared" si="5"/>
        <v>5000000</v>
      </c>
      <c r="F27" s="159"/>
      <c r="G27" s="159">
        <v>3937008</v>
      </c>
      <c r="H27" s="159"/>
      <c r="I27" s="159"/>
      <c r="J27" s="550"/>
      <c r="K27" s="550"/>
      <c r="L27" s="96">
        <v>1062992</v>
      </c>
      <c r="M27" s="551">
        <f t="shared" si="6"/>
        <v>5000000</v>
      </c>
      <c r="N27" s="552"/>
      <c r="O27" s="552"/>
      <c r="P27" s="552"/>
      <c r="Q27" s="552"/>
      <c r="R27" s="97" t="s">
        <v>237</v>
      </c>
      <c r="T27" s="554"/>
      <c r="U27" s="554"/>
      <c r="V27" s="555"/>
    </row>
    <row r="28" spans="1:22" s="84" customFormat="1" ht="28.5" customHeight="1" x14ac:dyDescent="0.2">
      <c r="A28" s="623" t="s">
        <v>98</v>
      </c>
      <c r="B28" s="624" t="s">
        <v>137</v>
      </c>
      <c r="C28" s="218" t="s">
        <v>1019</v>
      </c>
      <c r="D28" s="1067"/>
      <c r="E28" s="135">
        <f t="shared" si="5"/>
        <v>0</v>
      </c>
      <c r="F28" s="159"/>
      <c r="G28" s="159"/>
      <c r="H28" s="159"/>
      <c r="I28" s="159"/>
      <c r="J28" s="550"/>
      <c r="K28" s="550"/>
      <c r="L28" s="96"/>
      <c r="M28" s="551">
        <f t="shared" si="6"/>
        <v>0</v>
      </c>
      <c r="N28" s="552"/>
      <c r="O28" s="552"/>
      <c r="P28" s="552"/>
      <c r="Q28" s="552">
        <v>5000000</v>
      </c>
      <c r="R28" s="97" t="s">
        <v>237</v>
      </c>
      <c r="T28" s="554"/>
      <c r="U28" s="554"/>
      <c r="V28" s="555"/>
    </row>
    <row r="29" spans="1:22" s="84" customFormat="1" ht="28.5" customHeight="1" x14ac:dyDescent="0.2">
      <c r="A29" s="623" t="s">
        <v>98</v>
      </c>
      <c r="B29" s="624" t="s">
        <v>137</v>
      </c>
      <c r="C29" s="218" t="s">
        <v>1020</v>
      </c>
      <c r="D29" s="1067"/>
      <c r="E29" s="135">
        <f t="shared" si="5"/>
        <v>0</v>
      </c>
      <c r="F29" s="159"/>
      <c r="G29" s="159">
        <v>0</v>
      </c>
      <c r="H29" s="159"/>
      <c r="I29" s="159"/>
      <c r="J29" s="550"/>
      <c r="K29" s="550"/>
      <c r="L29" s="96">
        <v>0</v>
      </c>
      <c r="M29" s="551">
        <f t="shared" si="6"/>
        <v>0</v>
      </c>
      <c r="N29" s="552"/>
      <c r="O29" s="552"/>
      <c r="P29" s="552"/>
      <c r="Q29" s="552">
        <v>50000000</v>
      </c>
      <c r="R29" s="97" t="s">
        <v>237</v>
      </c>
      <c r="T29" s="554"/>
      <c r="U29" s="554"/>
      <c r="V29" s="555"/>
    </row>
    <row r="30" spans="1:22" s="84" customFormat="1" ht="28.5" customHeight="1" x14ac:dyDescent="0.2">
      <c r="A30" s="623" t="s">
        <v>98</v>
      </c>
      <c r="B30" s="624" t="s">
        <v>137</v>
      </c>
      <c r="C30" s="218" t="s">
        <v>1021</v>
      </c>
      <c r="D30" s="1067" t="s">
        <v>1573</v>
      </c>
      <c r="E30" s="135">
        <f t="shared" si="5"/>
        <v>8000000</v>
      </c>
      <c r="F30" s="159"/>
      <c r="G30" s="159">
        <v>6299213</v>
      </c>
      <c r="H30" s="159"/>
      <c r="I30" s="159"/>
      <c r="J30" s="550"/>
      <c r="K30" s="550"/>
      <c r="L30" s="96">
        <v>1700787</v>
      </c>
      <c r="M30" s="551">
        <f t="shared" si="6"/>
        <v>8000000</v>
      </c>
      <c r="N30" s="552"/>
      <c r="O30" s="552"/>
      <c r="P30" s="552"/>
      <c r="Q30" s="552"/>
      <c r="R30" s="97" t="s">
        <v>237</v>
      </c>
      <c r="T30" s="554"/>
      <c r="U30" s="554"/>
      <c r="V30" s="555"/>
    </row>
    <row r="31" spans="1:22" s="84" customFormat="1" ht="28.5" customHeight="1" x14ac:dyDescent="0.2">
      <c r="A31" s="623" t="s">
        <v>98</v>
      </c>
      <c r="B31" s="624" t="s">
        <v>137</v>
      </c>
      <c r="C31" s="218" t="s">
        <v>1022</v>
      </c>
      <c r="D31" s="1067"/>
      <c r="E31" s="135">
        <f t="shared" si="5"/>
        <v>0</v>
      </c>
      <c r="F31" s="159"/>
      <c r="G31" s="159">
        <v>0</v>
      </c>
      <c r="H31" s="159"/>
      <c r="I31" s="159"/>
      <c r="J31" s="550"/>
      <c r="K31" s="550"/>
      <c r="L31" s="96">
        <v>0</v>
      </c>
      <c r="M31" s="551">
        <f t="shared" si="6"/>
        <v>0</v>
      </c>
      <c r="N31" s="552"/>
      <c r="O31" s="552"/>
      <c r="P31" s="552"/>
      <c r="Q31" s="552">
        <v>20000000</v>
      </c>
      <c r="R31" s="97" t="s">
        <v>237</v>
      </c>
      <c r="T31" s="554"/>
      <c r="U31" s="554"/>
      <c r="V31" s="555"/>
    </row>
    <row r="32" spans="1:22" s="84" customFormat="1" ht="28.5" customHeight="1" x14ac:dyDescent="0.2">
      <c r="A32" s="623" t="s">
        <v>98</v>
      </c>
      <c r="B32" s="624" t="s">
        <v>137</v>
      </c>
      <c r="C32" s="218" t="s">
        <v>1023</v>
      </c>
      <c r="D32" s="1067" t="s">
        <v>1574</v>
      </c>
      <c r="E32" s="135">
        <f t="shared" si="5"/>
        <v>1000000</v>
      </c>
      <c r="F32" s="159"/>
      <c r="G32" s="159">
        <v>787402</v>
      </c>
      <c r="H32" s="159"/>
      <c r="I32" s="159"/>
      <c r="J32" s="550"/>
      <c r="K32" s="550"/>
      <c r="L32" s="96">
        <v>212598</v>
      </c>
      <c r="M32" s="551">
        <f t="shared" si="6"/>
        <v>1000000</v>
      </c>
      <c r="N32" s="552"/>
      <c r="O32" s="552"/>
      <c r="P32" s="552"/>
      <c r="Q32" s="552"/>
      <c r="R32" s="97" t="s">
        <v>237</v>
      </c>
      <c r="T32" s="554"/>
      <c r="U32" s="554"/>
      <c r="V32" s="555"/>
    </row>
    <row r="33" spans="1:22" s="84" customFormat="1" ht="28.5" customHeight="1" x14ac:dyDescent="0.2">
      <c r="A33" s="623" t="s">
        <v>98</v>
      </c>
      <c r="B33" s="624" t="s">
        <v>137</v>
      </c>
      <c r="C33" s="218" t="s">
        <v>1024</v>
      </c>
      <c r="D33" s="1067" t="s">
        <v>1575</v>
      </c>
      <c r="E33" s="135">
        <f t="shared" si="5"/>
        <v>4000000</v>
      </c>
      <c r="F33" s="159"/>
      <c r="G33" s="159">
        <v>3149606</v>
      </c>
      <c r="H33" s="159"/>
      <c r="I33" s="159"/>
      <c r="J33" s="550"/>
      <c r="K33" s="550"/>
      <c r="L33" s="96">
        <v>850394</v>
      </c>
      <c r="M33" s="551">
        <f t="shared" si="6"/>
        <v>4000000</v>
      </c>
      <c r="N33" s="552"/>
      <c r="O33" s="552"/>
      <c r="P33" s="552"/>
      <c r="Q33" s="552"/>
      <c r="R33" s="97" t="s">
        <v>237</v>
      </c>
      <c r="T33" s="554"/>
      <c r="U33" s="554"/>
      <c r="V33" s="555"/>
    </row>
    <row r="34" spans="1:22" s="84" customFormat="1" ht="28.5" customHeight="1" x14ac:dyDescent="0.2">
      <c r="A34" s="623" t="s">
        <v>98</v>
      </c>
      <c r="B34" s="624" t="s">
        <v>137</v>
      </c>
      <c r="C34" s="218" t="s">
        <v>1025</v>
      </c>
      <c r="D34" s="1067" t="s">
        <v>1596</v>
      </c>
      <c r="E34" s="135">
        <f t="shared" si="5"/>
        <v>20000000</v>
      </c>
      <c r="F34" s="159"/>
      <c r="G34" s="159">
        <v>15748031</v>
      </c>
      <c r="H34" s="159"/>
      <c r="I34" s="159"/>
      <c r="J34" s="550"/>
      <c r="K34" s="550"/>
      <c r="L34" s="96">
        <v>4251969</v>
      </c>
      <c r="M34" s="551">
        <f t="shared" si="6"/>
        <v>20000000</v>
      </c>
      <c r="N34" s="552"/>
      <c r="O34" s="552"/>
      <c r="P34" s="552"/>
      <c r="Q34" s="552"/>
      <c r="R34" s="97" t="s">
        <v>237</v>
      </c>
      <c r="T34" s="554"/>
      <c r="U34" s="554"/>
      <c r="V34" s="555"/>
    </row>
    <row r="35" spans="1:22" s="170" customFormat="1" ht="21.75" customHeight="1" x14ac:dyDescent="0.2">
      <c r="A35" s="939" t="s">
        <v>19</v>
      </c>
      <c r="B35" s="88"/>
      <c r="C35" s="88"/>
      <c r="D35" s="166"/>
      <c r="E35" s="474">
        <f t="shared" ref="E35:Q35" si="7">SUM(E36:E41)</f>
        <v>149283952</v>
      </c>
      <c r="F35" s="474">
        <f t="shared" si="7"/>
        <v>4650000</v>
      </c>
      <c r="G35" s="474">
        <f t="shared" si="7"/>
        <v>93075002</v>
      </c>
      <c r="H35" s="474">
        <f t="shared" si="7"/>
        <v>0</v>
      </c>
      <c r="I35" s="474">
        <f t="shared" si="7"/>
        <v>0</v>
      </c>
      <c r="J35" s="474">
        <f t="shared" si="7"/>
        <v>49970000</v>
      </c>
      <c r="K35" s="474">
        <f t="shared" si="7"/>
        <v>0</v>
      </c>
      <c r="L35" s="133">
        <f t="shared" si="7"/>
        <v>1588950</v>
      </c>
      <c r="M35" s="942">
        <f t="shared" si="7"/>
        <v>149283952</v>
      </c>
      <c r="N35" s="474">
        <f t="shared" si="7"/>
        <v>0</v>
      </c>
      <c r="O35" s="474">
        <f t="shared" si="7"/>
        <v>0</v>
      </c>
      <c r="P35" s="474">
        <f t="shared" si="7"/>
        <v>0</v>
      </c>
      <c r="Q35" s="474">
        <f t="shared" si="7"/>
        <v>11000000</v>
      </c>
      <c r="R35" s="133"/>
      <c r="S35" s="170" t="e">
        <f>+M35+N35+P35+#REF!</f>
        <v>#REF!</v>
      </c>
      <c r="T35" s="554">
        <f>SUM(M35:Q35)</f>
        <v>160283952</v>
      </c>
      <c r="U35" s="554">
        <f>+T35-E35</f>
        <v>11000000</v>
      </c>
      <c r="V35" s="554" t="e">
        <f>+U35-#REF!</f>
        <v>#REF!</v>
      </c>
    </row>
    <row r="36" spans="1:22" s="84" customFormat="1" ht="30.75" customHeight="1" x14ac:dyDescent="0.2">
      <c r="A36" s="546" t="s">
        <v>141</v>
      </c>
      <c r="B36" s="549" t="s">
        <v>660</v>
      </c>
      <c r="C36" s="86" t="s">
        <v>1446</v>
      </c>
      <c r="D36" s="1073" t="s">
        <v>1595</v>
      </c>
      <c r="E36" s="158">
        <f>F36+G36+H36+I36+L36</f>
        <v>91840000</v>
      </c>
      <c r="F36" s="158"/>
      <c r="G36" s="158">
        <f>45920000+45920000</f>
        <v>91840000</v>
      </c>
      <c r="H36" s="158"/>
      <c r="I36" s="158"/>
      <c r="J36" s="617"/>
      <c r="K36" s="617"/>
      <c r="L36" s="98"/>
      <c r="M36" s="557">
        <f t="shared" ref="M36:M41" si="8">+E36</f>
        <v>91840000</v>
      </c>
      <c r="N36" s="618"/>
      <c r="O36" s="618"/>
      <c r="P36" s="618"/>
      <c r="Q36" s="619"/>
      <c r="R36" s="97" t="s">
        <v>237</v>
      </c>
      <c r="T36" s="554"/>
      <c r="U36" s="554"/>
      <c r="V36" s="555"/>
    </row>
    <row r="37" spans="1:22" s="84" customFormat="1" ht="30.75" customHeight="1" x14ac:dyDescent="0.2">
      <c r="A37" s="546" t="s">
        <v>141</v>
      </c>
      <c r="B37" s="549" t="s">
        <v>660</v>
      </c>
      <c r="C37" s="86" t="s">
        <v>1443</v>
      </c>
      <c r="D37" s="1067" t="s">
        <v>1597</v>
      </c>
      <c r="E37" s="158">
        <f>F37+G37+H37+I37+L37+J37+K37</f>
        <v>49970000</v>
      </c>
      <c r="F37" s="158"/>
      <c r="G37" s="158"/>
      <c r="H37" s="158"/>
      <c r="I37" s="158"/>
      <c r="J37" s="617">
        <v>49970000</v>
      </c>
      <c r="K37" s="617"/>
      <c r="L37" s="98"/>
      <c r="M37" s="557">
        <f t="shared" si="8"/>
        <v>49970000</v>
      </c>
      <c r="N37" s="618"/>
      <c r="O37" s="618"/>
      <c r="P37" s="618"/>
      <c r="Q37" s="629"/>
      <c r="R37" s="97" t="s">
        <v>237</v>
      </c>
      <c r="T37" s="554"/>
      <c r="U37" s="554"/>
      <c r="V37" s="555"/>
    </row>
    <row r="38" spans="1:22" s="84" customFormat="1" ht="30.75" customHeight="1" x14ac:dyDescent="0.2">
      <c r="A38" s="884" t="s">
        <v>141</v>
      </c>
      <c r="B38" s="549" t="s">
        <v>660</v>
      </c>
      <c r="C38" s="86" t="s">
        <v>1472</v>
      </c>
      <c r="D38" s="624" t="s">
        <v>1471</v>
      </c>
      <c r="E38" s="158">
        <f>F38+G38+H38+I38+L38+J38+K38</f>
        <v>568452</v>
      </c>
      <c r="F38" s="158"/>
      <c r="G38" s="158">
        <v>447600</v>
      </c>
      <c r="H38" s="158"/>
      <c r="I38" s="158"/>
      <c r="J38" s="617"/>
      <c r="K38" s="617"/>
      <c r="L38" s="98">
        <v>120852</v>
      </c>
      <c r="M38" s="557">
        <f t="shared" si="8"/>
        <v>568452</v>
      </c>
      <c r="N38" s="618"/>
      <c r="O38" s="618"/>
      <c r="P38" s="618"/>
      <c r="Q38" s="612"/>
      <c r="R38" s="97" t="s">
        <v>237</v>
      </c>
      <c r="T38" s="554"/>
      <c r="U38" s="554"/>
      <c r="V38" s="555"/>
    </row>
    <row r="39" spans="1:22" s="84" customFormat="1" ht="30.75" customHeight="1" x14ac:dyDescent="0.2">
      <c r="A39" s="548" t="s">
        <v>141</v>
      </c>
      <c r="B39" s="217" t="s">
        <v>660</v>
      </c>
      <c r="C39" s="218" t="s">
        <v>1476</v>
      </c>
      <c r="D39" s="624" t="s">
        <v>1475</v>
      </c>
      <c r="E39" s="158">
        <f>F39+G39+H39+I39+L39</f>
        <v>5905500</v>
      </c>
      <c r="F39" s="158">
        <v>4650000</v>
      </c>
      <c r="G39" s="158">
        <v>0</v>
      </c>
      <c r="H39" s="158"/>
      <c r="I39" s="158"/>
      <c r="J39" s="617"/>
      <c r="K39" s="617"/>
      <c r="L39" s="98">
        <v>1255500</v>
      </c>
      <c r="M39" s="557">
        <f t="shared" si="8"/>
        <v>5905500</v>
      </c>
      <c r="N39" s="618"/>
      <c r="O39" s="618"/>
      <c r="P39" s="618"/>
      <c r="Q39" s="612">
        <v>6000000</v>
      </c>
      <c r="R39" s="97" t="s">
        <v>237</v>
      </c>
      <c r="T39" s="554"/>
      <c r="U39" s="554"/>
      <c r="V39" s="555"/>
    </row>
    <row r="40" spans="1:22" s="84" customFormat="1" ht="30.75" customHeight="1" x14ac:dyDescent="0.2">
      <c r="A40" s="943" t="s">
        <v>1029</v>
      </c>
      <c r="B40" s="549" t="s">
        <v>1031</v>
      </c>
      <c r="C40" s="86" t="s">
        <v>1030</v>
      </c>
      <c r="D40" s="1067" t="s">
        <v>1608</v>
      </c>
      <c r="E40" s="158">
        <f>F40+G40+H40+I40+L40</f>
        <v>1000000</v>
      </c>
      <c r="F40" s="158"/>
      <c r="G40" s="158">
        <v>787402</v>
      </c>
      <c r="H40" s="158"/>
      <c r="I40" s="158"/>
      <c r="J40" s="617"/>
      <c r="K40" s="617"/>
      <c r="L40" s="98">
        <v>212598</v>
      </c>
      <c r="M40" s="557">
        <f t="shared" si="8"/>
        <v>1000000</v>
      </c>
      <c r="N40" s="618"/>
      <c r="O40" s="618"/>
      <c r="P40" s="618"/>
      <c r="Q40" s="612"/>
      <c r="R40" s="97" t="s">
        <v>237</v>
      </c>
      <c r="T40" s="554"/>
      <c r="U40" s="554"/>
      <c r="V40" s="555"/>
    </row>
    <row r="41" spans="1:22" s="84" customFormat="1" ht="30.75" customHeight="1" x14ac:dyDescent="0.2">
      <c r="A41" s="549" t="s">
        <v>905</v>
      </c>
      <c r="B41" s="549" t="s">
        <v>138</v>
      </c>
      <c r="C41" s="91" t="s">
        <v>906</v>
      </c>
      <c r="D41" s="1067"/>
      <c r="E41" s="158">
        <f>F41+G41+H41+I41+L41</f>
        <v>0</v>
      </c>
      <c r="F41" s="158"/>
      <c r="G41" s="158"/>
      <c r="H41" s="158"/>
      <c r="I41" s="158">
        <v>0</v>
      </c>
      <c r="J41" s="158"/>
      <c r="K41" s="158"/>
      <c r="L41" s="98">
        <v>0</v>
      </c>
      <c r="M41" s="557">
        <f t="shared" si="8"/>
        <v>0</v>
      </c>
      <c r="N41" s="544"/>
      <c r="O41" s="544"/>
      <c r="P41" s="544"/>
      <c r="Q41" s="551">
        <v>5000000</v>
      </c>
      <c r="R41" s="97" t="s">
        <v>238</v>
      </c>
      <c r="T41" s="554"/>
      <c r="U41" s="554"/>
      <c r="V41" s="555"/>
    </row>
    <row r="42" spans="1:22" s="170" customFormat="1" ht="23.25" customHeight="1" x14ac:dyDescent="0.2">
      <c r="A42" s="939" t="s">
        <v>20</v>
      </c>
      <c r="B42" s="88"/>
      <c r="C42" s="88"/>
      <c r="D42" s="166"/>
      <c r="E42" s="474">
        <f t="shared" ref="E42:Q42" si="9">SUM(E43:E43)</f>
        <v>0</v>
      </c>
      <c r="F42" s="474">
        <f t="shared" si="9"/>
        <v>0</v>
      </c>
      <c r="G42" s="474">
        <f t="shared" si="9"/>
        <v>0</v>
      </c>
      <c r="H42" s="474">
        <f t="shared" si="9"/>
        <v>0</v>
      </c>
      <c r="I42" s="474">
        <f t="shared" si="9"/>
        <v>0</v>
      </c>
      <c r="J42" s="474">
        <f t="shared" si="9"/>
        <v>0</v>
      </c>
      <c r="K42" s="474">
        <f t="shared" si="9"/>
        <v>0</v>
      </c>
      <c r="L42" s="133">
        <f t="shared" si="9"/>
        <v>0</v>
      </c>
      <c r="M42" s="944">
        <f t="shared" si="9"/>
        <v>0</v>
      </c>
      <c r="N42" s="941">
        <f t="shared" si="9"/>
        <v>0</v>
      </c>
      <c r="O42" s="941">
        <f t="shared" si="9"/>
        <v>0</v>
      </c>
      <c r="P42" s="941">
        <f t="shared" si="9"/>
        <v>0</v>
      </c>
      <c r="Q42" s="941">
        <f t="shared" si="9"/>
        <v>0</v>
      </c>
      <c r="R42" s="133"/>
      <c r="S42" s="170" t="e">
        <f>+M42+N42+P42+#REF!</f>
        <v>#REF!</v>
      </c>
      <c r="T42" s="554">
        <f>SUM(M42:Q42)</f>
        <v>0</v>
      </c>
      <c r="U42" s="554">
        <f>+T42-E42</f>
        <v>0</v>
      </c>
      <c r="V42" s="554">
        <f>+U42-E43</f>
        <v>0</v>
      </c>
    </row>
    <row r="43" spans="1:22" s="84" customFormat="1" ht="30" customHeight="1" x14ac:dyDescent="0.2">
      <c r="A43" s="945"/>
      <c r="B43" s="208"/>
      <c r="C43" s="86"/>
      <c r="D43" s="1068"/>
      <c r="E43" s="135"/>
      <c r="F43" s="135"/>
      <c r="G43" s="135"/>
      <c r="H43" s="135"/>
      <c r="I43" s="135"/>
      <c r="J43" s="564"/>
      <c r="K43" s="564"/>
      <c r="L43" s="97"/>
      <c r="M43" s="557"/>
      <c r="N43" s="182"/>
      <c r="O43" s="182"/>
      <c r="P43" s="182"/>
      <c r="Q43" s="946"/>
      <c r="R43" s="96"/>
      <c r="S43" s="84" t="e">
        <f>+M43+N43+P43+#REF!</f>
        <v>#REF!</v>
      </c>
      <c r="T43" s="554">
        <f>SUM(M43:Q43)</f>
        <v>0</v>
      </c>
      <c r="U43" s="554">
        <f>+T43-E43</f>
        <v>0</v>
      </c>
      <c r="V43" s="555" t="e">
        <f>+U43-#REF!</f>
        <v>#REF!</v>
      </c>
    </row>
    <row r="44" spans="1:22" s="170" customFormat="1" ht="24.75" customHeight="1" x14ac:dyDescent="0.2">
      <c r="A44" s="939" t="s">
        <v>21</v>
      </c>
      <c r="B44" s="88"/>
      <c r="C44" s="88"/>
      <c r="D44" s="166"/>
      <c r="E44" s="474">
        <f t="shared" ref="E44:Q44" si="10">SUM(E45:E84)</f>
        <v>572607398</v>
      </c>
      <c r="F44" s="474">
        <f t="shared" si="10"/>
        <v>4600000</v>
      </c>
      <c r="G44" s="474">
        <f t="shared" si="10"/>
        <v>437679806</v>
      </c>
      <c r="H44" s="474">
        <f t="shared" si="10"/>
        <v>726614</v>
      </c>
      <c r="I44" s="474">
        <f t="shared" si="10"/>
        <v>7993106</v>
      </c>
      <c r="J44" s="474">
        <f t="shared" si="10"/>
        <v>0</v>
      </c>
      <c r="K44" s="474">
        <f t="shared" si="10"/>
        <v>0</v>
      </c>
      <c r="L44" s="133">
        <f t="shared" si="10"/>
        <v>121607872</v>
      </c>
      <c r="M44" s="944">
        <f t="shared" si="10"/>
        <v>113167043</v>
      </c>
      <c r="N44" s="941">
        <f t="shared" si="10"/>
        <v>0</v>
      </c>
      <c r="O44" s="941">
        <f t="shared" si="10"/>
        <v>459440355</v>
      </c>
      <c r="P44" s="941">
        <f t="shared" si="10"/>
        <v>0</v>
      </c>
      <c r="Q44" s="941">
        <f t="shared" si="10"/>
        <v>111787245</v>
      </c>
      <c r="R44" s="133"/>
      <c r="S44" s="170" t="e">
        <f>+M44+N44+P44+#REF!</f>
        <v>#REF!</v>
      </c>
      <c r="T44" s="554">
        <f>SUM(M44:Q44)</f>
        <v>684394643</v>
      </c>
      <c r="U44" s="554">
        <f>+T44-E44</f>
        <v>111787245</v>
      </c>
      <c r="V44" s="554" t="e">
        <f>+U44-#REF!</f>
        <v>#REF!</v>
      </c>
    </row>
    <row r="45" spans="1:22" s="84" customFormat="1" ht="24.75" customHeight="1" x14ac:dyDescent="0.2">
      <c r="A45" s="547" t="s">
        <v>142</v>
      </c>
      <c r="B45" s="217" t="s">
        <v>618</v>
      </c>
      <c r="C45" s="218" t="s">
        <v>619</v>
      </c>
      <c r="D45" s="202">
        <v>1014</v>
      </c>
      <c r="E45" s="135">
        <f>F45+G45+H45+I45+L45</f>
        <v>2000000</v>
      </c>
      <c r="F45" s="159"/>
      <c r="G45" s="159">
        <v>1574803</v>
      </c>
      <c r="H45" s="159"/>
      <c r="I45" s="159"/>
      <c r="J45" s="550"/>
      <c r="K45" s="550"/>
      <c r="L45" s="96">
        <v>425197</v>
      </c>
      <c r="M45" s="551">
        <f t="shared" ref="M45:M81" si="11">E45</f>
        <v>2000000</v>
      </c>
      <c r="N45" s="552"/>
      <c r="O45" s="552"/>
      <c r="P45" s="552"/>
      <c r="Q45" s="553">
        <v>2500000</v>
      </c>
      <c r="R45" s="96" t="s">
        <v>237</v>
      </c>
      <c r="T45" s="554">
        <f>SUM(M45:Q45)</f>
        <v>4500000</v>
      </c>
      <c r="U45" s="554">
        <f>+T45-E45</f>
        <v>2500000</v>
      </c>
      <c r="V45" s="555"/>
    </row>
    <row r="46" spans="1:22" s="84" customFormat="1" ht="24.75" customHeight="1" x14ac:dyDescent="0.2">
      <c r="A46" s="547" t="s">
        <v>142</v>
      </c>
      <c r="B46" s="217" t="s">
        <v>618</v>
      </c>
      <c r="C46" s="218" t="s">
        <v>1026</v>
      </c>
      <c r="D46" s="202">
        <v>1015</v>
      </c>
      <c r="E46" s="135">
        <f>F46+G46+H46+I46+L46</f>
        <v>1500000</v>
      </c>
      <c r="F46" s="159"/>
      <c r="G46" s="159">
        <v>1181102</v>
      </c>
      <c r="H46" s="159"/>
      <c r="I46" s="159"/>
      <c r="J46" s="550"/>
      <c r="K46" s="550"/>
      <c r="L46" s="96">
        <v>318898</v>
      </c>
      <c r="M46" s="551">
        <f t="shared" si="11"/>
        <v>1500000</v>
      </c>
      <c r="N46" s="552"/>
      <c r="O46" s="552"/>
      <c r="P46" s="552"/>
      <c r="Q46" s="553">
        <v>1500000</v>
      </c>
      <c r="R46" s="96" t="s">
        <v>237</v>
      </c>
      <c r="T46" s="554"/>
      <c r="U46" s="554"/>
      <c r="V46" s="555"/>
    </row>
    <row r="47" spans="1:22" s="84" customFormat="1" ht="31.5" customHeight="1" x14ac:dyDescent="0.2">
      <c r="A47" s="547" t="s">
        <v>142</v>
      </c>
      <c r="B47" s="217" t="s">
        <v>618</v>
      </c>
      <c r="C47" s="218" t="s">
        <v>1453</v>
      </c>
      <c r="D47" s="1072" t="s">
        <v>1599</v>
      </c>
      <c r="E47" s="135">
        <f>F47+G47+H47+I47+L47</f>
        <v>2000000</v>
      </c>
      <c r="F47" s="159"/>
      <c r="G47" s="159">
        <v>1574803</v>
      </c>
      <c r="H47" s="159"/>
      <c r="I47" s="159"/>
      <c r="J47" s="550"/>
      <c r="K47" s="550"/>
      <c r="L47" s="96">
        <v>425197</v>
      </c>
      <c r="M47" s="551">
        <f t="shared" si="11"/>
        <v>2000000</v>
      </c>
      <c r="N47" s="552"/>
      <c r="O47" s="552"/>
      <c r="P47" s="552"/>
      <c r="Q47" s="553"/>
      <c r="R47" s="96" t="s">
        <v>237</v>
      </c>
      <c r="T47" s="554"/>
      <c r="U47" s="554"/>
      <c r="V47" s="555"/>
    </row>
    <row r="48" spans="1:22" s="84" customFormat="1" ht="24.75" customHeight="1" x14ac:dyDescent="0.2">
      <c r="A48" s="885" t="s">
        <v>142</v>
      </c>
      <c r="B48" s="217" t="s">
        <v>618</v>
      </c>
      <c r="C48" s="218" t="s">
        <v>1480</v>
      </c>
      <c r="D48" s="1067" t="s">
        <v>1598</v>
      </c>
      <c r="E48" s="135">
        <f>F48+G48+H48+I48+L48</f>
        <v>1244600</v>
      </c>
      <c r="F48" s="159"/>
      <c r="G48" s="159">
        <v>980000</v>
      </c>
      <c r="H48" s="159"/>
      <c r="I48" s="159"/>
      <c r="J48" s="550"/>
      <c r="K48" s="550"/>
      <c r="L48" s="96">
        <v>264600</v>
      </c>
      <c r="M48" s="551">
        <f t="shared" si="11"/>
        <v>1244600</v>
      </c>
      <c r="N48" s="552"/>
      <c r="O48" s="552"/>
      <c r="P48" s="552"/>
      <c r="Q48" s="553"/>
      <c r="R48" s="96" t="s">
        <v>237</v>
      </c>
      <c r="T48" s="554"/>
      <c r="U48" s="554"/>
      <c r="V48" s="555"/>
    </row>
    <row r="49" spans="1:22" s="84" customFormat="1" ht="24.75" customHeight="1" x14ac:dyDescent="0.2">
      <c r="A49" s="548" t="s">
        <v>468</v>
      </c>
      <c r="B49" s="217" t="s">
        <v>77</v>
      </c>
      <c r="C49" s="91" t="s">
        <v>620</v>
      </c>
      <c r="D49" s="225">
        <v>1016</v>
      </c>
      <c r="E49" s="135">
        <f t="shared" ref="E49:E58" si="12">F49+G49+H49+I49+L49</f>
        <v>889000</v>
      </c>
      <c r="F49" s="159"/>
      <c r="G49" s="159"/>
      <c r="H49" s="159">
        <v>300000</v>
      </c>
      <c r="I49" s="159">
        <v>400000</v>
      </c>
      <c r="J49" s="550"/>
      <c r="K49" s="550"/>
      <c r="L49" s="96">
        <v>189000</v>
      </c>
      <c r="M49" s="551">
        <f t="shared" si="11"/>
        <v>889000</v>
      </c>
      <c r="N49" s="552"/>
      <c r="O49" s="552"/>
      <c r="P49" s="552"/>
      <c r="Q49" s="553"/>
      <c r="R49" s="96" t="s">
        <v>237</v>
      </c>
      <c r="T49" s="554"/>
      <c r="U49" s="554"/>
      <c r="V49" s="555"/>
    </row>
    <row r="50" spans="1:22" s="84" customFormat="1" ht="24.75" customHeight="1" x14ac:dyDescent="0.2">
      <c r="A50" s="548" t="s">
        <v>568</v>
      </c>
      <c r="B50" s="217" t="s">
        <v>77</v>
      </c>
      <c r="C50" s="218" t="s">
        <v>984</v>
      </c>
      <c r="D50" s="1072">
        <v>1017</v>
      </c>
      <c r="E50" s="135">
        <f t="shared" si="12"/>
        <v>127000</v>
      </c>
      <c r="F50" s="159"/>
      <c r="G50" s="159"/>
      <c r="H50" s="159"/>
      <c r="I50" s="159">
        <v>100000</v>
      </c>
      <c r="J50" s="550"/>
      <c r="K50" s="550"/>
      <c r="L50" s="96">
        <v>27000</v>
      </c>
      <c r="M50" s="551">
        <f t="shared" si="11"/>
        <v>127000</v>
      </c>
      <c r="N50" s="552"/>
      <c r="O50" s="552"/>
      <c r="P50" s="552"/>
      <c r="Q50" s="553"/>
      <c r="R50" s="96" t="s">
        <v>237</v>
      </c>
      <c r="T50" s="554"/>
      <c r="U50" s="554"/>
      <c r="V50" s="555"/>
    </row>
    <row r="51" spans="1:22" s="84" customFormat="1" ht="24.75" customHeight="1" x14ac:dyDescent="0.2">
      <c r="A51" s="547" t="s">
        <v>621</v>
      </c>
      <c r="B51" s="217" t="s">
        <v>623</v>
      </c>
      <c r="C51" s="218" t="s">
        <v>622</v>
      </c>
      <c r="D51" s="202">
        <v>1018</v>
      </c>
      <c r="E51" s="135">
        <f t="shared" si="12"/>
        <v>2000000</v>
      </c>
      <c r="F51" s="159"/>
      <c r="G51" s="159"/>
      <c r="H51" s="159"/>
      <c r="I51" s="159">
        <v>1574803</v>
      </c>
      <c r="J51" s="550"/>
      <c r="K51" s="550"/>
      <c r="L51" s="96">
        <v>425197</v>
      </c>
      <c r="M51" s="551">
        <f t="shared" si="11"/>
        <v>2000000</v>
      </c>
      <c r="N51" s="552"/>
      <c r="O51" s="552"/>
      <c r="P51" s="552"/>
      <c r="Q51" s="553">
        <v>2000000</v>
      </c>
      <c r="R51" s="96" t="s">
        <v>237</v>
      </c>
      <c r="T51" s="554"/>
      <c r="U51" s="554"/>
      <c r="V51" s="555"/>
    </row>
    <row r="52" spans="1:22" s="84" customFormat="1" ht="24.75" customHeight="1" x14ac:dyDescent="0.2">
      <c r="A52" s="548" t="s">
        <v>885</v>
      </c>
      <c r="B52" s="217" t="s">
        <v>886</v>
      </c>
      <c r="C52" s="91" t="s">
        <v>904</v>
      </c>
      <c r="D52" s="1067" t="s">
        <v>1600</v>
      </c>
      <c r="E52" s="135">
        <f t="shared" si="12"/>
        <v>10000000</v>
      </c>
      <c r="F52" s="159"/>
      <c r="G52" s="159">
        <v>7874016</v>
      </c>
      <c r="H52" s="159"/>
      <c r="I52" s="159"/>
      <c r="J52" s="550"/>
      <c r="K52" s="550"/>
      <c r="L52" s="96">
        <v>2125984</v>
      </c>
      <c r="M52" s="551">
        <f t="shared" si="11"/>
        <v>10000000</v>
      </c>
      <c r="N52" s="552"/>
      <c r="O52" s="552"/>
      <c r="P52" s="552"/>
      <c r="Q52" s="553">
        <v>10000000</v>
      </c>
      <c r="R52" s="417" t="s">
        <v>237</v>
      </c>
      <c r="T52" s="554"/>
      <c r="U52" s="554"/>
      <c r="V52" s="555"/>
    </row>
    <row r="53" spans="1:22" s="84" customFormat="1" ht="24.75" customHeight="1" x14ac:dyDescent="0.2">
      <c r="A53" s="548" t="s">
        <v>885</v>
      </c>
      <c r="B53" s="217" t="s">
        <v>886</v>
      </c>
      <c r="C53" s="91" t="s">
        <v>985</v>
      </c>
      <c r="D53" s="1067"/>
      <c r="E53" s="135">
        <f t="shared" si="12"/>
        <v>0</v>
      </c>
      <c r="F53" s="159"/>
      <c r="G53" s="159">
        <v>0</v>
      </c>
      <c r="H53" s="159"/>
      <c r="I53" s="159"/>
      <c r="J53" s="550"/>
      <c r="K53" s="550"/>
      <c r="L53" s="96">
        <v>0</v>
      </c>
      <c r="M53" s="551">
        <f t="shared" si="11"/>
        <v>0</v>
      </c>
      <c r="N53" s="552"/>
      <c r="O53" s="552"/>
      <c r="P53" s="552"/>
      <c r="Q53" s="553">
        <v>4000000</v>
      </c>
      <c r="R53" s="417" t="s">
        <v>237</v>
      </c>
      <c r="T53" s="554"/>
      <c r="U53" s="554"/>
      <c r="V53" s="555"/>
    </row>
    <row r="54" spans="1:22" s="84" customFormat="1" ht="24.75" customHeight="1" x14ac:dyDescent="0.2">
      <c r="A54" s="548" t="s">
        <v>885</v>
      </c>
      <c r="B54" s="217" t="s">
        <v>886</v>
      </c>
      <c r="C54" s="91" t="s">
        <v>986</v>
      </c>
      <c r="D54" s="1067"/>
      <c r="E54" s="135">
        <f t="shared" si="12"/>
        <v>0</v>
      </c>
      <c r="F54" s="159"/>
      <c r="G54" s="159">
        <v>0</v>
      </c>
      <c r="H54" s="159"/>
      <c r="I54" s="159"/>
      <c r="J54" s="550"/>
      <c r="K54" s="550"/>
      <c r="L54" s="96">
        <v>0</v>
      </c>
      <c r="M54" s="551">
        <f t="shared" si="11"/>
        <v>0</v>
      </c>
      <c r="N54" s="552"/>
      <c r="O54" s="552"/>
      <c r="P54" s="552"/>
      <c r="Q54" s="553">
        <v>20000000</v>
      </c>
      <c r="R54" s="417" t="s">
        <v>237</v>
      </c>
      <c r="T54" s="554"/>
      <c r="U54" s="554"/>
      <c r="V54" s="555"/>
    </row>
    <row r="55" spans="1:22" s="84" customFormat="1" ht="24.75" customHeight="1" x14ac:dyDescent="0.2">
      <c r="A55" s="548" t="s">
        <v>885</v>
      </c>
      <c r="B55" s="217" t="s">
        <v>886</v>
      </c>
      <c r="C55" s="91" t="s">
        <v>1039</v>
      </c>
      <c r="D55" s="1067"/>
      <c r="E55" s="135">
        <f t="shared" si="12"/>
        <v>0</v>
      </c>
      <c r="F55" s="159"/>
      <c r="G55" s="159">
        <v>0</v>
      </c>
      <c r="H55" s="159"/>
      <c r="I55" s="159"/>
      <c r="J55" s="550"/>
      <c r="K55" s="550"/>
      <c r="L55" s="96">
        <v>0</v>
      </c>
      <c r="M55" s="551">
        <f t="shared" si="11"/>
        <v>0</v>
      </c>
      <c r="N55" s="552"/>
      <c r="O55" s="552"/>
      <c r="P55" s="552"/>
      <c r="Q55" s="553">
        <v>30000000</v>
      </c>
      <c r="R55" s="417" t="s">
        <v>237</v>
      </c>
      <c r="T55" s="554"/>
      <c r="U55" s="554"/>
      <c r="V55" s="555"/>
    </row>
    <row r="56" spans="1:22" s="84" customFormat="1" ht="24.75" customHeight="1" x14ac:dyDescent="0.2">
      <c r="A56" s="548" t="s">
        <v>885</v>
      </c>
      <c r="B56" s="217" t="s">
        <v>886</v>
      </c>
      <c r="C56" s="91" t="s">
        <v>1485</v>
      </c>
      <c r="D56" s="1067" t="s">
        <v>1601</v>
      </c>
      <c r="E56" s="135">
        <f t="shared" si="12"/>
        <v>20000000</v>
      </c>
      <c r="F56" s="159"/>
      <c r="G56" s="159">
        <v>15748031</v>
      </c>
      <c r="H56" s="159"/>
      <c r="I56" s="159"/>
      <c r="J56" s="550"/>
      <c r="K56" s="550"/>
      <c r="L56" s="96">
        <v>4251969</v>
      </c>
      <c r="M56" s="551">
        <f t="shared" si="11"/>
        <v>20000000</v>
      </c>
      <c r="N56" s="552"/>
      <c r="O56" s="552"/>
      <c r="P56" s="552"/>
      <c r="Q56" s="553"/>
      <c r="R56" s="417" t="s">
        <v>237</v>
      </c>
      <c r="T56" s="554"/>
      <c r="U56" s="554"/>
      <c r="V56" s="555"/>
    </row>
    <row r="57" spans="1:22" s="84" customFormat="1" ht="24.75" customHeight="1" x14ac:dyDescent="0.2">
      <c r="A57" s="548" t="s">
        <v>940</v>
      </c>
      <c r="B57" s="217" t="s">
        <v>941</v>
      </c>
      <c r="C57" s="91" t="s">
        <v>1478</v>
      </c>
      <c r="D57" s="1067" t="s">
        <v>980</v>
      </c>
      <c r="E57" s="135">
        <f t="shared" si="12"/>
        <v>4699000</v>
      </c>
      <c r="F57" s="159">
        <v>3700000</v>
      </c>
      <c r="G57" s="159"/>
      <c r="H57" s="159"/>
      <c r="I57" s="159"/>
      <c r="J57" s="550"/>
      <c r="K57" s="550"/>
      <c r="L57" s="96">
        <v>999000</v>
      </c>
      <c r="M57" s="551">
        <f t="shared" si="11"/>
        <v>4699000</v>
      </c>
      <c r="N57" s="552"/>
      <c r="O57" s="552"/>
      <c r="P57" s="552"/>
      <c r="Q57" s="553"/>
      <c r="R57" s="96" t="s">
        <v>237</v>
      </c>
      <c r="T57" s="554"/>
      <c r="U57" s="554"/>
      <c r="V57" s="555"/>
    </row>
    <row r="58" spans="1:22" s="84" customFormat="1" ht="43.5" customHeight="1" x14ac:dyDescent="0.2">
      <c r="A58" s="548" t="s">
        <v>940</v>
      </c>
      <c r="B58" s="217" t="s">
        <v>941</v>
      </c>
      <c r="C58" s="218" t="s">
        <v>1479</v>
      </c>
      <c r="D58" s="624" t="s">
        <v>1466</v>
      </c>
      <c r="E58" s="135">
        <f t="shared" si="12"/>
        <v>1143000</v>
      </c>
      <c r="F58" s="159">
        <v>900000</v>
      </c>
      <c r="G58" s="159"/>
      <c r="H58" s="159"/>
      <c r="I58" s="159"/>
      <c r="J58" s="550"/>
      <c r="K58" s="550"/>
      <c r="L58" s="96">
        <v>243000</v>
      </c>
      <c r="M58" s="551">
        <f t="shared" si="11"/>
        <v>1143000</v>
      </c>
      <c r="N58" s="552"/>
      <c r="O58" s="552"/>
      <c r="P58" s="552"/>
      <c r="Q58" s="553"/>
      <c r="R58" s="96" t="s">
        <v>237</v>
      </c>
      <c r="T58" s="554"/>
      <c r="U58" s="554"/>
      <c r="V58" s="555"/>
    </row>
    <row r="59" spans="1:22" s="84" customFormat="1" ht="24.75" customHeight="1" x14ac:dyDescent="0.2">
      <c r="A59" s="547" t="s">
        <v>470</v>
      </c>
      <c r="B59" s="217" t="s">
        <v>625</v>
      </c>
      <c r="C59" s="218" t="s">
        <v>624</v>
      </c>
      <c r="D59" s="1067" t="s">
        <v>1576</v>
      </c>
      <c r="E59" s="135">
        <f t="shared" ref="E59:E84" si="13">F59+G59+H59+I59+L59</f>
        <v>254000</v>
      </c>
      <c r="F59" s="159"/>
      <c r="G59" s="159"/>
      <c r="H59" s="159"/>
      <c r="I59" s="159">
        <v>200000</v>
      </c>
      <c r="J59" s="550"/>
      <c r="K59" s="550"/>
      <c r="L59" s="96">
        <v>54000</v>
      </c>
      <c r="M59" s="551">
        <f t="shared" si="11"/>
        <v>254000</v>
      </c>
      <c r="N59" s="552"/>
      <c r="O59" s="552"/>
      <c r="P59" s="552"/>
      <c r="Q59" s="553"/>
      <c r="R59" s="96" t="s">
        <v>237</v>
      </c>
      <c r="T59" s="554">
        <f>SUM(M59:Q59)</f>
        <v>254000</v>
      </c>
      <c r="U59" s="554">
        <f>+T59-E59</f>
        <v>0</v>
      </c>
      <c r="V59" s="555"/>
    </row>
    <row r="60" spans="1:22" s="84" customFormat="1" ht="24.75" customHeight="1" x14ac:dyDescent="0.2">
      <c r="A60" s="547" t="s">
        <v>470</v>
      </c>
      <c r="B60" s="217" t="s">
        <v>625</v>
      </c>
      <c r="C60" s="218" t="s">
        <v>918</v>
      </c>
      <c r="D60" s="1067"/>
      <c r="E60" s="135">
        <f t="shared" si="13"/>
        <v>0</v>
      </c>
      <c r="F60" s="159"/>
      <c r="G60" s="159">
        <v>0</v>
      </c>
      <c r="H60" s="159"/>
      <c r="I60" s="159"/>
      <c r="J60" s="550"/>
      <c r="K60" s="550"/>
      <c r="L60" s="96">
        <v>0</v>
      </c>
      <c r="M60" s="551">
        <f t="shared" si="11"/>
        <v>0</v>
      </c>
      <c r="N60" s="552"/>
      <c r="O60" s="552"/>
      <c r="P60" s="552"/>
      <c r="Q60" s="551">
        <v>10000000</v>
      </c>
      <c r="R60" s="96" t="s">
        <v>237</v>
      </c>
      <c r="T60" s="554"/>
      <c r="U60" s="554"/>
      <c r="V60" s="555"/>
    </row>
    <row r="61" spans="1:22" s="84" customFormat="1" ht="24.75" customHeight="1" x14ac:dyDescent="0.2">
      <c r="A61" s="548" t="s">
        <v>143</v>
      </c>
      <c r="B61" s="217" t="s">
        <v>667</v>
      </c>
      <c r="C61" s="91" t="s">
        <v>1447</v>
      </c>
      <c r="D61" s="1067" t="s">
        <v>1577</v>
      </c>
      <c r="E61" s="135">
        <f t="shared" si="13"/>
        <v>6500245</v>
      </c>
      <c r="F61" s="159"/>
      <c r="G61" s="159"/>
      <c r="H61" s="159"/>
      <c r="I61" s="159">
        <v>5118303</v>
      </c>
      <c r="J61" s="550"/>
      <c r="K61" s="550"/>
      <c r="L61" s="96">
        <v>1381942</v>
      </c>
      <c r="M61" s="551">
        <f t="shared" si="11"/>
        <v>6500245</v>
      </c>
      <c r="N61" s="552"/>
      <c r="O61" s="552"/>
      <c r="P61" s="552"/>
      <c r="Q61" s="553">
        <v>4500245</v>
      </c>
      <c r="R61" s="96" t="s">
        <v>237</v>
      </c>
      <c r="T61" s="554"/>
      <c r="U61" s="554"/>
      <c r="V61" s="555"/>
    </row>
    <row r="62" spans="1:22" s="84" customFormat="1" ht="24.75" customHeight="1" x14ac:dyDescent="0.2">
      <c r="A62" s="548" t="s">
        <v>143</v>
      </c>
      <c r="B62" s="217" t="s">
        <v>667</v>
      </c>
      <c r="C62" s="91" t="s">
        <v>695</v>
      </c>
      <c r="D62" s="1067" t="s">
        <v>1578</v>
      </c>
      <c r="E62" s="135">
        <f t="shared" si="13"/>
        <v>414800</v>
      </c>
      <c r="F62" s="159"/>
      <c r="G62" s="159"/>
      <c r="H62" s="159">
        <f>300000+26614</f>
        <v>326614</v>
      </c>
      <c r="I62" s="159"/>
      <c r="J62" s="550"/>
      <c r="K62" s="550"/>
      <c r="L62" s="96">
        <f>81000+7186</f>
        <v>88186</v>
      </c>
      <c r="M62" s="551">
        <f t="shared" si="11"/>
        <v>414800</v>
      </c>
      <c r="N62" s="552"/>
      <c r="O62" s="552"/>
      <c r="P62" s="552"/>
      <c r="Q62" s="553"/>
      <c r="R62" s="96" t="s">
        <v>237</v>
      </c>
      <c r="T62" s="554"/>
      <c r="U62" s="554"/>
      <c r="V62" s="555"/>
    </row>
    <row r="63" spans="1:22" s="84" customFormat="1" ht="24.75" customHeight="1" x14ac:dyDescent="0.2">
      <c r="A63" s="547" t="s">
        <v>475</v>
      </c>
      <c r="B63" s="217" t="s">
        <v>573</v>
      </c>
      <c r="C63" s="218" t="s">
        <v>901</v>
      </c>
      <c r="D63" s="1067" t="s">
        <v>1579</v>
      </c>
      <c r="E63" s="135">
        <f t="shared" si="13"/>
        <v>254000</v>
      </c>
      <c r="F63" s="159"/>
      <c r="G63" s="159"/>
      <c r="H63" s="159"/>
      <c r="I63" s="159">
        <v>200000</v>
      </c>
      <c r="J63" s="550"/>
      <c r="K63" s="550"/>
      <c r="L63" s="96">
        <v>54000</v>
      </c>
      <c r="M63" s="551">
        <f t="shared" si="11"/>
        <v>254000</v>
      </c>
      <c r="N63" s="552"/>
      <c r="O63" s="552"/>
      <c r="P63" s="552"/>
      <c r="Q63" s="553"/>
      <c r="R63" s="96" t="s">
        <v>237</v>
      </c>
      <c r="T63" s="554">
        <f>SUM(M63:Q63)</f>
        <v>254000</v>
      </c>
      <c r="U63" s="554">
        <f>+T63-E63</f>
        <v>0</v>
      </c>
      <c r="V63" s="555"/>
    </row>
    <row r="64" spans="1:22" s="84" customFormat="1" ht="24.75" customHeight="1" x14ac:dyDescent="0.2">
      <c r="A64" s="547" t="s">
        <v>477</v>
      </c>
      <c r="B64" s="217" t="s">
        <v>573</v>
      </c>
      <c r="C64" s="218" t="s">
        <v>626</v>
      </c>
      <c r="D64" s="1067" t="s">
        <v>1580</v>
      </c>
      <c r="E64" s="135">
        <f t="shared" si="13"/>
        <v>127000</v>
      </c>
      <c r="F64" s="159"/>
      <c r="G64" s="159"/>
      <c r="H64" s="159">
        <v>100000</v>
      </c>
      <c r="I64" s="159"/>
      <c r="J64" s="550"/>
      <c r="K64" s="550"/>
      <c r="L64" s="96">
        <v>27000</v>
      </c>
      <c r="M64" s="551">
        <f t="shared" si="11"/>
        <v>127000</v>
      </c>
      <c r="N64" s="552"/>
      <c r="O64" s="552"/>
      <c r="P64" s="552"/>
      <c r="Q64" s="553"/>
      <c r="R64" s="100" t="s">
        <v>237</v>
      </c>
      <c r="T64" s="554"/>
      <c r="U64" s="554"/>
      <c r="V64" s="555"/>
    </row>
    <row r="65" spans="1:22" s="84" customFormat="1" ht="24.75" customHeight="1" x14ac:dyDescent="0.2">
      <c r="A65" s="547" t="s">
        <v>477</v>
      </c>
      <c r="B65" s="217" t="s">
        <v>573</v>
      </c>
      <c r="C65" s="218" t="s">
        <v>988</v>
      </c>
      <c r="D65" s="1067" t="s">
        <v>1581</v>
      </c>
      <c r="E65" s="135">
        <f t="shared" si="13"/>
        <v>6350000</v>
      </c>
      <c r="F65" s="159"/>
      <c r="G65" s="159">
        <v>5000000</v>
      </c>
      <c r="H65" s="159"/>
      <c r="I65" s="159"/>
      <c r="J65" s="550"/>
      <c r="K65" s="550"/>
      <c r="L65" s="96">
        <v>1350000</v>
      </c>
      <c r="M65" s="551">
        <f t="shared" si="11"/>
        <v>6350000</v>
      </c>
      <c r="N65" s="552"/>
      <c r="O65" s="552"/>
      <c r="P65" s="552"/>
      <c r="Q65" s="611"/>
      <c r="R65" s="417" t="s">
        <v>237</v>
      </c>
      <c r="T65" s="554"/>
      <c r="U65" s="554"/>
      <c r="V65" s="555"/>
    </row>
    <row r="66" spans="1:22" s="84" customFormat="1" ht="24.75" customHeight="1" x14ac:dyDescent="0.2">
      <c r="A66" s="547" t="s">
        <v>477</v>
      </c>
      <c r="B66" s="217" t="s">
        <v>573</v>
      </c>
      <c r="C66" s="218" t="s">
        <v>989</v>
      </c>
      <c r="D66" s="1067"/>
      <c r="E66" s="135">
        <f t="shared" si="13"/>
        <v>0</v>
      </c>
      <c r="F66" s="159"/>
      <c r="G66" s="159"/>
      <c r="H66" s="159"/>
      <c r="I66" s="159"/>
      <c r="J66" s="550"/>
      <c r="K66" s="550"/>
      <c r="L66" s="96"/>
      <c r="M66" s="551">
        <f t="shared" si="11"/>
        <v>0</v>
      </c>
      <c r="N66" s="552"/>
      <c r="O66" s="552"/>
      <c r="P66" s="552"/>
      <c r="Q66" s="611">
        <v>10287000</v>
      </c>
      <c r="R66" s="417" t="s">
        <v>237</v>
      </c>
      <c r="T66" s="554"/>
      <c r="U66" s="554"/>
      <c r="V66" s="555"/>
    </row>
    <row r="67" spans="1:22" s="84" customFormat="1" ht="24.75" customHeight="1" x14ac:dyDescent="0.2">
      <c r="A67" s="547" t="s">
        <v>899</v>
      </c>
      <c r="B67" s="217" t="s">
        <v>618</v>
      </c>
      <c r="C67" s="218" t="s">
        <v>900</v>
      </c>
      <c r="D67" s="1067"/>
      <c r="E67" s="135">
        <f t="shared" si="13"/>
        <v>0</v>
      </c>
      <c r="F67" s="159"/>
      <c r="G67" s="159"/>
      <c r="H67" s="159"/>
      <c r="I67" s="159">
        <v>0</v>
      </c>
      <c r="J67" s="550"/>
      <c r="K67" s="550"/>
      <c r="L67" s="96">
        <v>0</v>
      </c>
      <c r="M67" s="551">
        <f t="shared" si="11"/>
        <v>0</v>
      </c>
      <c r="N67" s="552"/>
      <c r="O67" s="552"/>
      <c r="P67" s="552"/>
      <c r="Q67" s="551">
        <v>12000000</v>
      </c>
      <c r="R67" s="96" t="s">
        <v>237</v>
      </c>
      <c r="T67" s="554"/>
      <c r="U67" s="554"/>
      <c r="V67" s="555"/>
    </row>
    <row r="68" spans="1:22" s="84" customFormat="1" ht="24.75" customHeight="1" x14ac:dyDescent="0.2">
      <c r="A68" s="547" t="s">
        <v>556</v>
      </c>
      <c r="B68" s="217" t="s">
        <v>65</v>
      </c>
      <c r="C68" s="218" t="s">
        <v>637</v>
      </c>
      <c r="D68" s="1067" t="s">
        <v>1582</v>
      </c>
      <c r="E68" s="135">
        <f t="shared" si="13"/>
        <v>381000</v>
      </c>
      <c r="F68" s="159"/>
      <c r="G68" s="159"/>
      <c r="H68" s="159"/>
      <c r="I68" s="159">
        <v>300000</v>
      </c>
      <c r="J68" s="550"/>
      <c r="K68" s="550"/>
      <c r="L68" s="96">
        <v>81000</v>
      </c>
      <c r="M68" s="551">
        <f t="shared" si="11"/>
        <v>381000</v>
      </c>
      <c r="N68" s="552"/>
      <c r="O68" s="552"/>
      <c r="P68" s="552"/>
      <c r="Q68" s="551"/>
      <c r="R68" s="100" t="s">
        <v>238</v>
      </c>
      <c r="T68" s="554"/>
      <c r="U68" s="554"/>
      <c r="V68" s="555"/>
    </row>
    <row r="69" spans="1:22" s="84" customFormat="1" ht="24.75" customHeight="1" x14ac:dyDescent="0.2">
      <c r="A69" s="547" t="s">
        <v>556</v>
      </c>
      <c r="B69" s="217" t="s">
        <v>65</v>
      </c>
      <c r="C69" s="218" t="s">
        <v>991</v>
      </c>
      <c r="D69" s="1067" t="s">
        <v>1582</v>
      </c>
      <c r="E69" s="135">
        <f t="shared" si="13"/>
        <v>1026160</v>
      </c>
      <c r="F69" s="159"/>
      <c r="G69" s="159">
        <v>808000</v>
      </c>
      <c r="H69" s="159"/>
      <c r="I69" s="159"/>
      <c r="J69" s="550"/>
      <c r="K69" s="550"/>
      <c r="L69" s="96">
        <v>218160</v>
      </c>
      <c r="M69" s="551">
        <f t="shared" si="11"/>
        <v>1026160</v>
      </c>
      <c r="N69" s="552"/>
      <c r="O69" s="552"/>
      <c r="P69" s="552"/>
      <c r="Q69" s="612"/>
      <c r="R69" s="100" t="s">
        <v>238</v>
      </c>
      <c r="T69" s="554"/>
      <c r="U69" s="554"/>
      <c r="V69" s="555"/>
    </row>
    <row r="70" spans="1:22" s="84" customFormat="1" ht="24.75" customHeight="1" x14ac:dyDescent="0.2">
      <c r="A70" s="547" t="s">
        <v>556</v>
      </c>
      <c r="B70" s="217" t="s">
        <v>65</v>
      </c>
      <c r="C70" s="218" t="s">
        <v>992</v>
      </c>
      <c r="D70" s="1067" t="s">
        <v>1582</v>
      </c>
      <c r="E70" s="135">
        <f t="shared" si="13"/>
        <v>2540000</v>
      </c>
      <c r="F70" s="159"/>
      <c r="G70" s="159">
        <v>2000000</v>
      </c>
      <c r="H70" s="159"/>
      <c r="I70" s="159"/>
      <c r="J70" s="550"/>
      <c r="K70" s="550"/>
      <c r="L70" s="96">
        <v>540000</v>
      </c>
      <c r="M70" s="551">
        <f t="shared" si="11"/>
        <v>2540000</v>
      </c>
      <c r="N70" s="552"/>
      <c r="O70" s="552"/>
      <c r="P70" s="552"/>
      <c r="Q70" s="612"/>
      <c r="R70" s="100" t="s">
        <v>238</v>
      </c>
      <c r="T70" s="554"/>
      <c r="U70" s="554"/>
      <c r="V70" s="555"/>
    </row>
    <row r="71" spans="1:22" s="84" customFormat="1" ht="24.75" customHeight="1" x14ac:dyDescent="0.2">
      <c r="A71" s="547" t="s">
        <v>556</v>
      </c>
      <c r="B71" s="217" t="s">
        <v>65</v>
      </c>
      <c r="C71" s="218" t="s">
        <v>993</v>
      </c>
      <c r="D71" s="1067" t="s">
        <v>1582</v>
      </c>
      <c r="E71" s="135">
        <f t="shared" si="13"/>
        <v>1270000</v>
      </c>
      <c r="F71" s="159"/>
      <c r="G71" s="159">
        <v>1000000</v>
      </c>
      <c r="H71" s="159"/>
      <c r="I71" s="159"/>
      <c r="J71" s="550"/>
      <c r="K71" s="550"/>
      <c r="L71" s="96">
        <v>270000</v>
      </c>
      <c r="M71" s="551">
        <f t="shared" si="11"/>
        <v>1270000</v>
      </c>
      <c r="N71" s="552"/>
      <c r="O71" s="552"/>
      <c r="P71" s="552"/>
      <c r="Q71" s="612"/>
      <c r="R71" s="100" t="s">
        <v>238</v>
      </c>
      <c r="T71" s="554"/>
      <c r="U71" s="554"/>
      <c r="V71" s="555"/>
    </row>
    <row r="72" spans="1:22" s="84" customFormat="1" ht="28.5" customHeight="1" x14ac:dyDescent="0.2">
      <c r="A72" s="549" t="s">
        <v>919</v>
      </c>
      <c r="B72" s="549" t="s">
        <v>886</v>
      </c>
      <c r="C72" s="91" t="s">
        <v>1477</v>
      </c>
      <c r="D72" s="1067" t="s">
        <v>1582</v>
      </c>
      <c r="E72" s="135">
        <f t="shared" si="13"/>
        <v>3397250</v>
      </c>
      <c r="F72" s="159"/>
      <c r="G72" s="159">
        <v>2675000</v>
      </c>
      <c r="H72" s="159"/>
      <c r="I72" s="159"/>
      <c r="J72" s="550"/>
      <c r="K72" s="550"/>
      <c r="L72" s="96">
        <v>722250</v>
      </c>
      <c r="M72" s="551">
        <f t="shared" si="11"/>
        <v>3397250</v>
      </c>
      <c r="N72" s="552"/>
      <c r="O72" s="552"/>
      <c r="P72" s="552"/>
      <c r="Q72" s="553"/>
      <c r="R72" s="100" t="s">
        <v>238</v>
      </c>
      <c r="T72" s="554"/>
      <c r="U72" s="554"/>
      <c r="V72" s="555"/>
    </row>
    <row r="73" spans="1:22" s="84" customFormat="1" ht="24.75" customHeight="1" x14ac:dyDescent="0.2">
      <c r="A73" s="549" t="s">
        <v>919</v>
      </c>
      <c r="B73" s="549" t="s">
        <v>886</v>
      </c>
      <c r="C73" s="218" t="s">
        <v>1037</v>
      </c>
      <c r="D73" s="1067" t="s">
        <v>1583</v>
      </c>
      <c r="E73" s="135">
        <f t="shared" si="13"/>
        <v>1100000</v>
      </c>
      <c r="F73" s="159"/>
      <c r="G73" s="159">
        <v>866142</v>
      </c>
      <c r="H73" s="159"/>
      <c r="I73" s="159"/>
      <c r="J73" s="550"/>
      <c r="K73" s="550"/>
      <c r="L73" s="96">
        <v>233858</v>
      </c>
      <c r="M73" s="551">
        <f t="shared" si="11"/>
        <v>1100000</v>
      </c>
      <c r="N73" s="552"/>
      <c r="O73" s="552"/>
      <c r="P73" s="552"/>
      <c r="Q73" s="553"/>
      <c r="R73" s="417" t="s">
        <v>238</v>
      </c>
      <c r="T73" s="554"/>
      <c r="U73" s="554"/>
      <c r="V73" s="555"/>
    </row>
    <row r="74" spans="1:22" s="84" customFormat="1" ht="24.75" customHeight="1" x14ac:dyDescent="0.2">
      <c r="A74" s="549" t="s">
        <v>919</v>
      </c>
      <c r="B74" s="549" t="s">
        <v>886</v>
      </c>
      <c r="C74" s="218" t="s">
        <v>1452</v>
      </c>
      <c r="D74" s="1067" t="s">
        <v>1584</v>
      </c>
      <c r="E74" s="135">
        <f t="shared" si="13"/>
        <v>12000000</v>
      </c>
      <c r="F74" s="159"/>
      <c r="G74" s="159">
        <v>9448819</v>
      </c>
      <c r="H74" s="159"/>
      <c r="I74" s="159"/>
      <c r="J74" s="550"/>
      <c r="K74" s="550"/>
      <c r="L74" s="96">
        <v>2551181</v>
      </c>
      <c r="M74" s="551">
        <f t="shared" si="11"/>
        <v>12000000</v>
      </c>
      <c r="N74" s="552"/>
      <c r="O74" s="552"/>
      <c r="P74" s="552"/>
      <c r="Q74" s="553">
        <v>5000000</v>
      </c>
      <c r="R74" s="417" t="s">
        <v>238</v>
      </c>
      <c r="T74" s="554"/>
      <c r="U74" s="554"/>
      <c r="V74" s="555"/>
    </row>
    <row r="75" spans="1:22" s="84" customFormat="1" ht="24.75" customHeight="1" x14ac:dyDescent="0.2">
      <c r="A75" s="549" t="s">
        <v>919</v>
      </c>
      <c r="B75" s="549" t="s">
        <v>886</v>
      </c>
      <c r="C75" s="218" t="s">
        <v>1445</v>
      </c>
      <c r="D75" s="1067" t="s">
        <v>1585</v>
      </c>
      <c r="E75" s="135">
        <f t="shared" si="13"/>
        <v>5000000</v>
      </c>
      <c r="F75" s="159"/>
      <c r="G75" s="159">
        <v>3937008</v>
      </c>
      <c r="H75" s="159"/>
      <c r="I75" s="159"/>
      <c r="J75" s="550"/>
      <c r="K75" s="550"/>
      <c r="L75" s="96">
        <v>1062992</v>
      </c>
      <c r="M75" s="551">
        <f t="shared" si="11"/>
        <v>5000000</v>
      </c>
      <c r="N75" s="552"/>
      <c r="O75" s="552"/>
      <c r="P75" s="552"/>
      <c r="Q75" s="553"/>
      <c r="R75" s="417" t="s">
        <v>238</v>
      </c>
      <c r="T75" s="554"/>
      <c r="U75" s="554"/>
      <c r="V75" s="555"/>
    </row>
    <row r="76" spans="1:22" s="84" customFormat="1" ht="32.25" customHeight="1" x14ac:dyDescent="0.2">
      <c r="A76" s="548" t="s">
        <v>942</v>
      </c>
      <c r="B76" s="556" t="s">
        <v>943</v>
      </c>
      <c r="C76" s="218" t="s">
        <v>1005</v>
      </c>
      <c r="D76" s="1067" t="s">
        <v>1588</v>
      </c>
      <c r="E76" s="135">
        <f t="shared" si="13"/>
        <v>5000000</v>
      </c>
      <c r="F76" s="159"/>
      <c r="G76" s="159">
        <v>3937008</v>
      </c>
      <c r="H76" s="159"/>
      <c r="I76" s="159"/>
      <c r="J76" s="550"/>
      <c r="K76" s="550"/>
      <c r="L76" s="96">
        <v>1062992</v>
      </c>
      <c r="M76" s="551">
        <f t="shared" si="11"/>
        <v>5000000</v>
      </c>
      <c r="N76" s="552"/>
      <c r="O76" s="552"/>
      <c r="P76" s="552"/>
      <c r="Q76" s="553"/>
      <c r="R76" s="96" t="s">
        <v>238</v>
      </c>
      <c r="T76" s="554"/>
      <c r="U76" s="554"/>
      <c r="V76" s="555"/>
    </row>
    <row r="77" spans="1:22" s="84" customFormat="1" ht="31.5" customHeight="1" x14ac:dyDescent="0.2">
      <c r="A77" s="548" t="s">
        <v>944</v>
      </c>
      <c r="B77" s="556" t="s">
        <v>945</v>
      </c>
      <c r="C77" s="218" t="s">
        <v>1470</v>
      </c>
      <c r="D77" s="1067" t="s">
        <v>971</v>
      </c>
      <c r="E77" s="135">
        <f t="shared" si="13"/>
        <v>483616</v>
      </c>
      <c r="F77" s="159"/>
      <c r="G77" s="159">
        <v>380800</v>
      </c>
      <c r="H77" s="159"/>
      <c r="I77" s="159"/>
      <c r="J77" s="550"/>
      <c r="K77" s="550"/>
      <c r="L77" s="96">
        <v>102816</v>
      </c>
      <c r="M77" s="551">
        <f t="shared" si="11"/>
        <v>483616</v>
      </c>
      <c r="N77" s="552"/>
      <c r="O77" s="552"/>
      <c r="P77" s="552"/>
      <c r="Q77" s="553"/>
      <c r="R77" s="96" t="s">
        <v>238</v>
      </c>
      <c r="T77" s="554"/>
      <c r="U77" s="554"/>
      <c r="V77" s="555"/>
    </row>
    <row r="78" spans="1:22" s="84" customFormat="1" ht="24.75" customHeight="1" x14ac:dyDescent="0.2">
      <c r="A78" s="548" t="s">
        <v>680</v>
      </c>
      <c r="B78" s="217" t="s">
        <v>682</v>
      </c>
      <c r="C78" s="218" t="s">
        <v>681</v>
      </c>
      <c r="D78" s="1067" t="s">
        <v>1602</v>
      </c>
      <c r="E78" s="135">
        <f t="shared" si="13"/>
        <v>127000</v>
      </c>
      <c r="F78" s="159"/>
      <c r="G78" s="159"/>
      <c r="H78" s="159"/>
      <c r="I78" s="159">
        <v>100000</v>
      </c>
      <c r="J78" s="550"/>
      <c r="K78" s="550"/>
      <c r="L78" s="96">
        <v>27000</v>
      </c>
      <c r="M78" s="551">
        <f t="shared" si="11"/>
        <v>127000</v>
      </c>
      <c r="N78" s="552"/>
      <c r="O78" s="198"/>
      <c r="P78" s="552"/>
      <c r="Q78" s="553"/>
      <c r="R78" s="100" t="s">
        <v>238</v>
      </c>
      <c r="T78" s="554"/>
      <c r="U78" s="554"/>
      <c r="V78" s="555"/>
    </row>
    <row r="79" spans="1:22" s="84" customFormat="1" ht="24.75" customHeight="1" x14ac:dyDescent="0.2">
      <c r="A79" s="548" t="s">
        <v>1459</v>
      </c>
      <c r="B79" s="217" t="s">
        <v>175</v>
      </c>
      <c r="C79" s="218" t="s">
        <v>1460</v>
      </c>
      <c r="D79" s="1067" t="s">
        <v>1609</v>
      </c>
      <c r="E79" s="135">
        <f t="shared" si="13"/>
        <v>500000</v>
      </c>
      <c r="F79" s="159"/>
      <c r="G79" s="159">
        <v>393701</v>
      </c>
      <c r="H79" s="159"/>
      <c r="I79" s="159"/>
      <c r="J79" s="550"/>
      <c r="K79" s="550"/>
      <c r="L79" s="96">
        <v>106299</v>
      </c>
      <c r="M79" s="551">
        <f t="shared" si="11"/>
        <v>500000</v>
      </c>
      <c r="N79" s="552"/>
      <c r="O79" s="198"/>
      <c r="P79" s="552"/>
      <c r="Q79" s="611"/>
      <c r="R79" s="100" t="s">
        <v>237</v>
      </c>
      <c r="T79" s="554"/>
      <c r="U79" s="554"/>
      <c r="V79" s="555"/>
    </row>
    <row r="80" spans="1:22" s="84" customFormat="1" ht="108" customHeight="1" x14ac:dyDescent="0.2">
      <c r="A80" s="547" t="s">
        <v>911</v>
      </c>
      <c r="B80" s="217" t="s">
        <v>577</v>
      </c>
      <c r="C80" s="218" t="s">
        <v>1515</v>
      </c>
      <c r="D80" s="1067" t="s">
        <v>972</v>
      </c>
      <c r="E80" s="135">
        <f t="shared" si="13"/>
        <v>479679727</v>
      </c>
      <c r="F80" s="159"/>
      <c r="G80" s="159">
        <v>377700573</v>
      </c>
      <c r="H80" s="159"/>
      <c r="I80" s="159"/>
      <c r="J80" s="550"/>
      <c r="K80" s="550"/>
      <c r="L80" s="96">
        <v>101979154</v>
      </c>
      <c r="M80" s="551">
        <f>+E80-O80</f>
        <v>20239372</v>
      </c>
      <c r="N80" s="552"/>
      <c r="O80" s="551">
        <v>459440355</v>
      </c>
      <c r="P80" s="552"/>
      <c r="Q80" s="553"/>
      <c r="R80" s="96" t="s">
        <v>237</v>
      </c>
      <c r="T80" s="554"/>
      <c r="U80" s="554"/>
      <c r="V80" s="555"/>
    </row>
    <row r="81" spans="1:22" s="84" customFormat="1" ht="25.5" x14ac:dyDescent="0.2">
      <c r="A81" s="547" t="s">
        <v>912</v>
      </c>
      <c r="B81" s="217" t="s">
        <v>577</v>
      </c>
      <c r="C81" s="218" t="s">
        <v>1516</v>
      </c>
      <c r="D81" s="1067" t="s">
        <v>973</v>
      </c>
      <c r="E81" s="135">
        <f t="shared" si="13"/>
        <v>0</v>
      </c>
      <c r="F81" s="159"/>
      <c r="G81" s="159"/>
      <c r="H81" s="159"/>
      <c r="I81" s="159"/>
      <c r="J81" s="550"/>
      <c r="K81" s="550"/>
      <c r="L81" s="96"/>
      <c r="M81" s="551">
        <f t="shared" si="11"/>
        <v>0</v>
      </c>
      <c r="N81" s="552"/>
      <c r="O81" s="552"/>
      <c r="P81" s="552"/>
      <c r="Q81" s="553"/>
      <c r="R81" s="96" t="s">
        <v>237</v>
      </c>
      <c r="T81" s="554"/>
      <c r="U81" s="554"/>
      <c r="V81" s="555"/>
    </row>
    <row r="82" spans="1:22" s="84" customFormat="1" ht="41.25" customHeight="1" x14ac:dyDescent="0.2">
      <c r="A82" s="547" t="s">
        <v>946</v>
      </c>
      <c r="B82" s="217" t="s">
        <v>949</v>
      </c>
      <c r="C82" s="218" t="s">
        <v>1473</v>
      </c>
      <c r="D82" s="1067" t="s">
        <v>974</v>
      </c>
      <c r="E82" s="135">
        <f t="shared" si="13"/>
        <v>140000</v>
      </c>
      <c r="F82" s="159"/>
      <c r="G82" s="159">
        <v>140000</v>
      </c>
      <c r="H82" s="159"/>
      <c r="I82" s="159"/>
      <c r="J82" s="550"/>
      <c r="K82" s="550"/>
      <c r="L82" s="96"/>
      <c r="M82" s="551">
        <f>E82</f>
        <v>140000</v>
      </c>
      <c r="N82" s="552"/>
      <c r="O82" s="552"/>
      <c r="P82" s="552"/>
      <c r="Q82" s="553"/>
      <c r="R82" s="100" t="s">
        <v>238</v>
      </c>
      <c r="T82" s="554"/>
      <c r="U82" s="554"/>
      <c r="V82" s="555"/>
    </row>
    <row r="83" spans="1:22" s="84" customFormat="1" ht="63" customHeight="1" x14ac:dyDescent="0.2">
      <c r="A83" s="547" t="s">
        <v>947</v>
      </c>
      <c r="B83" s="217" t="s">
        <v>945</v>
      </c>
      <c r="C83" s="218" t="s">
        <v>1530</v>
      </c>
      <c r="D83" s="1067" t="s">
        <v>975</v>
      </c>
      <c r="E83" s="135">
        <f t="shared" si="13"/>
        <v>140000</v>
      </c>
      <c r="F83" s="159"/>
      <c r="G83" s="159">
        <v>140000</v>
      </c>
      <c r="H83" s="159"/>
      <c r="I83" s="159"/>
      <c r="J83" s="550"/>
      <c r="K83" s="550"/>
      <c r="L83" s="96"/>
      <c r="M83" s="551">
        <f>E83</f>
        <v>140000</v>
      </c>
      <c r="N83" s="552"/>
      <c r="O83" s="552"/>
      <c r="P83" s="552"/>
      <c r="Q83" s="553"/>
      <c r="R83" s="100" t="s">
        <v>238</v>
      </c>
      <c r="T83" s="554"/>
      <c r="U83" s="554"/>
      <c r="V83" s="555"/>
    </row>
    <row r="84" spans="1:22" s="84" customFormat="1" ht="41.25" customHeight="1" x14ac:dyDescent="0.2">
      <c r="A84" s="547" t="s">
        <v>948</v>
      </c>
      <c r="B84" s="217" t="s">
        <v>950</v>
      </c>
      <c r="C84" s="218" t="s">
        <v>1474</v>
      </c>
      <c r="D84" s="1067" t="s">
        <v>976</v>
      </c>
      <c r="E84" s="135">
        <f t="shared" si="13"/>
        <v>320000</v>
      </c>
      <c r="F84" s="159"/>
      <c r="G84" s="159">
        <f>250000+70000</f>
        <v>320000</v>
      </c>
      <c r="H84" s="159"/>
      <c r="I84" s="159"/>
      <c r="J84" s="550"/>
      <c r="K84" s="550"/>
      <c r="L84" s="96"/>
      <c r="M84" s="551">
        <f>E84</f>
        <v>320000</v>
      </c>
      <c r="N84" s="552"/>
      <c r="O84" s="552"/>
      <c r="P84" s="552"/>
      <c r="Q84" s="553"/>
      <c r="R84" s="100" t="s">
        <v>238</v>
      </c>
      <c r="T84" s="554"/>
      <c r="U84" s="554"/>
      <c r="V84" s="555"/>
    </row>
    <row r="85" spans="1:22" s="84" customFormat="1" ht="22.15" customHeight="1" x14ac:dyDescent="0.2">
      <c r="A85" s="947" t="s">
        <v>27</v>
      </c>
      <c r="B85" s="948"/>
      <c r="C85" s="948"/>
      <c r="D85" s="1069"/>
      <c r="E85" s="478">
        <f t="shared" ref="E85:R85" si="14">+E44+E42+E35+E21+E10+E7</f>
        <v>860799650</v>
      </c>
      <c r="F85" s="478">
        <f t="shared" si="14"/>
        <v>9250000</v>
      </c>
      <c r="G85" s="478">
        <f t="shared" si="14"/>
        <v>640131423</v>
      </c>
      <c r="H85" s="478">
        <f t="shared" si="14"/>
        <v>726614</v>
      </c>
      <c r="I85" s="478">
        <f t="shared" si="14"/>
        <v>7993106</v>
      </c>
      <c r="J85" s="478">
        <f t="shared" si="14"/>
        <v>49970000</v>
      </c>
      <c r="K85" s="478">
        <f t="shared" si="14"/>
        <v>0</v>
      </c>
      <c r="L85" s="949">
        <f t="shared" si="14"/>
        <v>152728507</v>
      </c>
      <c r="M85" s="944">
        <f t="shared" si="14"/>
        <v>401359295</v>
      </c>
      <c r="N85" s="478">
        <f t="shared" si="14"/>
        <v>0</v>
      </c>
      <c r="O85" s="478">
        <f t="shared" si="14"/>
        <v>459440355</v>
      </c>
      <c r="P85" s="478">
        <f t="shared" si="14"/>
        <v>0</v>
      </c>
      <c r="Q85" s="478">
        <f t="shared" si="14"/>
        <v>873787245</v>
      </c>
      <c r="R85" s="133">
        <f t="shared" si="14"/>
        <v>0</v>
      </c>
      <c r="S85" s="84" t="e">
        <f>+M85+N85+P85+#REF!</f>
        <v>#REF!</v>
      </c>
      <c r="T85" s="554">
        <f t="shared" ref="T85:T99" si="15">SUM(M85:Q85)</f>
        <v>1734586895</v>
      </c>
      <c r="U85" s="554">
        <f t="shared" ref="U85:U121" si="16">+T85-E85</f>
        <v>873787245</v>
      </c>
      <c r="V85" s="555">
        <f>+U85-E86</f>
        <v>821487197</v>
      </c>
    </row>
    <row r="86" spans="1:22" s="170" customFormat="1" ht="19.899999999999999" customHeight="1" x14ac:dyDescent="0.2">
      <c r="A86" s="605" t="s">
        <v>22</v>
      </c>
      <c r="B86" s="606"/>
      <c r="C86" s="606"/>
      <c r="D86" s="1067"/>
      <c r="E86" s="607">
        <f t="shared" ref="E86:Q86" si="17">SUM(E87:E124)</f>
        <v>52300048</v>
      </c>
      <c r="F86" s="607">
        <f t="shared" si="17"/>
        <v>1745000</v>
      </c>
      <c r="G86" s="607">
        <f t="shared" si="17"/>
        <v>0</v>
      </c>
      <c r="H86" s="607">
        <f t="shared" si="17"/>
        <v>11116066</v>
      </c>
      <c r="I86" s="607">
        <f t="shared" si="17"/>
        <v>28341331</v>
      </c>
      <c r="J86" s="607"/>
      <c r="K86" s="607">
        <f t="shared" si="17"/>
        <v>0</v>
      </c>
      <c r="L86" s="608">
        <f t="shared" si="17"/>
        <v>11097651</v>
      </c>
      <c r="M86" s="609">
        <f t="shared" si="17"/>
        <v>52300048</v>
      </c>
      <c r="N86" s="607">
        <f t="shared" si="17"/>
        <v>0</v>
      </c>
      <c r="O86" s="607">
        <f t="shared" si="17"/>
        <v>0</v>
      </c>
      <c r="P86" s="607">
        <f t="shared" si="17"/>
        <v>0</v>
      </c>
      <c r="Q86" s="607">
        <f t="shared" si="17"/>
        <v>0</v>
      </c>
      <c r="R86" s="610"/>
      <c r="S86" s="170" t="e">
        <f>+M86+N86+P86+#REF!</f>
        <v>#REF!</v>
      </c>
      <c r="T86" s="554">
        <f t="shared" si="15"/>
        <v>52300048</v>
      </c>
      <c r="U86" s="554">
        <f t="shared" si="16"/>
        <v>0</v>
      </c>
    </row>
    <row r="87" spans="1:22" s="84" customFormat="1" ht="24" customHeight="1" x14ac:dyDescent="0.2">
      <c r="A87" s="543" t="s">
        <v>98</v>
      </c>
      <c r="B87" s="160" t="s">
        <v>77</v>
      </c>
      <c r="C87" s="194" t="s">
        <v>167</v>
      </c>
      <c r="D87" s="1067" t="s">
        <v>1531</v>
      </c>
      <c r="E87" s="181">
        <f t="shared" ref="E87:E124" si="18">F87+G87+H87+I87+L87</f>
        <v>16891000</v>
      </c>
      <c r="F87" s="181">
        <v>1300000</v>
      </c>
      <c r="G87" s="181"/>
      <c r="H87" s="181">
        <v>5000000</v>
      </c>
      <c r="I87" s="181">
        <v>7000000</v>
      </c>
      <c r="J87" s="195"/>
      <c r="K87" s="195"/>
      <c r="L87" s="599">
        <v>3591000</v>
      </c>
      <c r="M87" s="455">
        <f>E87</f>
        <v>16891000</v>
      </c>
      <c r="N87" s="544"/>
      <c r="O87" s="544"/>
      <c r="P87" s="544"/>
      <c r="Q87" s="545"/>
      <c r="R87" s="98" t="s">
        <v>237</v>
      </c>
      <c r="S87" s="84" t="e">
        <f>+M87+N87+P87+#REF!</f>
        <v>#REF!</v>
      </c>
      <c r="T87" s="554">
        <f t="shared" si="15"/>
        <v>16891000</v>
      </c>
      <c r="U87" s="554">
        <f t="shared" si="16"/>
        <v>0</v>
      </c>
    </row>
    <row r="88" spans="1:22" s="84" customFormat="1" ht="24" customHeight="1" x14ac:dyDescent="0.2">
      <c r="A88" s="543" t="s">
        <v>139</v>
      </c>
      <c r="B88" s="160" t="s">
        <v>169</v>
      </c>
      <c r="C88" s="194" t="s">
        <v>168</v>
      </c>
      <c r="D88" s="1067" t="s">
        <v>1532</v>
      </c>
      <c r="E88" s="181">
        <f t="shared" si="18"/>
        <v>4953000</v>
      </c>
      <c r="F88" s="181"/>
      <c r="G88" s="181"/>
      <c r="H88" s="181">
        <v>700000</v>
      </c>
      <c r="I88" s="181">
        <v>3200000</v>
      </c>
      <c r="J88" s="195"/>
      <c r="K88" s="195"/>
      <c r="L88" s="599">
        <v>1053000</v>
      </c>
      <c r="M88" s="455">
        <f t="shared" ref="M88:M124" si="19">E88</f>
        <v>4953000</v>
      </c>
      <c r="N88" s="544"/>
      <c r="O88" s="544"/>
      <c r="P88" s="544"/>
      <c r="Q88" s="545"/>
      <c r="R88" s="100" t="s">
        <v>239</v>
      </c>
      <c r="S88" s="84" t="e">
        <f>+M88+N88+P88+#REF!</f>
        <v>#REF!</v>
      </c>
      <c r="T88" s="554">
        <f t="shared" si="15"/>
        <v>4953000</v>
      </c>
      <c r="U88" s="554">
        <f t="shared" si="16"/>
        <v>0</v>
      </c>
    </row>
    <row r="89" spans="1:22" s="84" customFormat="1" ht="24" customHeight="1" x14ac:dyDescent="0.2">
      <c r="A89" s="543" t="s">
        <v>158</v>
      </c>
      <c r="B89" s="160" t="s">
        <v>538</v>
      </c>
      <c r="C89" s="194" t="s">
        <v>539</v>
      </c>
      <c r="D89" s="1067" t="s">
        <v>1533</v>
      </c>
      <c r="E89" s="181">
        <f t="shared" si="18"/>
        <v>1460500</v>
      </c>
      <c r="F89" s="181"/>
      <c r="G89" s="181"/>
      <c r="H89" s="181">
        <v>650000</v>
      </c>
      <c r="I89" s="181">
        <v>500000</v>
      </c>
      <c r="J89" s="195"/>
      <c r="K89" s="195"/>
      <c r="L89" s="599">
        <v>310500</v>
      </c>
      <c r="M89" s="455">
        <f t="shared" si="19"/>
        <v>1460500</v>
      </c>
      <c r="N89" s="544"/>
      <c r="O89" s="544"/>
      <c r="P89" s="544"/>
      <c r="Q89" s="545"/>
      <c r="R89" s="100" t="s">
        <v>239</v>
      </c>
      <c r="T89" s="554">
        <f t="shared" si="15"/>
        <v>1460500</v>
      </c>
      <c r="U89" s="554">
        <f t="shared" si="16"/>
        <v>0</v>
      </c>
    </row>
    <row r="90" spans="1:22" s="84" customFormat="1" ht="24" customHeight="1" x14ac:dyDescent="0.2">
      <c r="A90" s="546" t="s">
        <v>141</v>
      </c>
      <c r="B90" s="160" t="s">
        <v>77</v>
      </c>
      <c r="C90" s="194" t="s">
        <v>917</v>
      </c>
      <c r="D90" s="1067" t="s">
        <v>1534</v>
      </c>
      <c r="E90" s="181">
        <f t="shared" si="18"/>
        <v>6731000</v>
      </c>
      <c r="F90" s="181"/>
      <c r="G90" s="181"/>
      <c r="H90" s="181">
        <v>1300000</v>
      </c>
      <c r="I90" s="181">
        <v>4000000</v>
      </c>
      <c r="J90" s="195"/>
      <c r="K90" s="195"/>
      <c r="L90" s="599">
        <v>1431000</v>
      </c>
      <c r="M90" s="455">
        <f t="shared" si="19"/>
        <v>6731000</v>
      </c>
      <c r="N90" s="544"/>
      <c r="O90" s="544"/>
      <c r="P90" s="544"/>
      <c r="Q90" s="545"/>
      <c r="R90" s="98" t="s">
        <v>237</v>
      </c>
      <c r="T90" s="554">
        <f t="shared" si="15"/>
        <v>6731000</v>
      </c>
      <c r="U90" s="554">
        <f t="shared" si="16"/>
        <v>0</v>
      </c>
    </row>
    <row r="91" spans="1:22" s="84" customFormat="1" ht="24" customHeight="1" x14ac:dyDescent="0.2">
      <c r="A91" s="543" t="s">
        <v>98</v>
      </c>
      <c r="B91" s="160" t="s">
        <v>587</v>
      </c>
      <c r="C91" s="194" t="s">
        <v>23</v>
      </c>
      <c r="D91" s="1067" t="s">
        <v>1535</v>
      </c>
      <c r="E91" s="181">
        <f t="shared" si="18"/>
        <v>254000</v>
      </c>
      <c r="F91" s="181"/>
      <c r="G91" s="181"/>
      <c r="H91" s="181"/>
      <c r="I91" s="181">
        <v>200000</v>
      </c>
      <c r="J91" s="195"/>
      <c r="K91" s="195"/>
      <c r="L91" s="599">
        <v>54000</v>
      </c>
      <c r="M91" s="455">
        <f t="shared" si="19"/>
        <v>254000</v>
      </c>
      <c r="N91" s="544"/>
      <c r="O91" s="544"/>
      <c r="P91" s="544"/>
      <c r="Q91" s="545"/>
      <c r="R91" s="98" t="s">
        <v>237</v>
      </c>
      <c r="S91" s="84" t="e">
        <f>+M91+N91+P91+#REF!</f>
        <v>#REF!</v>
      </c>
      <c r="T91" s="554">
        <f t="shared" si="15"/>
        <v>254000</v>
      </c>
      <c r="U91" s="554">
        <f t="shared" si="16"/>
        <v>0</v>
      </c>
    </row>
    <row r="92" spans="1:22" s="84" customFormat="1" ht="24" customHeight="1" x14ac:dyDescent="0.2">
      <c r="A92" s="547" t="s">
        <v>139</v>
      </c>
      <c r="B92" s="600" t="s">
        <v>577</v>
      </c>
      <c r="C92" s="194" t="s">
        <v>23</v>
      </c>
      <c r="D92" s="1067" t="s">
        <v>1536</v>
      </c>
      <c r="E92" s="181">
        <f t="shared" si="18"/>
        <v>698500</v>
      </c>
      <c r="F92" s="181"/>
      <c r="G92" s="181"/>
      <c r="H92" s="181">
        <v>150000</v>
      </c>
      <c r="I92" s="181">
        <v>400000</v>
      </c>
      <c r="J92" s="195"/>
      <c r="K92" s="195"/>
      <c r="L92" s="599">
        <v>148500</v>
      </c>
      <c r="M92" s="455">
        <f t="shared" si="19"/>
        <v>698500</v>
      </c>
      <c r="N92" s="544"/>
      <c r="O92" s="544"/>
      <c r="P92" s="544"/>
      <c r="Q92" s="545"/>
      <c r="R92" s="98" t="s">
        <v>237</v>
      </c>
      <c r="S92" s="84" t="e">
        <f>+M92+N92+P92+#REF!</f>
        <v>#REF!</v>
      </c>
      <c r="T92" s="554">
        <f t="shared" si="15"/>
        <v>698500</v>
      </c>
      <c r="U92" s="554">
        <f t="shared" si="16"/>
        <v>0</v>
      </c>
    </row>
    <row r="93" spans="1:22" s="84" customFormat="1" ht="24" customHeight="1" x14ac:dyDescent="0.2">
      <c r="A93" s="548" t="s">
        <v>158</v>
      </c>
      <c r="B93" s="600" t="s">
        <v>577</v>
      </c>
      <c r="C93" s="194" t="s">
        <v>23</v>
      </c>
      <c r="D93" s="1067" t="s">
        <v>1537</v>
      </c>
      <c r="E93" s="181">
        <f t="shared" si="18"/>
        <v>635000</v>
      </c>
      <c r="F93" s="181"/>
      <c r="G93" s="181"/>
      <c r="H93" s="181">
        <v>200000</v>
      </c>
      <c r="I93" s="181">
        <v>300000</v>
      </c>
      <c r="J93" s="195"/>
      <c r="K93" s="195"/>
      <c r="L93" s="599">
        <v>135000</v>
      </c>
      <c r="M93" s="455">
        <f t="shared" si="19"/>
        <v>635000</v>
      </c>
      <c r="N93" s="544"/>
      <c r="O93" s="544"/>
      <c r="P93" s="544"/>
      <c r="Q93" s="545"/>
      <c r="R93" s="98" t="s">
        <v>237</v>
      </c>
      <c r="T93" s="554">
        <f t="shared" si="15"/>
        <v>635000</v>
      </c>
      <c r="U93" s="554">
        <f t="shared" si="16"/>
        <v>0</v>
      </c>
    </row>
    <row r="94" spans="1:22" s="84" customFormat="1" ht="24" customHeight="1" x14ac:dyDescent="0.2">
      <c r="A94" s="543" t="s">
        <v>98</v>
      </c>
      <c r="B94" s="600" t="s">
        <v>170</v>
      </c>
      <c r="C94" s="194" t="s">
        <v>171</v>
      </c>
      <c r="D94" s="1067" t="s">
        <v>1538</v>
      </c>
      <c r="E94" s="181">
        <f t="shared" si="18"/>
        <v>317500</v>
      </c>
      <c r="F94" s="181"/>
      <c r="G94" s="181"/>
      <c r="H94" s="181">
        <v>150000</v>
      </c>
      <c r="I94" s="181">
        <v>100000</v>
      </c>
      <c r="J94" s="195"/>
      <c r="K94" s="195"/>
      <c r="L94" s="599">
        <v>67500</v>
      </c>
      <c r="M94" s="455">
        <f t="shared" si="19"/>
        <v>317500</v>
      </c>
      <c r="N94" s="544"/>
      <c r="O94" s="544"/>
      <c r="P94" s="544"/>
      <c r="Q94" s="545"/>
      <c r="R94" s="98" t="s">
        <v>237</v>
      </c>
      <c r="S94" s="84" t="e">
        <f>+M94+N94+P94+#REF!</f>
        <v>#REF!</v>
      </c>
      <c r="T94" s="554">
        <f t="shared" si="15"/>
        <v>317500</v>
      </c>
      <c r="U94" s="554">
        <f t="shared" si="16"/>
        <v>0</v>
      </c>
    </row>
    <row r="95" spans="1:22" s="84" customFormat="1" ht="24" customHeight="1" x14ac:dyDescent="0.2">
      <c r="A95" s="546" t="s">
        <v>139</v>
      </c>
      <c r="B95" s="217" t="s">
        <v>830</v>
      </c>
      <c r="C95" s="194" t="s">
        <v>884</v>
      </c>
      <c r="D95" s="1067" t="s">
        <v>1539</v>
      </c>
      <c r="E95" s="181">
        <f t="shared" si="18"/>
        <v>127000</v>
      </c>
      <c r="F95" s="181"/>
      <c r="G95" s="181"/>
      <c r="H95" s="181"/>
      <c r="I95" s="181">
        <v>100000</v>
      </c>
      <c r="J95" s="195"/>
      <c r="K95" s="195"/>
      <c r="L95" s="599">
        <v>27000</v>
      </c>
      <c r="M95" s="455">
        <f t="shared" si="19"/>
        <v>127000</v>
      </c>
      <c r="N95" s="544"/>
      <c r="O95" s="544"/>
      <c r="P95" s="544"/>
      <c r="Q95" s="545"/>
      <c r="R95" s="98" t="s">
        <v>237</v>
      </c>
      <c r="T95" s="554">
        <f t="shared" si="15"/>
        <v>127000</v>
      </c>
      <c r="U95" s="554">
        <f t="shared" si="16"/>
        <v>0</v>
      </c>
    </row>
    <row r="96" spans="1:22" s="84" customFormat="1" ht="24" customHeight="1" x14ac:dyDescent="0.2">
      <c r="A96" s="543" t="s">
        <v>98</v>
      </c>
      <c r="B96" s="600" t="s">
        <v>170</v>
      </c>
      <c r="C96" s="194" t="s">
        <v>628</v>
      </c>
      <c r="D96" s="1067" t="s">
        <v>1540</v>
      </c>
      <c r="E96" s="181">
        <f t="shared" si="18"/>
        <v>444500</v>
      </c>
      <c r="F96" s="181"/>
      <c r="G96" s="181"/>
      <c r="H96" s="181">
        <v>150000</v>
      </c>
      <c r="I96" s="181">
        <v>200000</v>
      </c>
      <c r="J96" s="195"/>
      <c r="K96" s="195"/>
      <c r="L96" s="599">
        <v>94500</v>
      </c>
      <c r="M96" s="455">
        <f t="shared" si="19"/>
        <v>444500</v>
      </c>
      <c r="N96" s="544"/>
      <c r="O96" s="544"/>
      <c r="P96" s="544"/>
      <c r="Q96" s="545"/>
      <c r="R96" s="98" t="s">
        <v>237</v>
      </c>
      <c r="S96" s="84" t="e">
        <f>+M96+N96+P96+#REF!</f>
        <v>#REF!</v>
      </c>
      <c r="T96" s="554">
        <f t="shared" si="15"/>
        <v>444500</v>
      </c>
      <c r="U96" s="554">
        <f t="shared" si="16"/>
        <v>0</v>
      </c>
    </row>
    <row r="97" spans="1:21" s="84" customFormat="1" ht="24" customHeight="1" x14ac:dyDescent="0.2">
      <c r="A97" s="543" t="s">
        <v>139</v>
      </c>
      <c r="B97" s="600" t="s">
        <v>170</v>
      </c>
      <c r="C97" s="194" t="s">
        <v>629</v>
      </c>
      <c r="D97" s="1067" t="s">
        <v>1541</v>
      </c>
      <c r="E97" s="181">
        <f t="shared" si="18"/>
        <v>381000</v>
      </c>
      <c r="F97" s="181"/>
      <c r="G97" s="181"/>
      <c r="H97" s="181">
        <v>200000</v>
      </c>
      <c r="I97" s="181">
        <v>100000</v>
      </c>
      <c r="J97" s="195"/>
      <c r="K97" s="195"/>
      <c r="L97" s="599">
        <v>81000</v>
      </c>
      <c r="M97" s="455">
        <f t="shared" si="19"/>
        <v>381000</v>
      </c>
      <c r="N97" s="544"/>
      <c r="O97" s="544"/>
      <c r="P97" s="544"/>
      <c r="Q97" s="545"/>
      <c r="R97" s="98" t="s">
        <v>237</v>
      </c>
      <c r="S97" s="84" t="e">
        <f>+M97+N97+P97+#REF!</f>
        <v>#REF!</v>
      </c>
      <c r="T97" s="554">
        <f t="shared" si="15"/>
        <v>381000</v>
      </c>
      <c r="U97" s="554">
        <f t="shared" si="16"/>
        <v>0</v>
      </c>
    </row>
    <row r="98" spans="1:21" s="84" customFormat="1" ht="24" customHeight="1" x14ac:dyDescent="0.2">
      <c r="A98" s="543" t="s">
        <v>98</v>
      </c>
      <c r="B98" s="600" t="s">
        <v>170</v>
      </c>
      <c r="C98" s="194" t="s">
        <v>647</v>
      </c>
      <c r="D98" s="1067" t="s">
        <v>1542</v>
      </c>
      <c r="E98" s="181">
        <f t="shared" si="18"/>
        <v>254000</v>
      </c>
      <c r="F98" s="181"/>
      <c r="G98" s="181"/>
      <c r="H98" s="181">
        <v>100000</v>
      </c>
      <c r="I98" s="181">
        <v>100000</v>
      </c>
      <c r="J98" s="195"/>
      <c r="K98" s="195"/>
      <c r="L98" s="599">
        <v>54000</v>
      </c>
      <c r="M98" s="455">
        <f t="shared" si="19"/>
        <v>254000</v>
      </c>
      <c r="N98" s="544"/>
      <c r="O98" s="544"/>
      <c r="P98" s="544"/>
      <c r="Q98" s="545"/>
      <c r="R98" s="98" t="s">
        <v>237</v>
      </c>
      <c r="S98" s="84" t="e">
        <f>+M98+N98+P98+#REF!</f>
        <v>#REF!</v>
      </c>
      <c r="T98" s="554">
        <f t="shared" si="15"/>
        <v>254000</v>
      </c>
      <c r="U98" s="554">
        <f t="shared" si="16"/>
        <v>0</v>
      </c>
    </row>
    <row r="99" spans="1:21" s="84" customFormat="1" ht="24" customHeight="1" x14ac:dyDescent="0.2">
      <c r="A99" s="543" t="s">
        <v>139</v>
      </c>
      <c r="B99" s="600" t="s">
        <v>170</v>
      </c>
      <c r="C99" s="194" t="s">
        <v>648</v>
      </c>
      <c r="D99" s="1067" t="s">
        <v>1543</v>
      </c>
      <c r="E99" s="181">
        <f t="shared" si="18"/>
        <v>279400</v>
      </c>
      <c r="F99" s="181"/>
      <c r="G99" s="181"/>
      <c r="H99" s="181">
        <v>220000</v>
      </c>
      <c r="I99" s="181"/>
      <c r="J99" s="195"/>
      <c r="K99" s="195"/>
      <c r="L99" s="599">
        <v>59400</v>
      </c>
      <c r="M99" s="455">
        <f t="shared" si="19"/>
        <v>279400</v>
      </c>
      <c r="N99" s="544"/>
      <c r="O99" s="544"/>
      <c r="P99" s="544"/>
      <c r="Q99" s="545"/>
      <c r="R99" s="98" t="s">
        <v>237</v>
      </c>
      <c r="S99" s="84" t="e">
        <f>+M99+N99+P99+#REF!</f>
        <v>#REF!</v>
      </c>
      <c r="T99" s="554">
        <f t="shared" si="15"/>
        <v>279400</v>
      </c>
      <c r="U99" s="554">
        <f t="shared" si="16"/>
        <v>0</v>
      </c>
    </row>
    <row r="100" spans="1:21" s="84" customFormat="1" ht="24" customHeight="1" x14ac:dyDescent="0.2">
      <c r="A100" s="543" t="s">
        <v>158</v>
      </c>
      <c r="B100" s="600" t="s">
        <v>830</v>
      </c>
      <c r="C100" s="194" t="s">
        <v>895</v>
      </c>
      <c r="D100" s="1067" t="s">
        <v>1544</v>
      </c>
      <c r="E100" s="181">
        <f t="shared" si="18"/>
        <v>100000</v>
      </c>
      <c r="F100" s="181"/>
      <c r="G100" s="181"/>
      <c r="H100" s="181"/>
      <c r="I100" s="181">
        <v>78740</v>
      </c>
      <c r="J100" s="195"/>
      <c r="K100" s="195"/>
      <c r="L100" s="599">
        <v>21260</v>
      </c>
      <c r="M100" s="455">
        <f t="shared" si="19"/>
        <v>100000</v>
      </c>
      <c r="N100" s="544"/>
      <c r="O100" s="544"/>
      <c r="P100" s="544"/>
      <c r="Q100" s="545"/>
      <c r="R100" s="98" t="s">
        <v>237</v>
      </c>
      <c r="T100" s="554"/>
      <c r="U100" s="554"/>
    </row>
    <row r="101" spans="1:21" s="84" customFormat="1" ht="28.5" customHeight="1" x14ac:dyDescent="0.2">
      <c r="A101" s="543" t="s">
        <v>98</v>
      </c>
      <c r="B101" s="160" t="s">
        <v>588</v>
      </c>
      <c r="C101" s="92" t="s">
        <v>416</v>
      </c>
      <c r="D101" s="1067" t="s">
        <v>1545</v>
      </c>
      <c r="E101" s="181">
        <f t="shared" si="18"/>
        <v>5317490</v>
      </c>
      <c r="F101" s="181"/>
      <c r="G101" s="181"/>
      <c r="H101" s="181">
        <v>150000</v>
      </c>
      <c r="I101" s="181">
        <v>4037000</v>
      </c>
      <c r="J101" s="195"/>
      <c r="K101" s="195"/>
      <c r="L101" s="599">
        <v>1130490</v>
      </c>
      <c r="M101" s="455">
        <f t="shared" si="19"/>
        <v>5317490</v>
      </c>
      <c r="N101" s="544"/>
      <c r="O101" s="544"/>
      <c r="P101" s="544"/>
      <c r="Q101" s="545"/>
      <c r="R101" s="98" t="s">
        <v>237</v>
      </c>
      <c r="S101" s="84" t="e">
        <f>+M101+N101+P101+#REF!</f>
        <v>#REF!</v>
      </c>
      <c r="T101" s="554">
        <f t="shared" ref="T101:T107" si="20">SUM(M101:Q101)</f>
        <v>5317490</v>
      </c>
      <c r="U101" s="554">
        <f t="shared" si="16"/>
        <v>0</v>
      </c>
    </row>
    <row r="102" spans="1:21" s="84" customFormat="1" ht="24.75" customHeight="1" x14ac:dyDescent="0.2">
      <c r="A102" s="543" t="s">
        <v>139</v>
      </c>
      <c r="B102" s="160" t="s">
        <v>540</v>
      </c>
      <c r="C102" s="92" t="s">
        <v>541</v>
      </c>
      <c r="D102" s="1067" t="s">
        <v>1546</v>
      </c>
      <c r="E102" s="181">
        <f t="shared" si="18"/>
        <v>381000</v>
      </c>
      <c r="F102" s="181"/>
      <c r="G102" s="181"/>
      <c r="H102" s="181"/>
      <c r="I102" s="181">
        <v>300000</v>
      </c>
      <c r="J102" s="195"/>
      <c r="K102" s="195"/>
      <c r="L102" s="599">
        <v>81000</v>
      </c>
      <c r="M102" s="455">
        <f t="shared" si="19"/>
        <v>381000</v>
      </c>
      <c r="N102" s="544"/>
      <c r="O102" s="544"/>
      <c r="P102" s="544"/>
      <c r="Q102" s="545"/>
      <c r="R102" s="98" t="s">
        <v>237</v>
      </c>
      <c r="T102" s="554">
        <f t="shared" si="20"/>
        <v>381000</v>
      </c>
      <c r="U102" s="554">
        <f t="shared" si="16"/>
        <v>0</v>
      </c>
    </row>
    <row r="103" spans="1:21" s="84" customFormat="1" ht="21.75" customHeight="1" x14ac:dyDescent="0.2">
      <c r="A103" s="543" t="s">
        <v>158</v>
      </c>
      <c r="B103" s="160" t="s">
        <v>415</v>
      </c>
      <c r="C103" s="92" t="s">
        <v>417</v>
      </c>
      <c r="D103" s="1067" t="s">
        <v>1547</v>
      </c>
      <c r="E103" s="181">
        <f t="shared" si="18"/>
        <v>254000</v>
      </c>
      <c r="F103" s="181"/>
      <c r="G103" s="181"/>
      <c r="H103" s="181"/>
      <c r="I103" s="181">
        <v>200000</v>
      </c>
      <c r="J103" s="195"/>
      <c r="K103" s="195"/>
      <c r="L103" s="599">
        <v>54000</v>
      </c>
      <c r="M103" s="455">
        <f t="shared" si="19"/>
        <v>254000</v>
      </c>
      <c r="N103" s="544"/>
      <c r="O103" s="544"/>
      <c r="P103" s="544"/>
      <c r="Q103" s="545"/>
      <c r="R103" s="98" t="s">
        <v>238</v>
      </c>
      <c r="T103" s="554">
        <f t="shared" si="20"/>
        <v>254000</v>
      </c>
      <c r="U103" s="554">
        <f t="shared" si="16"/>
        <v>0</v>
      </c>
    </row>
    <row r="104" spans="1:21" s="84" customFormat="1" ht="24" customHeight="1" x14ac:dyDescent="0.2">
      <c r="A104" s="543" t="s">
        <v>159</v>
      </c>
      <c r="B104" s="160" t="s">
        <v>174</v>
      </c>
      <c r="C104" s="92" t="s">
        <v>180</v>
      </c>
      <c r="D104" s="1067" t="s">
        <v>1548</v>
      </c>
      <c r="E104" s="181">
        <f t="shared" si="18"/>
        <v>63500</v>
      </c>
      <c r="F104" s="181"/>
      <c r="G104" s="181"/>
      <c r="H104" s="181"/>
      <c r="I104" s="181">
        <v>50000</v>
      </c>
      <c r="J104" s="195"/>
      <c r="K104" s="195"/>
      <c r="L104" s="599">
        <v>13500</v>
      </c>
      <c r="M104" s="455">
        <f t="shared" si="19"/>
        <v>63500</v>
      </c>
      <c r="N104" s="544"/>
      <c r="O104" s="544"/>
      <c r="P104" s="544"/>
      <c r="Q104" s="545"/>
      <c r="R104" s="98" t="s">
        <v>238</v>
      </c>
      <c r="S104" s="84" t="e">
        <f>+M104+N104+P104+#REF!</f>
        <v>#REF!</v>
      </c>
      <c r="T104" s="554">
        <f t="shared" si="20"/>
        <v>63500</v>
      </c>
      <c r="U104" s="554">
        <f t="shared" si="16"/>
        <v>0</v>
      </c>
    </row>
    <row r="105" spans="1:21" s="84" customFormat="1" ht="24" customHeight="1" x14ac:dyDescent="0.2">
      <c r="A105" s="543" t="s">
        <v>140</v>
      </c>
      <c r="B105" s="160" t="s">
        <v>175</v>
      </c>
      <c r="C105" s="92" t="s">
        <v>542</v>
      </c>
      <c r="D105" s="1067" t="s">
        <v>1549</v>
      </c>
      <c r="E105" s="181">
        <f t="shared" si="18"/>
        <v>635000</v>
      </c>
      <c r="F105" s="181"/>
      <c r="G105" s="181"/>
      <c r="H105" s="181"/>
      <c r="I105" s="181">
        <v>500000</v>
      </c>
      <c r="J105" s="195"/>
      <c r="K105" s="195"/>
      <c r="L105" s="599">
        <v>135000</v>
      </c>
      <c r="M105" s="455">
        <f t="shared" si="19"/>
        <v>635000</v>
      </c>
      <c r="N105" s="544"/>
      <c r="O105" s="544"/>
      <c r="P105" s="544"/>
      <c r="Q105" s="545"/>
      <c r="R105" s="98" t="s">
        <v>237</v>
      </c>
      <c r="T105" s="554">
        <f t="shared" si="20"/>
        <v>635000</v>
      </c>
      <c r="U105" s="554">
        <f t="shared" si="16"/>
        <v>0</v>
      </c>
    </row>
    <row r="106" spans="1:21" s="84" customFormat="1" ht="32.25" customHeight="1" x14ac:dyDescent="0.2">
      <c r="A106" s="543" t="s">
        <v>141</v>
      </c>
      <c r="B106" s="160" t="s">
        <v>175</v>
      </c>
      <c r="C106" s="92" t="s">
        <v>543</v>
      </c>
      <c r="D106" s="1067" t="s">
        <v>1550</v>
      </c>
      <c r="E106" s="181">
        <f t="shared" si="18"/>
        <v>254000</v>
      </c>
      <c r="F106" s="181"/>
      <c r="G106" s="181"/>
      <c r="H106" s="181"/>
      <c r="I106" s="181">
        <v>200000</v>
      </c>
      <c r="J106" s="195"/>
      <c r="K106" s="195"/>
      <c r="L106" s="599">
        <v>54000</v>
      </c>
      <c r="M106" s="455">
        <f t="shared" si="19"/>
        <v>254000</v>
      </c>
      <c r="N106" s="544"/>
      <c r="O106" s="544"/>
      <c r="P106" s="544"/>
      <c r="Q106" s="545"/>
      <c r="R106" s="98" t="s">
        <v>237</v>
      </c>
      <c r="S106" s="84" t="e">
        <f>+M106+N106+P106+#REF!</f>
        <v>#REF!</v>
      </c>
      <c r="T106" s="554">
        <f t="shared" si="20"/>
        <v>254000</v>
      </c>
      <c r="U106" s="554">
        <f t="shared" si="16"/>
        <v>0</v>
      </c>
    </row>
    <row r="107" spans="1:21" s="84" customFormat="1" ht="32.25" customHeight="1" x14ac:dyDescent="0.2">
      <c r="A107" s="546" t="s">
        <v>142</v>
      </c>
      <c r="B107" s="549" t="s">
        <v>831</v>
      </c>
      <c r="C107" s="92" t="s">
        <v>927</v>
      </c>
      <c r="D107" s="1067" t="s">
        <v>1551</v>
      </c>
      <c r="E107" s="181">
        <f t="shared" si="18"/>
        <v>635000</v>
      </c>
      <c r="F107" s="181"/>
      <c r="G107" s="181"/>
      <c r="H107" s="181"/>
      <c r="I107" s="181">
        <v>500000</v>
      </c>
      <c r="J107" s="195"/>
      <c r="K107" s="195"/>
      <c r="L107" s="599">
        <v>135000</v>
      </c>
      <c r="M107" s="455">
        <f t="shared" si="19"/>
        <v>635000</v>
      </c>
      <c r="N107" s="544"/>
      <c r="O107" s="544"/>
      <c r="P107" s="544"/>
      <c r="Q107" s="545"/>
      <c r="R107" s="98" t="s">
        <v>238</v>
      </c>
      <c r="T107" s="554">
        <f t="shared" si="20"/>
        <v>635000</v>
      </c>
      <c r="U107" s="554">
        <f t="shared" si="16"/>
        <v>0</v>
      </c>
    </row>
    <row r="108" spans="1:21" s="84" customFormat="1" ht="24" customHeight="1" x14ac:dyDescent="0.2">
      <c r="A108" s="543" t="s">
        <v>494</v>
      </c>
      <c r="B108" s="160" t="s">
        <v>544</v>
      </c>
      <c r="C108" s="92" t="s">
        <v>545</v>
      </c>
      <c r="D108" s="1067" t="s">
        <v>1552</v>
      </c>
      <c r="E108" s="181">
        <f t="shared" si="18"/>
        <v>508000</v>
      </c>
      <c r="F108" s="181"/>
      <c r="G108" s="181"/>
      <c r="H108" s="181">
        <v>200000</v>
      </c>
      <c r="I108" s="181">
        <v>200000</v>
      </c>
      <c r="J108" s="195"/>
      <c r="K108" s="195"/>
      <c r="L108" s="599">
        <v>108000</v>
      </c>
      <c r="M108" s="455">
        <f t="shared" si="19"/>
        <v>508000</v>
      </c>
      <c r="N108" s="544"/>
      <c r="O108" s="544"/>
      <c r="P108" s="544"/>
      <c r="Q108" s="545"/>
      <c r="R108" s="98" t="s">
        <v>238</v>
      </c>
      <c r="T108" s="554">
        <f t="shared" ref="T108:T126" si="21">SUM(M108:Q108)</f>
        <v>508000</v>
      </c>
      <c r="U108" s="554">
        <f t="shared" si="16"/>
        <v>0</v>
      </c>
    </row>
    <row r="109" spans="1:21" s="84" customFormat="1" ht="24" customHeight="1" x14ac:dyDescent="0.2">
      <c r="A109" s="543" t="s">
        <v>496</v>
      </c>
      <c r="B109" s="160" t="s">
        <v>546</v>
      </c>
      <c r="C109" s="92" t="s">
        <v>547</v>
      </c>
      <c r="D109" s="1067" t="s">
        <v>1553</v>
      </c>
      <c r="E109" s="181">
        <f t="shared" si="18"/>
        <v>635000</v>
      </c>
      <c r="F109" s="181"/>
      <c r="G109" s="181"/>
      <c r="H109" s="181">
        <v>500000</v>
      </c>
      <c r="I109" s="181"/>
      <c r="J109" s="195"/>
      <c r="K109" s="195"/>
      <c r="L109" s="599">
        <v>135000</v>
      </c>
      <c r="M109" s="455">
        <f t="shared" si="19"/>
        <v>635000</v>
      </c>
      <c r="N109" s="544"/>
      <c r="O109" s="544"/>
      <c r="P109" s="544"/>
      <c r="Q109" s="545"/>
      <c r="R109" s="98" t="s">
        <v>238</v>
      </c>
      <c r="T109" s="554">
        <f t="shared" si="21"/>
        <v>635000</v>
      </c>
      <c r="U109" s="554">
        <f t="shared" si="16"/>
        <v>0</v>
      </c>
    </row>
    <row r="110" spans="1:21" s="84" customFormat="1" ht="25.15" customHeight="1" x14ac:dyDescent="0.2">
      <c r="A110" s="543" t="s">
        <v>160</v>
      </c>
      <c r="B110" s="160" t="s">
        <v>176</v>
      </c>
      <c r="C110" s="92" t="s">
        <v>178</v>
      </c>
      <c r="D110" s="1067" t="s">
        <v>1554</v>
      </c>
      <c r="E110" s="181">
        <f t="shared" si="18"/>
        <v>635000</v>
      </c>
      <c r="F110" s="181"/>
      <c r="G110" s="181"/>
      <c r="H110" s="181"/>
      <c r="I110" s="181">
        <v>500000</v>
      </c>
      <c r="J110" s="195"/>
      <c r="K110" s="195"/>
      <c r="L110" s="599">
        <v>135000</v>
      </c>
      <c r="M110" s="455">
        <f t="shared" si="19"/>
        <v>635000</v>
      </c>
      <c r="N110" s="544"/>
      <c r="O110" s="544"/>
      <c r="P110" s="544"/>
      <c r="Q110" s="545"/>
      <c r="R110" s="98" t="s">
        <v>237</v>
      </c>
      <c r="S110" s="84" t="e">
        <f>+M110+N110+P110+#REF!</f>
        <v>#REF!</v>
      </c>
      <c r="T110" s="554">
        <f t="shared" si="21"/>
        <v>635000</v>
      </c>
      <c r="U110" s="554">
        <f t="shared" si="16"/>
        <v>0</v>
      </c>
    </row>
    <row r="111" spans="1:21" s="84" customFormat="1" ht="24.75" customHeight="1" x14ac:dyDescent="0.2">
      <c r="A111" s="543" t="s">
        <v>68</v>
      </c>
      <c r="B111" s="160" t="s">
        <v>177</v>
      </c>
      <c r="C111" s="92" t="s">
        <v>179</v>
      </c>
      <c r="D111" s="1067" t="s">
        <v>1555</v>
      </c>
      <c r="E111" s="181">
        <f t="shared" si="18"/>
        <v>254000</v>
      </c>
      <c r="F111" s="181"/>
      <c r="G111" s="181"/>
      <c r="H111" s="181"/>
      <c r="I111" s="181">
        <v>200000</v>
      </c>
      <c r="J111" s="195"/>
      <c r="K111" s="195"/>
      <c r="L111" s="599">
        <v>54000</v>
      </c>
      <c r="M111" s="455">
        <f t="shared" si="19"/>
        <v>254000</v>
      </c>
      <c r="N111" s="544"/>
      <c r="O111" s="544"/>
      <c r="P111" s="544"/>
      <c r="Q111" s="545"/>
      <c r="R111" s="98" t="s">
        <v>237</v>
      </c>
      <c r="S111" s="84" t="e">
        <f>+M111+N111+P111+#REF!</f>
        <v>#REF!</v>
      </c>
      <c r="T111" s="554">
        <f t="shared" si="21"/>
        <v>254000</v>
      </c>
      <c r="U111" s="554">
        <f t="shared" si="16"/>
        <v>0</v>
      </c>
    </row>
    <row r="112" spans="1:21" s="84" customFormat="1" ht="29.25" customHeight="1" x14ac:dyDescent="0.2">
      <c r="A112" s="543" t="s">
        <v>69</v>
      </c>
      <c r="B112" s="160" t="s">
        <v>589</v>
      </c>
      <c r="C112" s="92" t="s">
        <v>181</v>
      </c>
      <c r="D112" s="1067" t="s">
        <v>1556</v>
      </c>
      <c r="E112" s="181">
        <f t="shared" si="18"/>
        <v>0</v>
      </c>
      <c r="F112" s="181"/>
      <c r="G112" s="181"/>
      <c r="H112" s="181"/>
      <c r="I112" s="181"/>
      <c r="J112" s="195"/>
      <c r="K112" s="195"/>
      <c r="L112" s="599"/>
      <c r="M112" s="455">
        <f t="shared" si="19"/>
        <v>0</v>
      </c>
      <c r="N112" s="544"/>
      <c r="O112" s="544"/>
      <c r="P112" s="544"/>
      <c r="Q112" s="545"/>
      <c r="R112" s="98" t="s">
        <v>237</v>
      </c>
      <c r="S112" s="84" t="e">
        <f>+M112+N112+P112+#REF!</f>
        <v>#REF!</v>
      </c>
      <c r="T112" s="554">
        <f t="shared" si="21"/>
        <v>0</v>
      </c>
      <c r="U112" s="554">
        <f t="shared" si="16"/>
        <v>0</v>
      </c>
    </row>
    <row r="113" spans="1:22" s="84" customFormat="1" ht="29.25" customHeight="1" x14ac:dyDescent="0.2">
      <c r="A113" s="543" t="s">
        <v>161</v>
      </c>
      <c r="B113" s="160" t="s">
        <v>589</v>
      </c>
      <c r="C113" s="92" t="s">
        <v>1454</v>
      </c>
      <c r="D113" s="1067" t="s">
        <v>1557</v>
      </c>
      <c r="E113" s="181">
        <f t="shared" si="18"/>
        <v>350000</v>
      </c>
      <c r="F113" s="181"/>
      <c r="G113" s="181"/>
      <c r="H113" s="181"/>
      <c r="I113" s="181">
        <v>275591</v>
      </c>
      <c r="J113" s="195"/>
      <c r="K113" s="195"/>
      <c r="L113" s="599">
        <v>74409</v>
      </c>
      <c r="M113" s="455">
        <f t="shared" si="19"/>
        <v>350000</v>
      </c>
      <c r="N113" s="544"/>
      <c r="O113" s="544"/>
      <c r="P113" s="544"/>
      <c r="Q113" s="545"/>
      <c r="R113" s="98" t="s">
        <v>237</v>
      </c>
      <c r="S113" s="84" t="e">
        <f>+M113+N113+P113+#REF!</f>
        <v>#REF!</v>
      </c>
      <c r="T113" s="554">
        <f t="shared" si="21"/>
        <v>350000</v>
      </c>
      <c r="U113" s="554">
        <f t="shared" si="16"/>
        <v>0</v>
      </c>
    </row>
    <row r="114" spans="1:22" s="84" customFormat="1" ht="29.25" customHeight="1" x14ac:dyDescent="0.2">
      <c r="A114" s="543" t="s">
        <v>162</v>
      </c>
      <c r="B114" s="160" t="s">
        <v>589</v>
      </c>
      <c r="C114" s="92" t="s">
        <v>182</v>
      </c>
      <c r="D114" s="1067" t="s">
        <v>1558</v>
      </c>
      <c r="E114" s="181">
        <f t="shared" si="18"/>
        <v>0</v>
      </c>
      <c r="F114" s="181"/>
      <c r="G114" s="181"/>
      <c r="H114" s="181"/>
      <c r="I114" s="181"/>
      <c r="J114" s="195"/>
      <c r="K114" s="195"/>
      <c r="L114" s="599"/>
      <c r="M114" s="455">
        <f t="shared" si="19"/>
        <v>0</v>
      </c>
      <c r="N114" s="544"/>
      <c r="O114" s="544"/>
      <c r="P114" s="544"/>
      <c r="Q114" s="545"/>
      <c r="R114" s="98" t="s">
        <v>237</v>
      </c>
      <c r="S114" s="84" t="e">
        <f>+M114+N114+P114+#REF!</f>
        <v>#REF!</v>
      </c>
      <c r="T114" s="554">
        <f t="shared" si="21"/>
        <v>0</v>
      </c>
      <c r="U114" s="554">
        <f t="shared" si="16"/>
        <v>0</v>
      </c>
    </row>
    <row r="115" spans="1:22" s="84" customFormat="1" ht="22.5" customHeight="1" x14ac:dyDescent="0.2">
      <c r="A115" s="543" t="s">
        <v>173</v>
      </c>
      <c r="B115" s="549" t="s">
        <v>590</v>
      </c>
      <c r="C115" s="92" t="s">
        <v>183</v>
      </c>
      <c r="D115" s="1067" t="s">
        <v>1559</v>
      </c>
      <c r="E115" s="181">
        <f t="shared" si="18"/>
        <v>0</v>
      </c>
      <c r="F115" s="181"/>
      <c r="G115" s="181"/>
      <c r="H115" s="181"/>
      <c r="I115" s="181"/>
      <c r="J115" s="195"/>
      <c r="K115" s="195"/>
      <c r="L115" s="599"/>
      <c r="M115" s="455">
        <f t="shared" si="19"/>
        <v>0</v>
      </c>
      <c r="N115" s="544"/>
      <c r="O115" s="544"/>
      <c r="P115" s="544"/>
      <c r="Q115" s="545"/>
      <c r="R115" s="98" t="s">
        <v>237</v>
      </c>
      <c r="S115" s="84" t="e">
        <f>+M115+N115+P115+#REF!</f>
        <v>#REF!</v>
      </c>
      <c r="T115" s="554">
        <f t="shared" si="21"/>
        <v>0</v>
      </c>
      <c r="U115" s="554">
        <f t="shared" si="16"/>
        <v>0</v>
      </c>
    </row>
    <row r="116" spans="1:22" s="84" customFormat="1" ht="24.75" customHeight="1" x14ac:dyDescent="0.2">
      <c r="A116" s="543" t="s">
        <v>158</v>
      </c>
      <c r="B116" s="160" t="s">
        <v>184</v>
      </c>
      <c r="C116" s="92" t="s">
        <v>631</v>
      </c>
      <c r="D116" s="1067" t="s">
        <v>1560</v>
      </c>
      <c r="E116" s="181">
        <f t="shared" si="18"/>
        <v>4762500</v>
      </c>
      <c r="F116" s="181">
        <v>100000</v>
      </c>
      <c r="G116" s="181"/>
      <c r="H116" s="181">
        <v>650000</v>
      </c>
      <c r="I116" s="181">
        <v>3000000</v>
      </c>
      <c r="J116" s="195"/>
      <c r="K116" s="195"/>
      <c r="L116" s="599">
        <v>1012500</v>
      </c>
      <c r="M116" s="455">
        <f t="shared" si="19"/>
        <v>4762500</v>
      </c>
      <c r="N116" s="544"/>
      <c r="O116" s="544"/>
      <c r="P116" s="544"/>
      <c r="Q116" s="545"/>
      <c r="R116" s="98" t="s">
        <v>237</v>
      </c>
      <c r="S116" s="84" t="e">
        <f>+M116+N116+P116+#REF!</f>
        <v>#REF!</v>
      </c>
      <c r="T116" s="554">
        <f t="shared" si="21"/>
        <v>4762500</v>
      </c>
      <c r="U116" s="554">
        <f t="shared" si="16"/>
        <v>0</v>
      </c>
    </row>
    <row r="117" spans="1:22" s="84" customFormat="1" ht="24.75" customHeight="1" x14ac:dyDescent="0.2">
      <c r="A117" s="543" t="s">
        <v>141</v>
      </c>
      <c r="B117" s="160" t="s">
        <v>1481</v>
      </c>
      <c r="C117" s="92" t="s">
        <v>1482</v>
      </c>
      <c r="D117" s="1067" t="s">
        <v>1561</v>
      </c>
      <c r="E117" s="181">
        <f t="shared" si="18"/>
        <v>173058</v>
      </c>
      <c r="F117" s="181"/>
      <c r="G117" s="181"/>
      <c r="H117" s="181">
        <v>136266</v>
      </c>
      <c r="I117" s="181"/>
      <c r="J117" s="195"/>
      <c r="K117" s="195"/>
      <c r="L117" s="599">
        <v>36792</v>
      </c>
      <c r="M117" s="455">
        <f t="shared" si="19"/>
        <v>173058</v>
      </c>
      <c r="N117" s="544"/>
      <c r="O117" s="544"/>
      <c r="P117" s="544"/>
      <c r="Q117" s="545"/>
      <c r="R117" s="98" t="s">
        <v>237</v>
      </c>
      <c r="T117" s="554"/>
      <c r="U117" s="554"/>
    </row>
    <row r="118" spans="1:22" s="84" customFormat="1" ht="24.75" customHeight="1" x14ac:dyDescent="0.2">
      <c r="A118" s="543" t="s">
        <v>98</v>
      </c>
      <c r="B118" s="160" t="s">
        <v>634</v>
      </c>
      <c r="C118" s="92" t="s">
        <v>632</v>
      </c>
      <c r="D118" s="1067" t="s">
        <v>1562</v>
      </c>
      <c r="E118" s="181">
        <f t="shared" si="18"/>
        <v>887400</v>
      </c>
      <c r="F118" s="181">
        <v>320000</v>
      </c>
      <c r="G118" s="181"/>
      <c r="H118" s="181">
        <v>100000</v>
      </c>
      <c r="I118" s="181">
        <v>300000</v>
      </c>
      <c r="J118" s="195"/>
      <c r="K118" s="195"/>
      <c r="L118" s="599">
        <v>167400</v>
      </c>
      <c r="M118" s="455">
        <f t="shared" si="19"/>
        <v>887400</v>
      </c>
      <c r="N118" s="544"/>
      <c r="O118" s="544"/>
      <c r="P118" s="544"/>
      <c r="Q118" s="545"/>
      <c r="R118" s="98" t="s">
        <v>237</v>
      </c>
      <c r="S118" s="84" t="e">
        <f>+M118+N118+P118+#REF!</f>
        <v>#REF!</v>
      </c>
      <c r="T118" s="554">
        <f t="shared" si="21"/>
        <v>887400</v>
      </c>
      <c r="U118" s="554">
        <f t="shared" si="16"/>
        <v>0</v>
      </c>
    </row>
    <row r="119" spans="1:22" s="84" customFormat="1" ht="31.5" customHeight="1" x14ac:dyDescent="0.2">
      <c r="A119" s="543" t="s">
        <v>139</v>
      </c>
      <c r="B119" s="160" t="s">
        <v>591</v>
      </c>
      <c r="C119" s="92" t="s">
        <v>633</v>
      </c>
      <c r="D119" s="1067" t="s">
        <v>1563</v>
      </c>
      <c r="E119" s="181">
        <f t="shared" si="18"/>
        <v>2000000</v>
      </c>
      <c r="F119" s="181">
        <v>25000</v>
      </c>
      <c r="G119" s="181"/>
      <c r="H119" s="181">
        <v>149800</v>
      </c>
      <c r="I119" s="181">
        <v>1400000</v>
      </c>
      <c r="J119" s="195"/>
      <c r="K119" s="195"/>
      <c r="L119" s="599">
        <v>425200</v>
      </c>
      <c r="M119" s="455">
        <f t="shared" si="19"/>
        <v>2000000</v>
      </c>
      <c r="N119" s="544"/>
      <c r="O119" s="544"/>
      <c r="P119" s="544"/>
      <c r="Q119" s="545"/>
      <c r="R119" s="98" t="s">
        <v>237</v>
      </c>
      <c r="T119" s="554">
        <f t="shared" si="21"/>
        <v>2000000</v>
      </c>
      <c r="U119" s="554">
        <f t="shared" si="16"/>
        <v>0</v>
      </c>
    </row>
    <row r="120" spans="1:22" s="84" customFormat="1" ht="25.5" customHeight="1" x14ac:dyDescent="0.2">
      <c r="A120" s="546" t="s">
        <v>158</v>
      </c>
      <c r="B120" s="549" t="s">
        <v>678</v>
      </c>
      <c r="C120" s="92" t="s">
        <v>679</v>
      </c>
      <c r="D120" s="1067" t="s">
        <v>1564</v>
      </c>
      <c r="E120" s="181">
        <f t="shared" si="18"/>
        <v>127000</v>
      </c>
      <c r="F120" s="181"/>
      <c r="G120" s="181"/>
      <c r="H120" s="181"/>
      <c r="I120" s="181">
        <v>100000</v>
      </c>
      <c r="J120" s="195"/>
      <c r="K120" s="195"/>
      <c r="L120" s="599">
        <v>27000</v>
      </c>
      <c r="M120" s="455">
        <f t="shared" si="19"/>
        <v>127000</v>
      </c>
      <c r="N120" s="544"/>
      <c r="O120" s="544"/>
      <c r="P120" s="544"/>
      <c r="Q120" s="545"/>
      <c r="R120" s="98" t="s">
        <v>238</v>
      </c>
      <c r="T120" s="554">
        <f t="shared" si="21"/>
        <v>127000</v>
      </c>
      <c r="U120" s="554">
        <f t="shared" si="16"/>
        <v>0</v>
      </c>
    </row>
    <row r="121" spans="1:22" s="84" customFormat="1" ht="24.75" customHeight="1" x14ac:dyDescent="0.2">
      <c r="A121" s="543" t="s">
        <v>98</v>
      </c>
      <c r="B121" s="160" t="s">
        <v>172</v>
      </c>
      <c r="C121" s="92" t="s">
        <v>592</v>
      </c>
      <c r="D121" s="1067" t="s">
        <v>1565</v>
      </c>
      <c r="E121" s="181">
        <f t="shared" si="18"/>
        <v>774700</v>
      </c>
      <c r="F121" s="181"/>
      <c r="G121" s="181"/>
      <c r="H121" s="181">
        <v>410000</v>
      </c>
      <c r="I121" s="181">
        <v>200000</v>
      </c>
      <c r="J121" s="195"/>
      <c r="K121" s="195"/>
      <c r="L121" s="599">
        <v>164700</v>
      </c>
      <c r="M121" s="455">
        <f t="shared" si="19"/>
        <v>774700</v>
      </c>
      <c r="N121" s="544"/>
      <c r="O121" s="544"/>
      <c r="P121" s="544"/>
      <c r="Q121" s="545"/>
      <c r="R121" s="98" t="s">
        <v>237</v>
      </c>
      <c r="S121" s="84" t="e">
        <f>+M121+N121+P121+#REF!</f>
        <v>#REF!</v>
      </c>
      <c r="T121" s="554">
        <f t="shared" si="21"/>
        <v>774700</v>
      </c>
      <c r="U121" s="554">
        <f t="shared" si="16"/>
        <v>0</v>
      </c>
    </row>
    <row r="122" spans="1:22" s="84" customFormat="1" ht="24.75" customHeight="1" x14ac:dyDescent="0.2">
      <c r="A122" s="543" t="s">
        <v>158</v>
      </c>
      <c r="B122" s="160" t="s">
        <v>896</v>
      </c>
      <c r="C122" s="92" t="s">
        <v>592</v>
      </c>
      <c r="D122" s="1067" t="s">
        <v>1566</v>
      </c>
      <c r="E122" s="181">
        <f t="shared" si="18"/>
        <v>127000</v>
      </c>
      <c r="F122" s="181"/>
      <c r="G122" s="181"/>
      <c r="H122" s="181"/>
      <c r="I122" s="181">
        <v>100000</v>
      </c>
      <c r="J122" s="195"/>
      <c r="K122" s="195"/>
      <c r="L122" s="599">
        <v>27000</v>
      </c>
      <c r="M122" s="455">
        <f t="shared" si="19"/>
        <v>127000</v>
      </c>
      <c r="N122" s="544"/>
      <c r="O122" s="544"/>
      <c r="P122" s="544"/>
      <c r="Q122" s="545"/>
      <c r="R122" s="98" t="s">
        <v>237</v>
      </c>
      <c r="T122" s="554"/>
      <c r="U122" s="554"/>
    </row>
    <row r="123" spans="1:22" s="84" customFormat="1" ht="24.75" customHeight="1" x14ac:dyDescent="0.2">
      <c r="A123" s="543" t="s">
        <v>159</v>
      </c>
      <c r="B123" s="162">
        <v>104042</v>
      </c>
      <c r="C123" s="92" t="s">
        <v>593</v>
      </c>
      <c r="D123" s="1067" t="s">
        <v>1567</v>
      </c>
      <c r="E123" s="181">
        <f t="shared" si="18"/>
        <v>0</v>
      </c>
      <c r="F123" s="181"/>
      <c r="G123" s="181"/>
      <c r="H123" s="181"/>
      <c r="I123" s="181"/>
      <c r="J123" s="195"/>
      <c r="K123" s="195"/>
      <c r="L123" s="599"/>
      <c r="M123" s="455">
        <f t="shared" si="19"/>
        <v>0</v>
      </c>
      <c r="N123" s="544"/>
      <c r="O123" s="544"/>
      <c r="P123" s="544"/>
      <c r="Q123" s="545"/>
      <c r="R123" s="98" t="s">
        <v>237</v>
      </c>
      <c r="T123" s="554"/>
      <c r="U123" s="554"/>
    </row>
    <row r="124" spans="1:22" s="84" customFormat="1" ht="24.75" customHeight="1" x14ac:dyDescent="0.2">
      <c r="A124" s="546" t="s">
        <v>140</v>
      </c>
      <c r="B124" s="162">
        <v>104042</v>
      </c>
      <c r="C124" s="92" t="s">
        <v>981</v>
      </c>
      <c r="D124" s="1067" t="s">
        <v>1568</v>
      </c>
      <c r="E124" s="181">
        <f t="shared" si="18"/>
        <v>0</v>
      </c>
      <c r="F124" s="181"/>
      <c r="G124" s="181"/>
      <c r="H124" s="181"/>
      <c r="I124" s="181"/>
      <c r="J124" s="195"/>
      <c r="K124" s="195"/>
      <c r="L124" s="599"/>
      <c r="M124" s="455">
        <f t="shared" si="19"/>
        <v>0</v>
      </c>
      <c r="N124" s="544"/>
      <c r="O124" s="544"/>
      <c r="P124" s="544"/>
      <c r="Q124" s="545"/>
      <c r="R124" s="98" t="s">
        <v>237</v>
      </c>
      <c r="S124" s="84" t="e">
        <f>+M124+N124+P124+#REF!</f>
        <v>#REF!</v>
      </c>
      <c r="T124" s="554">
        <f t="shared" si="21"/>
        <v>0</v>
      </c>
      <c r="U124" s="554">
        <f>+T124-E124</f>
        <v>0</v>
      </c>
    </row>
    <row r="125" spans="1:22" s="84" customFormat="1" ht="19.5" customHeight="1" x14ac:dyDescent="0.2">
      <c r="A125" s="950" t="s">
        <v>26</v>
      </c>
      <c r="B125" s="951"/>
      <c r="C125" s="951"/>
      <c r="D125" s="1070"/>
      <c r="E125" s="952">
        <f t="shared" ref="E125:L125" si="22">+E86</f>
        <v>52300048</v>
      </c>
      <c r="F125" s="952">
        <f t="shared" si="22"/>
        <v>1745000</v>
      </c>
      <c r="G125" s="952">
        <f t="shared" si="22"/>
        <v>0</v>
      </c>
      <c r="H125" s="952">
        <f t="shared" si="22"/>
        <v>11116066</v>
      </c>
      <c r="I125" s="952">
        <f t="shared" si="22"/>
        <v>28341331</v>
      </c>
      <c r="J125" s="952">
        <f t="shared" si="22"/>
        <v>0</v>
      </c>
      <c r="K125" s="952">
        <f t="shared" si="22"/>
        <v>0</v>
      </c>
      <c r="L125" s="953">
        <f t="shared" si="22"/>
        <v>11097651</v>
      </c>
      <c r="M125" s="954">
        <f>M86</f>
        <v>52300048</v>
      </c>
      <c r="N125" s="955">
        <f>+N86</f>
        <v>0</v>
      </c>
      <c r="O125" s="955">
        <f>+O86</f>
        <v>0</v>
      </c>
      <c r="P125" s="955">
        <f>+P86</f>
        <v>0</v>
      </c>
      <c r="Q125" s="956"/>
      <c r="R125" s="98"/>
      <c r="S125" s="84" t="e">
        <f>+M125+N125+P125+#REF!</f>
        <v>#REF!</v>
      </c>
      <c r="T125" s="554">
        <f t="shared" si="21"/>
        <v>52300048</v>
      </c>
      <c r="U125" s="554">
        <f>+T125-E125</f>
        <v>0</v>
      </c>
      <c r="V125" s="170"/>
    </row>
    <row r="126" spans="1:22" s="84" customFormat="1" ht="30.75" customHeight="1" x14ac:dyDescent="0.25">
      <c r="A126" s="957" t="s">
        <v>29</v>
      </c>
      <c r="B126" s="958"/>
      <c r="C126" s="959"/>
      <c r="D126" s="1071"/>
      <c r="E126" s="960">
        <f t="shared" ref="E126:Q126" si="23">+E125+E85</f>
        <v>913099698</v>
      </c>
      <c r="F126" s="960">
        <f t="shared" si="23"/>
        <v>10995000</v>
      </c>
      <c r="G126" s="960">
        <f t="shared" si="23"/>
        <v>640131423</v>
      </c>
      <c r="H126" s="960">
        <f t="shared" si="23"/>
        <v>11842680</v>
      </c>
      <c r="I126" s="960">
        <f t="shared" si="23"/>
        <v>36334437</v>
      </c>
      <c r="J126" s="960">
        <f t="shared" si="23"/>
        <v>49970000</v>
      </c>
      <c r="K126" s="960">
        <f t="shared" si="23"/>
        <v>0</v>
      </c>
      <c r="L126" s="961">
        <f t="shared" si="23"/>
        <v>163826158</v>
      </c>
      <c r="M126" s="962">
        <f t="shared" si="23"/>
        <v>453659343</v>
      </c>
      <c r="N126" s="960">
        <f t="shared" si="23"/>
        <v>0</v>
      </c>
      <c r="O126" s="960">
        <f t="shared" si="23"/>
        <v>459440355</v>
      </c>
      <c r="P126" s="960">
        <f t="shared" si="23"/>
        <v>0</v>
      </c>
      <c r="Q126" s="960">
        <f t="shared" si="23"/>
        <v>873787245</v>
      </c>
      <c r="R126" s="963"/>
      <c r="S126" s="84" t="e">
        <f>+M126+N126+P126+#REF!</f>
        <v>#REF!</v>
      </c>
      <c r="T126" s="554">
        <f t="shared" si="21"/>
        <v>1786886943</v>
      </c>
      <c r="U126" s="554">
        <f>+T126-E126</f>
        <v>873787245</v>
      </c>
      <c r="V126" s="964"/>
    </row>
    <row r="127" spans="1:22" x14ac:dyDescent="0.2">
      <c r="R127" s="84"/>
    </row>
    <row r="128" spans="1:22" x14ac:dyDescent="0.2">
      <c r="R128" s="84"/>
    </row>
    <row r="129" spans="5:18" x14ac:dyDescent="0.2">
      <c r="E129" s="16">
        <f>+G126+I126+L126</f>
        <v>840292018</v>
      </c>
      <c r="R129" s="84"/>
    </row>
    <row r="130" spans="5:18" x14ac:dyDescent="0.2">
      <c r="O130" s="16">
        <f>SUM(M126:P126)</f>
        <v>913099698</v>
      </c>
      <c r="R130" s="84"/>
    </row>
    <row r="131" spans="5:18" x14ac:dyDescent="0.2">
      <c r="E131" s="11">
        <f>+'3. sz.Városi szintű összesen'!G16</f>
        <v>913099698</v>
      </c>
      <c r="R131" s="84"/>
    </row>
    <row r="132" spans="5:18" x14ac:dyDescent="0.2">
      <c r="E132" s="16">
        <f>+E126-E131</f>
        <v>0</v>
      </c>
    </row>
  </sheetData>
  <mergeCells count="22">
    <mergeCell ref="E4:E5"/>
    <mergeCell ref="J4:J5"/>
    <mergeCell ref="Q5:Q6"/>
    <mergeCell ref="M5:M6"/>
    <mergeCell ref="A2:R2"/>
    <mergeCell ref="A4:A5"/>
    <mergeCell ref="K4:K5"/>
    <mergeCell ref="B4:B5"/>
    <mergeCell ref="O5:O6"/>
    <mergeCell ref="A6:E6"/>
    <mergeCell ref="L4:L5"/>
    <mergeCell ref="F4:F5"/>
    <mergeCell ref="A1:R1"/>
    <mergeCell ref="M4:Q4"/>
    <mergeCell ref="C4:C5"/>
    <mergeCell ref="D4:D5"/>
    <mergeCell ref="G4:G5"/>
    <mergeCell ref="I4:I5"/>
    <mergeCell ref="R4:R6"/>
    <mergeCell ref="P5:P6"/>
    <mergeCell ref="H4:H5"/>
    <mergeCell ref="N5:N6"/>
  </mergeCells>
  <phoneticPr fontId="41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3" orientation="landscape" r:id="rId1"/>
  <headerFooter>
    <oddHeader>&amp;C2021. évi költségvetés&amp;R&amp;A</oddHeader>
    <oddFooter>&amp;C&amp;P/&amp;N</oddFooter>
  </headerFooter>
  <rowBreaks count="3" manualBreakCount="3">
    <brk id="41" max="17" man="1"/>
    <brk id="79" max="17" man="1"/>
    <brk id="100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7"/>
  <sheetViews>
    <sheetView zoomScale="80" zoomScaleNormal="100" zoomScaleSheetLayoutView="80" workbookViewId="0">
      <pane xSplit="4" ySplit="9" topLeftCell="E20" activePane="bottomRight" state="frozen"/>
      <selection pane="topRight" activeCell="E1" sqref="E1"/>
      <selection pane="bottomLeft" activeCell="A10" sqref="A10"/>
      <selection pane="bottomRight" activeCell="D22" sqref="D22"/>
    </sheetView>
  </sheetViews>
  <sheetFormatPr defaultRowHeight="12.75" x14ac:dyDescent="0.2"/>
  <cols>
    <col min="1" max="1" width="6.5703125" style="84" customWidth="1"/>
    <col min="2" max="2" width="12" style="84" customWidth="1"/>
    <col min="3" max="3" width="60.7109375" style="84" customWidth="1"/>
    <col min="4" max="4" width="7.140625" style="385" customWidth="1"/>
    <col min="5" max="5" width="16.42578125" style="385" customWidth="1"/>
    <col min="6" max="6" width="16.7109375" style="385" customWidth="1"/>
    <col min="7" max="7" width="16.5703125" style="385" customWidth="1"/>
    <col min="8" max="8" width="16.7109375" style="385" customWidth="1"/>
    <col min="9" max="9" width="16.28515625" style="385" customWidth="1"/>
    <col min="10" max="10" width="16.28515625" style="387" customWidth="1"/>
    <col min="11" max="13" width="13.5703125" style="385" customWidth="1"/>
    <col min="14" max="14" width="16.140625" style="385" customWidth="1"/>
    <col min="15" max="15" width="12.7109375" style="385" bestFit="1" customWidth="1"/>
    <col min="16" max="16" width="11.140625" style="385" customWidth="1"/>
    <col min="17" max="18" width="9.140625" style="385"/>
    <col min="19" max="20" width="13.7109375" style="385" bestFit="1" customWidth="1"/>
    <col min="21" max="16384" width="9.140625" style="385"/>
  </cols>
  <sheetData>
    <row r="1" spans="1:17" ht="27.75" customHeight="1" x14ac:dyDescent="0.2">
      <c r="A1" s="1178" t="s">
        <v>186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</row>
    <row r="2" spans="1:17" ht="27.75" customHeight="1" x14ac:dyDescent="0.25">
      <c r="A2" s="1168" t="s">
        <v>1056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</row>
    <row r="3" spans="1:17" x14ac:dyDescent="0.2">
      <c r="O3" s="388" t="s">
        <v>458</v>
      </c>
    </row>
    <row r="4" spans="1:17" ht="40.5" customHeight="1" x14ac:dyDescent="0.2">
      <c r="A4" s="1157" t="s">
        <v>815</v>
      </c>
      <c r="B4" s="1157" t="s">
        <v>1</v>
      </c>
      <c r="C4" s="1157" t="s">
        <v>2</v>
      </c>
      <c r="D4" s="1181"/>
      <c r="E4" s="1179" t="s">
        <v>1444</v>
      </c>
      <c r="F4" s="1173" t="s">
        <v>119</v>
      </c>
      <c r="G4" s="1173" t="s">
        <v>118</v>
      </c>
      <c r="H4" s="1173" t="s">
        <v>6</v>
      </c>
      <c r="I4" s="1173" t="s">
        <v>7</v>
      </c>
      <c r="J4" s="1170" t="s">
        <v>1057</v>
      </c>
      <c r="K4" s="1171"/>
      <c r="L4" s="1171"/>
      <c r="M4" s="1171"/>
      <c r="N4" s="1172"/>
      <c r="O4" s="1169"/>
    </row>
    <row r="5" spans="1:17" ht="68.25" customHeight="1" x14ac:dyDescent="0.2">
      <c r="A5" s="1158"/>
      <c r="B5" s="1158"/>
      <c r="C5" s="1158"/>
      <c r="D5" s="1182"/>
      <c r="E5" s="1180"/>
      <c r="F5" s="1174"/>
      <c r="G5" s="1174"/>
      <c r="H5" s="1174"/>
      <c r="I5" s="1174"/>
      <c r="J5" s="1169" t="s">
        <v>1520</v>
      </c>
      <c r="K5" s="1169" t="s">
        <v>9</v>
      </c>
      <c r="L5" s="1169" t="s">
        <v>192</v>
      </c>
      <c r="M5" s="1169" t="s">
        <v>10</v>
      </c>
      <c r="N5" s="1169" t="s">
        <v>668</v>
      </c>
      <c r="O5" s="1169"/>
    </row>
    <row r="6" spans="1:17" ht="19.5" customHeight="1" x14ac:dyDescent="0.2">
      <c r="A6" s="1183" t="s">
        <v>260</v>
      </c>
      <c r="B6" s="1184"/>
      <c r="C6" s="1184"/>
      <c r="D6" s="1184"/>
      <c r="E6" s="1185"/>
      <c r="F6" s="389" t="s">
        <v>114</v>
      </c>
      <c r="G6" s="390" t="s">
        <v>115</v>
      </c>
      <c r="H6" s="390" t="s">
        <v>116</v>
      </c>
      <c r="I6" s="391" t="s">
        <v>117</v>
      </c>
      <c r="J6" s="1169"/>
      <c r="K6" s="1169"/>
      <c r="L6" s="1169"/>
      <c r="M6" s="1169"/>
      <c r="N6" s="1169"/>
      <c r="O6" s="1169"/>
    </row>
    <row r="7" spans="1:17" ht="15.75" customHeight="1" x14ac:dyDescent="0.2">
      <c r="A7" s="1175" t="s">
        <v>113</v>
      </c>
      <c r="B7" s="1176"/>
      <c r="C7" s="1177"/>
      <c r="D7" s="392"/>
      <c r="E7" s="393">
        <f t="shared" ref="E7:N7" si="0">SUM(E8:E8)</f>
        <v>0</v>
      </c>
      <c r="F7" s="393">
        <f t="shared" si="0"/>
        <v>0</v>
      </c>
      <c r="G7" s="393">
        <f t="shared" si="0"/>
        <v>0</v>
      </c>
      <c r="H7" s="393">
        <f t="shared" si="0"/>
        <v>0</v>
      </c>
      <c r="I7" s="400">
        <f t="shared" si="0"/>
        <v>0</v>
      </c>
      <c r="J7" s="401">
        <f t="shared" si="0"/>
        <v>0</v>
      </c>
      <c r="K7" s="393">
        <f t="shared" si="0"/>
        <v>0</v>
      </c>
      <c r="L7" s="393">
        <f t="shared" si="0"/>
        <v>0</v>
      </c>
      <c r="M7" s="393">
        <f t="shared" si="0"/>
        <v>0</v>
      </c>
      <c r="N7" s="393">
        <f t="shared" si="0"/>
        <v>0</v>
      </c>
      <c r="O7" s="394"/>
      <c r="P7" s="385" t="e">
        <f>+J7+K7+M7+#REF!</f>
        <v>#REF!</v>
      </c>
      <c r="Q7" s="385" t="e">
        <f>+E7-P7</f>
        <v>#REF!</v>
      </c>
    </row>
    <row r="8" spans="1:17" ht="28.5" customHeight="1" x14ac:dyDescent="0.2">
      <c r="A8" s="190"/>
      <c r="B8" s="192"/>
      <c r="C8" s="86"/>
      <c r="D8" s="395"/>
      <c r="E8" s="397">
        <f>SUM(F8:I8)</f>
        <v>0</v>
      </c>
      <c r="F8" s="397"/>
      <c r="G8" s="397"/>
      <c r="H8" s="397"/>
      <c r="I8" s="400"/>
      <c r="J8" s="402">
        <f>E8</f>
        <v>0</v>
      </c>
      <c r="K8" s="398"/>
      <c r="L8" s="398"/>
      <c r="M8" s="398"/>
      <c r="N8" s="490"/>
      <c r="O8" s="399"/>
      <c r="P8" s="385" t="e">
        <f>+J8+K8+M8+#REF!</f>
        <v>#REF!</v>
      </c>
      <c r="Q8" s="385" t="e">
        <f>+E8-P8</f>
        <v>#REF!</v>
      </c>
    </row>
    <row r="9" spans="1:17" ht="20.25" customHeight="1" x14ac:dyDescent="0.2">
      <c r="A9" s="1175" t="s">
        <v>112</v>
      </c>
      <c r="B9" s="1176"/>
      <c r="C9" s="1177"/>
      <c r="D9" s="529"/>
      <c r="E9" s="530">
        <f t="shared" ref="E9:N9" si="1">SUM(E10:E25)</f>
        <v>192425195</v>
      </c>
      <c r="F9" s="530">
        <f t="shared" si="1"/>
        <v>151240310</v>
      </c>
      <c r="G9" s="530">
        <f t="shared" si="1"/>
        <v>0</v>
      </c>
      <c r="H9" s="530">
        <f t="shared" si="1"/>
        <v>275591</v>
      </c>
      <c r="I9" s="531">
        <f t="shared" si="1"/>
        <v>40909294</v>
      </c>
      <c r="J9" s="589">
        <f t="shared" si="1"/>
        <v>192425195</v>
      </c>
      <c r="K9" s="393">
        <f t="shared" si="1"/>
        <v>0</v>
      </c>
      <c r="L9" s="393">
        <f t="shared" si="1"/>
        <v>0</v>
      </c>
      <c r="M9" s="393">
        <f t="shared" si="1"/>
        <v>0</v>
      </c>
      <c r="N9" s="393">
        <f t="shared" si="1"/>
        <v>268858000</v>
      </c>
      <c r="O9" s="394"/>
      <c r="P9" s="385" t="e">
        <f>+J9+K9+M9+#REF!</f>
        <v>#REF!</v>
      </c>
      <c r="Q9" s="385" t="e">
        <f>+E9-P9</f>
        <v>#REF!</v>
      </c>
    </row>
    <row r="10" spans="1:17" s="84" customFormat="1" ht="54.75" customHeight="1" x14ac:dyDescent="0.2">
      <c r="A10" s="546" t="s">
        <v>136</v>
      </c>
      <c r="B10" s="613" t="s">
        <v>137</v>
      </c>
      <c r="C10" s="92" t="s">
        <v>1511</v>
      </c>
      <c r="D10" s="931" t="s">
        <v>1512</v>
      </c>
      <c r="E10" s="602">
        <f t="shared" ref="E10:E25" si="2">SUM(F10:I10)</f>
        <v>0</v>
      </c>
      <c r="F10" s="615"/>
      <c r="G10" s="158"/>
      <c r="H10" s="158"/>
      <c r="I10" s="98"/>
      <c r="J10" s="557">
        <f t="shared" ref="J10:J19" si="3">E10</f>
        <v>0</v>
      </c>
      <c r="K10" s="544"/>
      <c r="L10" s="544"/>
      <c r="M10" s="544"/>
      <c r="N10" s="545"/>
      <c r="O10" s="98" t="s">
        <v>237</v>
      </c>
    </row>
    <row r="11" spans="1:17" s="84" customFormat="1" ht="27" customHeight="1" x14ac:dyDescent="0.2">
      <c r="A11" s="546" t="s">
        <v>136</v>
      </c>
      <c r="B11" s="613" t="s">
        <v>137</v>
      </c>
      <c r="C11" s="92" t="s">
        <v>994</v>
      </c>
      <c r="D11" s="614" t="s">
        <v>1610</v>
      </c>
      <c r="E11" s="602">
        <f>SUM(F11:I11)</f>
        <v>65000000</v>
      </c>
      <c r="F11" s="615">
        <v>51181102</v>
      </c>
      <c r="G11" s="158"/>
      <c r="H11" s="158"/>
      <c r="I11" s="98">
        <v>13818898</v>
      </c>
      <c r="J11" s="557">
        <f t="shared" si="3"/>
        <v>65000000</v>
      </c>
      <c r="K11" s="544"/>
      <c r="L11" s="544"/>
      <c r="M11" s="544"/>
      <c r="N11" s="545"/>
      <c r="O11" s="98" t="s">
        <v>237</v>
      </c>
    </row>
    <row r="12" spans="1:17" s="84" customFormat="1" ht="46.5" customHeight="1" x14ac:dyDescent="0.2">
      <c r="A12" s="548" t="s">
        <v>814</v>
      </c>
      <c r="B12" s="556" t="s">
        <v>579</v>
      </c>
      <c r="C12" s="456" t="s">
        <v>1514</v>
      </c>
      <c r="D12" s="931" t="s">
        <v>1513</v>
      </c>
      <c r="E12" s="602">
        <f t="shared" si="2"/>
        <v>0</v>
      </c>
      <c r="F12" s="615"/>
      <c r="G12" s="158"/>
      <c r="H12" s="158"/>
      <c r="I12" s="98"/>
      <c r="J12" s="557">
        <f t="shared" si="3"/>
        <v>0</v>
      </c>
      <c r="K12" s="552"/>
      <c r="L12" s="552"/>
      <c r="M12" s="552"/>
      <c r="N12" s="553"/>
      <c r="O12" s="96" t="s">
        <v>237</v>
      </c>
    </row>
    <row r="13" spans="1:17" s="84" customFormat="1" ht="27" customHeight="1" x14ac:dyDescent="0.2">
      <c r="A13" s="548" t="s">
        <v>814</v>
      </c>
      <c r="B13" s="556" t="s">
        <v>579</v>
      </c>
      <c r="C13" s="456" t="s">
        <v>995</v>
      </c>
      <c r="D13" s="616" t="s">
        <v>1603</v>
      </c>
      <c r="E13" s="602">
        <f>SUM(F13:I13)</f>
        <v>65000000</v>
      </c>
      <c r="F13" s="615">
        <v>51181102</v>
      </c>
      <c r="G13" s="158"/>
      <c r="H13" s="158"/>
      <c r="I13" s="98">
        <v>13818898</v>
      </c>
      <c r="J13" s="557">
        <f t="shared" si="3"/>
        <v>65000000</v>
      </c>
      <c r="K13" s="552"/>
      <c r="L13" s="552"/>
      <c r="M13" s="552"/>
      <c r="N13" s="553"/>
      <c r="O13" s="96" t="s">
        <v>237</v>
      </c>
    </row>
    <row r="14" spans="1:17" s="84" customFormat="1" ht="27" customHeight="1" x14ac:dyDescent="0.2">
      <c r="A14" s="546" t="s">
        <v>141</v>
      </c>
      <c r="B14" s="549" t="s">
        <v>660</v>
      </c>
      <c r="C14" s="86" t="s">
        <v>1518</v>
      </c>
      <c r="D14" s="616" t="s">
        <v>1604</v>
      </c>
      <c r="E14" s="602">
        <f>SUM(F14:I14)</f>
        <v>3000000</v>
      </c>
      <c r="F14" s="603">
        <v>2362205</v>
      </c>
      <c r="G14" s="159"/>
      <c r="H14" s="159"/>
      <c r="I14" s="96">
        <v>637795</v>
      </c>
      <c r="J14" s="557">
        <f t="shared" si="3"/>
        <v>3000000</v>
      </c>
      <c r="K14" s="552"/>
      <c r="L14" s="552"/>
      <c r="M14" s="552"/>
      <c r="N14" s="553"/>
      <c r="O14" s="96" t="s">
        <v>237</v>
      </c>
    </row>
    <row r="15" spans="1:17" s="84" customFormat="1" ht="46.5" customHeight="1" x14ac:dyDescent="0.2">
      <c r="A15" s="546" t="s">
        <v>141</v>
      </c>
      <c r="B15" s="549" t="s">
        <v>660</v>
      </c>
      <c r="C15" s="86" t="s">
        <v>1517</v>
      </c>
      <c r="D15" s="616" t="s">
        <v>1605</v>
      </c>
      <c r="E15" s="602">
        <f t="shared" si="2"/>
        <v>40000000</v>
      </c>
      <c r="F15" s="603">
        <v>31496063</v>
      </c>
      <c r="G15" s="159"/>
      <c r="H15" s="159"/>
      <c r="I15" s="96">
        <v>8503937</v>
      </c>
      <c r="J15" s="557">
        <f t="shared" si="3"/>
        <v>40000000</v>
      </c>
      <c r="K15" s="552"/>
      <c r="L15" s="552"/>
      <c r="M15" s="552"/>
      <c r="N15" s="553"/>
      <c r="O15" s="96" t="s">
        <v>237</v>
      </c>
    </row>
    <row r="16" spans="1:17" s="84" customFormat="1" ht="27" customHeight="1" x14ac:dyDescent="0.2">
      <c r="A16" s="548" t="s">
        <v>141</v>
      </c>
      <c r="B16" s="217" t="s">
        <v>660</v>
      </c>
      <c r="C16" s="218" t="s">
        <v>1455</v>
      </c>
      <c r="D16" s="601" t="s">
        <v>1586</v>
      </c>
      <c r="E16" s="602">
        <f t="shared" si="2"/>
        <v>6476754</v>
      </c>
      <c r="F16" s="603">
        <f>236220+4863586</f>
        <v>5099806</v>
      </c>
      <c r="G16" s="159"/>
      <c r="H16" s="159"/>
      <c r="I16" s="96">
        <f>63780+1313168</f>
        <v>1376948</v>
      </c>
      <c r="J16" s="557">
        <f t="shared" si="3"/>
        <v>6476754</v>
      </c>
      <c r="K16" s="552"/>
      <c r="L16" s="552"/>
      <c r="M16" s="552"/>
      <c r="N16" s="553"/>
      <c r="O16" s="96" t="s">
        <v>237</v>
      </c>
    </row>
    <row r="17" spans="1:17" s="84" customFormat="1" ht="27" customHeight="1" x14ac:dyDescent="0.2">
      <c r="A17" s="548" t="s">
        <v>141</v>
      </c>
      <c r="B17" s="217" t="s">
        <v>660</v>
      </c>
      <c r="C17" s="218" t="s">
        <v>1456</v>
      </c>
      <c r="D17" s="601" t="s">
        <v>1587</v>
      </c>
      <c r="E17" s="602">
        <f t="shared" si="2"/>
        <v>12598441</v>
      </c>
      <c r="F17" s="603">
        <f>1141732+984252+48000+3441595+4304453</f>
        <v>9920032</v>
      </c>
      <c r="G17" s="159"/>
      <c r="H17" s="159"/>
      <c r="I17" s="96">
        <f>308268+265748+12960+929231+1162202</f>
        <v>2678409</v>
      </c>
      <c r="J17" s="557">
        <f t="shared" si="3"/>
        <v>12598441</v>
      </c>
      <c r="K17" s="552"/>
      <c r="L17" s="552"/>
      <c r="M17" s="552"/>
      <c r="N17" s="553"/>
      <c r="O17" s="96" t="s">
        <v>237</v>
      </c>
    </row>
    <row r="18" spans="1:17" s="84" customFormat="1" ht="27" customHeight="1" x14ac:dyDescent="0.2">
      <c r="A18" s="543" t="s">
        <v>135</v>
      </c>
      <c r="B18" s="625" t="s">
        <v>617</v>
      </c>
      <c r="C18" s="218" t="s">
        <v>1007</v>
      </c>
      <c r="D18" s="626"/>
      <c r="E18" s="602">
        <f t="shared" si="2"/>
        <v>0</v>
      </c>
      <c r="F18" s="603">
        <v>0</v>
      </c>
      <c r="G18" s="159"/>
      <c r="H18" s="159"/>
      <c r="I18" s="96">
        <v>0</v>
      </c>
      <c r="J18" s="557">
        <f t="shared" si="3"/>
        <v>0</v>
      </c>
      <c r="K18" s="552"/>
      <c r="L18" s="552"/>
      <c r="M18" s="552"/>
      <c r="N18" s="553">
        <v>81000000</v>
      </c>
      <c r="O18" s="96" t="s">
        <v>237</v>
      </c>
    </row>
    <row r="19" spans="1:17" s="84" customFormat="1" ht="27" customHeight="1" x14ac:dyDescent="0.2">
      <c r="A19" s="547" t="s">
        <v>475</v>
      </c>
      <c r="B19" s="556" t="s">
        <v>573</v>
      </c>
      <c r="C19" s="218" t="s">
        <v>887</v>
      </c>
      <c r="D19" s="601"/>
      <c r="E19" s="602">
        <f t="shared" si="2"/>
        <v>0</v>
      </c>
      <c r="F19" s="603">
        <v>0</v>
      </c>
      <c r="G19" s="159"/>
      <c r="H19" s="159"/>
      <c r="I19" s="96">
        <v>0</v>
      </c>
      <c r="J19" s="557">
        <f t="shared" si="3"/>
        <v>0</v>
      </c>
      <c r="K19" s="552"/>
      <c r="L19" s="552"/>
      <c r="M19" s="552"/>
      <c r="N19" s="553">
        <v>1000000</v>
      </c>
      <c r="O19" s="96" t="s">
        <v>237</v>
      </c>
    </row>
    <row r="20" spans="1:17" s="84" customFormat="1" ht="27" customHeight="1" x14ac:dyDescent="0.2">
      <c r="A20" s="547" t="s">
        <v>477</v>
      </c>
      <c r="B20" s="217" t="s">
        <v>573</v>
      </c>
      <c r="C20" s="218" t="s">
        <v>990</v>
      </c>
      <c r="D20" s="601"/>
      <c r="E20" s="602">
        <f t="shared" si="2"/>
        <v>0</v>
      </c>
      <c r="F20" s="603">
        <v>0</v>
      </c>
      <c r="G20" s="159"/>
      <c r="H20" s="159"/>
      <c r="I20" s="96">
        <v>0</v>
      </c>
      <c r="J20" s="557"/>
      <c r="K20" s="552"/>
      <c r="L20" s="552"/>
      <c r="M20" s="552"/>
      <c r="N20" s="553">
        <v>6858000</v>
      </c>
      <c r="O20" s="96" t="s">
        <v>237</v>
      </c>
    </row>
    <row r="21" spans="1:17" s="84" customFormat="1" ht="27" customHeight="1" x14ac:dyDescent="0.2">
      <c r="A21" s="547" t="s">
        <v>934</v>
      </c>
      <c r="B21" s="556" t="s">
        <v>589</v>
      </c>
      <c r="C21" s="218" t="s">
        <v>1458</v>
      </c>
      <c r="D21" s="616" t="s">
        <v>1606</v>
      </c>
      <c r="E21" s="602">
        <f t="shared" si="2"/>
        <v>350000</v>
      </c>
      <c r="F21" s="603">
        <v>0</v>
      </c>
      <c r="G21" s="159"/>
      <c r="H21" s="159">
        <v>275591</v>
      </c>
      <c r="I21" s="96">
        <v>74409</v>
      </c>
      <c r="J21" s="557">
        <f>E21</f>
        <v>350000</v>
      </c>
      <c r="K21" s="552"/>
      <c r="L21" s="552"/>
      <c r="M21" s="552"/>
      <c r="N21" s="553">
        <v>10000000</v>
      </c>
      <c r="O21" s="96" t="s">
        <v>237</v>
      </c>
    </row>
    <row r="22" spans="1:17" s="84" customFormat="1" ht="27" customHeight="1" x14ac:dyDescent="0.2">
      <c r="A22" s="543" t="s">
        <v>774</v>
      </c>
      <c r="B22" s="217" t="s">
        <v>784</v>
      </c>
      <c r="C22" s="218" t="s">
        <v>1032</v>
      </c>
      <c r="D22" s="616"/>
      <c r="E22" s="602">
        <f t="shared" si="2"/>
        <v>0</v>
      </c>
      <c r="F22" s="603">
        <v>0</v>
      </c>
      <c r="G22" s="159"/>
      <c r="H22" s="159"/>
      <c r="I22" s="96">
        <v>0</v>
      </c>
      <c r="J22" s="557">
        <f>E22</f>
        <v>0</v>
      </c>
      <c r="K22" s="552"/>
      <c r="L22" s="552"/>
      <c r="M22" s="552"/>
      <c r="N22" s="553">
        <v>20000000</v>
      </c>
      <c r="O22" s="96" t="s">
        <v>237</v>
      </c>
    </row>
    <row r="23" spans="1:17" s="84" customFormat="1" ht="27" customHeight="1" x14ac:dyDescent="0.2">
      <c r="A23" s="543" t="s">
        <v>774</v>
      </c>
      <c r="B23" s="217" t="s">
        <v>784</v>
      </c>
      <c r="C23" s="218" t="s">
        <v>1033</v>
      </c>
      <c r="D23" s="616"/>
      <c r="E23" s="602">
        <f t="shared" si="2"/>
        <v>0</v>
      </c>
      <c r="F23" s="603">
        <v>0</v>
      </c>
      <c r="G23" s="159"/>
      <c r="H23" s="159"/>
      <c r="I23" s="96">
        <v>0</v>
      </c>
      <c r="J23" s="557">
        <f>E23</f>
        <v>0</v>
      </c>
      <c r="K23" s="552"/>
      <c r="L23" s="552"/>
      <c r="M23" s="552"/>
      <c r="N23" s="553">
        <v>10500000</v>
      </c>
      <c r="O23" s="96" t="s">
        <v>237</v>
      </c>
    </row>
    <row r="24" spans="1:17" s="84" customFormat="1" ht="27" customHeight="1" x14ac:dyDescent="0.2">
      <c r="A24" s="543" t="s">
        <v>774</v>
      </c>
      <c r="B24" s="217" t="s">
        <v>784</v>
      </c>
      <c r="C24" s="218" t="s">
        <v>1034</v>
      </c>
      <c r="D24" s="616"/>
      <c r="E24" s="602">
        <f t="shared" si="2"/>
        <v>0</v>
      </c>
      <c r="F24" s="603">
        <v>0</v>
      </c>
      <c r="G24" s="159"/>
      <c r="H24" s="159"/>
      <c r="I24" s="96">
        <v>0</v>
      </c>
      <c r="J24" s="557">
        <f>E24</f>
        <v>0</v>
      </c>
      <c r="K24" s="552"/>
      <c r="L24" s="552"/>
      <c r="M24" s="552"/>
      <c r="N24" s="553">
        <v>99500000</v>
      </c>
      <c r="O24" s="96" t="s">
        <v>237</v>
      </c>
    </row>
    <row r="25" spans="1:17" s="84" customFormat="1" ht="27" customHeight="1" x14ac:dyDescent="0.2">
      <c r="A25" s="547" t="s">
        <v>1035</v>
      </c>
      <c r="B25" s="556" t="s">
        <v>184</v>
      </c>
      <c r="C25" s="218" t="s">
        <v>1036</v>
      </c>
      <c r="D25" s="626"/>
      <c r="E25" s="602">
        <f t="shared" si="2"/>
        <v>0</v>
      </c>
      <c r="F25" s="603">
        <v>0</v>
      </c>
      <c r="G25" s="159"/>
      <c r="H25" s="159"/>
      <c r="I25" s="96">
        <v>0</v>
      </c>
      <c r="J25" s="557">
        <f>E25</f>
        <v>0</v>
      </c>
      <c r="K25" s="552"/>
      <c r="L25" s="552"/>
      <c r="M25" s="552"/>
      <c r="N25" s="553">
        <v>40000000</v>
      </c>
      <c r="O25" s="96" t="s">
        <v>237</v>
      </c>
    </row>
    <row r="26" spans="1:17" ht="27" customHeight="1" x14ac:dyDescent="0.2">
      <c r="A26" s="1060" t="s">
        <v>29</v>
      </c>
      <c r="B26" s="1061"/>
      <c r="C26" s="959"/>
      <c r="D26" s="569"/>
      <c r="E26" s="570">
        <f t="shared" ref="E26:N26" si="4">+E9+E7</f>
        <v>192425195</v>
      </c>
      <c r="F26" s="570">
        <f t="shared" si="4"/>
        <v>151240310</v>
      </c>
      <c r="G26" s="570">
        <f t="shared" si="4"/>
        <v>0</v>
      </c>
      <c r="H26" s="570">
        <f t="shared" si="4"/>
        <v>275591</v>
      </c>
      <c r="I26" s="571">
        <f t="shared" si="4"/>
        <v>40909294</v>
      </c>
      <c r="J26" s="572">
        <f t="shared" si="4"/>
        <v>192425195</v>
      </c>
      <c r="K26" s="570">
        <f t="shared" si="4"/>
        <v>0</v>
      </c>
      <c r="L26" s="570">
        <f t="shared" si="4"/>
        <v>0</v>
      </c>
      <c r="M26" s="570">
        <f t="shared" si="4"/>
        <v>0</v>
      </c>
      <c r="N26" s="570">
        <f t="shared" si="4"/>
        <v>268858000</v>
      </c>
      <c r="O26" s="571"/>
      <c r="P26" s="385" t="e">
        <f>+J26+K26+M26+#REF!</f>
        <v>#REF!</v>
      </c>
      <c r="Q26" s="385" t="e">
        <f>+E26-P26</f>
        <v>#REF!</v>
      </c>
    </row>
    <row r="27" spans="1:17" ht="15.75" customHeight="1" x14ac:dyDescent="0.2"/>
    <row r="28" spans="1:17" x14ac:dyDescent="0.2">
      <c r="E28" s="385">
        <f>+'3. sz.Városi szintű összesen'!G17</f>
        <v>192425195</v>
      </c>
    </row>
    <row r="29" spans="1:17" ht="15.75" customHeight="1" x14ac:dyDescent="0.2">
      <c r="E29" s="385">
        <v>475600396</v>
      </c>
    </row>
    <row r="30" spans="1:17" x14ac:dyDescent="0.2">
      <c r="C30" s="1062"/>
      <c r="D30" s="404"/>
      <c r="E30" s="405">
        <f>+E26-E29</f>
        <v>-283175201</v>
      </c>
      <c r="H30" s="405"/>
      <c r="I30" s="405"/>
      <c r="J30" s="406"/>
      <c r="K30" s="407"/>
      <c r="L30" s="407"/>
      <c r="M30" s="407"/>
      <c r="N30" s="407"/>
    </row>
    <row r="31" spans="1:17" ht="15.75" customHeight="1" x14ac:dyDescent="0.2">
      <c r="C31" s="1063"/>
      <c r="D31" s="408"/>
      <c r="E31" s="408"/>
      <c r="H31" s="408"/>
      <c r="I31" s="408"/>
      <c r="J31" s="409"/>
      <c r="K31" s="408"/>
      <c r="L31" s="408"/>
      <c r="M31" s="408"/>
      <c r="N31" s="408"/>
    </row>
    <row r="32" spans="1:17" ht="15.75" customHeight="1" x14ac:dyDescent="0.2"/>
    <row r="33" ht="15.75" customHeight="1" x14ac:dyDescent="0.2"/>
    <row r="34" ht="15.75" customHeight="1" x14ac:dyDescent="0.2"/>
    <row r="39" ht="15.75" customHeight="1" x14ac:dyDescent="0.2"/>
    <row r="40" ht="24.75" customHeight="1" x14ac:dyDescent="0.2"/>
    <row r="4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28.15" customHeight="1" x14ac:dyDescent="0.2"/>
    <row r="60" ht="15.75" customHeight="1" x14ac:dyDescent="0.2"/>
    <row r="61" ht="15.75" customHeight="1" x14ac:dyDescent="0.2"/>
    <row r="63" ht="15.75" customHeight="1" x14ac:dyDescent="0.2"/>
    <row r="64" ht="15.75" customHeight="1" x14ac:dyDescent="0.2"/>
    <row r="65" spans="1:10" ht="15.75" customHeight="1" x14ac:dyDescent="0.2"/>
    <row r="66" spans="1:10" ht="15.75" customHeight="1" x14ac:dyDescent="0.2"/>
    <row r="68" spans="1:10" ht="15.75" customHeight="1" x14ac:dyDescent="0.2"/>
    <row r="70" spans="1:10" x14ac:dyDescent="0.2">
      <c r="F70" s="410"/>
      <c r="G70" s="410"/>
    </row>
    <row r="72" spans="1:10" s="410" customFormat="1" ht="24" customHeight="1" x14ac:dyDescent="0.2">
      <c r="A72" s="170"/>
      <c r="B72" s="170"/>
      <c r="C72" s="170"/>
      <c r="F72" s="385"/>
      <c r="G72" s="385"/>
      <c r="J72" s="411"/>
    </row>
    <row r="73" spans="1:10" ht="19.5" customHeight="1" x14ac:dyDescent="0.2"/>
    <row r="74" spans="1:10" ht="18" customHeight="1" x14ac:dyDescent="0.2"/>
    <row r="75" spans="1:10" ht="18" customHeight="1" x14ac:dyDescent="0.2"/>
    <row r="76" spans="1:10" ht="18" customHeight="1" x14ac:dyDescent="0.2"/>
    <row r="77" spans="1:10" ht="18" customHeight="1" x14ac:dyDescent="0.2"/>
    <row r="78" spans="1:10" ht="18" customHeight="1" x14ac:dyDescent="0.2"/>
    <row r="79" spans="1:10" ht="18" customHeight="1" x14ac:dyDescent="0.2"/>
    <row r="80" spans="1:10" ht="18" customHeight="1" x14ac:dyDescent="0.2"/>
    <row r="81" spans="1:10" ht="18" customHeight="1" x14ac:dyDescent="0.2"/>
    <row r="82" spans="1:10" ht="18" customHeight="1" x14ac:dyDescent="0.2"/>
    <row r="94" spans="1:10" x14ac:dyDescent="0.2">
      <c r="F94" s="410"/>
      <c r="G94" s="410"/>
    </row>
    <row r="95" spans="1:10" ht="15.75" x14ac:dyDescent="0.25">
      <c r="F95" s="412"/>
      <c r="G95" s="412"/>
    </row>
    <row r="96" spans="1:10" s="410" customFormat="1" ht="24" customHeight="1" x14ac:dyDescent="0.2">
      <c r="A96" s="170"/>
      <c r="B96" s="170"/>
      <c r="C96" s="170"/>
      <c r="F96" s="385"/>
      <c r="G96" s="385"/>
      <c r="J96" s="411"/>
    </row>
    <row r="97" spans="1:10" s="412" customFormat="1" ht="28.5" customHeight="1" x14ac:dyDescent="0.25">
      <c r="A97" s="964"/>
      <c r="B97" s="964"/>
      <c r="C97" s="964"/>
      <c r="F97" s="385"/>
      <c r="G97" s="385"/>
      <c r="J97" s="413"/>
    </row>
  </sheetData>
  <mergeCells count="21">
    <mergeCell ref="A9:C9"/>
    <mergeCell ref="D4:D5"/>
    <mergeCell ref="A6:E6"/>
    <mergeCell ref="A4:A5"/>
    <mergeCell ref="B4:B5"/>
    <mergeCell ref="A7:C7"/>
    <mergeCell ref="A1:O1"/>
    <mergeCell ref="E4:E5"/>
    <mergeCell ref="M5:M6"/>
    <mergeCell ref="G4:G5"/>
    <mergeCell ref="O4:O6"/>
    <mergeCell ref="A2:O2"/>
    <mergeCell ref="C4:C5"/>
    <mergeCell ref="N5:N6"/>
    <mergeCell ref="L5:L6"/>
    <mergeCell ref="J5:J6"/>
    <mergeCell ref="J4:N4"/>
    <mergeCell ref="I4:I5"/>
    <mergeCell ref="F4:F5"/>
    <mergeCell ref="H4:H5"/>
    <mergeCell ref="K5:K6"/>
  </mergeCells>
  <phoneticPr fontId="41" type="noConversion"/>
  <printOptions horizontalCentered="1" verticalCentered="1"/>
  <pageMargins left="0.19685039370078741" right="0.19685039370078741" top="0.59055118110236227" bottom="0.15748031496062992" header="0.31496062992125984" footer="0.31496062992125984"/>
  <pageSetup paperSize="9" scale="55" orientation="landscape" verticalDpi="4294967295" r:id="rId1"/>
  <headerFooter>
    <oddHeader xml:space="preserve">&amp;C2021. évi költségvetés&amp;R&amp;A
</oddHeader>
    <oddFooter>&amp;C&amp;P/&amp;N</oddFooter>
  </headerFooter>
  <rowBreaks count="2" manualBreakCount="2">
    <brk id="27" max="16383" man="1"/>
    <brk id="72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topLeftCell="A37" zoomScale="80" zoomScaleNormal="100" zoomScaleSheetLayoutView="80" workbookViewId="0">
      <selection activeCell="C39" sqref="C39"/>
    </sheetView>
  </sheetViews>
  <sheetFormatPr defaultRowHeight="12.75" x14ac:dyDescent="0.2"/>
  <cols>
    <col min="1" max="1" width="5" style="48" customWidth="1"/>
    <col min="2" max="2" width="57.140625" style="22" customWidth="1"/>
    <col min="3" max="4" width="18.5703125" style="50" customWidth="1"/>
    <col min="5" max="5" width="18.85546875" style="22" customWidth="1"/>
    <col min="6" max="6" width="16.7109375" style="22" bestFit="1" customWidth="1"/>
    <col min="7" max="7" width="9.140625" style="22"/>
    <col min="8" max="8" width="11.85546875" style="22" bestFit="1" customWidth="1"/>
    <col min="9" max="9" width="12.7109375" style="22" bestFit="1" customWidth="1"/>
    <col min="10" max="16384" width="9.140625" style="22"/>
  </cols>
  <sheetData>
    <row r="1" spans="1:6" ht="20.25" customHeight="1" x14ac:dyDescent="0.2">
      <c r="A1" s="1120" t="s">
        <v>34</v>
      </c>
      <c r="B1" s="1120"/>
      <c r="C1" s="1120"/>
      <c r="D1" s="1120"/>
      <c r="E1" s="1120"/>
      <c r="F1" s="1120"/>
    </row>
    <row r="2" spans="1:6" ht="20.25" customHeight="1" x14ac:dyDescent="0.25">
      <c r="A2" s="1121" t="s">
        <v>1056</v>
      </c>
      <c r="B2" s="1121"/>
      <c r="C2" s="1121"/>
      <c r="D2" s="1121"/>
      <c r="E2" s="1121"/>
      <c r="F2" s="1121"/>
    </row>
    <row r="3" spans="1:6" ht="22.5" customHeight="1" x14ac:dyDescent="0.2">
      <c r="F3" s="51" t="s">
        <v>458</v>
      </c>
    </row>
    <row r="4" spans="1:6" ht="50.25" customHeight="1" x14ac:dyDescent="0.2">
      <c r="A4" s="232" t="s">
        <v>37</v>
      </c>
      <c r="B4" s="46" t="s">
        <v>2</v>
      </c>
      <c r="C4" s="164" t="s">
        <v>893</v>
      </c>
      <c r="D4" s="164" t="s">
        <v>922</v>
      </c>
      <c r="E4" s="46" t="s">
        <v>35</v>
      </c>
      <c r="F4" s="47" t="s">
        <v>11</v>
      </c>
    </row>
    <row r="5" spans="1:6" ht="19.149999999999999" customHeight="1" x14ac:dyDescent="0.2">
      <c r="A5" s="1189" t="s">
        <v>194</v>
      </c>
      <c r="B5" s="1190"/>
      <c r="C5" s="1190"/>
      <c r="D5" s="1190"/>
      <c r="E5" s="1190"/>
      <c r="F5" s="1191"/>
    </row>
    <row r="6" spans="1:6" ht="20.25" customHeight="1" x14ac:dyDescent="0.2">
      <c r="A6" s="1126" t="s">
        <v>36</v>
      </c>
      <c r="B6" s="1127"/>
      <c r="C6" s="147">
        <f>SUM(C7:C10)</f>
        <v>31770000</v>
      </c>
      <c r="D6" s="147">
        <f>SUM(D7:D10)</f>
        <v>4000000</v>
      </c>
      <c r="E6" s="236"/>
      <c r="F6" s="237"/>
    </row>
    <row r="7" spans="1:6" ht="23.25" customHeight="1" x14ac:dyDescent="0.2">
      <c r="A7" s="201" t="s">
        <v>203</v>
      </c>
      <c r="B7" s="218" t="s">
        <v>902</v>
      </c>
      <c r="C7" s="159">
        <v>10000000</v>
      </c>
      <c r="D7" s="159"/>
      <c r="E7" s="178" t="s">
        <v>38</v>
      </c>
      <c r="F7" s="221" t="s">
        <v>237</v>
      </c>
    </row>
    <row r="8" spans="1:6" ht="30" customHeight="1" x14ac:dyDescent="0.2">
      <c r="A8" s="201" t="s">
        <v>204</v>
      </c>
      <c r="B8" s="218" t="s">
        <v>903</v>
      </c>
      <c r="C8" s="159">
        <v>10000000</v>
      </c>
      <c r="D8" s="159"/>
      <c r="E8" s="178" t="s">
        <v>38</v>
      </c>
      <c r="F8" s="221" t="s">
        <v>237</v>
      </c>
    </row>
    <row r="9" spans="1:6" ht="30" customHeight="1" x14ac:dyDescent="0.2">
      <c r="A9" s="201" t="s">
        <v>205</v>
      </c>
      <c r="B9" s="218" t="s">
        <v>190</v>
      </c>
      <c r="C9" s="159"/>
      <c r="D9" s="159"/>
      <c r="E9" s="178"/>
      <c r="F9" s="221" t="s">
        <v>237</v>
      </c>
    </row>
    <row r="10" spans="1:6" s="84" customFormat="1" ht="20.25" customHeight="1" x14ac:dyDescent="0.2">
      <c r="A10" s="213" t="s">
        <v>206</v>
      </c>
      <c r="B10" s="219" t="s">
        <v>998</v>
      </c>
      <c r="C10" s="222">
        <v>11770000</v>
      </c>
      <c r="D10" s="222">
        <v>4000000</v>
      </c>
      <c r="E10" s="223" t="s">
        <v>38</v>
      </c>
      <c r="F10" s="224" t="s">
        <v>237</v>
      </c>
    </row>
    <row r="11" spans="1:6" ht="20.25" customHeight="1" x14ac:dyDescent="0.2">
      <c r="A11" s="103"/>
      <c r="B11" s="106" t="s">
        <v>372</v>
      </c>
      <c r="C11" s="156">
        <f>SUM(C12:C19)</f>
        <v>122123775</v>
      </c>
      <c r="D11" s="156">
        <f>SUM(D12:D19)</f>
        <v>0</v>
      </c>
      <c r="E11" s="104"/>
      <c r="F11" s="105"/>
    </row>
    <row r="12" spans="1:6" ht="18.75" customHeight="1" x14ac:dyDescent="0.2">
      <c r="A12" s="99" t="s">
        <v>203</v>
      </c>
      <c r="B12" s="486" t="s">
        <v>373</v>
      </c>
      <c r="C12" s="107">
        <v>2044893</v>
      </c>
      <c r="D12" s="107"/>
      <c r="E12" s="52" t="s">
        <v>38</v>
      </c>
      <c r="F12" s="101" t="s">
        <v>237</v>
      </c>
    </row>
    <row r="13" spans="1:6" ht="18.75" customHeight="1" x14ac:dyDescent="0.2">
      <c r="A13" s="61" t="s">
        <v>204</v>
      </c>
      <c r="B13" s="91" t="s">
        <v>374</v>
      </c>
      <c r="C13" s="90">
        <v>659324</v>
      </c>
      <c r="D13" s="397"/>
      <c r="E13" s="23" t="s">
        <v>38</v>
      </c>
      <c r="F13" s="101" t="s">
        <v>237</v>
      </c>
    </row>
    <row r="14" spans="1:6" ht="18.75" customHeight="1" x14ac:dyDescent="0.2">
      <c r="A14" s="61" t="s">
        <v>205</v>
      </c>
      <c r="B14" s="91" t="s">
        <v>375</v>
      </c>
      <c r="C14" s="90">
        <v>4074055</v>
      </c>
      <c r="D14" s="90"/>
      <c r="E14" s="60" t="s">
        <v>38</v>
      </c>
      <c r="F14" s="101" t="s">
        <v>237</v>
      </c>
    </row>
    <row r="15" spans="1:6" ht="18.75" customHeight="1" x14ac:dyDescent="0.2">
      <c r="A15" s="61" t="s">
        <v>206</v>
      </c>
      <c r="B15" s="91" t="s">
        <v>376</v>
      </c>
      <c r="C15" s="90">
        <v>664028</v>
      </c>
      <c r="D15" s="90"/>
      <c r="E15" s="60" t="s">
        <v>38</v>
      </c>
      <c r="F15" s="101" t="s">
        <v>237</v>
      </c>
    </row>
    <row r="16" spans="1:6" ht="18.75" customHeight="1" x14ac:dyDescent="0.2">
      <c r="A16" s="61" t="s">
        <v>207</v>
      </c>
      <c r="B16" s="91" t="s">
        <v>377</v>
      </c>
      <c r="C16" s="90">
        <v>9494228</v>
      </c>
      <c r="D16" s="90"/>
      <c r="E16" s="60" t="s">
        <v>38</v>
      </c>
      <c r="F16" s="101" t="s">
        <v>237</v>
      </c>
    </row>
    <row r="17" spans="1:9" ht="18.75" customHeight="1" x14ac:dyDescent="0.2">
      <c r="A17" s="62" t="s">
        <v>208</v>
      </c>
      <c r="B17" s="218" t="s">
        <v>1465</v>
      </c>
      <c r="C17" s="403">
        <v>100027470</v>
      </c>
      <c r="D17" s="403"/>
      <c r="E17" s="446" t="s">
        <v>38</v>
      </c>
      <c r="F17" s="447" t="s">
        <v>237</v>
      </c>
    </row>
    <row r="18" spans="1:9" ht="28.5" customHeight="1" x14ac:dyDescent="0.2">
      <c r="A18" s="62" t="s">
        <v>209</v>
      </c>
      <c r="B18" s="218" t="s">
        <v>939</v>
      </c>
      <c r="C18" s="403">
        <v>4683422</v>
      </c>
      <c r="D18" s="403"/>
      <c r="E18" s="446" t="s">
        <v>38</v>
      </c>
      <c r="F18" s="447" t="s">
        <v>237</v>
      </c>
    </row>
    <row r="19" spans="1:9" s="84" customFormat="1" ht="26.25" customHeight="1" x14ac:dyDescent="0.2">
      <c r="A19" s="213" t="s">
        <v>210</v>
      </c>
      <c r="B19" s="219" t="s">
        <v>775</v>
      </c>
      <c r="C19" s="222">
        <v>476355</v>
      </c>
      <c r="D19" s="222"/>
      <c r="E19" s="223" t="s">
        <v>38</v>
      </c>
      <c r="F19" s="224" t="s">
        <v>237</v>
      </c>
    </row>
    <row r="20" spans="1:9" ht="18.75" customHeight="1" x14ac:dyDescent="0.2">
      <c r="A20" s="103"/>
      <c r="B20" s="106" t="s">
        <v>456</v>
      </c>
      <c r="C20" s="156">
        <f>C21</f>
        <v>0</v>
      </c>
      <c r="D20" s="156">
        <f>D21</f>
        <v>0</v>
      </c>
      <c r="E20" s="104"/>
      <c r="F20" s="105"/>
    </row>
    <row r="21" spans="1:9" ht="18.75" customHeight="1" x14ac:dyDescent="0.2">
      <c r="A21" s="151"/>
      <c r="B21" s="152"/>
      <c r="C21" s="157"/>
      <c r="D21" s="568"/>
      <c r="E21" s="87"/>
      <c r="F21" s="102"/>
    </row>
    <row r="22" spans="1:9" ht="20.25" customHeight="1" x14ac:dyDescent="0.2">
      <c r="A22" s="1189" t="s">
        <v>195</v>
      </c>
      <c r="B22" s="1190"/>
      <c r="C22" s="1190"/>
      <c r="D22" s="1190"/>
      <c r="E22" s="1190"/>
      <c r="F22" s="1191"/>
      <c r="I22" s="22">
        <v>163370000</v>
      </c>
    </row>
    <row r="23" spans="1:9" s="49" customFormat="1" ht="20.25" customHeight="1" x14ac:dyDescent="0.2">
      <c r="A23" s="1126" t="s">
        <v>196</v>
      </c>
      <c r="B23" s="1127"/>
      <c r="C23" s="147">
        <f>+C24</f>
        <v>0</v>
      </c>
      <c r="D23" s="147">
        <f>+D24</f>
        <v>0</v>
      </c>
      <c r="E23" s="148"/>
      <c r="F23" s="149"/>
      <c r="I23" s="49">
        <v>167220000</v>
      </c>
    </row>
    <row r="24" spans="1:9" ht="20.25" customHeight="1" x14ac:dyDescent="0.2">
      <c r="A24" s="238"/>
      <c r="B24" s="239"/>
      <c r="C24" s="119">
        <v>0</v>
      </c>
      <c r="D24" s="119"/>
      <c r="E24" s="240"/>
      <c r="F24" s="241"/>
      <c r="I24" s="22">
        <f>+I23-I22</f>
        <v>3850000</v>
      </c>
    </row>
    <row r="25" spans="1:9" ht="20.25" customHeight="1" x14ac:dyDescent="0.2">
      <c r="A25" s="82"/>
      <c r="B25" s="67"/>
      <c r="C25" s="68"/>
      <c r="D25" s="68"/>
      <c r="E25" s="69"/>
      <c r="F25" s="108"/>
    </row>
    <row r="26" spans="1:9" s="49" customFormat="1" ht="20.25" customHeight="1" x14ac:dyDescent="0.2">
      <c r="A26" s="1126" t="s">
        <v>197</v>
      </c>
      <c r="B26" s="1127"/>
      <c r="C26" s="147">
        <f>SUM(C27:C41)</f>
        <v>310920000</v>
      </c>
      <c r="D26" s="147">
        <f>SUM(D27:D41)</f>
        <v>33450000</v>
      </c>
      <c r="E26" s="148"/>
      <c r="F26" s="149"/>
    </row>
    <row r="27" spans="1:9" ht="18.75" customHeight="1" x14ac:dyDescent="0.2">
      <c r="A27" s="189" t="s">
        <v>203</v>
      </c>
      <c r="B27" s="91" t="s">
        <v>48</v>
      </c>
      <c r="C27" s="181">
        <v>136420000</v>
      </c>
      <c r="D27" s="181">
        <v>26950000</v>
      </c>
      <c r="E27" s="162" t="s">
        <v>38</v>
      </c>
      <c r="F27" s="220" t="s">
        <v>237</v>
      </c>
    </row>
    <row r="28" spans="1:9" s="84" customFormat="1" ht="18.75" customHeight="1" x14ac:dyDescent="0.2">
      <c r="A28" s="189" t="s">
        <v>204</v>
      </c>
      <c r="B28" s="91" t="s">
        <v>1010</v>
      </c>
      <c r="C28" s="181">
        <v>10000000</v>
      </c>
      <c r="D28" s="181">
        <v>0</v>
      </c>
      <c r="E28" s="162" t="s">
        <v>38</v>
      </c>
      <c r="F28" s="220" t="s">
        <v>237</v>
      </c>
    </row>
    <row r="29" spans="1:9" ht="18.75" customHeight="1" x14ac:dyDescent="0.2">
      <c r="A29" s="189" t="s">
        <v>205</v>
      </c>
      <c r="B29" s="91" t="s">
        <v>987</v>
      </c>
      <c r="C29" s="181">
        <v>13500000</v>
      </c>
      <c r="D29" s="181">
        <v>6500000</v>
      </c>
      <c r="E29" s="162" t="s">
        <v>38</v>
      </c>
      <c r="F29" s="220" t="s">
        <v>237</v>
      </c>
    </row>
    <row r="30" spans="1:9" ht="18.75" customHeight="1" x14ac:dyDescent="0.2">
      <c r="A30" s="189" t="s">
        <v>206</v>
      </c>
      <c r="B30" s="194" t="s">
        <v>43</v>
      </c>
      <c r="C30" s="181">
        <v>2000000</v>
      </c>
      <c r="D30" s="181"/>
      <c r="E30" s="162" t="s">
        <v>38</v>
      </c>
      <c r="F30" s="220" t="s">
        <v>237</v>
      </c>
    </row>
    <row r="31" spans="1:9" ht="18.75" customHeight="1" x14ac:dyDescent="0.2">
      <c r="A31" s="189" t="s">
        <v>207</v>
      </c>
      <c r="B31" s="194" t="s">
        <v>920</v>
      </c>
      <c r="C31" s="181"/>
      <c r="D31" s="181"/>
      <c r="E31" s="162" t="s">
        <v>38</v>
      </c>
      <c r="F31" s="220" t="s">
        <v>237</v>
      </c>
    </row>
    <row r="32" spans="1:9" ht="33" customHeight="1" x14ac:dyDescent="0.2">
      <c r="A32" s="189" t="s">
        <v>208</v>
      </c>
      <c r="B32" s="194" t="s">
        <v>44</v>
      </c>
      <c r="C32" s="181">
        <v>2000000</v>
      </c>
      <c r="D32" s="181"/>
      <c r="E32" s="225" t="s">
        <v>41</v>
      </c>
      <c r="F32" s="220" t="s">
        <v>237</v>
      </c>
    </row>
    <row r="33" spans="1:7" s="84" customFormat="1" ht="33" customHeight="1" x14ac:dyDescent="0.2">
      <c r="A33" s="189" t="s">
        <v>209</v>
      </c>
      <c r="B33" s="194" t="s">
        <v>908</v>
      </c>
      <c r="C33" s="181"/>
      <c r="D33" s="181"/>
      <c r="E33" s="225" t="s">
        <v>38</v>
      </c>
      <c r="F33" s="220" t="s">
        <v>909</v>
      </c>
    </row>
    <row r="34" spans="1:7" s="84" customFormat="1" ht="28.5" customHeight="1" x14ac:dyDescent="0.2">
      <c r="A34" s="189" t="s">
        <v>210</v>
      </c>
      <c r="B34" s="194" t="s">
        <v>45</v>
      </c>
      <c r="C34" s="181">
        <v>2000000</v>
      </c>
      <c r="D34" s="181"/>
      <c r="E34" s="225" t="s">
        <v>41</v>
      </c>
      <c r="F34" s="220" t="s">
        <v>237</v>
      </c>
    </row>
    <row r="35" spans="1:7" s="84" customFormat="1" ht="18.75" customHeight="1" x14ac:dyDescent="0.2">
      <c r="A35" s="189" t="s">
        <v>211</v>
      </c>
      <c r="B35" s="194" t="s">
        <v>46</v>
      </c>
      <c r="C35" s="181">
        <v>3000000</v>
      </c>
      <c r="D35" s="181"/>
      <c r="E35" s="162" t="s">
        <v>38</v>
      </c>
      <c r="F35" s="220" t="s">
        <v>237</v>
      </c>
    </row>
    <row r="36" spans="1:7" s="84" customFormat="1" ht="18.75" customHeight="1" x14ac:dyDescent="0.2">
      <c r="A36" s="189" t="s">
        <v>212</v>
      </c>
      <c r="B36" s="197" t="s">
        <v>47</v>
      </c>
      <c r="C36" s="198">
        <v>2000000</v>
      </c>
      <c r="D36" s="198"/>
      <c r="E36" s="178" t="s">
        <v>38</v>
      </c>
      <c r="F36" s="221" t="s">
        <v>237</v>
      </c>
    </row>
    <row r="37" spans="1:7" s="84" customFormat="1" ht="18.75" customHeight="1" x14ac:dyDescent="0.2">
      <c r="A37" s="189" t="s">
        <v>213</v>
      </c>
      <c r="B37" s="91" t="s">
        <v>548</v>
      </c>
      <c r="C37" s="181"/>
      <c r="D37" s="198"/>
      <c r="E37" s="178" t="s">
        <v>38</v>
      </c>
      <c r="F37" s="220" t="s">
        <v>237</v>
      </c>
    </row>
    <row r="38" spans="1:7" ht="18.75" customHeight="1" x14ac:dyDescent="0.2">
      <c r="A38" s="189" t="s">
        <v>240</v>
      </c>
      <c r="B38" s="302" t="s">
        <v>627</v>
      </c>
      <c r="C38" s="198">
        <v>15000000</v>
      </c>
      <c r="D38" s="198"/>
      <c r="E38" s="178" t="s">
        <v>38</v>
      </c>
      <c r="F38" s="220" t="s">
        <v>237</v>
      </c>
    </row>
    <row r="39" spans="1:7" ht="18.75" customHeight="1" x14ac:dyDescent="0.2">
      <c r="A39" s="189" t="s">
        <v>241</v>
      </c>
      <c r="B39" s="302" t="s">
        <v>1043</v>
      </c>
      <c r="C39" s="198"/>
      <c r="D39" s="198"/>
      <c r="E39" s="178"/>
      <c r="F39" s="220"/>
    </row>
    <row r="40" spans="1:7" ht="18.75" customHeight="1" x14ac:dyDescent="0.2">
      <c r="A40" s="189" t="s">
        <v>242</v>
      </c>
      <c r="B40" s="302" t="s">
        <v>898</v>
      </c>
      <c r="C40" s="198">
        <v>35000000</v>
      </c>
      <c r="D40" s="198"/>
      <c r="E40" s="178" t="s">
        <v>38</v>
      </c>
      <c r="F40" s="220" t="s">
        <v>237</v>
      </c>
    </row>
    <row r="41" spans="1:7" ht="18.75" customHeight="1" x14ac:dyDescent="0.2">
      <c r="A41" s="189" t="s">
        <v>243</v>
      </c>
      <c r="B41" s="302" t="s">
        <v>897</v>
      </c>
      <c r="C41" s="198">
        <v>90000000</v>
      </c>
      <c r="D41" s="198"/>
      <c r="E41" s="178" t="s">
        <v>38</v>
      </c>
      <c r="F41" s="220" t="s">
        <v>237</v>
      </c>
    </row>
    <row r="42" spans="1:7" ht="20.25" customHeight="1" x14ac:dyDescent="0.2">
      <c r="A42" s="82"/>
      <c r="B42" s="67"/>
      <c r="C42" s="68"/>
      <c r="D42" s="68"/>
      <c r="E42" s="69"/>
      <c r="F42" s="70"/>
    </row>
    <row r="43" spans="1:7" s="49" customFormat="1" ht="20.25" customHeight="1" x14ac:dyDescent="0.2">
      <c r="A43" s="1186" t="s">
        <v>198</v>
      </c>
      <c r="B43" s="1187"/>
      <c r="C43" s="144">
        <f>SUM(C44:C45)</f>
        <v>80000000</v>
      </c>
      <c r="D43" s="144">
        <f>SUM(D44:D45)</f>
        <v>0</v>
      </c>
      <c r="E43" s="145"/>
      <c r="F43" s="146"/>
    </row>
    <row r="44" spans="1:7" s="49" customFormat="1" ht="28.5" customHeight="1" x14ac:dyDescent="0.2">
      <c r="A44" s="367" t="s">
        <v>203</v>
      </c>
      <c r="B44" s="486" t="s">
        <v>122</v>
      </c>
      <c r="C44" s="488">
        <v>50000000</v>
      </c>
      <c r="D44" s="488">
        <v>0</v>
      </c>
      <c r="E44" s="467" t="s">
        <v>38</v>
      </c>
      <c r="F44" s="503" t="s">
        <v>237</v>
      </c>
    </row>
    <row r="45" spans="1:7" ht="21" customHeight="1" x14ac:dyDescent="0.2">
      <c r="A45" s="213" t="s">
        <v>204</v>
      </c>
      <c r="B45" s="219" t="s">
        <v>693</v>
      </c>
      <c r="C45" s="216">
        <v>30000000</v>
      </c>
      <c r="D45" s="216">
        <v>0</v>
      </c>
      <c r="E45" s="223" t="s">
        <v>38</v>
      </c>
      <c r="F45" s="224" t="s">
        <v>237</v>
      </c>
      <c r="G45" s="22" t="s">
        <v>672</v>
      </c>
    </row>
    <row r="46" spans="1:7" ht="23.25" customHeight="1" x14ac:dyDescent="0.2">
      <c r="A46" s="78"/>
      <c r="B46" s="71"/>
      <c r="C46" s="72"/>
      <c r="D46" s="72"/>
      <c r="E46" s="71"/>
      <c r="F46" s="309"/>
    </row>
    <row r="47" spans="1:7" ht="20.25" customHeight="1" x14ac:dyDescent="0.2">
      <c r="A47" s="1126" t="s">
        <v>199</v>
      </c>
      <c r="B47" s="1127"/>
      <c r="C47" s="147">
        <f>SUM(C48:C50)</f>
        <v>18000000</v>
      </c>
      <c r="D47" s="147">
        <f>SUM(D48:D50)</f>
        <v>0</v>
      </c>
      <c r="E47" s="1192"/>
      <c r="F47" s="1193"/>
    </row>
    <row r="48" spans="1:7" ht="34.5" customHeight="1" x14ac:dyDescent="0.2">
      <c r="A48" s="190" t="s">
        <v>203</v>
      </c>
      <c r="B48" s="86" t="s">
        <v>694</v>
      </c>
      <c r="C48" s="135">
        <v>15000000</v>
      </c>
      <c r="D48" s="135"/>
      <c r="E48" s="192" t="s">
        <v>40</v>
      </c>
      <c r="F48" s="235" t="s">
        <v>237</v>
      </c>
    </row>
    <row r="49" spans="1:9" ht="29.25" customHeight="1" x14ac:dyDescent="0.2">
      <c r="A49" s="189" t="s">
        <v>204</v>
      </c>
      <c r="B49" s="91" t="s">
        <v>39</v>
      </c>
      <c r="C49" s="158">
        <v>1000000</v>
      </c>
      <c r="D49" s="158"/>
      <c r="E49" s="225" t="s">
        <v>41</v>
      </c>
      <c r="F49" s="220" t="s">
        <v>237</v>
      </c>
    </row>
    <row r="50" spans="1:9" ht="30" customHeight="1" x14ac:dyDescent="0.2">
      <c r="A50" s="213" t="s">
        <v>205</v>
      </c>
      <c r="B50" s="219" t="s">
        <v>687</v>
      </c>
      <c r="C50" s="216">
        <v>2000000</v>
      </c>
      <c r="D50" s="216"/>
      <c r="E50" s="227" t="s">
        <v>41</v>
      </c>
      <c r="F50" s="224" t="s">
        <v>237</v>
      </c>
    </row>
    <row r="51" spans="1:9" ht="18.75" customHeight="1" x14ac:dyDescent="0.2">
      <c r="A51" s="78"/>
      <c r="B51" s="79"/>
      <c r="C51" s="72"/>
      <c r="D51" s="72"/>
      <c r="E51" s="80"/>
      <c r="F51" s="73"/>
    </row>
    <row r="52" spans="1:9" s="49" customFormat="1" ht="20.25" customHeight="1" x14ac:dyDescent="0.2">
      <c r="A52" s="1126" t="s">
        <v>200</v>
      </c>
      <c r="B52" s="1127"/>
      <c r="C52" s="147">
        <f>SUM(C53:C62)</f>
        <v>344877654</v>
      </c>
      <c r="D52" s="147">
        <f>SUM(D53:D61)</f>
        <v>10000000</v>
      </c>
      <c r="E52" s="148"/>
      <c r="F52" s="149"/>
    </row>
    <row r="53" spans="1:9" s="49" customFormat="1" ht="19.5" customHeight="1" x14ac:dyDescent="0.2">
      <c r="A53" s="190" t="s">
        <v>203</v>
      </c>
      <c r="B53" s="86" t="s">
        <v>411</v>
      </c>
      <c r="C53" s="135">
        <v>10000000</v>
      </c>
      <c r="D53" s="135">
        <v>10000000</v>
      </c>
      <c r="E53" s="192" t="s">
        <v>38</v>
      </c>
      <c r="F53" s="235" t="s">
        <v>237</v>
      </c>
    </row>
    <row r="54" spans="1:9" s="49" customFormat="1" ht="19.5" customHeight="1" x14ac:dyDescent="0.2">
      <c r="A54" s="190" t="s">
        <v>204</v>
      </c>
      <c r="B54" s="91" t="s">
        <v>42</v>
      </c>
      <c r="C54" s="158">
        <v>20000000</v>
      </c>
      <c r="D54" s="158"/>
      <c r="E54" s="162" t="s">
        <v>38</v>
      </c>
      <c r="F54" s="221" t="s">
        <v>237</v>
      </c>
    </row>
    <row r="55" spans="1:9" s="49" customFormat="1" ht="29.25" customHeight="1" x14ac:dyDescent="0.2">
      <c r="A55" s="190" t="s">
        <v>205</v>
      </c>
      <c r="B55" s="218" t="s">
        <v>954</v>
      </c>
      <c r="C55" s="159">
        <f>6530391+114264585</f>
        <v>120794976</v>
      </c>
      <c r="D55" s="159"/>
      <c r="E55" s="162" t="s">
        <v>38</v>
      </c>
      <c r="F55" s="221" t="s">
        <v>237</v>
      </c>
    </row>
    <row r="56" spans="1:9" s="49" customFormat="1" ht="29.25" customHeight="1" x14ac:dyDescent="0.2">
      <c r="A56" s="190" t="s">
        <v>206</v>
      </c>
      <c r="B56" s="218" t="s">
        <v>983</v>
      </c>
      <c r="C56" s="159"/>
      <c r="D56" s="159"/>
      <c r="E56" s="162"/>
      <c r="F56" s="221"/>
    </row>
    <row r="57" spans="1:9" s="49" customFormat="1" ht="24" customHeight="1" x14ac:dyDescent="0.2">
      <c r="A57" s="190" t="s">
        <v>207</v>
      </c>
      <c r="B57" s="218" t="s">
        <v>970</v>
      </c>
      <c r="C57" s="159"/>
      <c r="D57" s="159"/>
      <c r="E57" s="162" t="s">
        <v>38</v>
      </c>
      <c r="F57" s="221" t="s">
        <v>237</v>
      </c>
    </row>
    <row r="58" spans="1:9" s="49" customFormat="1" ht="21" customHeight="1" x14ac:dyDescent="0.2">
      <c r="A58" s="190" t="s">
        <v>208</v>
      </c>
      <c r="B58" s="218" t="s">
        <v>683</v>
      </c>
      <c r="C58" s="159">
        <v>20000000</v>
      </c>
      <c r="D58" s="159"/>
      <c r="E58" s="162" t="s">
        <v>38</v>
      </c>
      <c r="F58" s="221" t="s">
        <v>237</v>
      </c>
    </row>
    <row r="59" spans="1:9" s="49" customFormat="1" ht="21" customHeight="1" x14ac:dyDescent="0.2">
      <c r="A59" s="190" t="s">
        <v>209</v>
      </c>
      <c r="B59" s="91" t="s">
        <v>584</v>
      </c>
      <c r="C59" s="181">
        <v>50000000</v>
      </c>
      <c r="D59" s="181"/>
      <c r="E59" s="162" t="s">
        <v>38</v>
      </c>
      <c r="F59" s="221" t="s">
        <v>237</v>
      </c>
    </row>
    <row r="60" spans="1:9" s="49" customFormat="1" ht="19.5" customHeight="1" x14ac:dyDescent="0.2">
      <c r="A60" s="190" t="s">
        <v>210</v>
      </c>
      <c r="B60" s="396" t="s">
        <v>834</v>
      </c>
      <c r="C60" s="487"/>
      <c r="D60" s="487"/>
      <c r="E60" s="162" t="s">
        <v>38</v>
      </c>
      <c r="F60" s="220" t="s">
        <v>237</v>
      </c>
    </row>
    <row r="61" spans="1:9" s="383" customFormat="1" ht="22.5" customHeight="1" x14ac:dyDescent="0.2">
      <c r="A61" s="190" t="s">
        <v>211</v>
      </c>
      <c r="B61" s="302" t="s">
        <v>835</v>
      </c>
      <c r="C61" s="159"/>
      <c r="D61" s="159"/>
      <c r="E61" s="178" t="s">
        <v>38</v>
      </c>
      <c r="F61" s="221" t="s">
        <v>237</v>
      </c>
      <c r="I61" s="384"/>
    </row>
    <row r="62" spans="1:9" s="383" customFormat="1" ht="22.5" customHeight="1" x14ac:dyDescent="0.2">
      <c r="A62" s="213" t="s">
        <v>212</v>
      </c>
      <c r="B62" s="77" t="s">
        <v>1484</v>
      </c>
      <c r="C62" s="222">
        <f>150000000-61417322-1500000+30000000+7000000</f>
        <v>124082678</v>
      </c>
      <c r="D62" s="222"/>
      <c r="E62" s="223" t="s">
        <v>38</v>
      </c>
      <c r="F62" s="224" t="s">
        <v>237</v>
      </c>
      <c r="I62" s="384"/>
    </row>
    <row r="63" spans="1:9" ht="21" customHeight="1" x14ac:dyDescent="0.2">
      <c r="A63" s="78"/>
      <c r="B63" s="71"/>
      <c r="C63" s="72"/>
      <c r="D63" s="72"/>
      <c r="E63" s="71"/>
      <c r="F63" s="309"/>
    </row>
    <row r="64" spans="1:9" s="49" customFormat="1" ht="20.25" customHeight="1" x14ac:dyDescent="0.2">
      <c r="A64" s="1126" t="s">
        <v>696</v>
      </c>
      <c r="B64" s="1127"/>
      <c r="C64" s="147">
        <f>SUM(C65:C66)</f>
        <v>30600000</v>
      </c>
      <c r="D64" s="147">
        <f>SUM(D65:D66)</f>
        <v>0</v>
      </c>
      <c r="E64" s="233"/>
      <c r="F64" s="149"/>
    </row>
    <row r="65" spans="1:7" ht="19.5" customHeight="1" x14ac:dyDescent="0.2">
      <c r="A65" s="190" t="s">
        <v>203</v>
      </c>
      <c r="B65" s="191" t="s">
        <v>49</v>
      </c>
      <c r="C65" s="136">
        <v>25000000</v>
      </c>
      <c r="D65" s="136"/>
      <c r="E65" s="192" t="s">
        <v>40</v>
      </c>
      <c r="F65" s="235" t="s">
        <v>237</v>
      </c>
    </row>
    <row r="66" spans="1:7" ht="19.5" customHeight="1" x14ac:dyDescent="0.2">
      <c r="A66" s="189" t="s">
        <v>204</v>
      </c>
      <c r="B66" s="194" t="s">
        <v>50</v>
      </c>
      <c r="C66" s="181">
        <v>5600000</v>
      </c>
      <c r="D66" s="181"/>
      <c r="E66" s="162" t="s">
        <v>38</v>
      </c>
      <c r="F66" s="220" t="s">
        <v>237</v>
      </c>
    </row>
    <row r="67" spans="1:7" s="5" customFormat="1" ht="24" customHeight="1" x14ac:dyDescent="0.25">
      <c r="A67" s="1194" t="s">
        <v>51</v>
      </c>
      <c r="B67" s="1195"/>
      <c r="C67" s="139">
        <f>+C64+C52+C47+C43+C26+C23+C6+C11+C20</f>
        <v>938291429</v>
      </c>
      <c r="D67" s="139">
        <f>+D64+D52+D47+D43+D26+D23+D6+D11+D20</f>
        <v>47450000</v>
      </c>
      <c r="E67" s="140"/>
      <c r="F67" s="141"/>
    </row>
    <row r="68" spans="1:7" x14ac:dyDescent="0.2">
      <c r="A68" s="123"/>
      <c r="B68" s="142"/>
      <c r="C68" s="143">
        <f>+C67-C64</f>
        <v>907691429</v>
      </c>
      <c r="D68" s="143"/>
      <c r="E68" s="142"/>
      <c r="F68" s="143">
        <v>710434485</v>
      </c>
      <c r="G68" s="66">
        <f>+C67-F68</f>
        <v>227856944</v>
      </c>
    </row>
    <row r="69" spans="1:7" ht="74.25" customHeight="1" x14ac:dyDescent="0.2">
      <c r="A69" s="1188"/>
      <c r="B69" s="1188"/>
      <c r="C69" s="1188"/>
      <c r="D69" s="1188"/>
      <c r="E69" s="1188"/>
      <c r="F69" s="1188"/>
    </row>
    <row r="70" spans="1:7" x14ac:dyDescent="0.2">
      <c r="A70" s="1188"/>
      <c r="B70" s="1188"/>
      <c r="C70" s="1188"/>
      <c r="D70" s="1188"/>
      <c r="E70" s="1188"/>
      <c r="F70" s="1188"/>
    </row>
    <row r="71" spans="1:7" x14ac:dyDescent="0.2">
      <c r="A71" s="1188"/>
      <c r="B71" s="1188"/>
      <c r="C71" s="1188"/>
      <c r="D71" s="1188"/>
      <c r="E71" s="1188"/>
      <c r="F71" s="1188"/>
    </row>
    <row r="72" spans="1:7" x14ac:dyDescent="0.2">
      <c r="A72" s="1188"/>
      <c r="B72" s="1188"/>
      <c r="C72" s="1188"/>
      <c r="D72" s="1188"/>
      <c r="E72" s="1188"/>
      <c r="F72" s="1188"/>
    </row>
  </sheetData>
  <mergeCells count="14">
    <mergeCell ref="E47:F47"/>
    <mergeCell ref="A2:F2"/>
    <mergeCell ref="A22:F22"/>
    <mergeCell ref="A67:B67"/>
    <mergeCell ref="A47:B47"/>
    <mergeCell ref="A52:B52"/>
    <mergeCell ref="A64:B64"/>
    <mergeCell ref="A43:B43"/>
    <mergeCell ref="A69:F72"/>
    <mergeCell ref="A1:F1"/>
    <mergeCell ref="A6:B6"/>
    <mergeCell ref="A23:B23"/>
    <mergeCell ref="A26:B26"/>
    <mergeCell ref="A5:F5"/>
  </mergeCells>
  <phoneticPr fontId="41" type="noConversion"/>
  <printOptions horizontalCentered="1"/>
  <pageMargins left="0.51181102362204722" right="0.51181102362204722" top="0.74803149606299213" bottom="0.35433070866141736" header="0.51181102362204722" footer="0.31496062992125984"/>
  <pageSetup paperSize="9" scale="65" orientation="portrait" r:id="rId1"/>
  <headerFooter>
    <oddHeader>&amp;C2021. évi költségvetés&amp;R&amp;A</oddHeader>
    <oddFooter>&amp;C
&amp;P/&amp;N</oddFooter>
  </headerFooter>
  <rowBreaks count="2" manualBreakCount="2">
    <brk id="51" max="5" man="1"/>
    <brk id="6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zoomScaleNormal="100" zoomScaleSheetLayoutView="100" workbookViewId="0">
      <selection activeCell="E12" sqref="E12"/>
    </sheetView>
  </sheetViews>
  <sheetFormatPr defaultColWidth="10.42578125" defaultRowHeight="12.75" x14ac:dyDescent="0.2"/>
  <cols>
    <col min="1" max="1" width="4.42578125" style="84" customWidth="1"/>
    <col min="2" max="2" width="4.5703125" style="84" customWidth="1"/>
    <col min="3" max="3" width="10.42578125" style="84" customWidth="1"/>
    <col min="4" max="4" width="65.42578125" style="84" customWidth="1"/>
    <col min="5" max="5" width="19.42578125" style="84" customWidth="1"/>
    <col min="6" max="16384" width="10.42578125" style="84"/>
  </cols>
  <sheetData>
    <row r="1" spans="1:6" ht="27" customHeight="1" x14ac:dyDescent="0.2">
      <c r="A1" s="1197" t="s">
        <v>347</v>
      </c>
      <c r="B1" s="1197"/>
      <c r="C1" s="1197"/>
      <c r="D1" s="1197"/>
      <c r="E1" s="1197"/>
    </row>
    <row r="2" spans="1:6" ht="22.5" customHeight="1" x14ac:dyDescent="0.2">
      <c r="A2" s="1196" t="s">
        <v>1056</v>
      </c>
      <c r="B2" s="1196"/>
      <c r="C2" s="1196"/>
      <c r="D2" s="1196"/>
      <c r="E2" s="1196"/>
    </row>
    <row r="3" spans="1:6" ht="12" customHeight="1" x14ac:dyDescent="0.2">
      <c r="A3" s="912"/>
      <c r="B3" s="912"/>
      <c r="C3" s="912"/>
      <c r="D3" s="912"/>
      <c r="E3" s="912"/>
    </row>
    <row r="4" spans="1:6" ht="23.25" customHeight="1" x14ac:dyDescent="0.2">
      <c r="A4" s="1198" t="s">
        <v>53</v>
      </c>
      <c r="B4" s="1160" t="s">
        <v>2</v>
      </c>
      <c r="C4" s="1160"/>
      <c r="D4" s="1160"/>
      <c r="E4" s="1157" t="s">
        <v>572</v>
      </c>
      <c r="F4" s="913"/>
    </row>
    <row r="5" spans="1:6" ht="31.5" customHeight="1" x14ac:dyDescent="0.2">
      <c r="A5" s="1199"/>
      <c r="B5" s="1204" t="s">
        <v>777</v>
      </c>
      <c r="C5" s="1160" t="s">
        <v>90</v>
      </c>
      <c r="D5" s="914" t="s">
        <v>124</v>
      </c>
      <c r="E5" s="1207"/>
      <c r="F5" s="915"/>
    </row>
    <row r="6" spans="1:6" ht="29.25" customHeight="1" x14ac:dyDescent="0.2">
      <c r="A6" s="1200"/>
      <c r="B6" s="1205"/>
      <c r="C6" s="1160"/>
      <c r="D6" s="914" t="s">
        <v>125</v>
      </c>
      <c r="E6" s="1158"/>
    </row>
    <row r="7" spans="1:6" s="170" customFormat="1" ht="27.75" customHeight="1" x14ac:dyDescent="0.2">
      <c r="A7" s="1206" t="s">
        <v>131</v>
      </c>
      <c r="B7" s="1206"/>
      <c r="C7" s="1206"/>
      <c r="D7" s="1206"/>
      <c r="E7" s="916">
        <f>SUM(E8:E18)</f>
        <v>41000000</v>
      </c>
    </row>
    <row r="8" spans="1:6" ht="19.5" customHeight="1" x14ac:dyDescent="0.2">
      <c r="A8" s="189" t="s">
        <v>203</v>
      </c>
      <c r="B8" s="917">
        <v>202</v>
      </c>
      <c r="C8" s="162" t="s">
        <v>1505</v>
      </c>
      <c r="D8" s="91" t="s">
        <v>554</v>
      </c>
      <c r="E8" s="100">
        <v>18000000</v>
      </c>
    </row>
    <row r="9" spans="1:6" ht="24" customHeight="1" x14ac:dyDescent="0.2">
      <c r="A9" s="189" t="s">
        <v>204</v>
      </c>
      <c r="B9" s="917">
        <v>202</v>
      </c>
      <c r="C9" s="162" t="s">
        <v>1505</v>
      </c>
      <c r="D9" s="91" t="s">
        <v>569</v>
      </c>
      <c r="E9" s="100">
        <v>5000000</v>
      </c>
    </row>
    <row r="10" spans="1:6" ht="22.5" customHeight="1" x14ac:dyDescent="0.2">
      <c r="A10" s="189" t="s">
        <v>205</v>
      </c>
      <c r="B10" s="917">
        <v>207</v>
      </c>
      <c r="C10" s="162" t="s">
        <v>1505</v>
      </c>
      <c r="D10" s="91" t="s">
        <v>127</v>
      </c>
      <c r="E10" s="100">
        <v>4000000</v>
      </c>
    </row>
    <row r="11" spans="1:6" ht="24" customHeight="1" x14ac:dyDescent="0.2">
      <c r="A11" s="189" t="s">
        <v>206</v>
      </c>
      <c r="B11" s="917">
        <v>208</v>
      </c>
      <c r="C11" s="162" t="s">
        <v>1505</v>
      </c>
      <c r="D11" s="91" t="s">
        <v>379</v>
      </c>
      <c r="E11" s="100">
        <v>500000</v>
      </c>
    </row>
    <row r="12" spans="1:6" ht="24" customHeight="1" x14ac:dyDescent="0.2">
      <c r="A12" s="189" t="s">
        <v>207</v>
      </c>
      <c r="B12" s="917">
        <v>203</v>
      </c>
      <c r="C12" s="162" t="s">
        <v>1505</v>
      </c>
      <c r="D12" s="91" t="s">
        <v>128</v>
      </c>
      <c r="E12" s="100">
        <v>1500000</v>
      </c>
    </row>
    <row r="13" spans="1:6" ht="24" customHeight="1" x14ac:dyDescent="0.2">
      <c r="A13" s="189" t="s">
        <v>208</v>
      </c>
      <c r="B13" s="917">
        <v>204</v>
      </c>
      <c r="C13" s="162" t="s">
        <v>1505</v>
      </c>
      <c r="D13" s="91" t="s">
        <v>555</v>
      </c>
      <c r="E13" s="100">
        <v>2300000</v>
      </c>
    </row>
    <row r="14" spans="1:6" ht="31.5" customHeight="1" x14ac:dyDescent="0.2">
      <c r="A14" s="189" t="s">
        <v>209</v>
      </c>
      <c r="B14" s="917">
        <v>205</v>
      </c>
      <c r="C14" s="162" t="s">
        <v>1505</v>
      </c>
      <c r="D14" s="91" t="s">
        <v>643</v>
      </c>
      <c r="E14" s="100">
        <v>2000000</v>
      </c>
    </row>
    <row r="15" spans="1:6" ht="24.75" customHeight="1" x14ac:dyDescent="0.2">
      <c r="A15" s="189" t="s">
        <v>210</v>
      </c>
      <c r="B15" s="917">
        <v>206</v>
      </c>
      <c r="C15" s="162" t="s">
        <v>1505</v>
      </c>
      <c r="D15" s="91" t="s">
        <v>130</v>
      </c>
      <c r="E15" s="100">
        <v>3000000</v>
      </c>
    </row>
    <row r="16" spans="1:6" ht="24.75" customHeight="1" x14ac:dyDescent="0.2">
      <c r="A16" s="189" t="s">
        <v>211</v>
      </c>
      <c r="B16" s="918">
        <v>211</v>
      </c>
      <c r="C16" s="162" t="s">
        <v>1505</v>
      </c>
      <c r="D16" s="91" t="s">
        <v>129</v>
      </c>
      <c r="E16" s="100">
        <v>500000</v>
      </c>
    </row>
    <row r="17" spans="1:5" ht="30" customHeight="1" x14ac:dyDescent="0.2">
      <c r="A17" s="189" t="s">
        <v>212</v>
      </c>
      <c r="B17" s="919">
        <v>212</v>
      </c>
      <c r="C17" s="162" t="s">
        <v>1505</v>
      </c>
      <c r="D17" s="218" t="s">
        <v>406</v>
      </c>
      <c r="E17" s="417">
        <v>200000</v>
      </c>
    </row>
    <row r="18" spans="1:5" ht="30" customHeight="1" x14ac:dyDescent="0.2">
      <c r="A18" s="189" t="s">
        <v>213</v>
      </c>
      <c r="B18" s="193">
        <v>215</v>
      </c>
      <c r="C18" s="225" t="s">
        <v>1505</v>
      </c>
      <c r="D18" s="91" t="s">
        <v>410</v>
      </c>
      <c r="E18" s="100">
        <v>4000000</v>
      </c>
    </row>
    <row r="19" spans="1:5" x14ac:dyDescent="0.2">
      <c r="A19" s="1201"/>
      <c r="B19" s="1201"/>
      <c r="C19" s="1201"/>
      <c r="D19" s="1201"/>
      <c r="E19" s="1202"/>
    </row>
    <row r="20" spans="1:5" ht="23.25" customHeight="1" x14ac:dyDescent="0.2">
      <c r="A20" s="1203" t="s">
        <v>583</v>
      </c>
      <c r="B20" s="1203"/>
      <c r="C20" s="1203"/>
      <c r="D20" s="1203"/>
      <c r="E20" s="920">
        <f>E7</f>
        <v>41000000</v>
      </c>
    </row>
  </sheetData>
  <mergeCells count="10">
    <mergeCell ref="A2:E2"/>
    <mergeCell ref="A1:E1"/>
    <mergeCell ref="A4:A6"/>
    <mergeCell ref="A19:E19"/>
    <mergeCell ref="A20:D20"/>
    <mergeCell ref="B5:B6"/>
    <mergeCell ref="A7:D7"/>
    <mergeCell ref="C5:C6"/>
    <mergeCell ref="B4:D4"/>
    <mergeCell ref="E4:E6"/>
  </mergeCells>
  <phoneticPr fontId="4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&amp;C2021. évi költségvetés&amp;R&amp;A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view="pageBreakPreview" topLeftCell="A7" zoomScale="90" zoomScaleNormal="90" zoomScaleSheetLayoutView="90" workbookViewId="0">
      <selection activeCell="D16" sqref="D16"/>
    </sheetView>
  </sheetViews>
  <sheetFormatPr defaultRowHeight="12.75" x14ac:dyDescent="0.2"/>
  <cols>
    <col min="1" max="1" width="4.5703125" style="11" customWidth="1"/>
    <col min="2" max="2" width="5.42578125" style="11" customWidth="1"/>
    <col min="3" max="3" width="51.42578125" style="11" customWidth="1"/>
    <col min="4" max="4" width="21" style="11" customWidth="1"/>
    <col min="5" max="5" width="18.85546875" style="11" customWidth="1"/>
    <col min="6" max="6" width="14.5703125" style="11" customWidth="1"/>
    <col min="7" max="7" width="20" style="11" customWidth="1"/>
    <col min="8" max="8" width="9.140625" style="11"/>
    <col min="9" max="9" width="17" style="11" bestFit="1" customWidth="1"/>
    <col min="10" max="11" width="14.28515625" style="11" bestFit="1" customWidth="1"/>
    <col min="12" max="12" width="11.7109375" style="11" bestFit="1" customWidth="1"/>
    <col min="13" max="13" width="14.140625" style="11" bestFit="1" customWidth="1"/>
    <col min="14" max="14" width="12" style="11" bestFit="1" customWidth="1"/>
    <col min="15" max="16384" width="9.140625" style="11"/>
  </cols>
  <sheetData>
    <row r="1" spans="1:14" ht="27.75" customHeight="1" x14ac:dyDescent="0.2">
      <c r="A1" s="1211" t="s">
        <v>187</v>
      </c>
      <c r="B1" s="1211"/>
      <c r="C1" s="1211"/>
      <c r="D1" s="1211"/>
      <c r="E1" s="1211"/>
      <c r="F1" s="1211"/>
    </row>
    <row r="2" spans="1:14" ht="25.5" customHeight="1" x14ac:dyDescent="0.2">
      <c r="A2" s="1212" t="s">
        <v>1056</v>
      </c>
      <c r="B2" s="1212"/>
      <c r="C2" s="1212"/>
      <c r="D2" s="1212"/>
      <c r="E2" s="1212"/>
      <c r="F2" s="1212"/>
    </row>
    <row r="3" spans="1:14" ht="13.5" customHeight="1" x14ac:dyDescent="0.2">
      <c r="F3" s="150" t="s">
        <v>458</v>
      </c>
    </row>
    <row r="4" spans="1:14" ht="29.25" customHeight="1" x14ac:dyDescent="0.2">
      <c r="A4" s="1164" t="s">
        <v>380</v>
      </c>
      <c r="B4" s="1164" t="s">
        <v>777</v>
      </c>
      <c r="C4" s="1161" t="s">
        <v>2</v>
      </c>
      <c r="D4" s="1215" t="s">
        <v>823</v>
      </c>
      <c r="E4" s="1216"/>
      <c r="F4" s="1167" t="s">
        <v>11</v>
      </c>
    </row>
    <row r="5" spans="1:14" ht="27.75" customHeight="1" x14ac:dyDescent="0.2">
      <c r="A5" s="1213"/>
      <c r="B5" s="1213"/>
      <c r="C5" s="1214"/>
      <c r="D5" s="504" t="s">
        <v>289</v>
      </c>
      <c r="E5" s="44" t="s">
        <v>289</v>
      </c>
      <c r="F5" s="1167"/>
    </row>
    <row r="6" spans="1:14" ht="27.75" customHeight="1" x14ac:dyDescent="0.2">
      <c r="A6" s="1165"/>
      <c r="B6" s="1165"/>
      <c r="C6" s="1162"/>
      <c r="D6" s="493" t="s">
        <v>92</v>
      </c>
      <c r="E6" s="303" t="s">
        <v>93</v>
      </c>
      <c r="F6" s="1167"/>
      <c r="G6" s="153" t="s">
        <v>126</v>
      </c>
    </row>
    <row r="7" spans="1:14" ht="32.25" customHeight="1" x14ac:dyDescent="0.2">
      <c r="A7" s="74" t="s">
        <v>203</v>
      </c>
      <c r="B7" s="228" t="s">
        <v>565</v>
      </c>
      <c r="C7" s="111" t="s">
        <v>94</v>
      </c>
      <c r="D7" s="112">
        <f>+'2.1. sz. PMH'!D42</f>
        <v>767022100</v>
      </c>
      <c r="E7" s="112">
        <f>+'2.1. sz. PMH'!D43</f>
        <v>31860300</v>
      </c>
      <c r="F7" s="115" t="s">
        <v>237</v>
      </c>
      <c r="G7" s="154">
        <f t="shared" ref="G7:G16" si="0">D7+E7</f>
        <v>798882400</v>
      </c>
      <c r="I7" s="300">
        <v>550468645</v>
      </c>
      <c r="J7" s="11">
        <v>9866400</v>
      </c>
      <c r="K7" s="16">
        <f t="shared" ref="K7:K15" si="1">+D7-I7</f>
        <v>216553455</v>
      </c>
      <c r="L7" s="16">
        <f t="shared" ref="L7:L15" si="2">+E7-J7</f>
        <v>21993900</v>
      </c>
      <c r="M7" s="450">
        <f>SUM(K7:L7)</f>
        <v>238547355</v>
      </c>
    </row>
    <row r="8" spans="1:14" ht="32.25" customHeight="1" x14ac:dyDescent="0.2">
      <c r="A8" s="75" t="s">
        <v>204</v>
      </c>
      <c r="B8" s="229" t="s">
        <v>565</v>
      </c>
      <c r="C8" s="109" t="s">
        <v>23</v>
      </c>
      <c r="D8" s="113">
        <f>+'2.4. sz. Bölcsőde'!D42</f>
        <v>349885333</v>
      </c>
      <c r="E8" s="113">
        <f>+'2.4. sz. Bölcsőde'!D43</f>
        <v>1587500</v>
      </c>
      <c r="F8" s="116" t="s">
        <v>237</v>
      </c>
      <c r="G8" s="154">
        <f t="shared" si="0"/>
        <v>351472833</v>
      </c>
      <c r="I8" s="300">
        <v>261191032</v>
      </c>
      <c r="J8" s="11">
        <v>1905000</v>
      </c>
      <c r="K8" s="16">
        <f t="shared" si="1"/>
        <v>88694301</v>
      </c>
      <c r="L8" s="16">
        <f t="shared" si="2"/>
        <v>-317500</v>
      </c>
      <c r="M8" s="450">
        <f t="shared" ref="M8:M15" si="3">SUM(K8:L8)</f>
        <v>88376801</v>
      </c>
    </row>
    <row r="9" spans="1:14" ht="32.25" customHeight="1" x14ac:dyDescent="0.2">
      <c r="A9" s="75" t="s">
        <v>205</v>
      </c>
      <c r="B9" s="229" t="s">
        <v>565</v>
      </c>
      <c r="C9" s="109" t="s">
        <v>95</v>
      </c>
      <c r="D9" s="113">
        <f>+'2.3. sz. Mese Óvoda'!D42</f>
        <v>428270076</v>
      </c>
      <c r="E9" s="113">
        <f>+'2.3. sz. Mese Óvoda'!D43</f>
        <v>633400</v>
      </c>
      <c r="F9" s="116" t="s">
        <v>237</v>
      </c>
      <c r="G9" s="154">
        <f t="shared" si="0"/>
        <v>428903476</v>
      </c>
      <c r="I9" s="300">
        <v>376932032</v>
      </c>
      <c r="J9" s="11">
        <v>1200000</v>
      </c>
      <c r="K9" s="16">
        <f t="shared" si="1"/>
        <v>51338044</v>
      </c>
      <c r="L9" s="16">
        <f t="shared" si="2"/>
        <v>-566600</v>
      </c>
      <c r="M9" s="450">
        <f t="shared" si="3"/>
        <v>50771444</v>
      </c>
    </row>
    <row r="10" spans="1:14" ht="32.25" customHeight="1" x14ac:dyDescent="0.2">
      <c r="A10" s="75" t="s">
        <v>206</v>
      </c>
      <c r="B10" s="229" t="s">
        <v>565</v>
      </c>
      <c r="C10" s="109" t="s">
        <v>24</v>
      </c>
      <c r="D10" s="113">
        <f>+'2.2. sz. Hétszínvirág Óvoda'!D42</f>
        <v>295985140</v>
      </c>
      <c r="E10" s="113">
        <f>+'2.2. sz. Hétszínvirág Óvoda'!D43</f>
        <v>444500</v>
      </c>
      <c r="F10" s="116" t="s">
        <v>237</v>
      </c>
      <c r="G10" s="154">
        <f t="shared" si="0"/>
        <v>296429640</v>
      </c>
      <c r="I10" s="300">
        <v>249214235</v>
      </c>
      <c r="J10" s="11">
        <v>500000</v>
      </c>
      <c r="K10" s="16">
        <f t="shared" si="1"/>
        <v>46770905</v>
      </c>
      <c r="L10" s="16">
        <f t="shared" si="2"/>
        <v>-55500</v>
      </c>
      <c r="M10" s="450">
        <f t="shared" si="3"/>
        <v>46715405</v>
      </c>
    </row>
    <row r="11" spans="1:14" ht="32.25" customHeight="1" x14ac:dyDescent="0.2">
      <c r="A11" s="75" t="s">
        <v>207</v>
      </c>
      <c r="B11" s="229" t="s">
        <v>565</v>
      </c>
      <c r="C11" s="109" t="s">
        <v>635</v>
      </c>
      <c r="D11" s="113">
        <f>+'2.9. sz. Szivárvány Ó.'!K42</f>
        <v>264735243</v>
      </c>
      <c r="E11" s="113">
        <f>+'2.9. sz. Szivárvány Ó.'!K43</f>
        <v>825500</v>
      </c>
      <c r="F11" s="116" t="s">
        <v>237</v>
      </c>
      <c r="G11" s="154">
        <f t="shared" si="0"/>
        <v>265560743</v>
      </c>
      <c r="I11" s="300">
        <v>212517839</v>
      </c>
      <c r="J11" s="11">
        <v>1524000</v>
      </c>
      <c r="K11" s="16">
        <f t="shared" si="1"/>
        <v>52217404</v>
      </c>
      <c r="L11" s="16">
        <f t="shared" si="2"/>
        <v>-698500</v>
      </c>
      <c r="M11" s="450">
        <f t="shared" si="3"/>
        <v>51518904</v>
      </c>
    </row>
    <row r="12" spans="1:14" ht="32.25" customHeight="1" x14ac:dyDescent="0.2">
      <c r="A12" s="75" t="s">
        <v>208</v>
      </c>
      <c r="B12" s="229" t="s">
        <v>565</v>
      </c>
      <c r="C12" s="109" t="s">
        <v>25</v>
      </c>
      <c r="D12" s="113">
        <f>+'2.6 sz. Területi'!W42</f>
        <v>613842029</v>
      </c>
      <c r="E12" s="113">
        <f>+'2.6 sz. Területi'!W43</f>
        <v>9921990</v>
      </c>
      <c r="F12" s="116" t="s">
        <v>237</v>
      </c>
      <c r="G12" s="154">
        <f t="shared" si="0"/>
        <v>623764019</v>
      </c>
      <c r="I12" s="300">
        <v>451635638</v>
      </c>
      <c r="J12" s="11">
        <v>44995400</v>
      </c>
      <c r="K12" s="16">
        <f t="shared" si="1"/>
        <v>162206391</v>
      </c>
      <c r="L12" s="16">
        <f t="shared" si="2"/>
        <v>-35073410</v>
      </c>
      <c r="M12" s="450">
        <f t="shared" si="3"/>
        <v>127132981</v>
      </c>
      <c r="N12" s="450">
        <f>+M12-5611106-500000</f>
        <v>121021875</v>
      </c>
    </row>
    <row r="13" spans="1:14" ht="32.25" customHeight="1" x14ac:dyDescent="0.2">
      <c r="A13" s="75" t="s">
        <v>209</v>
      </c>
      <c r="B13" s="229" t="s">
        <v>565</v>
      </c>
      <c r="C13" s="109" t="s">
        <v>650</v>
      </c>
      <c r="D13" s="113">
        <f>+'2.7. sz. Könyvtár'!D42</f>
        <v>67249018</v>
      </c>
      <c r="E13" s="113">
        <f>+'2.7. sz. Könyvtár'!D43</f>
        <v>4762500</v>
      </c>
      <c r="F13" s="116" t="s">
        <v>237</v>
      </c>
      <c r="G13" s="154">
        <f t="shared" si="0"/>
        <v>72011518</v>
      </c>
      <c r="I13" s="300">
        <v>43832055</v>
      </c>
      <c r="J13" s="11">
        <v>717500</v>
      </c>
      <c r="K13" s="16">
        <f t="shared" si="1"/>
        <v>23416963</v>
      </c>
      <c r="L13" s="16">
        <f t="shared" si="2"/>
        <v>4045000</v>
      </c>
      <c r="M13" s="450">
        <f t="shared" si="3"/>
        <v>27461963</v>
      </c>
    </row>
    <row r="14" spans="1:14" ht="32.25" customHeight="1" x14ac:dyDescent="0.2">
      <c r="A14" s="75" t="s">
        <v>210</v>
      </c>
      <c r="B14" s="229" t="s">
        <v>565</v>
      </c>
      <c r="C14" s="109" t="s">
        <v>636</v>
      </c>
      <c r="D14" s="234">
        <f>+'2.8. sz. Műv.Ház'!J42</f>
        <v>114310649</v>
      </c>
      <c r="E14" s="234">
        <f>+'2.8. sz. Műv.Ház'!J43</f>
        <v>3014400</v>
      </c>
      <c r="F14" s="116" t="s">
        <v>237</v>
      </c>
      <c r="G14" s="154">
        <f t="shared" si="0"/>
        <v>117325049</v>
      </c>
      <c r="I14" s="300">
        <v>76579711</v>
      </c>
      <c r="J14" s="11">
        <v>1127000</v>
      </c>
      <c r="K14" s="16">
        <f t="shared" si="1"/>
        <v>37730938</v>
      </c>
      <c r="L14" s="16">
        <f t="shared" si="2"/>
        <v>1887400</v>
      </c>
      <c r="M14" s="450">
        <f t="shared" si="3"/>
        <v>39618338</v>
      </c>
    </row>
    <row r="15" spans="1:14" ht="32.25" customHeight="1" x14ac:dyDescent="0.2">
      <c r="A15" s="75" t="s">
        <v>211</v>
      </c>
      <c r="B15" s="230" t="s">
        <v>565</v>
      </c>
      <c r="C15" s="110" t="s">
        <v>96</v>
      </c>
      <c r="D15" s="114">
        <f>+'2.5. sz. Gyermekjóléti'!D42</f>
        <v>88546741</v>
      </c>
      <c r="E15" s="114">
        <f>+'2.5. sz. Gyermekjóléti'!D43</f>
        <v>901700</v>
      </c>
      <c r="F15" s="14" t="s">
        <v>237</v>
      </c>
      <c r="G15" s="154">
        <f t="shared" si="0"/>
        <v>89448441</v>
      </c>
      <c r="I15" s="300">
        <v>71477558</v>
      </c>
      <c r="J15" s="11">
        <v>927000</v>
      </c>
      <c r="K15" s="16">
        <f t="shared" si="1"/>
        <v>17069183</v>
      </c>
      <c r="L15" s="16">
        <f t="shared" si="2"/>
        <v>-25300</v>
      </c>
      <c r="M15" s="450">
        <f t="shared" si="3"/>
        <v>17043883</v>
      </c>
    </row>
    <row r="16" spans="1:14" s="13" customFormat="1" ht="32.25" customHeight="1" x14ac:dyDescent="0.25">
      <c r="A16" s="1208" t="s">
        <v>97</v>
      </c>
      <c r="B16" s="1209"/>
      <c r="C16" s="1210"/>
      <c r="D16" s="117">
        <f>SUM(D7:D15)</f>
        <v>2989846329</v>
      </c>
      <c r="E16" s="117">
        <f>SUM(E7:E15)</f>
        <v>53951790</v>
      </c>
      <c r="F16" s="118"/>
      <c r="G16" s="155">
        <f t="shared" si="0"/>
        <v>3043798119</v>
      </c>
      <c r="I16" s="299">
        <f>SUM(I7:I15)</f>
        <v>2293848745</v>
      </c>
      <c r="J16" s="299">
        <f>SUM(J7:J15)</f>
        <v>62762300</v>
      </c>
      <c r="K16" s="299">
        <f>SUM(K7:K15)</f>
        <v>695997584</v>
      </c>
      <c r="L16" s="299">
        <f>SUM(L7:L15)</f>
        <v>-8810510</v>
      </c>
      <c r="M16" s="299">
        <f>SUM(M7:M15)</f>
        <v>687187074</v>
      </c>
    </row>
    <row r="17" spans="4:7" x14ac:dyDescent="0.2">
      <c r="G17" s="16"/>
    </row>
    <row r="19" spans="4:7" x14ac:dyDescent="0.2">
      <c r="E19" s="16">
        <f>+D16+E16</f>
        <v>3043798119</v>
      </c>
    </row>
    <row r="20" spans="4:7" x14ac:dyDescent="0.2">
      <c r="D20" s="11">
        <v>1726077</v>
      </c>
    </row>
    <row r="21" spans="4:7" x14ac:dyDescent="0.2">
      <c r="D21" s="16"/>
      <c r="E21" s="11">
        <f>+[2]Munka1!$D$94</f>
        <v>2351625349</v>
      </c>
    </row>
    <row r="22" spans="4:7" x14ac:dyDescent="0.2">
      <c r="E22" s="16">
        <f>+E19-E21</f>
        <v>692172770</v>
      </c>
    </row>
  </sheetData>
  <mergeCells count="8">
    <mergeCell ref="A16:C16"/>
    <mergeCell ref="A1:F1"/>
    <mergeCell ref="A2:F2"/>
    <mergeCell ref="F4:F6"/>
    <mergeCell ref="A4:A6"/>
    <mergeCell ref="B4:B6"/>
    <mergeCell ref="C4:C6"/>
    <mergeCell ref="D4:E4"/>
  </mergeCells>
  <phoneticPr fontId="4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&amp;C2021. évi költségvetés&amp;R&amp;A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0"/>
  <sheetViews>
    <sheetView view="pageBreakPreview" zoomScale="71" zoomScaleNormal="71" zoomScaleSheetLayoutView="71" workbookViewId="0">
      <pane xSplit="3" ySplit="7" topLeftCell="F32" activePane="bottomRight" state="frozen"/>
      <selection pane="topRight" activeCell="D1" sqref="D1"/>
      <selection pane="bottomLeft" activeCell="A8" sqref="A8"/>
      <selection pane="bottomRight" activeCell="A32" sqref="A32:IV32"/>
    </sheetView>
  </sheetViews>
  <sheetFormatPr defaultRowHeight="12.75" x14ac:dyDescent="0.2"/>
  <cols>
    <col min="1" max="1" width="5.85546875" style="24" customWidth="1"/>
    <col min="2" max="2" width="64.85546875" style="24" customWidth="1"/>
    <col min="3" max="3" width="7.140625" style="186" customWidth="1"/>
    <col min="4" max="4" width="18.28515625" style="25" customWidth="1"/>
    <col min="5" max="5" width="21.85546875" style="25" customWidth="1"/>
    <col min="6" max="6" width="17.28515625" style="25" customWidth="1"/>
    <col min="7" max="7" width="17.42578125" style="25" customWidth="1"/>
    <col min="8" max="8" width="19.7109375" style="25" customWidth="1"/>
    <col min="9" max="9" width="19.42578125" style="25" customWidth="1"/>
    <col min="10" max="10" width="18" style="25" customWidth="1"/>
    <col min="11" max="12" width="14.5703125" style="25" customWidth="1"/>
    <col min="13" max="13" width="20.85546875" style="25" customWidth="1"/>
    <col min="14" max="14" width="18.140625" style="25" customWidth="1"/>
    <col min="15" max="15" width="17.42578125" style="24" customWidth="1"/>
    <col min="16" max="16" width="18.5703125" style="24" customWidth="1"/>
    <col min="17" max="17" width="10.5703125" style="24" bestFit="1" customWidth="1"/>
    <col min="18" max="16384" width="9.140625" style="24"/>
  </cols>
  <sheetData>
    <row r="1" spans="1:16" ht="15.75" x14ac:dyDescent="0.25">
      <c r="A1" s="254"/>
      <c r="B1" s="254"/>
      <c r="C1" s="255"/>
      <c r="D1" s="256"/>
      <c r="E1" s="256"/>
      <c r="F1" s="256"/>
      <c r="G1" s="257" t="s">
        <v>458</v>
      </c>
      <c r="H1" s="257"/>
      <c r="I1" s="257"/>
      <c r="J1" s="257"/>
      <c r="K1" s="257" t="s">
        <v>458</v>
      </c>
      <c r="L1" s="257"/>
      <c r="M1" s="256"/>
      <c r="N1" s="257" t="s">
        <v>458</v>
      </c>
    </row>
    <row r="2" spans="1:16" ht="34.5" customHeight="1" x14ac:dyDescent="0.2">
      <c r="A2" s="1098" t="s">
        <v>144</v>
      </c>
      <c r="B2" s="1099"/>
      <c r="C2" s="1100"/>
      <c r="D2" s="1086" t="s">
        <v>1046</v>
      </c>
      <c r="E2" s="1086"/>
      <c r="F2" s="1086"/>
      <c r="G2" s="1086"/>
      <c r="H2" s="1086" t="s">
        <v>1046</v>
      </c>
      <c r="I2" s="1086"/>
      <c r="J2" s="1086"/>
      <c r="K2" s="1086"/>
      <c r="L2" s="1093" t="s">
        <v>1046</v>
      </c>
      <c r="M2" s="1094"/>
      <c r="N2" s="1095"/>
    </row>
    <row r="3" spans="1:16" s="27" customFormat="1" ht="123" customHeight="1" x14ac:dyDescent="0.2">
      <c r="A3" s="1097" t="s">
        <v>201</v>
      </c>
      <c r="B3" s="1096" t="s">
        <v>259</v>
      </c>
      <c r="C3" s="1096"/>
      <c r="D3" s="258" t="s">
        <v>526</v>
      </c>
      <c r="E3" s="259" t="s">
        <v>349</v>
      </c>
      <c r="F3" s="259" t="s">
        <v>350</v>
      </c>
      <c r="G3" s="259" t="s">
        <v>145</v>
      </c>
      <c r="H3" s="357" t="s">
        <v>661</v>
      </c>
      <c r="I3" s="357" t="s">
        <v>661</v>
      </c>
      <c r="J3" s="85" t="s">
        <v>515</v>
      </c>
      <c r="K3" s="259" t="s">
        <v>193</v>
      </c>
      <c r="L3" s="259" t="s">
        <v>1044</v>
      </c>
      <c r="M3" s="259" t="s">
        <v>349</v>
      </c>
      <c r="N3" s="1088" t="s">
        <v>146</v>
      </c>
    </row>
    <row r="4" spans="1:16" s="27" customFormat="1" ht="30.75" customHeight="1" x14ac:dyDescent="0.2">
      <c r="A4" s="1097"/>
      <c r="B4" s="1096" t="s">
        <v>11</v>
      </c>
      <c r="C4" s="1096"/>
      <c r="D4" s="258" t="s">
        <v>237</v>
      </c>
      <c r="E4" s="259" t="s">
        <v>237</v>
      </c>
      <c r="F4" s="259" t="s">
        <v>239</v>
      </c>
      <c r="G4" s="259" t="s">
        <v>239</v>
      </c>
      <c r="H4" s="357" t="s">
        <v>239</v>
      </c>
      <c r="I4" s="357" t="s">
        <v>239</v>
      </c>
      <c r="J4" s="357" t="s">
        <v>237</v>
      </c>
      <c r="K4" s="259" t="s">
        <v>239</v>
      </c>
      <c r="L4" s="259" t="s">
        <v>239</v>
      </c>
      <c r="M4" s="259" t="s">
        <v>237</v>
      </c>
      <c r="N4" s="1088"/>
    </row>
    <row r="5" spans="1:16" s="27" customFormat="1" ht="15.75" customHeight="1" x14ac:dyDescent="0.2">
      <c r="A5" s="1097"/>
      <c r="B5" s="1082" t="s">
        <v>776</v>
      </c>
      <c r="C5" s="1082"/>
      <c r="D5" s="1086" t="s">
        <v>424</v>
      </c>
      <c r="E5" s="1086" t="s">
        <v>425</v>
      </c>
      <c r="F5" s="1086" t="s">
        <v>426</v>
      </c>
      <c r="G5" s="1086" t="s">
        <v>427</v>
      </c>
      <c r="H5" s="1089" t="s">
        <v>852</v>
      </c>
      <c r="I5" s="1089" t="s">
        <v>851</v>
      </c>
      <c r="J5" s="1089" t="s">
        <v>916</v>
      </c>
      <c r="K5" s="1086" t="s">
        <v>428</v>
      </c>
      <c r="L5" s="1091" t="s">
        <v>1045</v>
      </c>
      <c r="M5" s="1087" t="s">
        <v>530</v>
      </c>
      <c r="N5" s="1088"/>
    </row>
    <row r="6" spans="1:16" ht="62.2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090"/>
      <c r="I6" s="1089"/>
      <c r="J6" s="1089"/>
      <c r="K6" s="1086"/>
      <c r="L6" s="1092"/>
      <c r="M6" s="1087"/>
      <c r="N6" s="1088"/>
      <c r="O6" s="161"/>
    </row>
    <row r="7" spans="1:16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  <c r="K7" s="595" t="s">
        <v>213</v>
      </c>
      <c r="L7" s="595"/>
      <c r="M7" s="595" t="s">
        <v>240</v>
      </c>
      <c r="N7" s="595" t="s">
        <v>241</v>
      </c>
    </row>
    <row r="8" spans="1:16" ht="21.75" customHeight="1" x14ac:dyDescent="0.25">
      <c r="A8" s="32" t="s">
        <v>203</v>
      </c>
      <c r="B8" s="29" t="s">
        <v>345</v>
      </c>
      <c r="C8" s="187" t="s">
        <v>214</v>
      </c>
      <c r="D8" s="261"/>
      <c r="E8" s="261">
        <f>+(383536300)+136285</f>
        <v>383672585</v>
      </c>
      <c r="F8" s="261">
        <v>65795988</v>
      </c>
      <c r="G8" s="261">
        <v>15480000</v>
      </c>
      <c r="H8" s="261"/>
      <c r="I8" s="261"/>
      <c r="J8" s="261">
        <v>81829400</v>
      </c>
      <c r="K8" s="261"/>
      <c r="L8" s="261"/>
      <c r="M8" s="261"/>
      <c r="N8" s="261">
        <f>D8+E8+F8+G8+K8+M8+H8+I8+J8+L8</f>
        <v>546777973</v>
      </c>
      <c r="O8" s="120"/>
      <c r="P8" s="120"/>
    </row>
    <row r="9" spans="1:16" ht="21.75" customHeight="1" x14ac:dyDescent="0.25">
      <c r="A9" s="32" t="s">
        <v>204</v>
      </c>
      <c r="B9" s="34" t="s">
        <v>215</v>
      </c>
      <c r="C9" s="187" t="s">
        <v>216</v>
      </c>
      <c r="D9" s="261"/>
      <c r="E9" s="261">
        <f>62714727+5930000</f>
        <v>68644727</v>
      </c>
      <c r="F9" s="261">
        <v>10956078</v>
      </c>
      <c r="G9" s="261">
        <v>2467400</v>
      </c>
      <c r="H9" s="261"/>
      <c r="I9" s="261"/>
      <c r="J9" s="261">
        <v>13159557</v>
      </c>
      <c r="K9" s="261"/>
      <c r="L9" s="261"/>
      <c r="M9" s="261"/>
      <c r="N9" s="261">
        <f t="shared" ref="N9:N50" si="0">D9+E9+F9+G9+K9+M9+H9+I9+J9+L9</f>
        <v>95227762</v>
      </c>
      <c r="P9" s="120"/>
    </row>
    <row r="10" spans="1:16" s="352" customFormat="1" ht="21.75" customHeight="1" x14ac:dyDescent="0.25">
      <c r="A10" s="349" t="s">
        <v>205</v>
      </c>
      <c r="B10" s="350" t="s">
        <v>346</v>
      </c>
      <c r="C10" s="351" t="s">
        <v>217</v>
      </c>
      <c r="D10" s="263">
        <v>13800</v>
      </c>
      <c r="E10" s="263">
        <f>90300500+2285783</f>
        <v>92586283</v>
      </c>
      <c r="F10" s="263">
        <f>16026700+2045325</f>
        <v>18072025</v>
      </c>
      <c r="G10" s="263">
        <f>5550450+89412</f>
        <v>5639862</v>
      </c>
      <c r="H10" s="263"/>
      <c r="I10" s="263"/>
      <c r="J10" s="263">
        <f>16275000+412645</f>
        <v>16687645</v>
      </c>
      <c r="K10" s="263"/>
      <c r="L10" s="263"/>
      <c r="M10" s="263">
        <f>2286000+235712</f>
        <v>2521712</v>
      </c>
      <c r="N10" s="261">
        <f t="shared" si="0"/>
        <v>135521327</v>
      </c>
      <c r="P10" s="353"/>
    </row>
    <row r="11" spans="1:16" ht="21.75" customHeight="1" x14ac:dyDescent="0.25">
      <c r="A11" s="32" t="s">
        <v>206</v>
      </c>
      <c r="B11" s="35" t="s">
        <v>347</v>
      </c>
      <c r="C11" s="187" t="s">
        <v>218</v>
      </c>
      <c r="D11" s="261"/>
      <c r="E11" s="261"/>
      <c r="F11" s="261"/>
      <c r="G11" s="261"/>
      <c r="H11" s="261"/>
      <c r="I11" s="261"/>
      <c r="J11" s="263"/>
      <c r="K11" s="261"/>
      <c r="L11" s="261"/>
      <c r="M11" s="261"/>
      <c r="N11" s="261">
        <f t="shared" si="0"/>
        <v>0</v>
      </c>
      <c r="P11" s="120"/>
    </row>
    <row r="12" spans="1:16" ht="21.75" customHeight="1" x14ac:dyDescent="0.25">
      <c r="A12" s="32" t="s">
        <v>207</v>
      </c>
      <c r="B12" s="35" t="s">
        <v>249</v>
      </c>
      <c r="C12" s="187" t="s">
        <v>219</v>
      </c>
      <c r="D12" s="261">
        <f>SUM(D13:D15)</f>
        <v>0</v>
      </c>
      <c r="E12" s="261">
        <f t="shared" ref="E12:M12" si="1">SUM(E13:E15)</f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>
        <f t="shared" si="1"/>
        <v>0</v>
      </c>
      <c r="J12" s="263">
        <f t="shared" si="1"/>
        <v>0</v>
      </c>
      <c r="K12" s="261">
        <f t="shared" si="1"/>
        <v>0</v>
      </c>
      <c r="L12" s="261"/>
      <c r="M12" s="261">
        <f t="shared" si="1"/>
        <v>0</v>
      </c>
      <c r="N12" s="261">
        <f t="shared" si="0"/>
        <v>0</v>
      </c>
    </row>
    <row r="13" spans="1:16" ht="21.75" customHeight="1" x14ac:dyDescent="0.25">
      <c r="A13" s="32" t="s">
        <v>208</v>
      </c>
      <c r="B13" s="36" t="s">
        <v>604</v>
      </c>
      <c r="C13" s="187"/>
      <c r="D13" s="261"/>
      <c r="E13" s="261"/>
      <c r="F13" s="261"/>
      <c r="G13" s="261"/>
      <c r="H13" s="261"/>
      <c r="I13" s="261"/>
      <c r="J13" s="263"/>
      <c r="K13" s="261"/>
      <c r="L13" s="261"/>
      <c r="M13" s="261"/>
      <c r="N13" s="261">
        <f t="shared" si="0"/>
        <v>0</v>
      </c>
    </row>
    <row r="14" spans="1:16" ht="21.75" customHeight="1" x14ac:dyDescent="0.25">
      <c r="A14" s="32" t="s">
        <v>209</v>
      </c>
      <c r="B14" s="36" t="s">
        <v>606</v>
      </c>
      <c r="C14" s="188"/>
      <c r="D14" s="261"/>
      <c r="E14" s="261"/>
      <c r="F14" s="261"/>
      <c r="G14" s="261"/>
      <c r="H14" s="261"/>
      <c r="I14" s="261"/>
      <c r="J14" s="263"/>
      <c r="K14" s="261"/>
      <c r="L14" s="261"/>
      <c r="M14" s="261"/>
      <c r="N14" s="261">
        <f t="shared" si="0"/>
        <v>0</v>
      </c>
    </row>
    <row r="15" spans="1:16" ht="21.75" customHeight="1" x14ac:dyDescent="0.25">
      <c r="A15" s="32" t="s">
        <v>210</v>
      </c>
      <c r="B15" s="130" t="s">
        <v>605</v>
      </c>
      <c r="C15" s="188"/>
      <c r="D15" s="261"/>
      <c r="E15" s="261"/>
      <c r="F15" s="261"/>
      <c r="G15" s="261"/>
      <c r="H15" s="261"/>
      <c r="I15" s="261"/>
      <c r="J15" s="263"/>
      <c r="K15" s="261"/>
      <c r="L15" s="261"/>
      <c r="M15" s="261"/>
      <c r="N15" s="261">
        <f t="shared" si="0"/>
        <v>0</v>
      </c>
    </row>
    <row r="16" spans="1:16" ht="21.75" customHeight="1" x14ac:dyDescent="0.25">
      <c r="A16" s="32" t="s">
        <v>211</v>
      </c>
      <c r="B16" s="38" t="s">
        <v>256</v>
      </c>
      <c r="C16" s="187" t="s">
        <v>220</v>
      </c>
      <c r="D16" s="261"/>
      <c r="E16" s="261">
        <f>+'6.sz. Beruházások'!E87</f>
        <v>16891000</v>
      </c>
      <c r="F16" s="261">
        <f>+'6.sz. Beruházások'!E88</f>
        <v>4953000</v>
      </c>
      <c r="G16" s="261">
        <f>+'6.sz. Beruházások'!E89</f>
        <v>1460500</v>
      </c>
      <c r="H16" s="261"/>
      <c r="I16" s="261"/>
      <c r="J16" s="263">
        <f>+'6.sz. Beruházások'!E90</f>
        <v>6731000</v>
      </c>
      <c r="K16" s="261"/>
      <c r="L16" s="261"/>
      <c r="M16" s="261"/>
      <c r="N16" s="261">
        <f t="shared" si="0"/>
        <v>30035500</v>
      </c>
    </row>
    <row r="17" spans="1:15" ht="21.75" customHeight="1" x14ac:dyDescent="0.25">
      <c r="A17" s="32" t="s">
        <v>212</v>
      </c>
      <c r="B17" s="35" t="s">
        <v>348</v>
      </c>
      <c r="C17" s="187" t="s">
        <v>221</v>
      </c>
      <c r="D17" s="261"/>
      <c r="E17" s="261"/>
      <c r="F17" s="261"/>
      <c r="G17" s="261"/>
      <c r="H17" s="261"/>
      <c r="I17" s="261"/>
      <c r="J17" s="263"/>
      <c r="K17" s="261"/>
      <c r="L17" s="261"/>
      <c r="M17" s="261"/>
      <c r="N17" s="261">
        <f t="shared" si="0"/>
        <v>0</v>
      </c>
    </row>
    <row r="18" spans="1:15" ht="21.75" customHeight="1" x14ac:dyDescent="0.25">
      <c r="A18" s="32" t="s">
        <v>213</v>
      </c>
      <c r="B18" s="35" t="s">
        <v>250</v>
      </c>
      <c r="C18" s="187" t="s">
        <v>222</v>
      </c>
      <c r="D18" s="261">
        <f>D19</f>
        <v>0</v>
      </c>
      <c r="E18" s="261">
        <f t="shared" ref="E18:M18" si="2">E19</f>
        <v>6000000</v>
      </c>
      <c r="F18" s="261">
        <f t="shared" si="2"/>
        <v>0</v>
      </c>
      <c r="G18" s="261">
        <f t="shared" si="2"/>
        <v>0</v>
      </c>
      <c r="H18" s="261">
        <f t="shared" si="2"/>
        <v>0</v>
      </c>
      <c r="I18" s="261">
        <f t="shared" si="2"/>
        <v>0</v>
      </c>
      <c r="J18" s="261">
        <f t="shared" si="2"/>
        <v>0</v>
      </c>
      <c r="K18" s="261">
        <f t="shared" si="2"/>
        <v>0</v>
      </c>
      <c r="L18" s="261"/>
      <c r="M18" s="261">
        <f t="shared" si="2"/>
        <v>0</v>
      </c>
      <c r="N18" s="261">
        <f t="shared" si="0"/>
        <v>6000000</v>
      </c>
    </row>
    <row r="19" spans="1:15" ht="21.75" customHeight="1" x14ac:dyDescent="0.25">
      <c r="A19" s="32" t="s">
        <v>240</v>
      </c>
      <c r="B19" s="36" t="s">
        <v>607</v>
      </c>
      <c r="C19" s="187"/>
      <c r="D19" s="261"/>
      <c r="E19" s="261">
        <f>+'4.sz.Felhalm.c.pe.átadás'!I14</f>
        <v>6000000</v>
      </c>
      <c r="F19" s="261"/>
      <c r="G19" s="261"/>
      <c r="H19" s="261"/>
      <c r="I19" s="261"/>
      <c r="J19" s="261"/>
      <c r="K19" s="261"/>
      <c r="L19" s="261"/>
      <c r="M19" s="261"/>
      <c r="N19" s="261">
        <f t="shared" si="0"/>
        <v>6000000</v>
      </c>
    </row>
    <row r="20" spans="1:15" s="43" customFormat="1" ht="21.75" customHeight="1" x14ac:dyDescent="0.25">
      <c r="A20" s="32" t="s">
        <v>241</v>
      </c>
      <c r="B20" s="38" t="s">
        <v>251</v>
      </c>
      <c r="C20" s="187" t="s">
        <v>223</v>
      </c>
      <c r="D20" s="262">
        <f>+D8+D9+D10+D11+D12+D16+D17+D18</f>
        <v>13800</v>
      </c>
      <c r="E20" s="262">
        <f t="shared" ref="E20:M20" si="3">+E8+E9+E10+E11+E12+E16+E17+E18</f>
        <v>567794595</v>
      </c>
      <c r="F20" s="262">
        <f t="shared" si="3"/>
        <v>99777091</v>
      </c>
      <c r="G20" s="262">
        <f t="shared" si="3"/>
        <v>25047762</v>
      </c>
      <c r="H20" s="262">
        <f>+H8+H9+H10+H11+H12+H16+H17+H18</f>
        <v>0</v>
      </c>
      <c r="I20" s="262">
        <f>+I8+I9+I10+I11+I12+I16+I17+I18</f>
        <v>0</v>
      </c>
      <c r="J20" s="262">
        <f>+J8+J9+J10+J11+J12+J16+J17+J18</f>
        <v>118407602</v>
      </c>
      <c r="K20" s="262">
        <f t="shared" si="3"/>
        <v>0</v>
      </c>
      <c r="L20" s="262"/>
      <c r="M20" s="262">
        <f t="shared" si="3"/>
        <v>2521712</v>
      </c>
      <c r="N20" s="262">
        <f t="shared" si="0"/>
        <v>813562562</v>
      </c>
      <c r="O20" s="122"/>
    </row>
    <row r="21" spans="1:15" ht="21.75" customHeight="1" x14ac:dyDescent="0.25">
      <c r="A21" s="32" t="s">
        <v>242</v>
      </c>
      <c r="B21" s="38" t="s">
        <v>236</v>
      </c>
      <c r="C21" s="187" t="s">
        <v>232</v>
      </c>
      <c r="D21" s="261">
        <f>SUM(D22:D25)</f>
        <v>0</v>
      </c>
      <c r="E21" s="261">
        <f t="shared" ref="E21:M21" si="4">SUM(E22:E25)</f>
        <v>0</v>
      </c>
      <c r="F21" s="261">
        <f t="shared" si="4"/>
        <v>0</v>
      </c>
      <c r="G21" s="261">
        <f t="shared" si="4"/>
        <v>0</v>
      </c>
      <c r="H21" s="261">
        <f>SUM(H22:H25)</f>
        <v>0</v>
      </c>
      <c r="I21" s="261">
        <f>SUM(I22:I25)</f>
        <v>0</v>
      </c>
      <c r="J21" s="261">
        <f>SUM(J22:J25)</f>
        <v>0</v>
      </c>
      <c r="K21" s="261">
        <f t="shared" si="4"/>
        <v>0</v>
      </c>
      <c r="L21" s="261"/>
      <c r="M21" s="261">
        <f t="shared" si="4"/>
        <v>0</v>
      </c>
      <c r="N21" s="261">
        <f t="shared" si="0"/>
        <v>0</v>
      </c>
    </row>
    <row r="22" spans="1:15" ht="21.75" customHeight="1" x14ac:dyDescent="0.25">
      <c r="A22" s="32" t="s">
        <v>243</v>
      </c>
      <c r="B22" s="132" t="s">
        <v>191</v>
      </c>
      <c r="C22" s="188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>
        <f t="shared" si="0"/>
        <v>0</v>
      </c>
    </row>
    <row r="23" spans="1:15" ht="21.75" customHeight="1" x14ac:dyDescent="0.25">
      <c r="A23" s="32" t="s">
        <v>244</v>
      </c>
      <c r="B23" s="39" t="s">
        <v>585</v>
      </c>
      <c r="C23" s="188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>
        <f t="shared" si="0"/>
        <v>0</v>
      </c>
    </row>
    <row r="24" spans="1:15" ht="21.75" customHeight="1" x14ac:dyDescent="0.25">
      <c r="A24" s="32" t="s">
        <v>245</v>
      </c>
      <c r="B24" s="39" t="s">
        <v>586</v>
      </c>
      <c r="C24" s="188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>
        <f t="shared" si="0"/>
        <v>0</v>
      </c>
    </row>
    <row r="25" spans="1:15" ht="21.75" customHeight="1" x14ac:dyDescent="0.25">
      <c r="A25" s="32" t="s">
        <v>246</v>
      </c>
      <c r="B25" s="39" t="s">
        <v>134</v>
      </c>
      <c r="C25" s="188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>
        <f t="shared" si="0"/>
        <v>0</v>
      </c>
    </row>
    <row r="26" spans="1:15" ht="21.75" customHeight="1" x14ac:dyDescent="0.25">
      <c r="A26" s="32" t="s">
        <v>247</v>
      </c>
      <c r="B26" s="338" t="s">
        <v>889</v>
      </c>
      <c r="C26" s="188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>
        <f t="shared" si="0"/>
        <v>0</v>
      </c>
    </row>
    <row r="27" spans="1:15" s="41" customFormat="1" ht="21.75" customHeight="1" x14ac:dyDescent="0.25">
      <c r="A27" s="32" t="s">
        <v>248</v>
      </c>
      <c r="B27" s="40" t="s">
        <v>32</v>
      </c>
      <c r="C27" s="187"/>
      <c r="D27" s="262">
        <f>+D8+D9+D10+D11+D12+D22+D23+D15</f>
        <v>13800</v>
      </c>
      <c r="E27" s="262">
        <f t="shared" ref="E27:M27" si="5">+E8+E9+E10+E11+E12+E22+E23+E15</f>
        <v>544903595</v>
      </c>
      <c r="F27" s="262">
        <f t="shared" si="5"/>
        <v>94824091</v>
      </c>
      <c r="G27" s="262">
        <f t="shared" si="5"/>
        <v>23587262</v>
      </c>
      <c r="H27" s="262">
        <f>+H8+H9+H10+H11+H12+H22+H23+H15</f>
        <v>0</v>
      </c>
      <c r="I27" s="262">
        <f>+I8+I9+I10+I11+I12+I22+I23+I15</f>
        <v>0</v>
      </c>
      <c r="J27" s="262">
        <f>+J8+J9+J10+J11+J12+J22+J23+J15</f>
        <v>111676602</v>
      </c>
      <c r="K27" s="262">
        <f t="shared" si="5"/>
        <v>0</v>
      </c>
      <c r="L27" s="262"/>
      <c r="M27" s="262">
        <f t="shared" si="5"/>
        <v>2521712</v>
      </c>
      <c r="N27" s="262">
        <f t="shared" si="0"/>
        <v>777527062</v>
      </c>
    </row>
    <row r="28" spans="1:15" s="41" customFormat="1" ht="21.75" customHeight="1" x14ac:dyDescent="0.25">
      <c r="A28" s="32" t="s">
        <v>276</v>
      </c>
      <c r="B28" s="40" t="s">
        <v>33</v>
      </c>
      <c r="C28" s="187"/>
      <c r="D28" s="262">
        <f>+D16+D17+D18+D24+D25</f>
        <v>0</v>
      </c>
      <c r="E28" s="262">
        <f t="shared" ref="E28:M28" si="6">+E16+E17+E18+E24+E25</f>
        <v>22891000</v>
      </c>
      <c r="F28" s="262">
        <f t="shared" si="6"/>
        <v>4953000</v>
      </c>
      <c r="G28" s="262">
        <f t="shared" si="6"/>
        <v>1460500</v>
      </c>
      <c r="H28" s="262">
        <f>+H16+H17+H18+H24+H25</f>
        <v>0</v>
      </c>
      <c r="I28" s="262">
        <f>+I16+I17+I18+I24+I25</f>
        <v>0</v>
      </c>
      <c r="J28" s="262">
        <f>+J16+J17+J18+J24+J25</f>
        <v>6731000</v>
      </c>
      <c r="K28" s="262">
        <f t="shared" si="6"/>
        <v>0</v>
      </c>
      <c r="L28" s="262"/>
      <c r="M28" s="262">
        <f t="shared" si="6"/>
        <v>0</v>
      </c>
      <c r="N28" s="262">
        <f t="shared" si="0"/>
        <v>36035500</v>
      </c>
      <c r="O28" s="301"/>
    </row>
    <row r="29" spans="1:15" s="41" customFormat="1" ht="21.75" customHeight="1" x14ac:dyDescent="0.25">
      <c r="A29" s="32" t="s">
        <v>277</v>
      </c>
      <c r="B29" s="40" t="s">
        <v>343</v>
      </c>
      <c r="C29" s="187" t="s">
        <v>31</v>
      </c>
      <c r="D29" s="262">
        <f>SUM(D27:D28)</f>
        <v>13800</v>
      </c>
      <c r="E29" s="262">
        <f t="shared" ref="E29:M29" si="7">SUM(E27:E28)</f>
        <v>567794595</v>
      </c>
      <c r="F29" s="262">
        <f t="shared" si="7"/>
        <v>99777091</v>
      </c>
      <c r="G29" s="262">
        <f t="shared" si="7"/>
        <v>25047762</v>
      </c>
      <c r="H29" s="262">
        <f>SUM(H27:H28)</f>
        <v>0</v>
      </c>
      <c r="I29" s="262">
        <f>SUM(I27:I28)</f>
        <v>0</v>
      </c>
      <c r="J29" s="262">
        <f>SUM(J27:J28)</f>
        <v>118407602</v>
      </c>
      <c r="K29" s="262">
        <f t="shared" si="7"/>
        <v>0</v>
      </c>
      <c r="L29" s="262"/>
      <c r="M29" s="262">
        <f t="shared" si="7"/>
        <v>2521712</v>
      </c>
      <c r="N29" s="262">
        <f t="shared" si="0"/>
        <v>813562562</v>
      </c>
    </row>
    <row r="30" spans="1:15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>
        <f t="shared" si="0"/>
        <v>0</v>
      </c>
    </row>
    <row r="31" spans="1:15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>
        <f t="shared" si="0"/>
        <v>0</v>
      </c>
    </row>
    <row r="32" spans="1:15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3">
        <v>3000000</v>
      </c>
      <c r="H32" s="263"/>
      <c r="I32" s="263"/>
      <c r="J32" s="263"/>
      <c r="K32" s="261"/>
      <c r="L32" s="261"/>
      <c r="M32" s="261"/>
      <c r="N32" s="261">
        <f t="shared" si="0"/>
        <v>3000000</v>
      </c>
    </row>
    <row r="33" spans="1:16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1"/>
      <c r="F33" s="261"/>
      <c r="G33" s="261"/>
      <c r="H33" s="261"/>
      <c r="I33" s="261"/>
      <c r="J33" s="261"/>
      <c r="K33" s="261">
        <v>13800</v>
      </c>
      <c r="L33" s="261"/>
      <c r="M33" s="261">
        <v>2286000</v>
      </c>
      <c r="N33" s="261">
        <f t="shared" si="0"/>
        <v>2299800</v>
      </c>
    </row>
    <row r="34" spans="1:16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>
        <f t="shared" si="0"/>
        <v>0</v>
      </c>
      <c r="O34" s="120"/>
    </row>
    <row r="35" spans="1:16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>
        <f t="shared" si="0"/>
        <v>0</v>
      </c>
    </row>
    <row r="36" spans="1:16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3">
        <v>4175200</v>
      </c>
      <c r="F36" s="261"/>
      <c r="G36" s="261"/>
      <c r="H36" s="261"/>
      <c r="I36" s="261"/>
      <c r="J36" s="261"/>
      <c r="K36" s="261"/>
      <c r="L36" s="261"/>
      <c r="M36" s="261"/>
      <c r="N36" s="261">
        <f t="shared" si="0"/>
        <v>4175200</v>
      </c>
    </row>
    <row r="37" spans="1:16" s="173" customFormat="1" ht="21.75" customHeight="1" x14ac:dyDescent="0.25">
      <c r="A37" s="32" t="s">
        <v>285</v>
      </c>
      <c r="B37" s="35" t="s">
        <v>254</v>
      </c>
      <c r="C37" s="38" t="s">
        <v>231</v>
      </c>
      <c r="D37" s="261">
        <f>+D30+D31+D32+D33+D34+D35+D36</f>
        <v>0</v>
      </c>
      <c r="E37" s="261">
        <f t="shared" ref="E37:M37" si="8">+E30+E31+E32+E33+E34+E35+E36</f>
        <v>4175200</v>
      </c>
      <c r="F37" s="261">
        <f t="shared" si="8"/>
        <v>0</v>
      </c>
      <c r="G37" s="261">
        <f t="shared" si="8"/>
        <v>3000000</v>
      </c>
      <c r="H37" s="261">
        <f>+H30+H31+H32+H33+H34+H35+H36</f>
        <v>0</v>
      </c>
      <c r="I37" s="261">
        <f>+I30+I31+I32+I33+I34+I35+I36</f>
        <v>0</v>
      </c>
      <c r="J37" s="261">
        <f>+J30+J31+J32+J33+J34+J35+J36</f>
        <v>0</v>
      </c>
      <c r="K37" s="261">
        <f t="shared" si="8"/>
        <v>13800</v>
      </c>
      <c r="L37" s="261"/>
      <c r="M37" s="261">
        <f t="shared" si="8"/>
        <v>2286000</v>
      </c>
      <c r="N37" s="261">
        <f t="shared" si="0"/>
        <v>9475000</v>
      </c>
      <c r="O37" s="172"/>
    </row>
    <row r="38" spans="1:16" ht="21.75" customHeight="1" x14ac:dyDescent="0.25">
      <c r="A38" s="32" t="s">
        <v>286</v>
      </c>
      <c r="B38" s="38" t="s">
        <v>255</v>
      </c>
      <c r="C38" s="187" t="s">
        <v>233</v>
      </c>
      <c r="D38" s="261">
        <f>SUM(D40:D44)</f>
        <v>804087562</v>
      </c>
      <c r="E38" s="261">
        <f t="shared" ref="E38:M38" si="9">SUM(E40:E44)</f>
        <v>0</v>
      </c>
      <c r="F38" s="261">
        <f t="shared" si="9"/>
        <v>0</v>
      </c>
      <c r="G38" s="261">
        <f t="shared" si="9"/>
        <v>0</v>
      </c>
      <c r="H38" s="261">
        <f>SUM(H40:H44)</f>
        <v>0</v>
      </c>
      <c r="I38" s="261">
        <f>SUM(I40:I44)</f>
        <v>0</v>
      </c>
      <c r="J38" s="261">
        <f>SUM(J40:J44)</f>
        <v>0</v>
      </c>
      <c r="K38" s="261">
        <f t="shared" si="9"/>
        <v>0</v>
      </c>
      <c r="L38" s="261"/>
      <c r="M38" s="261">
        <f t="shared" si="9"/>
        <v>0</v>
      </c>
      <c r="N38" s="261">
        <f t="shared" si="0"/>
        <v>804087562</v>
      </c>
      <c r="O38" s="120"/>
      <c r="P38" s="120"/>
    </row>
    <row r="39" spans="1:16" ht="21.75" customHeight="1" x14ac:dyDescent="0.25">
      <c r="A39" s="32" t="s">
        <v>287</v>
      </c>
      <c r="B39" s="132" t="s">
        <v>598</v>
      </c>
      <c r="C39" s="187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>
        <f t="shared" si="0"/>
        <v>0</v>
      </c>
      <c r="O39" s="120"/>
    </row>
    <row r="40" spans="1:16" ht="21.75" customHeight="1" x14ac:dyDescent="0.25">
      <c r="A40" s="32" t="s">
        <v>288</v>
      </c>
      <c r="B40" s="39" t="s">
        <v>932</v>
      </c>
      <c r="C40" s="188"/>
      <c r="D40" s="261">
        <v>5205162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>
        <f t="shared" si="0"/>
        <v>5205162</v>
      </c>
    </row>
    <row r="41" spans="1:16" ht="21.75" customHeight="1" x14ac:dyDescent="0.25">
      <c r="A41" s="32" t="s">
        <v>292</v>
      </c>
      <c r="B41" s="39" t="s">
        <v>933</v>
      </c>
      <c r="C41" s="188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>
        <f t="shared" si="0"/>
        <v>0</v>
      </c>
    </row>
    <row r="42" spans="1:16" ht="21.75" customHeight="1" x14ac:dyDescent="0.25">
      <c r="A42" s="32" t="s">
        <v>293</v>
      </c>
      <c r="B42" s="39" t="s">
        <v>570</v>
      </c>
      <c r="C42" s="188"/>
      <c r="D42" s="261">
        <f>N27-N30-N32-N33-N35-N40</f>
        <v>767022100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>
        <f t="shared" si="0"/>
        <v>767022100</v>
      </c>
    </row>
    <row r="43" spans="1:16" ht="21.75" customHeight="1" x14ac:dyDescent="0.25">
      <c r="A43" s="32" t="s">
        <v>294</v>
      </c>
      <c r="B43" s="39" t="s">
        <v>571</v>
      </c>
      <c r="C43" s="188"/>
      <c r="D43" s="261">
        <f>N28-N31-N34-N36-N41</f>
        <v>31860300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>
        <f t="shared" si="0"/>
        <v>31860300</v>
      </c>
    </row>
    <row r="44" spans="1:16" ht="21.75" customHeight="1" x14ac:dyDescent="0.25">
      <c r="A44" s="32" t="s">
        <v>295</v>
      </c>
      <c r="B44" s="39" t="s">
        <v>608</v>
      </c>
      <c r="C44" s="188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>
        <f t="shared" si="0"/>
        <v>0</v>
      </c>
    </row>
    <row r="45" spans="1:16" ht="21.75" customHeight="1" x14ac:dyDescent="0.25">
      <c r="A45" s="32" t="s">
        <v>296</v>
      </c>
      <c r="B45" s="338" t="s">
        <v>888</v>
      </c>
      <c r="C45" s="188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>
        <f t="shared" si="0"/>
        <v>0</v>
      </c>
    </row>
    <row r="46" spans="1:16" ht="21.75" customHeight="1" x14ac:dyDescent="0.25">
      <c r="A46" s="32" t="s">
        <v>297</v>
      </c>
      <c r="B46" s="40" t="s">
        <v>120</v>
      </c>
      <c r="C46" s="187"/>
      <c r="D46" s="262">
        <f>+D30+D32+D33+D35+D40+D42</f>
        <v>772227262</v>
      </c>
      <c r="E46" s="262">
        <f t="shared" ref="E46:M46" si="10">+E30+E32+E33+E35+E40+E42</f>
        <v>0</v>
      </c>
      <c r="F46" s="262">
        <f t="shared" si="10"/>
        <v>0</v>
      </c>
      <c r="G46" s="262">
        <f t="shared" si="10"/>
        <v>3000000</v>
      </c>
      <c r="H46" s="262">
        <f>+H30+H32+H33+H35+H40+H42</f>
        <v>0</v>
      </c>
      <c r="I46" s="262">
        <f>+I30+I32+I33+I35+I40+I42</f>
        <v>0</v>
      </c>
      <c r="J46" s="262">
        <f>+J30+J32+J33+J35+J40+J42</f>
        <v>0</v>
      </c>
      <c r="K46" s="262">
        <f t="shared" si="10"/>
        <v>13800</v>
      </c>
      <c r="L46" s="262"/>
      <c r="M46" s="262">
        <f t="shared" si="10"/>
        <v>2286000</v>
      </c>
      <c r="N46" s="262">
        <f t="shared" si="0"/>
        <v>777527062</v>
      </c>
      <c r="O46" s="120"/>
    </row>
    <row r="47" spans="1:16" ht="21.75" customHeight="1" x14ac:dyDescent="0.25">
      <c r="A47" s="32" t="s">
        <v>298</v>
      </c>
      <c r="B47" s="40" t="s">
        <v>121</v>
      </c>
      <c r="C47" s="187"/>
      <c r="D47" s="262">
        <f>+D31+D34+D36+D41+D428+D44+D43</f>
        <v>31860300</v>
      </c>
      <c r="E47" s="262">
        <f t="shared" ref="E47:M47" si="11">+E31+E34+E36+E41+E428+E44+E43</f>
        <v>4175200</v>
      </c>
      <c r="F47" s="262">
        <f t="shared" si="11"/>
        <v>0</v>
      </c>
      <c r="G47" s="262">
        <f t="shared" si="11"/>
        <v>0</v>
      </c>
      <c r="H47" s="262">
        <f>+H31+H34+H36+H41+H428+H44+H43</f>
        <v>0</v>
      </c>
      <c r="I47" s="262">
        <f>+I31+I34+I36+I41+I428+I44+I43</f>
        <v>0</v>
      </c>
      <c r="J47" s="262">
        <f>+J31+J34+J36+J41+J428+J44+J43</f>
        <v>0</v>
      </c>
      <c r="K47" s="262">
        <f t="shared" si="11"/>
        <v>0</v>
      </c>
      <c r="L47" s="262"/>
      <c r="M47" s="262">
        <f t="shared" si="11"/>
        <v>0</v>
      </c>
      <c r="N47" s="262">
        <f t="shared" si="0"/>
        <v>36035500</v>
      </c>
      <c r="O47" s="120"/>
    </row>
    <row r="48" spans="1:16" ht="21.75" customHeight="1" x14ac:dyDescent="0.25">
      <c r="A48" s="32" t="s">
        <v>299</v>
      </c>
      <c r="B48" s="40" t="s">
        <v>344</v>
      </c>
      <c r="C48" s="187"/>
      <c r="D48" s="262">
        <f>+D46+D47</f>
        <v>804087562</v>
      </c>
      <c r="E48" s="262">
        <f t="shared" ref="E48:M48" si="12">+E46+E47</f>
        <v>4175200</v>
      </c>
      <c r="F48" s="262">
        <f t="shared" si="12"/>
        <v>0</v>
      </c>
      <c r="G48" s="262">
        <f t="shared" si="12"/>
        <v>3000000</v>
      </c>
      <c r="H48" s="262">
        <f>+H46+H47</f>
        <v>0</v>
      </c>
      <c r="I48" s="262">
        <f>+I46+I47</f>
        <v>0</v>
      </c>
      <c r="J48" s="262">
        <f>+J46+J47</f>
        <v>0</v>
      </c>
      <c r="K48" s="262">
        <f t="shared" si="12"/>
        <v>13800</v>
      </c>
      <c r="L48" s="262"/>
      <c r="M48" s="262">
        <f t="shared" si="12"/>
        <v>2286000</v>
      </c>
      <c r="N48" s="262">
        <f t="shared" si="0"/>
        <v>813562562</v>
      </c>
      <c r="O48" s="120"/>
    </row>
    <row r="49" spans="1:16" ht="21.75" customHeight="1" x14ac:dyDescent="0.25">
      <c r="A49" s="32" t="s">
        <v>300</v>
      </c>
      <c r="B49" s="585" t="s">
        <v>465</v>
      </c>
      <c r="C49" s="264"/>
      <c r="D49" s="261"/>
      <c r="E49" s="261">
        <v>47</v>
      </c>
      <c r="F49" s="261">
        <v>8</v>
      </c>
      <c r="G49" s="261">
        <v>2</v>
      </c>
      <c r="H49" s="261"/>
      <c r="I49" s="261"/>
      <c r="J49" s="261">
        <v>14</v>
      </c>
      <c r="K49" s="261"/>
      <c r="L49" s="261"/>
      <c r="M49" s="261"/>
      <c r="N49" s="261">
        <f t="shared" si="0"/>
        <v>71</v>
      </c>
      <c r="P49" s="120">
        <f>N48-N29</f>
        <v>0</v>
      </c>
    </row>
    <row r="50" spans="1:16" ht="21.75" customHeight="1" x14ac:dyDescent="0.25">
      <c r="A50" s="32" t="s">
        <v>301</v>
      </c>
      <c r="B50" s="65" t="s">
        <v>1047</v>
      </c>
      <c r="C50" s="264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261">
        <f t="shared" si="0"/>
        <v>0</v>
      </c>
      <c r="P50" s="120"/>
    </row>
  </sheetData>
  <mergeCells count="19">
    <mergeCell ref="E5:E6"/>
    <mergeCell ref="J5:J6"/>
    <mergeCell ref="D2:G2"/>
    <mergeCell ref="B4:C4"/>
    <mergeCell ref="B5:C5"/>
    <mergeCell ref="A3:A6"/>
    <mergeCell ref="B3:C3"/>
    <mergeCell ref="A2:C2"/>
    <mergeCell ref="D5:D6"/>
    <mergeCell ref="F5:F6"/>
    <mergeCell ref="G5:G6"/>
    <mergeCell ref="H2:K2"/>
    <mergeCell ref="M5:M6"/>
    <mergeCell ref="N3:N6"/>
    <mergeCell ref="K5:K6"/>
    <mergeCell ref="I5:I6"/>
    <mergeCell ref="H5:H6"/>
    <mergeCell ref="L5:L6"/>
    <mergeCell ref="L2:N2"/>
  </mergeCells>
  <phoneticPr fontId="41" type="noConversion"/>
  <printOptions horizontalCentered="1" verticalCentered="1"/>
  <pageMargins left="0.39370078740157483" right="0.35433070866141736" top="0.19685039370078741" bottom="0.19685039370078741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2" manualBreakCount="2">
    <brk id="7" max="49" man="1"/>
    <brk id="11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topLeftCell="A31" zoomScale="73" zoomScaleNormal="73" zoomScaleSheetLayoutView="73" workbookViewId="0">
      <selection activeCell="D59" sqref="D59"/>
    </sheetView>
  </sheetViews>
  <sheetFormatPr defaultRowHeight="12.75" x14ac:dyDescent="0.2"/>
  <cols>
    <col min="1" max="1" width="13.85546875" style="597" customWidth="1"/>
    <col min="2" max="2" width="104.85546875" style="597" customWidth="1"/>
    <col min="3" max="3" width="13.5703125" style="597" customWidth="1"/>
    <col min="4" max="4" width="13.85546875" style="597" customWidth="1"/>
    <col min="5" max="5" width="20.7109375" style="597" bestFit="1" customWidth="1"/>
    <col min="6" max="6" width="20.140625" style="597" customWidth="1"/>
    <col min="7" max="16384" width="9.140625" style="597"/>
  </cols>
  <sheetData>
    <row r="1" spans="1:6" ht="16.5" x14ac:dyDescent="0.25">
      <c r="A1" s="1228" t="s">
        <v>1059</v>
      </c>
      <c r="B1" s="1228"/>
      <c r="C1" s="1228"/>
      <c r="D1" s="1228"/>
      <c r="E1" s="1228"/>
    </row>
    <row r="2" spans="1:6" x14ac:dyDescent="0.2">
      <c r="A2" s="84"/>
      <c r="B2" s="84"/>
      <c r="C2" s="84"/>
      <c r="D2" s="84"/>
      <c r="E2" s="84"/>
      <c r="F2" s="974"/>
    </row>
    <row r="3" spans="1:6" ht="15" x14ac:dyDescent="0.2">
      <c r="A3" s="975" t="s">
        <v>1060</v>
      </c>
      <c r="B3" s="975"/>
      <c r="C3" s="976" t="s">
        <v>99</v>
      </c>
      <c r="D3" s="976" t="s">
        <v>100</v>
      </c>
      <c r="E3" s="977" t="s">
        <v>1528</v>
      </c>
      <c r="F3" s="974"/>
    </row>
    <row r="4" spans="1:6" ht="15.75" x14ac:dyDescent="0.2">
      <c r="A4" s="1229" t="s">
        <v>1061</v>
      </c>
      <c r="B4" s="1230"/>
      <c r="C4" s="1230"/>
      <c r="D4" s="1230"/>
      <c r="E4" s="1230"/>
    </row>
    <row r="5" spans="1:6" ht="37.5" x14ac:dyDescent="0.2">
      <c r="A5" s="978" t="s">
        <v>1062</v>
      </c>
      <c r="B5" s="979" t="s">
        <v>1063</v>
      </c>
      <c r="C5" s="1231">
        <f>+E7+E9+E18+E20</f>
        <v>427396051</v>
      </c>
      <c r="D5" s="1231"/>
      <c r="E5" s="1232"/>
    </row>
    <row r="6" spans="1:6" ht="15.75" x14ac:dyDescent="0.2">
      <c r="A6" s="980" t="s">
        <v>1064</v>
      </c>
      <c r="B6" s="981" t="s">
        <v>1065</v>
      </c>
      <c r="C6" s="1233">
        <f>+E7+E10+E12+E14+E16+E18+E20</f>
        <v>427396051</v>
      </c>
      <c r="D6" s="1234"/>
      <c r="E6" s="1235"/>
    </row>
    <row r="7" spans="1:6" ht="15.75" x14ac:dyDescent="0.2">
      <c r="A7" s="982" t="s">
        <v>1066</v>
      </c>
      <c r="B7" s="982" t="s">
        <v>1067</v>
      </c>
      <c r="C7" s="983">
        <v>44.09</v>
      </c>
      <c r="D7" s="984">
        <v>5475000</v>
      </c>
      <c r="E7" s="985">
        <f>+C7*D7</f>
        <v>241392750.00000003</v>
      </c>
    </row>
    <row r="8" spans="1:6" ht="15.75" x14ac:dyDescent="0.2">
      <c r="A8" s="982"/>
      <c r="B8" s="986"/>
      <c r="C8" s="983"/>
      <c r="D8" s="984"/>
      <c r="E8" s="985">
        <v>0</v>
      </c>
    </row>
    <row r="9" spans="1:6" ht="15.75" x14ac:dyDescent="0.2">
      <c r="A9" s="987"/>
      <c r="B9" s="988"/>
      <c r="C9" s="989"/>
      <c r="D9" s="984"/>
      <c r="E9" s="985">
        <f>+E10+E12+E14+E16</f>
        <v>122491201</v>
      </c>
    </row>
    <row r="10" spans="1:6" ht="15.75" x14ac:dyDescent="0.2">
      <c r="A10" s="982" t="s">
        <v>1068</v>
      </c>
      <c r="B10" s="982" t="s">
        <v>1069</v>
      </c>
      <c r="C10" s="990">
        <f>+E10/D10</f>
        <v>1104.7</v>
      </c>
      <c r="D10" s="984">
        <v>25200</v>
      </c>
      <c r="E10" s="985">
        <v>27838440</v>
      </c>
    </row>
    <row r="11" spans="1:6" ht="15.75" x14ac:dyDescent="0.2">
      <c r="A11" s="982"/>
      <c r="B11" s="986"/>
      <c r="C11" s="983"/>
      <c r="D11" s="984"/>
      <c r="E11" s="985">
        <v>0</v>
      </c>
    </row>
    <row r="12" spans="1:6" ht="15.75" x14ac:dyDescent="0.2">
      <c r="A12" s="982" t="s">
        <v>1070</v>
      </c>
      <c r="B12" s="982" t="s">
        <v>1071</v>
      </c>
      <c r="C12" s="983"/>
      <c r="D12" s="984"/>
      <c r="E12" s="985">
        <v>57960000</v>
      </c>
    </row>
    <row r="13" spans="1:6" ht="15.75" x14ac:dyDescent="0.2">
      <c r="A13" s="982"/>
      <c r="B13" s="986"/>
      <c r="C13" s="983"/>
      <c r="D13" s="984"/>
      <c r="E13" s="985">
        <v>0</v>
      </c>
    </row>
    <row r="14" spans="1:6" ht="15.75" x14ac:dyDescent="0.2">
      <c r="A14" s="982" t="s">
        <v>1072</v>
      </c>
      <c r="B14" s="982" t="s">
        <v>1073</v>
      </c>
      <c r="C14" s="983"/>
      <c r="D14" s="984"/>
      <c r="E14" s="985">
        <v>4814472</v>
      </c>
    </row>
    <row r="15" spans="1:6" ht="15.75" x14ac:dyDescent="0.2">
      <c r="A15" s="982"/>
      <c r="B15" s="986"/>
      <c r="C15" s="983"/>
      <c r="D15" s="984"/>
      <c r="E15" s="985">
        <v>0</v>
      </c>
    </row>
    <row r="16" spans="1:6" ht="15.75" x14ac:dyDescent="0.2">
      <c r="A16" s="982" t="s">
        <v>1074</v>
      </c>
      <c r="B16" s="982" t="s">
        <v>1075</v>
      </c>
      <c r="C16" s="983"/>
      <c r="D16" s="984"/>
      <c r="E16" s="985">
        <v>31878289</v>
      </c>
    </row>
    <row r="17" spans="1:5" ht="15.75" x14ac:dyDescent="0.2">
      <c r="A17" s="982"/>
      <c r="B17" s="986"/>
      <c r="C17" s="983"/>
      <c r="D17" s="984"/>
      <c r="E17" s="985">
        <v>0</v>
      </c>
    </row>
    <row r="18" spans="1:5" ht="15.75" x14ac:dyDescent="0.2">
      <c r="A18" s="982" t="s">
        <v>1076</v>
      </c>
      <c r="B18" s="982" t="s">
        <v>561</v>
      </c>
      <c r="C18" s="983"/>
      <c r="D18" s="984"/>
      <c r="E18" s="985">
        <v>63144900</v>
      </c>
    </row>
    <row r="19" spans="1:5" ht="15.75" x14ac:dyDescent="0.2">
      <c r="A19" s="987"/>
      <c r="B19" s="988"/>
      <c r="C19" s="989"/>
      <c r="D19" s="984"/>
      <c r="E19" s="985">
        <v>0</v>
      </c>
    </row>
    <row r="20" spans="1:5" ht="15.75" x14ac:dyDescent="0.2">
      <c r="A20" s="987" t="s">
        <v>1077</v>
      </c>
      <c r="B20" s="987" t="s">
        <v>562</v>
      </c>
      <c r="C20" s="989">
        <f>+E20/D20</f>
        <v>144</v>
      </c>
      <c r="D20" s="984">
        <v>2550</v>
      </c>
      <c r="E20" s="985">
        <v>367200</v>
      </c>
    </row>
    <row r="21" spans="1:5" ht="18.75" x14ac:dyDescent="0.3">
      <c r="A21" s="991" t="s">
        <v>1078</v>
      </c>
      <c r="B21" s="992" t="s">
        <v>103</v>
      </c>
      <c r="C21" s="1236">
        <f>+C22+E26+E30+E41+E46</f>
        <v>700281550</v>
      </c>
      <c r="D21" s="1236"/>
      <c r="E21" s="1237"/>
    </row>
    <row r="22" spans="1:5" ht="15" x14ac:dyDescent="0.25">
      <c r="A22" s="993" t="s">
        <v>1079</v>
      </c>
      <c r="B22" s="994" t="s">
        <v>104</v>
      </c>
      <c r="C22" s="1238">
        <f>+E23</f>
        <v>96913000</v>
      </c>
      <c r="D22" s="1238"/>
      <c r="E22" s="1239"/>
    </row>
    <row r="23" spans="1:5" ht="15.75" x14ac:dyDescent="0.25">
      <c r="A23" s="993" t="s">
        <v>1080</v>
      </c>
      <c r="B23" s="997" t="s">
        <v>1081</v>
      </c>
      <c r="C23" s="983"/>
      <c r="D23" s="998">
        <v>97400</v>
      </c>
      <c r="E23" s="999">
        <f>+E24+E25</f>
        <v>96913000</v>
      </c>
    </row>
    <row r="24" spans="1:5" ht="15.75" x14ac:dyDescent="0.25">
      <c r="A24" s="1000"/>
      <c r="B24" s="1001" t="s">
        <v>639</v>
      </c>
      <c r="C24" s="983">
        <v>995</v>
      </c>
      <c r="D24" s="1002">
        <v>64933</v>
      </c>
      <c r="E24" s="999">
        <f>+C24*D24</f>
        <v>64608335</v>
      </c>
    </row>
    <row r="25" spans="1:5" ht="15.75" x14ac:dyDescent="0.25">
      <c r="A25" s="1000"/>
      <c r="B25" s="1001" t="s">
        <v>674</v>
      </c>
      <c r="C25" s="983">
        <v>995</v>
      </c>
      <c r="D25" s="1002">
        <v>32467</v>
      </c>
      <c r="E25" s="999">
        <f>+C25*D25</f>
        <v>32304665</v>
      </c>
    </row>
    <row r="26" spans="1:5" ht="15.75" x14ac:dyDescent="0.25">
      <c r="A26" s="993" t="s">
        <v>1082</v>
      </c>
      <c r="B26" s="994" t="s">
        <v>1083</v>
      </c>
      <c r="C26" s="983"/>
      <c r="D26" s="995"/>
      <c r="E26" s="1003">
        <f>+E27</f>
        <v>416630550</v>
      </c>
    </row>
    <row r="27" spans="1:5" ht="15.75" x14ac:dyDescent="0.25">
      <c r="A27" s="634" t="s">
        <v>1084</v>
      </c>
      <c r="B27" s="1004" t="s">
        <v>1085</v>
      </c>
      <c r="C27" s="983"/>
      <c r="D27" s="1002">
        <v>4861500</v>
      </c>
      <c r="E27" s="576">
        <f>+E29+E28</f>
        <v>416630550</v>
      </c>
    </row>
    <row r="28" spans="1:5" ht="15.75" x14ac:dyDescent="0.25">
      <c r="A28" s="634"/>
      <c r="B28" s="635" t="s">
        <v>1086</v>
      </c>
      <c r="C28" s="983">
        <v>85.7</v>
      </c>
      <c r="D28" s="1002">
        <v>3241000</v>
      </c>
      <c r="E28" s="576">
        <f>+C28*D28</f>
        <v>277753700</v>
      </c>
    </row>
    <row r="29" spans="1:5" ht="15.75" x14ac:dyDescent="0.25">
      <c r="A29" s="1000"/>
      <c r="B29" s="635" t="s">
        <v>1087</v>
      </c>
      <c r="C29" s="983">
        <v>85.7</v>
      </c>
      <c r="D29" s="998">
        <v>1620500</v>
      </c>
      <c r="E29" s="999">
        <f>+C29*D29</f>
        <v>138876850</v>
      </c>
    </row>
    <row r="30" spans="1:5" ht="30" x14ac:dyDescent="0.25">
      <c r="A30" s="634" t="s">
        <v>1088</v>
      </c>
      <c r="B30" s="1005" t="s">
        <v>931</v>
      </c>
      <c r="C30" s="1006"/>
      <c r="D30" s="1007"/>
      <c r="E30" s="1008">
        <f>E31+E36</f>
        <v>17676000</v>
      </c>
    </row>
    <row r="31" spans="1:5" ht="15" x14ac:dyDescent="0.25">
      <c r="A31" s="1009" t="s">
        <v>1089</v>
      </c>
      <c r="B31" s="1010" t="s">
        <v>1090</v>
      </c>
      <c r="C31" s="1011"/>
      <c r="D31" s="1011"/>
      <c r="E31" s="1012">
        <f>+E33</f>
        <v>17676000</v>
      </c>
    </row>
    <row r="32" spans="1:5" ht="15" x14ac:dyDescent="0.25">
      <c r="A32" s="993" t="s">
        <v>1091</v>
      </c>
      <c r="B32" s="1240" t="s">
        <v>1092</v>
      </c>
      <c r="C32" s="1241"/>
      <c r="D32" s="1241"/>
      <c r="E32" s="1242"/>
    </row>
    <row r="33" spans="1:5" ht="15" x14ac:dyDescent="0.25">
      <c r="A33" s="1013" t="s">
        <v>1093</v>
      </c>
      <c r="B33" s="1014" t="s">
        <v>1094</v>
      </c>
      <c r="C33" s="575"/>
      <c r="D33" s="1002"/>
      <c r="E33" s="1015">
        <f>+E34+E35+E36+E37</f>
        <v>17676000</v>
      </c>
    </row>
    <row r="34" spans="1:5" ht="15" x14ac:dyDescent="0.25">
      <c r="A34" s="634" t="s">
        <v>1095</v>
      </c>
      <c r="B34" s="635" t="s">
        <v>1096</v>
      </c>
      <c r="C34" s="575">
        <v>26</v>
      </c>
      <c r="D34" s="1002">
        <v>432000</v>
      </c>
      <c r="E34" s="576">
        <f>+C34*D34</f>
        <v>11232000</v>
      </c>
    </row>
    <row r="35" spans="1:5" ht="15" x14ac:dyDescent="0.25">
      <c r="A35" s="634" t="s">
        <v>1097</v>
      </c>
      <c r="B35" s="635" t="s">
        <v>1098</v>
      </c>
      <c r="C35" s="575">
        <v>4</v>
      </c>
      <c r="D35" s="1002">
        <v>1611000</v>
      </c>
      <c r="E35" s="576">
        <f>+C35*D35</f>
        <v>6444000</v>
      </c>
    </row>
    <row r="36" spans="1:5" ht="15" x14ac:dyDescent="0.25">
      <c r="A36" s="1009" t="s">
        <v>1099</v>
      </c>
      <c r="B36" s="1010" t="s">
        <v>1100</v>
      </c>
      <c r="C36" s="1011"/>
      <c r="D36" s="1011"/>
      <c r="E36" s="1012">
        <f>+E38</f>
        <v>0</v>
      </c>
    </row>
    <row r="37" spans="1:5" ht="15" x14ac:dyDescent="0.25">
      <c r="A37" s="634" t="s">
        <v>1101</v>
      </c>
      <c r="B37" s="1240" t="s">
        <v>1092</v>
      </c>
      <c r="C37" s="1241"/>
      <c r="D37" s="1241"/>
      <c r="E37" s="1242"/>
    </row>
    <row r="38" spans="1:5" ht="15" x14ac:dyDescent="0.25">
      <c r="A38" s="993" t="s">
        <v>1102</v>
      </c>
      <c r="B38" s="1014" t="s">
        <v>1094</v>
      </c>
      <c r="C38" s="575"/>
      <c r="D38" s="995"/>
      <c r="E38" s="996"/>
    </row>
    <row r="39" spans="1:5" ht="15" x14ac:dyDescent="0.25">
      <c r="A39" s="634" t="s">
        <v>1103</v>
      </c>
      <c r="B39" s="635" t="s">
        <v>1096</v>
      </c>
      <c r="C39" s="575">
        <v>0</v>
      </c>
      <c r="D39" s="1002">
        <v>396000</v>
      </c>
      <c r="E39" s="576">
        <f>+D39*C39</f>
        <v>0</v>
      </c>
    </row>
    <row r="40" spans="1:5" ht="15" x14ac:dyDescent="0.25">
      <c r="A40" s="1016" t="s">
        <v>1104</v>
      </c>
      <c r="B40" s="635" t="s">
        <v>1098</v>
      </c>
      <c r="C40" s="575">
        <v>0</v>
      </c>
      <c r="D40" s="642">
        <v>1476750</v>
      </c>
      <c r="E40" s="576">
        <f>+D40*C40</f>
        <v>0</v>
      </c>
    </row>
    <row r="41" spans="1:5" ht="15" x14ac:dyDescent="0.25">
      <c r="A41" s="993" t="s">
        <v>1105</v>
      </c>
      <c r="B41" s="1017" t="s">
        <v>675</v>
      </c>
      <c r="C41" s="575"/>
      <c r="D41" s="1018"/>
      <c r="E41" s="1019">
        <f>+E44</f>
        <v>5598000</v>
      </c>
    </row>
    <row r="42" spans="1:5" ht="15" x14ac:dyDescent="0.25">
      <c r="A42" s="634" t="s">
        <v>1106</v>
      </c>
      <c r="B42" s="1240" t="s">
        <v>1092</v>
      </c>
      <c r="C42" s="1241"/>
      <c r="D42" s="1241"/>
      <c r="E42" s="1242"/>
    </row>
    <row r="43" spans="1:5" ht="15" x14ac:dyDescent="0.25">
      <c r="A43" s="634" t="s">
        <v>1107</v>
      </c>
      <c r="B43" s="635" t="s">
        <v>1108</v>
      </c>
      <c r="C43" s="575">
        <v>0</v>
      </c>
      <c r="D43" s="1002">
        <v>811600</v>
      </c>
      <c r="E43" s="576">
        <f>C43*D43</f>
        <v>0</v>
      </c>
    </row>
    <row r="44" spans="1:5" ht="15" x14ac:dyDescent="0.25">
      <c r="A44" s="634" t="s">
        <v>1109</v>
      </c>
      <c r="B44" s="635" t="s">
        <v>1110</v>
      </c>
      <c r="C44" s="575">
        <v>9</v>
      </c>
      <c r="D44" s="1002">
        <v>622000</v>
      </c>
      <c r="E44" s="576">
        <f>+C44*D44</f>
        <v>5598000</v>
      </c>
    </row>
    <row r="45" spans="1:5" ht="15" x14ac:dyDescent="0.25">
      <c r="A45" s="634" t="s">
        <v>1111</v>
      </c>
      <c r="B45" s="635" t="s">
        <v>1112</v>
      </c>
      <c r="C45" s="575">
        <v>0</v>
      </c>
      <c r="D45" s="1002">
        <v>249000</v>
      </c>
      <c r="E45" s="576">
        <f>+C45*D45</f>
        <v>0</v>
      </c>
    </row>
    <row r="46" spans="1:5" ht="30" x14ac:dyDescent="0.25">
      <c r="A46" s="634" t="s">
        <v>1113</v>
      </c>
      <c r="B46" s="1020" t="s">
        <v>1114</v>
      </c>
      <c r="C46" s="575"/>
      <c r="D46" s="1002"/>
      <c r="E46" s="637">
        <f>+E48+E49</f>
        <v>163464000</v>
      </c>
    </row>
    <row r="47" spans="1:5" ht="15" x14ac:dyDescent="0.25">
      <c r="A47" s="634" t="s">
        <v>1115</v>
      </c>
      <c r="B47" s="1240" t="s">
        <v>1092</v>
      </c>
      <c r="C47" s="1241"/>
      <c r="D47" s="1241"/>
      <c r="E47" s="1242"/>
    </row>
    <row r="48" spans="1:5" ht="15" x14ac:dyDescent="0.25">
      <c r="A48" s="1013" t="s">
        <v>1116</v>
      </c>
      <c r="B48" s="1021" t="s">
        <v>1117</v>
      </c>
      <c r="C48" s="575">
        <v>56</v>
      </c>
      <c r="D48" s="1002">
        <v>2919000</v>
      </c>
      <c r="E48" s="1022">
        <f>+D48*C48</f>
        <v>163464000</v>
      </c>
    </row>
    <row r="49" spans="1:5" ht="15" x14ac:dyDescent="0.25">
      <c r="A49" s="1013" t="s">
        <v>1118</v>
      </c>
      <c r="B49" s="1021" t="s">
        <v>1119</v>
      </c>
      <c r="C49" s="575"/>
      <c r="D49" s="1002">
        <v>4861500</v>
      </c>
      <c r="E49" s="1022"/>
    </row>
    <row r="50" spans="1:5" ht="18.75" x14ac:dyDescent="0.3">
      <c r="A50" s="1023" t="s">
        <v>1120</v>
      </c>
      <c r="B50" s="1024" t="s">
        <v>1121</v>
      </c>
      <c r="C50" s="575"/>
      <c r="D50" s="1002"/>
      <c r="E50" s="1025">
        <f>+E51+E52+E61+E66</f>
        <v>185807640</v>
      </c>
    </row>
    <row r="51" spans="1:5" ht="15" x14ac:dyDescent="0.25">
      <c r="A51" s="1013" t="s">
        <v>1122</v>
      </c>
      <c r="B51" s="1026" t="s">
        <v>1123</v>
      </c>
      <c r="C51" s="1027"/>
      <c r="D51" s="1028"/>
      <c r="E51" s="1022">
        <f>+C51*D51</f>
        <v>0</v>
      </c>
    </row>
    <row r="52" spans="1:5" ht="15" x14ac:dyDescent="0.25">
      <c r="A52" s="634" t="s">
        <v>1124</v>
      </c>
      <c r="B52" s="636" t="s">
        <v>1125</v>
      </c>
      <c r="C52" s="575"/>
      <c r="D52" s="1002"/>
      <c r="E52" s="637">
        <f>+E53+E55+E57+E58+E59</f>
        <v>37639640</v>
      </c>
    </row>
    <row r="53" spans="1:5" ht="15" x14ac:dyDescent="0.25">
      <c r="A53" s="634" t="s">
        <v>1126</v>
      </c>
      <c r="B53" s="635" t="s">
        <v>1127</v>
      </c>
      <c r="C53" s="575">
        <v>4.7</v>
      </c>
      <c r="D53" s="1002">
        <v>4100000</v>
      </c>
      <c r="E53" s="576">
        <f>+D53*C53</f>
        <v>19270000</v>
      </c>
    </row>
    <row r="54" spans="1:5" ht="15" x14ac:dyDescent="0.25">
      <c r="A54" s="634" t="s">
        <v>1128</v>
      </c>
      <c r="B54" s="1243" t="s">
        <v>106</v>
      </c>
      <c r="C54" s="1244"/>
      <c r="D54" s="1244"/>
      <c r="E54" s="1245"/>
    </row>
    <row r="55" spans="1:5" ht="15" x14ac:dyDescent="0.25">
      <c r="A55" s="993" t="s">
        <v>1129</v>
      </c>
      <c r="B55" s="635" t="s">
        <v>1130</v>
      </c>
      <c r="C55" s="575">
        <v>99</v>
      </c>
      <c r="D55" s="1029">
        <v>66360</v>
      </c>
      <c r="E55" s="1030">
        <f>+D55*C55</f>
        <v>6569640</v>
      </c>
    </row>
    <row r="56" spans="1:5" ht="15" x14ac:dyDescent="0.25">
      <c r="A56" s="634" t="s">
        <v>1131</v>
      </c>
      <c r="B56" s="1243" t="s">
        <v>107</v>
      </c>
      <c r="C56" s="1244"/>
      <c r="D56" s="1244"/>
      <c r="E56" s="1245"/>
    </row>
    <row r="57" spans="1:5" ht="15" x14ac:dyDescent="0.25">
      <c r="A57" s="634" t="s">
        <v>1132</v>
      </c>
      <c r="B57" s="635" t="s">
        <v>564</v>
      </c>
      <c r="C57" s="575">
        <v>5</v>
      </c>
      <c r="D57" s="1029">
        <v>25000</v>
      </c>
      <c r="E57" s="576">
        <f>+D57*C57</f>
        <v>125000</v>
      </c>
    </row>
    <row r="58" spans="1:5" ht="15" x14ac:dyDescent="0.25">
      <c r="A58" s="634" t="s">
        <v>1133</v>
      </c>
      <c r="B58" s="635" t="s">
        <v>1134</v>
      </c>
      <c r="C58" s="1031">
        <v>22</v>
      </c>
      <c r="D58" s="1002">
        <v>363000</v>
      </c>
      <c r="E58" s="576">
        <f>+C58*D58</f>
        <v>7986000</v>
      </c>
    </row>
    <row r="59" spans="1:5" ht="15" x14ac:dyDescent="0.25">
      <c r="A59" s="638" t="s">
        <v>1135</v>
      </c>
      <c r="B59" s="639" t="s">
        <v>108</v>
      </c>
      <c r="C59" s="640"/>
      <c r="D59" s="641"/>
      <c r="E59" s="577">
        <f>+E60</f>
        <v>3689000</v>
      </c>
    </row>
    <row r="60" spans="1:5" ht="15" x14ac:dyDescent="0.25">
      <c r="A60" s="1032" t="s">
        <v>1136</v>
      </c>
      <c r="B60" s="642" t="s">
        <v>1137</v>
      </c>
      <c r="C60" s="1031">
        <v>17</v>
      </c>
      <c r="D60" s="1002">
        <v>217000</v>
      </c>
      <c r="E60" s="576">
        <f>+C60*D60</f>
        <v>3689000</v>
      </c>
    </row>
    <row r="61" spans="1:5" ht="15.75" x14ac:dyDescent="0.25">
      <c r="A61" s="1033" t="s">
        <v>1138</v>
      </c>
      <c r="B61" s="1034" t="s">
        <v>640</v>
      </c>
      <c r="C61" s="1035"/>
      <c r="D61" s="1035"/>
      <c r="E61" s="1036">
        <f>+E63+E64+E65</f>
        <v>148168000</v>
      </c>
    </row>
    <row r="62" spans="1:5" ht="15.75" x14ac:dyDescent="0.25">
      <c r="A62" s="1033" t="s">
        <v>1139</v>
      </c>
      <c r="B62" s="1220" t="s">
        <v>1140</v>
      </c>
      <c r="C62" s="1221"/>
      <c r="D62" s="1221"/>
      <c r="E62" s="1222"/>
    </row>
    <row r="63" spans="1:5" ht="15.75" x14ac:dyDescent="0.25">
      <c r="A63" s="1033" t="s">
        <v>1141</v>
      </c>
      <c r="B63" s="1037" t="s">
        <v>641</v>
      </c>
      <c r="C63" s="1038">
        <v>6</v>
      </c>
      <c r="D63" s="1002">
        <v>5100000</v>
      </c>
      <c r="E63" s="1039">
        <f>+D63*C63</f>
        <v>30600000</v>
      </c>
    </row>
    <row r="64" spans="1:5" ht="15.75" x14ac:dyDescent="0.25">
      <c r="A64" s="1033" t="s">
        <v>1142</v>
      </c>
      <c r="B64" s="1037" t="s">
        <v>642</v>
      </c>
      <c r="C64" s="1038">
        <v>16.8</v>
      </c>
      <c r="D64" s="1002">
        <v>4260000</v>
      </c>
      <c r="E64" s="1039">
        <f>+D64*C64</f>
        <v>71568000</v>
      </c>
    </row>
    <row r="65" spans="1:5" ht="18.75" x14ac:dyDescent="0.3">
      <c r="A65" s="1033" t="s">
        <v>1143</v>
      </c>
      <c r="B65" s="1037" t="s">
        <v>1144</v>
      </c>
      <c r="C65" s="1040"/>
      <c r="D65" s="1002"/>
      <c r="E65" s="576">
        <v>46000000</v>
      </c>
    </row>
    <row r="66" spans="1:5" ht="32.25" x14ac:dyDescent="0.3">
      <c r="A66" s="1033" t="s">
        <v>1145</v>
      </c>
      <c r="B66" s="1041" t="s">
        <v>429</v>
      </c>
      <c r="C66" s="1040"/>
      <c r="D66" s="1040"/>
      <c r="E66" s="576"/>
    </row>
    <row r="67" spans="1:5" ht="15.75" x14ac:dyDescent="0.25">
      <c r="A67" s="1042" t="s">
        <v>1146</v>
      </c>
      <c r="B67" s="1043" t="s">
        <v>1147</v>
      </c>
      <c r="C67" s="1038"/>
      <c r="D67" s="984">
        <v>4234040</v>
      </c>
      <c r="E67" s="985"/>
    </row>
    <row r="68" spans="1:5" ht="18.75" x14ac:dyDescent="0.3">
      <c r="A68" s="1044" t="s">
        <v>1148</v>
      </c>
      <c r="B68" s="1024" t="s">
        <v>1149</v>
      </c>
      <c r="C68" s="1045"/>
      <c r="D68" s="1045"/>
      <c r="E68" s="1046">
        <f>+E69+E72</f>
        <v>204918630</v>
      </c>
    </row>
    <row r="69" spans="1:5" ht="15.75" x14ac:dyDescent="0.25">
      <c r="A69" s="1033" t="s">
        <v>1150</v>
      </c>
      <c r="B69" s="1041" t="s">
        <v>1151</v>
      </c>
      <c r="C69" s="1038"/>
      <c r="D69" s="210"/>
      <c r="E69" s="637">
        <f>+E70+E71</f>
        <v>204408765</v>
      </c>
    </row>
    <row r="70" spans="1:5" ht="15.75" x14ac:dyDescent="0.25">
      <c r="A70" s="1047" t="s">
        <v>1152</v>
      </c>
      <c r="B70" s="1037" t="s">
        <v>1153</v>
      </c>
      <c r="C70" s="1038">
        <v>42.28</v>
      </c>
      <c r="D70" s="984">
        <v>2376000</v>
      </c>
      <c r="E70" s="576">
        <f>+D70*C70</f>
        <v>100457280</v>
      </c>
    </row>
    <row r="71" spans="1:5" ht="15.75" x14ac:dyDescent="0.25">
      <c r="A71" s="1048" t="s">
        <v>1154</v>
      </c>
      <c r="B71" s="1037" t="s">
        <v>1155</v>
      </c>
      <c r="C71" s="1038"/>
      <c r="D71" s="984"/>
      <c r="E71" s="576">
        <v>103951485</v>
      </c>
    </row>
    <row r="72" spans="1:5" ht="15.75" x14ac:dyDescent="0.25">
      <c r="A72" s="1049" t="s">
        <v>1156</v>
      </c>
      <c r="B72" s="1050" t="s">
        <v>1157</v>
      </c>
      <c r="C72" s="1038">
        <v>1789</v>
      </c>
      <c r="D72" s="1051">
        <v>285</v>
      </c>
      <c r="E72" s="1052">
        <f>+D72*C72</f>
        <v>509865</v>
      </c>
    </row>
    <row r="73" spans="1:5" ht="18.75" x14ac:dyDescent="0.3">
      <c r="A73" s="1053" t="s">
        <v>1158</v>
      </c>
      <c r="B73" s="1054" t="s">
        <v>109</v>
      </c>
      <c r="C73" s="1055"/>
      <c r="D73" s="1055"/>
      <c r="E73" s="1046">
        <f>+E74</f>
        <v>50749790</v>
      </c>
    </row>
    <row r="74" spans="1:5" ht="15.75" x14ac:dyDescent="0.25">
      <c r="A74" s="1049" t="s">
        <v>1159</v>
      </c>
      <c r="B74" s="1001" t="s">
        <v>110</v>
      </c>
      <c r="C74" s="1038">
        <v>23387</v>
      </c>
      <c r="D74" s="984">
        <v>2170</v>
      </c>
      <c r="E74" s="1056">
        <f>+D74*C74</f>
        <v>50749790</v>
      </c>
    </row>
    <row r="75" spans="1:5" ht="15.75" x14ac:dyDescent="0.25">
      <c r="A75" s="1223" t="s">
        <v>111</v>
      </c>
      <c r="B75" s="1224"/>
      <c r="C75" s="1225">
        <f>+C5+C21+E50+E68+E73</f>
        <v>1569153661</v>
      </c>
      <c r="D75" s="1226"/>
      <c r="E75" s="1227"/>
    </row>
    <row r="76" spans="1:5" ht="15.75" x14ac:dyDescent="0.25">
      <c r="A76" s="1049"/>
      <c r="B76" s="1057"/>
      <c r="C76" s="1057"/>
      <c r="D76" s="1057"/>
      <c r="E76" s="1057"/>
    </row>
    <row r="77" spans="1:5" ht="15.75" x14ac:dyDescent="0.25">
      <c r="A77" s="1223" t="s">
        <v>563</v>
      </c>
      <c r="B77" s="1224"/>
      <c r="C77" s="1225">
        <v>950309686</v>
      </c>
      <c r="D77" s="1226"/>
      <c r="E77" s="1227"/>
    </row>
    <row r="78" spans="1:5" ht="15.75" x14ac:dyDescent="0.25">
      <c r="A78" s="1057"/>
      <c r="B78" s="1057"/>
      <c r="C78" s="1057"/>
      <c r="D78" s="1057"/>
      <c r="E78" s="1057"/>
    </row>
    <row r="79" spans="1:5" ht="18.75" x14ac:dyDescent="0.3">
      <c r="A79" s="1217" t="s">
        <v>1160</v>
      </c>
      <c r="B79" s="1217"/>
      <c r="C79" s="1218">
        <f>+C75-C77</f>
        <v>618843975</v>
      </c>
      <c r="D79" s="1219"/>
      <c r="E79" s="1219"/>
    </row>
  </sheetData>
  <mergeCells count="19">
    <mergeCell ref="C22:E22"/>
    <mergeCell ref="A77:B77"/>
    <mergeCell ref="C77:E77"/>
    <mergeCell ref="B32:E32"/>
    <mergeCell ref="B37:E37"/>
    <mergeCell ref="B42:E42"/>
    <mergeCell ref="B47:E47"/>
    <mergeCell ref="B54:E54"/>
    <mergeCell ref="B56:E56"/>
    <mergeCell ref="A79:B79"/>
    <mergeCell ref="C79:E79"/>
    <mergeCell ref="B62:E62"/>
    <mergeCell ref="A75:B75"/>
    <mergeCell ref="C75:E75"/>
    <mergeCell ref="A1:E1"/>
    <mergeCell ref="A4:E4"/>
    <mergeCell ref="C5:E5"/>
    <mergeCell ref="C6:E6"/>
    <mergeCell ref="C21:E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headerFooter>
    <oddHeader>&amp;C2021. évi költségvetés&amp;R&amp;A</oddHeader>
    <oddFooter>&amp;C&amp;P/&amp;N</oddFooter>
  </headerFooter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76" zoomScaleNormal="100" zoomScaleSheetLayoutView="7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7" sqref="D17"/>
    </sheetView>
  </sheetViews>
  <sheetFormatPr defaultRowHeight="12.75" x14ac:dyDescent="0.2"/>
  <cols>
    <col min="1" max="1" width="39.28515625" customWidth="1"/>
    <col min="3" max="3" width="16" customWidth="1"/>
    <col min="4" max="4" width="16" style="881" customWidth="1"/>
    <col min="5" max="5" width="15.5703125" customWidth="1"/>
    <col min="6" max="6" width="22.140625" bestFit="1" customWidth="1"/>
    <col min="7" max="7" width="17.85546875" customWidth="1"/>
  </cols>
  <sheetData>
    <row r="1" spans="1:7" ht="42.75" customHeight="1" x14ac:dyDescent="0.2">
      <c r="A1" s="1247" t="s">
        <v>527</v>
      </c>
      <c r="B1" s="1247"/>
      <c r="C1" s="1247"/>
      <c r="D1" s="1247"/>
      <c r="E1" s="1247"/>
      <c r="F1" s="1247"/>
      <c r="G1" s="1247"/>
    </row>
    <row r="2" spans="1:7" s="176" customFormat="1" ht="93.75" customHeight="1" x14ac:dyDescent="0.25">
      <c r="A2" s="174" t="s">
        <v>464</v>
      </c>
      <c r="B2" s="505" t="s">
        <v>777</v>
      </c>
      <c r="C2" s="175" t="s">
        <v>522</v>
      </c>
      <c r="D2" s="175" t="s">
        <v>1058</v>
      </c>
      <c r="E2" s="175" t="s">
        <v>523</v>
      </c>
      <c r="F2" s="175" t="s">
        <v>524</v>
      </c>
      <c r="G2" s="175" t="s">
        <v>525</v>
      </c>
    </row>
    <row r="3" spans="1:7" s="177" customFormat="1" ht="31.5" customHeight="1" x14ac:dyDescent="0.25">
      <c r="A3" s="243" t="s">
        <v>466</v>
      </c>
      <c r="B3" s="244"/>
      <c r="C3" s="245">
        <f>SUM(C4:C13)</f>
        <v>27</v>
      </c>
      <c r="D3" s="245">
        <f>SUM(D4:D13)</f>
        <v>7</v>
      </c>
      <c r="E3" s="245">
        <f>SUM(E4:E13)</f>
        <v>25.9</v>
      </c>
      <c r="F3" s="245">
        <f>SUM(F4:F13)</f>
        <v>18.899999999999999</v>
      </c>
      <c r="G3" s="245">
        <f>SUM(G4:G11)</f>
        <v>20</v>
      </c>
    </row>
    <row r="4" spans="1:7" s="176" customFormat="1" ht="25.5" customHeight="1" x14ac:dyDescent="0.25">
      <c r="A4" s="246" t="s">
        <v>467</v>
      </c>
      <c r="B4" s="242" t="s">
        <v>468</v>
      </c>
      <c r="C4" s="247">
        <v>1</v>
      </c>
      <c r="D4" s="247">
        <v>0</v>
      </c>
      <c r="E4" s="247">
        <v>1</v>
      </c>
      <c r="F4" s="247">
        <v>1</v>
      </c>
      <c r="G4" s="247">
        <v>1</v>
      </c>
    </row>
    <row r="5" spans="1:7" s="176" customFormat="1" ht="25.5" customHeight="1" x14ac:dyDescent="0.25">
      <c r="A5" s="246" t="s">
        <v>567</v>
      </c>
      <c r="B5" s="248" t="s">
        <v>568</v>
      </c>
      <c r="C5" s="247">
        <v>2</v>
      </c>
      <c r="D5" s="247">
        <v>1</v>
      </c>
      <c r="E5" s="247">
        <v>2</v>
      </c>
      <c r="F5" s="247">
        <v>1</v>
      </c>
      <c r="G5" s="247">
        <v>1</v>
      </c>
    </row>
    <row r="6" spans="1:7" s="176" customFormat="1" ht="25.5" customHeight="1" x14ac:dyDescent="0.25">
      <c r="A6" s="246" t="s">
        <v>469</v>
      </c>
      <c r="B6" s="242" t="s">
        <v>470</v>
      </c>
      <c r="C6" s="247">
        <v>2</v>
      </c>
      <c r="D6" s="247">
        <v>0</v>
      </c>
      <c r="E6" s="247">
        <v>1.1499999999999999</v>
      </c>
      <c r="F6" s="247">
        <v>1.1499999999999999</v>
      </c>
      <c r="G6" s="247">
        <v>2</v>
      </c>
    </row>
    <row r="7" spans="1:7" s="176" customFormat="1" ht="25.5" customHeight="1" x14ac:dyDescent="0.25">
      <c r="A7" s="246" t="s">
        <v>471</v>
      </c>
      <c r="B7" s="242" t="s">
        <v>472</v>
      </c>
      <c r="C7" s="247">
        <v>2</v>
      </c>
      <c r="D7" s="247">
        <v>1</v>
      </c>
      <c r="E7" s="247">
        <v>2</v>
      </c>
      <c r="F7" s="247">
        <v>1</v>
      </c>
      <c r="G7" s="247">
        <v>1</v>
      </c>
    </row>
    <row r="8" spans="1:7" s="176" customFormat="1" ht="30.75" customHeight="1" x14ac:dyDescent="0.25">
      <c r="A8" s="246" t="s">
        <v>473</v>
      </c>
      <c r="B8" s="242" t="s">
        <v>143</v>
      </c>
      <c r="C8" s="247">
        <v>2</v>
      </c>
      <c r="D8" s="247">
        <v>0</v>
      </c>
      <c r="E8" s="247">
        <v>1.75</v>
      </c>
      <c r="F8" s="247">
        <v>1.75</v>
      </c>
      <c r="G8" s="247">
        <v>2</v>
      </c>
    </row>
    <row r="9" spans="1:7" s="176" customFormat="1" ht="25.5" customHeight="1" x14ac:dyDescent="0.25">
      <c r="A9" s="246" t="s">
        <v>474</v>
      </c>
      <c r="B9" s="242" t="s">
        <v>475</v>
      </c>
      <c r="C9" s="247">
        <v>2</v>
      </c>
      <c r="D9" s="247">
        <v>1</v>
      </c>
      <c r="E9" s="247">
        <v>2</v>
      </c>
      <c r="F9" s="247">
        <v>1</v>
      </c>
      <c r="G9" s="247">
        <v>1</v>
      </c>
    </row>
    <row r="10" spans="1:7" s="176" customFormat="1" ht="25.5" customHeight="1" x14ac:dyDescent="0.25">
      <c r="A10" s="246" t="s">
        <v>476</v>
      </c>
      <c r="B10" s="242" t="s">
        <v>477</v>
      </c>
      <c r="C10" s="247">
        <v>5</v>
      </c>
      <c r="D10" s="247">
        <v>0</v>
      </c>
      <c r="E10" s="247">
        <v>5</v>
      </c>
      <c r="F10" s="247">
        <v>5</v>
      </c>
      <c r="G10" s="247">
        <v>5</v>
      </c>
    </row>
    <row r="11" spans="1:7" s="176" customFormat="1" ht="25.5" customHeight="1" x14ac:dyDescent="0.25">
      <c r="A11" s="246" t="s">
        <v>649</v>
      </c>
      <c r="B11" s="248" t="s">
        <v>556</v>
      </c>
      <c r="C11" s="247">
        <v>7</v>
      </c>
      <c r="D11" s="247">
        <v>0</v>
      </c>
      <c r="E11" s="247">
        <v>7</v>
      </c>
      <c r="F11" s="247">
        <v>7</v>
      </c>
      <c r="G11" s="247">
        <v>7</v>
      </c>
    </row>
    <row r="12" spans="1:7" s="176" customFormat="1" ht="25.5" customHeight="1" x14ac:dyDescent="0.25">
      <c r="A12" s="246" t="s">
        <v>1488</v>
      </c>
      <c r="B12" s="248" t="s">
        <v>1489</v>
      </c>
      <c r="C12" s="247">
        <v>2</v>
      </c>
      <c r="D12" s="247">
        <v>2</v>
      </c>
      <c r="E12" s="247">
        <v>2</v>
      </c>
      <c r="F12" s="247">
        <v>0</v>
      </c>
      <c r="G12" s="247">
        <v>0</v>
      </c>
    </row>
    <row r="13" spans="1:7" s="176" customFormat="1" ht="25.5" customHeight="1" x14ac:dyDescent="0.25">
      <c r="A13" s="246" t="s">
        <v>1490</v>
      </c>
      <c r="B13" s="248" t="s">
        <v>680</v>
      </c>
      <c r="C13" s="247">
        <v>2</v>
      </c>
      <c r="D13" s="247">
        <v>2</v>
      </c>
      <c r="E13" s="247">
        <v>2</v>
      </c>
      <c r="F13" s="247">
        <v>0</v>
      </c>
      <c r="G13" s="247">
        <v>0</v>
      </c>
    </row>
    <row r="14" spans="1:7" s="177" customFormat="1" ht="29.25" customHeight="1" x14ac:dyDescent="0.25">
      <c r="A14" s="243" t="s">
        <v>94</v>
      </c>
      <c r="B14" s="244"/>
      <c r="C14" s="245">
        <f>SUM(C15:C18)</f>
        <v>71</v>
      </c>
      <c r="D14" s="245">
        <f>SUM(D15:D18)</f>
        <v>8</v>
      </c>
      <c r="E14" s="245">
        <f>SUM(E15:E18)</f>
        <v>71</v>
      </c>
      <c r="F14" s="245">
        <f>SUM(F15:F18)</f>
        <v>63</v>
      </c>
      <c r="G14" s="245">
        <f>SUM(G15:G18)</f>
        <v>63</v>
      </c>
    </row>
    <row r="15" spans="1:7" s="176" customFormat="1" ht="25.5" customHeight="1" x14ac:dyDescent="0.25">
      <c r="A15" s="246" t="s">
        <v>478</v>
      </c>
      <c r="B15" s="242" t="s">
        <v>98</v>
      </c>
      <c r="C15" s="247">
        <v>47</v>
      </c>
      <c r="D15" s="247">
        <v>3</v>
      </c>
      <c r="E15" s="247">
        <v>47</v>
      </c>
      <c r="F15" s="247">
        <v>44</v>
      </c>
      <c r="G15" s="247">
        <v>44</v>
      </c>
    </row>
    <row r="16" spans="1:7" s="176" customFormat="1" ht="25.5" customHeight="1" x14ac:dyDescent="0.25">
      <c r="A16" s="246" t="s">
        <v>479</v>
      </c>
      <c r="B16" s="242" t="s">
        <v>139</v>
      </c>
      <c r="C16" s="247">
        <v>8</v>
      </c>
      <c r="D16" s="247">
        <v>0</v>
      </c>
      <c r="E16" s="247">
        <v>8</v>
      </c>
      <c r="F16" s="247">
        <v>8</v>
      </c>
      <c r="G16" s="247">
        <v>8</v>
      </c>
    </row>
    <row r="17" spans="1:7" s="176" customFormat="1" ht="25.5" customHeight="1" x14ac:dyDescent="0.25">
      <c r="A17" s="246" t="s">
        <v>480</v>
      </c>
      <c r="B17" s="242" t="s">
        <v>158</v>
      </c>
      <c r="C17" s="247">
        <v>2</v>
      </c>
      <c r="D17" s="247">
        <v>0</v>
      </c>
      <c r="E17" s="247">
        <v>2</v>
      </c>
      <c r="F17" s="247">
        <v>2</v>
      </c>
      <c r="G17" s="247">
        <v>2</v>
      </c>
    </row>
    <row r="18" spans="1:7" s="176" customFormat="1" ht="25.5" customHeight="1" x14ac:dyDescent="0.25">
      <c r="A18" s="246" t="s">
        <v>952</v>
      </c>
      <c r="B18" s="242" t="s">
        <v>141</v>
      </c>
      <c r="C18" s="247">
        <v>14</v>
      </c>
      <c r="D18" s="247">
        <v>5</v>
      </c>
      <c r="E18" s="247">
        <v>14</v>
      </c>
      <c r="F18" s="247">
        <v>9</v>
      </c>
      <c r="G18" s="247">
        <v>9</v>
      </c>
    </row>
    <row r="19" spans="1:7" s="177" customFormat="1" ht="25.5" customHeight="1" x14ac:dyDescent="0.25">
      <c r="A19" s="243" t="s">
        <v>23</v>
      </c>
      <c r="B19" s="244"/>
      <c r="C19" s="245">
        <f>SUM(C20:C22)</f>
        <v>49</v>
      </c>
      <c r="D19" s="245">
        <f>SUM(D20:D22)</f>
        <v>0</v>
      </c>
      <c r="E19" s="245">
        <f>SUM(E20:E22)</f>
        <v>49</v>
      </c>
      <c r="F19" s="245">
        <f>SUM(F20:F22)</f>
        <v>49</v>
      </c>
      <c r="G19" s="245">
        <f>SUM(G20:G22)</f>
        <v>50</v>
      </c>
    </row>
    <row r="20" spans="1:7" s="176" customFormat="1" ht="25.5" customHeight="1" x14ac:dyDescent="0.25">
      <c r="A20" s="246" t="s">
        <v>481</v>
      </c>
      <c r="B20" s="242" t="s">
        <v>98</v>
      </c>
      <c r="C20" s="247">
        <v>5</v>
      </c>
      <c r="D20" s="247">
        <v>0</v>
      </c>
      <c r="E20" s="247">
        <v>5</v>
      </c>
      <c r="F20" s="247">
        <v>5</v>
      </c>
      <c r="G20" s="247">
        <v>5</v>
      </c>
    </row>
    <row r="21" spans="1:7" s="176" customFormat="1" ht="25.5" customHeight="1" x14ac:dyDescent="0.25">
      <c r="A21" s="246" t="s">
        <v>482</v>
      </c>
      <c r="B21" s="242" t="s">
        <v>139</v>
      </c>
      <c r="C21" s="247">
        <v>24</v>
      </c>
      <c r="D21" s="247">
        <v>0</v>
      </c>
      <c r="E21" s="247">
        <v>24</v>
      </c>
      <c r="F21" s="247">
        <v>24</v>
      </c>
      <c r="G21" s="247">
        <v>25</v>
      </c>
    </row>
    <row r="22" spans="1:7" s="176" customFormat="1" ht="25.5" customHeight="1" x14ac:dyDescent="0.25">
      <c r="A22" s="246" t="s">
        <v>482</v>
      </c>
      <c r="B22" s="248" t="s">
        <v>158</v>
      </c>
      <c r="C22" s="247">
        <v>20</v>
      </c>
      <c r="D22" s="247">
        <v>0</v>
      </c>
      <c r="E22" s="247">
        <v>20</v>
      </c>
      <c r="F22" s="247">
        <v>20</v>
      </c>
      <c r="G22" s="247">
        <v>20</v>
      </c>
    </row>
    <row r="23" spans="1:7" s="177" customFormat="1" ht="25.5" customHeight="1" x14ac:dyDescent="0.25">
      <c r="A23" s="243" t="s">
        <v>24</v>
      </c>
      <c r="B23" s="244"/>
      <c r="C23" s="245">
        <f>C24+C25</f>
        <v>52</v>
      </c>
      <c r="D23" s="245">
        <f>D24+D25</f>
        <v>3</v>
      </c>
      <c r="E23" s="245">
        <f>E24+E25</f>
        <v>52</v>
      </c>
      <c r="F23" s="245">
        <f>F24+F25</f>
        <v>49</v>
      </c>
      <c r="G23" s="245">
        <f>G24+G25</f>
        <v>55</v>
      </c>
    </row>
    <row r="24" spans="1:7" s="176" customFormat="1" ht="25.5" customHeight="1" x14ac:dyDescent="0.25">
      <c r="A24" s="246" t="s">
        <v>483</v>
      </c>
      <c r="B24" s="242" t="s">
        <v>98</v>
      </c>
      <c r="C24" s="247">
        <v>48</v>
      </c>
      <c r="D24" s="247">
        <v>1</v>
      </c>
      <c r="E24" s="247">
        <v>48</v>
      </c>
      <c r="F24" s="247">
        <v>47</v>
      </c>
      <c r="G24" s="247">
        <v>53</v>
      </c>
    </row>
    <row r="25" spans="1:7" s="176" customFormat="1" ht="37.5" customHeight="1" x14ac:dyDescent="0.25">
      <c r="A25" s="246" t="s">
        <v>684</v>
      </c>
      <c r="B25" s="248" t="s">
        <v>159</v>
      </c>
      <c r="C25" s="247">
        <v>4</v>
      </c>
      <c r="D25" s="247">
        <v>2</v>
      </c>
      <c r="E25" s="247">
        <v>4</v>
      </c>
      <c r="F25" s="247">
        <v>2</v>
      </c>
      <c r="G25" s="247">
        <v>2</v>
      </c>
    </row>
    <row r="26" spans="1:7" s="176" customFormat="1" ht="25.5" customHeight="1" x14ac:dyDescent="0.25">
      <c r="A26" s="243" t="s">
        <v>635</v>
      </c>
      <c r="B26" s="244"/>
      <c r="C26" s="245">
        <f>SUM(C27:C28)</f>
        <v>45</v>
      </c>
      <c r="D26" s="245">
        <f>SUM(D27:D28)</f>
        <v>1</v>
      </c>
      <c r="E26" s="245">
        <f>SUM(E27:E28)</f>
        <v>43.75</v>
      </c>
      <c r="F26" s="245">
        <f>SUM(F27:F28)</f>
        <v>42.75</v>
      </c>
      <c r="G26" s="245">
        <f>SUM(G27:G28)</f>
        <v>44</v>
      </c>
    </row>
    <row r="27" spans="1:7" s="176" customFormat="1" ht="25.5" customHeight="1" x14ac:dyDescent="0.25">
      <c r="A27" s="246" t="s">
        <v>484</v>
      </c>
      <c r="B27" s="242" t="s">
        <v>139</v>
      </c>
      <c r="C27" s="247">
        <v>16</v>
      </c>
      <c r="D27" s="247"/>
      <c r="E27" s="247">
        <v>15</v>
      </c>
      <c r="F27" s="247">
        <v>15</v>
      </c>
      <c r="G27" s="247">
        <v>16</v>
      </c>
    </row>
    <row r="28" spans="1:7" s="176" customFormat="1" ht="25.5" customHeight="1" x14ac:dyDescent="0.25">
      <c r="A28" s="246" t="s">
        <v>485</v>
      </c>
      <c r="B28" s="242" t="s">
        <v>98</v>
      </c>
      <c r="C28" s="247">
        <v>29</v>
      </c>
      <c r="D28" s="247">
        <v>1</v>
      </c>
      <c r="E28" s="247">
        <v>28.75</v>
      </c>
      <c r="F28" s="247">
        <v>27.75</v>
      </c>
      <c r="G28" s="247">
        <v>28</v>
      </c>
    </row>
    <row r="29" spans="1:7" s="177" customFormat="1" ht="25.5" customHeight="1" x14ac:dyDescent="0.25">
      <c r="A29" s="243" t="s">
        <v>95</v>
      </c>
      <c r="B29" s="249"/>
      <c r="C29" s="245">
        <f>SUM(C30:C31)</f>
        <v>75</v>
      </c>
      <c r="D29" s="245">
        <f>SUM(D30:D31)</f>
        <v>2</v>
      </c>
      <c r="E29" s="245">
        <f>SUM(E30:E31)</f>
        <v>73</v>
      </c>
      <c r="F29" s="245">
        <f>SUM(F30:F31)</f>
        <v>73</v>
      </c>
      <c r="G29" s="245">
        <f>SUM(G30:G31)</f>
        <v>75</v>
      </c>
    </row>
    <row r="30" spans="1:7" s="176" customFormat="1" ht="25.5" customHeight="1" x14ac:dyDescent="0.25">
      <c r="A30" s="246" t="s">
        <v>486</v>
      </c>
      <c r="B30" s="242" t="s">
        <v>98</v>
      </c>
      <c r="C30" s="247">
        <v>51</v>
      </c>
      <c r="D30" s="247">
        <v>2</v>
      </c>
      <c r="E30" s="247">
        <v>49</v>
      </c>
      <c r="F30" s="247">
        <v>49</v>
      </c>
      <c r="G30" s="247">
        <v>50</v>
      </c>
    </row>
    <row r="31" spans="1:7" s="176" customFormat="1" ht="25.5" customHeight="1" x14ac:dyDescent="0.25">
      <c r="A31" s="246" t="s">
        <v>487</v>
      </c>
      <c r="B31" s="242" t="s">
        <v>139</v>
      </c>
      <c r="C31" s="247">
        <v>24</v>
      </c>
      <c r="D31" s="247">
        <v>0</v>
      </c>
      <c r="E31" s="247">
        <v>24</v>
      </c>
      <c r="F31" s="247">
        <v>24</v>
      </c>
      <c r="G31" s="247">
        <v>25</v>
      </c>
    </row>
    <row r="32" spans="1:7" s="177" customFormat="1" ht="30" x14ac:dyDescent="0.25">
      <c r="A32" s="243" t="s">
        <v>25</v>
      </c>
      <c r="B32" s="250"/>
      <c r="C32" s="245">
        <f>SUM(C33:C42)</f>
        <v>37</v>
      </c>
      <c r="D32" s="245">
        <f>SUM(D33:D42)</f>
        <v>2</v>
      </c>
      <c r="E32" s="245">
        <f>SUM(E33:E42)</f>
        <v>35.524999999999999</v>
      </c>
      <c r="F32" s="245">
        <f>SUM(F33:F42)</f>
        <v>33.524999999999999</v>
      </c>
      <c r="G32" s="245">
        <f>SUM(G33:G42)</f>
        <v>35</v>
      </c>
    </row>
    <row r="33" spans="1:7" s="176" customFormat="1" ht="25.5" customHeight="1" x14ac:dyDescent="0.25">
      <c r="A33" s="246" t="s">
        <v>488</v>
      </c>
      <c r="B33" s="242" t="s">
        <v>98</v>
      </c>
      <c r="C33" s="247">
        <v>11</v>
      </c>
      <c r="D33" s="247">
        <v>1</v>
      </c>
      <c r="E33" s="247">
        <v>11</v>
      </c>
      <c r="F33" s="247">
        <v>10</v>
      </c>
      <c r="G33" s="247">
        <v>10</v>
      </c>
    </row>
    <row r="34" spans="1:7" s="176" customFormat="1" ht="25.5" customHeight="1" x14ac:dyDescent="0.25">
      <c r="A34" s="246" t="s">
        <v>489</v>
      </c>
      <c r="B34" s="242" t="s">
        <v>139</v>
      </c>
      <c r="C34" s="247">
        <v>1</v>
      </c>
      <c r="D34" s="247">
        <v>0</v>
      </c>
      <c r="E34" s="247">
        <v>1</v>
      </c>
      <c r="F34" s="247">
        <v>1</v>
      </c>
      <c r="G34" s="247">
        <v>1</v>
      </c>
    </row>
    <row r="35" spans="1:7" s="176" customFormat="1" ht="25.5" customHeight="1" x14ac:dyDescent="0.25">
      <c r="A35" s="246" t="s">
        <v>490</v>
      </c>
      <c r="B35" s="242" t="s">
        <v>158</v>
      </c>
      <c r="C35" s="247">
        <v>4</v>
      </c>
      <c r="D35" s="247">
        <v>1</v>
      </c>
      <c r="E35" s="247">
        <v>3.5</v>
      </c>
      <c r="F35" s="247">
        <v>2.5</v>
      </c>
      <c r="G35" s="247">
        <v>3</v>
      </c>
    </row>
    <row r="36" spans="1:7" s="176" customFormat="1" ht="32.25" customHeight="1" x14ac:dyDescent="0.25">
      <c r="A36" s="246" t="s">
        <v>491</v>
      </c>
      <c r="B36" s="242" t="s">
        <v>159</v>
      </c>
      <c r="C36" s="247">
        <v>2</v>
      </c>
      <c r="D36" s="247">
        <v>0</v>
      </c>
      <c r="E36" s="247">
        <v>2</v>
      </c>
      <c r="F36" s="247">
        <v>2</v>
      </c>
      <c r="G36" s="247">
        <v>2</v>
      </c>
    </row>
    <row r="37" spans="1:7" s="176" customFormat="1" ht="25.5" customHeight="1" x14ac:dyDescent="0.25">
      <c r="A37" s="246" t="s">
        <v>492</v>
      </c>
      <c r="B37" s="242" t="s">
        <v>142</v>
      </c>
      <c r="C37" s="247">
        <v>1</v>
      </c>
      <c r="D37" s="247">
        <v>0</v>
      </c>
      <c r="E37" s="247">
        <v>0.52500000000000002</v>
      </c>
      <c r="F37" s="247">
        <v>0.52500000000000002</v>
      </c>
      <c r="G37" s="247">
        <v>1</v>
      </c>
    </row>
    <row r="38" spans="1:7" s="176" customFormat="1" ht="35.25" customHeight="1" x14ac:dyDescent="0.25">
      <c r="A38" s="246" t="s">
        <v>493</v>
      </c>
      <c r="B38" s="242" t="s">
        <v>494</v>
      </c>
      <c r="C38" s="247">
        <v>2</v>
      </c>
      <c r="D38" s="247">
        <v>0</v>
      </c>
      <c r="E38" s="247">
        <v>1.5</v>
      </c>
      <c r="F38" s="247">
        <v>1.5</v>
      </c>
      <c r="G38" s="247">
        <v>2</v>
      </c>
    </row>
    <row r="39" spans="1:7" s="176" customFormat="1" ht="25.5" customHeight="1" x14ac:dyDescent="0.25">
      <c r="A39" s="246" t="s">
        <v>495</v>
      </c>
      <c r="B39" s="242" t="s">
        <v>496</v>
      </c>
      <c r="C39" s="247">
        <v>2</v>
      </c>
      <c r="D39" s="247">
        <v>0</v>
      </c>
      <c r="E39" s="247">
        <v>2</v>
      </c>
      <c r="F39" s="247">
        <v>2</v>
      </c>
      <c r="G39" s="247">
        <v>2</v>
      </c>
    </row>
    <row r="40" spans="1:7" s="176" customFormat="1" ht="33.75" customHeight="1" x14ac:dyDescent="0.25">
      <c r="A40" s="246" t="s">
        <v>497</v>
      </c>
      <c r="B40" s="242" t="s">
        <v>160</v>
      </c>
      <c r="C40" s="247">
        <v>10</v>
      </c>
      <c r="D40" s="247">
        <v>0</v>
      </c>
      <c r="E40" s="247">
        <v>10</v>
      </c>
      <c r="F40" s="247">
        <v>10</v>
      </c>
      <c r="G40" s="247">
        <v>10</v>
      </c>
    </row>
    <row r="41" spans="1:7" s="176" customFormat="1" ht="25.5" customHeight="1" x14ac:dyDescent="0.25">
      <c r="A41" s="246" t="s">
        <v>498</v>
      </c>
      <c r="B41" s="242" t="s">
        <v>68</v>
      </c>
      <c r="C41" s="247">
        <v>3</v>
      </c>
      <c r="D41" s="247"/>
      <c r="E41" s="247">
        <v>3</v>
      </c>
      <c r="F41" s="247">
        <v>3</v>
      </c>
      <c r="G41" s="247">
        <v>3</v>
      </c>
    </row>
    <row r="42" spans="1:7" s="176" customFormat="1" ht="25.5" customHeight="1" x14ac:dyDescent="0.25">
      <c r="A42" s="246" t="s">
        <v>574</v>
      </c>
      <c r="B42" s="242" t="s">
        <v>161</v>
      </c>
      <c r="C42" s="247">
        <v>1</v>
      </c>
      <c r="D42" s="247">
        <v>0</v>
      </c>
      <c r="E42" s="247">
        <v>1</v>
      </c>
      <c r="F42" s="247">
        <v>1</v>
      </c>
      <c r="G42" s="247">
        <v>1</v>
      </c>
    </row>
    <row r="43" spans="1:7" s="177" customFormat="1" ht="32.25" customHeight="1" x14ac:dyDescent="0.25">
      <c r="A43" s="243" t="s">
        <v>650</v>
      </c>
      <c r="B43" s="250"/>
      <c r="C43" s="245">
        <f>C44</f>
        <v>7</v>
      </c>
      <c r="D43" s="245">
        <f>D44</f>
        <v>1</v>
      </c>
      <c r="E43" s="245">
        <f>E44</f>
        <v>7</v>
      </c>
      <c r="F43" s="245">
        <f>F44</f>
        <v>6</v>
      </c>
      <c r="G43" s="245">
        <f>G44</f>
        <v>6</v>
      </c>
    </row>
    <row r="44" spans="1:7" s="176" customFormat="1" ht="25.5" customHeight="1" x14ac:dyDescent="0.25">
      <c r="A44" s="246" t="s">
        <v>499</v>
      </c>
      <c r="B44" s="242" t="s">
        <v>158</v>
      </c>
      <c r="C44" s="247">
        <v>7</v>
      </c>
      <c r="D44" s="247">
        <v>1</v>
      </c>
      <c r="E44" s="247">
        <v>7</v>
      </c>
      <c r="F44" s="247">
        <v>6</v>
      </c>
      <c r="G44" s="247">
        <v>6</v>
      </c>
    </row>
    <row r="45" spans="1:7" s="176" customFormat="1" ht="25.5" customHeight="1" x14ac:dyDescent="0.25">
      <c r="A45" s="243" t="s">
        <v>636</v>
      </c>
      <c r="B45" s="250"/>
      <c r="C45" s="245">
        <f>SUM(C46:C47)</f>
        <v>11</v>
      </c>
      <c r="D45" s="245">
        <f>SUM(D46:D47)</f>
        <v>1</v>
      </c>
      <c r="E45" s="245">
        <f>SUM(E46:E47)</f>
        <v>11</v>
      </c>
      <c r="F45" s="245">
        <f>SUM(F46:F47)</f>
        <v>10</v>
      </c>
      <c r="G45" s="245">
        <f>SUM(G46:G47)</f>
        <v>10</v>
      </c>
    </row>
    <row r="46" spans="1:7" s="176" customFormat="1" ht="25.5" customHeight="1" x14ac:dyDescent="0.25">
      <c r="A46" s="246" t="s">
        <v>652</v>
      </c>
      <c r="B46" s="242" t="s">
        <v>98</v>
      </c>
      <c r="C46" s="247">
        <v>1</v>
      </c>
      <c r="D46" s="247">
        <v>0</v>
      </c>
      <c r="E46" s="247">
        <v>1</v>
      </c>
      <c r="F46" s="247">
        <v>1</v>
      </c>
      <c r="G46" s="247">
        <v>1</v>
      </c>
    </row>
    <row r="47" spans="1:7" s="176" customFormat="1" ht="25.5" customHeight="1" x14ac:dyDescent="0.25">
      <c r="A47" s="246" t="s">
        <v>500</v>
      </c>
      <c r="B47" s="242" t="s">
        <v>139</v>
      </c>
      <c r="C47" s="247">
        <v>10</v>
      </c>
      <c r="D47" s="247">
        <v>1</v>
      </c>
      <c r="E47" s="247">
        <v>10</v>
      </c>
      <c r="F47" s="247">
        <v>9</v>
      </c>
      <c r="G47" s="247">
        <v>9</v>
      </c>
    </row>
    <row r="48" spans="1:7" s="176" customFormat="1" ht="25.5" customHeight="1" x14ac:dyDescent="0.25">
      <c r="A48" s="246" t="s">
        <v>653</v>
      </c>
      <c r="B48" s="242" t="s">
        <v>158</v>
      </c>
      <c r="C48" s="247">
        <v>0</v>
      </c>
      <c r="D48" s="247">
        <v>0</v>
      </c>
      <c r="E48" s="247">
        <v>0</v>
      </c>
      <c r="F48" s="247">
        <v>0</v>
      </c>
      <c r="G48" s="247">
        <v>0</v>
      </c>
    </row>
    <row r="49" spans="1:7" s="177" customFormat="1" ht="31.5" customHeight="1" x14ac:dyDescent="0.25">
      <c r="A49" s="243" t="s">
        <v>501</v>
      </c>
      <c r="B49" s="250"/>
      <c r="C49" s="245">
        <f>SUM(C50:C50)</f>
        <v>10</v>
      </c>
      <c r="D49" s="245">
        <f>SUM(D50:D50)</f>
        <v>2</v>
      </c>
      <c r="E49" s="245">
        <f>SUM(E50:E50)</f>
        <v>10</v>
      </c>
      <c r="F49" s="245">
        <f>SUM(F50:F50)</f>
        <v>8</v>
      </c>
      <c r="G49" s="245">
        <f>SUM(G50:G50)</f>
        <v>8</v>
      </c>
    </row>
    <row r="50" spans="1:7" s="176" customFormat="1" ht="32.25" customHeight="1" x14ac:dyDescent="0.25">
      <c r="A50" s="246" t="s">
        <v>651</v>
      </c>
      <c r="B50" s="242" t="s">
        <v>98</v>
      </c>
      <c r="C50" s="247">
        <v>10</v>
      </c>
      <c r="D50" s="247">
        <v>2</v>
      </c>
      <c r="E50" s="247">
        <v>10</v>
      </c>
      <c r="F50" s="247">
        <v>8</v>
      </c>
      <c r="G50" s="247">
        <v>8</v>
      </c>
    </row>
    <row r="51" spans="1:7" s="163" customFormat="1" ht="29.25" customHeight="1" x14ac:dyDescent="0.25">
      <c r="A51" s="1246" t="s">
        <v>502</v>
      </c>
      <c r="B51" s="1246"/>
      <c r="C51" s="251">
        <f>+C3+C14+C23+C19+C29+C32+C43+C49+C45+C26</f>
        <v>384</v>
      </c>
      <c r="D51" s="251">
        <f>+D3+D14+D23+D19+D29+D32+D43+D49+D45+D26</f>
        <v>27</v>
      </c>
      <c r="E51" s="251">
        <f>+E3+E14+E23+E19+E29+E32+E43+E49+E45+E26</f>
        <v>378.17499999999995</v>
      </c>
      <c r="F51" s="251">
        <f>+F3+F14+F23+F19+F29+F32+F43+F49+F45+F26</f>
        <v>353.17500000000001</v>
      </c>
      <c r="G51" s="251">
        <f>+G3+G14+G23+G19+G29+G32+G43+G49+G45+G26</f>
        <v>366</v>
      </c>
    </row>
  </sheetData>
  <mergeCells count="2">
    <mergeCell ref="A51:B51"/>
    <mergeCell ref="A1:G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portrait" r:id="rId1"/>
  <headerFooter>
    <oddHeader>&amp;C2021. évi költségvetés&amp;R&amp;A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zoomScaleSheetLayoutView="100" workbookViewId="0">
      <selection activeCell="I24" sqref="I24"/>
    </sheetView>
  </sheetViews>
  <sheetFormatPr defaultRowHeight="12.75" x14ac:dyDescent="0.2"/>
  <cols>
    <col min="1" max="1" width="4.28515625" customWidth="1"/>
    <col min="4" max="4" width="14.42578125" customWidth="1"/>
    <col min="5" max="5" width="14.7109375" customWidth="1"/>
    <col min="6" max="6" width="15.7109375" customWidth="1"/>
    <col min="7" max="7" width="13.140625" customWidth="1"/>
    <col min="8" max="8" width="13.7109375" customWidth="1"/>
  </cols>
  <sheetData>
    <row r="1" spans="1:8" ht="32.25" customHeight="1" x14ac:dyDescent="0.2">
      <c r="A1" s="1248" t="s">
        <v>1161</v>
      </c>
      <c r="B1" s="1248"/>
      <c r="C1" s="1248"/>
      <c r="D1" s="1248"/>
      <c r="E1" s="1248"/>
      <c r="F1" s="1248"/>
      <c r="G1" s="1248"/>
      <c r="H1" s="1248"/>
    </row>
    <row r="2" spans="1:8" x14ac:dyDescent="0.2">
      <c r="A2" s="22"/>
      <c r="B2" s="22"/>
      <c r="C2" s="22"/>
      <c r="D2" s="22"/>
      <c r="E2" s="22"/>
      <c r="F2" s="22"/>
      <c r="G2" s="22"/>
      <c r="H2" s="22"/>
    </row>
    <row r="3" spans="1:8" x14ac:dyDescent="0.2">
      <c r="A3" s="418" t="s">
        <v>749</v>
      </c>
      <c r="B3" s="418"/>
      <c r="C3" s="418"/>
      <c r="D3" s="418"/>
      <c r="E3" s="418"/>
      <c r="F3" s="420"/>
      <c r="G3" s="420"/>
      <c r="H3" s="51" t="s">
        <v>458</v>
      </c>
    </row>
    <row r="4" spans="1:8" ht="71.25" customHeight="1" x14ac:dyDescent="0.2">
      <c r="A4" s="421" t="s">
        <v>750</v>
      </c>
      <c r="B4" s="1249" t="s">
        <v>751</v>
      </c>
      <c r="C4" s="1249"/>
      <c r="D4" s="1250"/>
      <c r="E4" s="422" t="s">
        <v>752</v>
      </c>
      <c r="F4" s="423" t="s">
        <v>753</v>
      </c>
      <c r="G4" s="424" t="s">
        <v>754</v>
      </c>
      <c r="H4" s="425" t="s">
        <v>755</v>
      </c>
    </row>
    <row r="5" spans="1:8" ht="18.75" customHeight="1" x14ac:dyDescent="0.2">
      <c r="A5" s="523" t="s">
        <v>203</v>
      </c>
      <c r="B5" s="1251" t="s">
        <v>756</v>
      </c>
      <c r="C5" s="1252"/>
      <c r="D5" s="1253"/>
      <c r="E5" s="506"/>
      <c r="F5" s="909">
        <v>5500000</v>
      </c>
      <c r="G5" s="506"/>
      <c r="H5" s="507"/>
    </row>
    <row r="6" spans="1:8" ht="18.75" customHeight="1" x14ac:dyDescent="0.2">
      <c r="A6" s="524" t="s">
        <v>204</v>
      </c>
      <c r="B6" s="1254" t="s">
        <v>757</v>
      </c>
      <c r="C6" s="1255"/>
      <c r="D6" s="1256"/>
      <c r="E6" s="508"/>
      <c r="F6" s="509"/>
      <c r="G6" s="508"/>
      <c r="H6" s="510"/>
    </row>
    <row r="7" spans="1:8" ht="18.75" customHeight="1" x14ac:dyDescent="0.2">
      <c r="A7" s="525" t="s">
        <v>205</v>
      </c>
      <c r="B7" s="1257" t="s">
        <v>758</v>
      </c>
      <c r="C7" s="1258"/>
      <c r="D7" s="1259"/>
      <c r="E7" s="511"/>
      <c r="F7" s="512"/>
      <c r="G7" s="511"/>
      <c r="H7" s="513"/>
    </row>
    <row r="8" spans="1:8" ht="20.25" customHeight="1" x14ac:dyDescent="0.2">
      <c r="A8" s="1260" t="s">
        <v>759</v>
      </c>
      <c r="B8" s="1261"/>
      <c r="C8" s="1261"/>
      <c r="D8" s="1262"/>
      <c r="E8" s="517">
        <f>SUM(E5:E7)</f>
        <v>0</v>
      </c>
      <c r="F8" s="517">
        <f>SUM(F5:F7)</f>
        <v>5500000</v>
      </c>
      <c r="G8" s="518">
        <f>SUM(G5:G7)</f>
        <v>0</v>
      </c>
      <c r="H8" s="519">
        <f>SUM(H5:H7)</f>
        <v>0</v>
      </c>
    </row>
    <row r="9" spans="1:8" x14ac:dyDescent="0.2">
      <c r="A9" s="426"/>
      <c r="B9" s="426"/>
      <c r="C9" s="426"/>
      <c r="D9" s="427"/>
      <c r="E9" s="428"/>
      <c r="F9" s="429"/>
      <c r="G9" s="429"/>
      <c r="H9" s="22"/>
    </row>
    <row r="10" spans="1:8" x14ac:dyDescent="0.2">
      <c r="A10" s="419" t="s">
        <v>760</v>
      </c>
      <c r="B10" s="430"/>
      <c r="C10" s="430"/>
      <c r="D10" s="430"/>
      <c r="E10" s="430"/>
      <c r="F10" s="429"/>
      <c r="G10" s="429"/>
      <c r="H10" s="22"/>
    </row>
    <row r="11" spans="1:8" x14ac:dyDescent="0.2">
      <c r="A11" s="431"/>
      <c r="B11" s="431"/>
      <c r="C11" s="431"/>
      <c r="D11" s="431"/>
      <c r="E11" s="431"/>
      <c r="F11" s="429"/>
      <c r="G11" s="429"/>
      <c r="H11" s="22"/>
    </row>
    <row r="12" spans="1:8" x14ac:dyDescent="0.2">
      <c r="A12" s="432" t="s">
        <v>761</v>
      </c>
      <c r="B12" s="432"/>
      <c r="C12" s="432"/>
      <c r="D12" s="432"/>
      <c r="E12" s="432"/>
      <c r="F12" s="420"/>
      <c r="G12" s="420"/>
      <c r="H12" s="22"/>
    </row>
    <row r="13" spans="1:8" ht="70.5" customHeight="1" x14ac:dyDescent="0.2">
      <c r="A13" s="433" t="s">
        <v>750</v>
      </c>
      <c r="B13" s="1263" t="s">
        <v>751</v>
      </c>
      <c r="C13" s="1263"/>
      <c r="D13" s="1263"/>
      <c r="E13" s="422" t="s">
        <v>752</v>
      </c>
      <c r="F13" s="423" t="s">
        <v>753</v>
      </c>
      <c r="G13" s="424" t="s">
        <v>754</v>
      </c>
      <c r="H13" s="425" t="s">
        <v>755</v>
      </c>
    </row>
    <row r="14" spans="1:8" ht="18.75" customHeight="1" x14ac:dyDescent="0.2">
      <c r="A14" s="526" t="s">
        <v>203</v>
      </c>
      <c r="B14" s="1264" t="s">
        <v>762</v>
      </c>
      <c r="C14" s="1265"/>
      <c r="D14" s="1266"/>
      <c r="E14" s="514"/>
      <c r="F14" s="886">
        <v>2350000</v>
      </c>
      <c r="G14" s="514"/>
      <c r="H14" s="514"/>
    </row>
    <row r="15" spans="1:8" ht="18.75" customHeight="1" x14ac:dyDescent="0.2">
      <c r="A15" s="527" t="s">
        <v>204</v>
      </c>
      <c r="B15" s="1267" t="s">
        <v>763</v>
      </c>
      <c r="C15" s="1268"/>
      <c r="D15" s="1269"/>
      <c r="E15" s="515"/>
      <c r="F15" s="887">
        <v>6000000</v>
      </c>
      <c r="G15" s="515"/>
      <c r="H15" s="515"/>
    </row>
    <row r="16" spans="1:8" ht="18.75" customHeight="1" x14ac:dyDescent="0.2">
      <c r="A16" s="527" t="s">
        <v>205</v>
      </c>
      <c r="B16" s="1267" t="s">
        <v>764</v>
      </c>
      <c r="C16" s="1268"/>
      <c r="D16" s="1269"/>
      <c r="E16" s="515"/>
      <c r="F16" s="887">
        <v>7600000</v>
      </c>
      <c r="G16" s="515"/>
      <c r="H16" s="515"/>
    </row>
    <row r="17" spans="1:10" ht="18.75" customHeight="1" x14ac:dyDescent="0.2">
      <c r="A17" s="527" t="s">
        <v>206</v>
      </c>
      <c r="B17" s="1267" t="s">
        <v>765</v>
      </c>
      <c r="C17" s="1268"/>
      <c r="D17" s="1269"/>
      <c r="E17" s="515"/>
      <c r="F17" s="887">
        <v>1000000</v>
      </c>
      <c r="G17" s="515"/>
      <c r="H17" s="515"/>
    </row>
    <row r="18" spans="1:10" ht="18.75" customHeight="1" x14ac:dyDescent="0.2">
      <c r="A18" s="527" t="s">
        <v>207</v>
      </c>
      <c r="B18" s="1267" t="s">
        <v>766</v>
      </c>
      <c r="C18" s="1268"/>
      <c r="D18" s="1269"/>
      <c r="E18" s="515"/>
      <c r="F18" s="887"/>
      <c r="G18" s="515"/>
      <c r="H18" s="515"/>
    </row>
    <row r="19" spans="1:10" ht="18.75" customHeight="1" x14ac:dyDescent="0.2">
      <c r="A19" s="527" t="s">
        <v>208</v>
      </c>
      <c r="B19" s="1267" t="s">
        <v>767</v>
      </c>
      <c r="C19" s="1268"/>
      <c r="D19" s="1269"/>
      <c r="E19" s="515"/>
      <c r="F19" s="887">
        <v>2500000</v>
      </c>
      <c r="G19" s="515"/>
      <c r="H19" s="515"/>
    </row>
    <row r="20" spans="1:10" ht="18.75" customHeight="1" x14ac:dyDescent="0.2">
      <c r="A20" s="528" t="s">
        <v>209</v>
      </c>
      <c r="B20" s="1273" t="s">
        <v>768</v>
      </c>
      <c r="C20" s="1274"/>
      <c r="D20" s="1275"/>
      <c r="E20" s="516"/>
      <c r="F20" s="888">
        <v>100000</v>
      </c>
      <c r="G20" s="516"/>
      <c r="H20" s="516"/>
    </row>
    <row r="21" spans="1:10" ht="24" customHeight="1" x14ac:dyDescent="0.2">
      <c r="A21" s="1276" t="s">
        <v>759</v>
      </c>
      <c r="B21" s="1277"/>
      <c r="C21" s="1277"/>
      <c r="D21" s="1278"/>
      <c r="E21" s="520">
        <f>SUM(E14:E20)</f>
        <v>0</v>
      </c>
      <c r="F21" s="521">
        <f>SUM(F14:F20)</f>
        <v>19550000</v>
      </c>
      <c r="G21" s="522">
        <f>SUM(G14:G20)</f>
        <v>0</v>
      </c>
      <c r="H21" s="522">
        <f>SUM(H14:H20)</f>
        <v>0</v>
      </c>
    </row>
    <row r="22" spans="1:10" x14ac:dyDescent="0.2">
      <c r="A22" s="431"/>
      <c r="B22" s="431"/>
      <c r="C22" s="431"/>
      <c r="D22" s="431"/>
      <c r="E22" s="431"/>
      <c r="F22" s="429"/>
      <c r="G22" s="429"/>
      <c r="H22" s="22"/>
    </row>
    <row r="23" spans="1:10" x14ac:dyDescent="0.2">
      <c r="A23" s="1279" t="s">
        <v>769</v>
      </c>
      <c r="B23" s="1279"/>
      <c r="C23" s="1279"/>
      <c r="D23" s="1279"/>
      <c r="E23" s="1279"/>
      <c r="F23" s="1279"/>
      <c r="G23" s="1279"/>
      <c r="H23" s="1279"/>
      <c r="I23" s="1279"/>
      <c r="J23" s="1279"/>
    </row>
    <row r="24" spans="1:10" ht="74.25" customHeight="1" x14ac:dyDescent="0.2">
      <c r="A24" s="434" t="s">
        <v>750</v>
      </c>
      <c r="B24" s="1249" t="s">
        <v>751</v>
      </c>
      <c r="C24" s="1249"/>
      <c r="D24" s="1250"/>
      <c r="E24" s="422" t="s">
        <v>752</v>
      </c>
      <c r="F24" s="423" t="s">
        <v>753</v>
      </c>
      <c r="G24" s="424" t="s">
        <v>754</v>
      </c>
      <c r="H24" s="425" t="s">
        <v>755</v>
      </c>
    </row>
    <row r="25" spans="1:10" ht="20.25" customHeight="1" x14ac:dyDescent="0.2">
      <c r="A25" s="435" t="s">
        <v>203</v>
      </c>
      <c r="B25" s="1270" t="s">
        <v>770</v>
      </c>
      <c r="C25" s="1270"/>
      <c r="D25" s="1270"/>
      <c r="E25" s="436"/>
      <c r="F25" s="437"/>
      <c r="G25" s="436"/>
      <c r="H25" s="436"/>
    </row>
    <row r="26" spans="1:10" ht="20.25" customHeight="1" x14ac:dyDescent="0.2">
      <c r="A26" s="438" t="s">
        <v>204</v>
      </c>
      <c r="B26" s="1271" t="s">
        <v>771</v>
      </c>
      <c r="C26" s="1271"/>
      <c r="D26" s="1271"/>
      <c r="E26" s="439"/>
      <c r="F26" s="910">
        <v>5100000</v>
      </c>
      <c r="G26" s="439"/>
      <c r="H26" s="439"/>
    </row>
    <row r="27" spans="1:10" ht="23.25" customHeight="1" x14ac:dyDescent="0.2">
      <c r="A27" s="1272" t="s">
        <v>759</v>
      </c>
      <c r="B27" s="1272"/>
      <c r="C27" s="1272"/>
      <c r="D27" s="1272"/>
      <c r="E27" s="440">
        <f>SUM(E25:E26)</f>
        <v>0</v>
      </c>
      <c r="F27" s="441">
        <f>SUM(F25:F26)</f>
        <v>5100000</v>
      </c>
      <c r="G27" s="440">
        <f>SUM(G25:G26)</f>
        <v>0</v>
      </c>
      <c r="H27" s="440">
        <f>SUM(H25:H26)</f>
        <v>0</v>
      </c>
    </row>
    <row r="28" spans="1:10" x14ac:dyDescent="0.2">
      <c r="A28" s="442"/>
      <c r="B28" s="442"/>
      <c r="C28" s="443"/>
      <c r="D28" s="444"/>
      <c r="E28" s="444"/>
      <c r="F28" s="429"/>
      <c r="G28" s="429"/>
      <c r="H28" s="22"/>
    </row>
    <row r="29" spans="1:10" x14ac:dyDescent="0.2">
      <c r="A29" s="419" t="s">
        <v>772</v>
      </c>
      <c r="B29" s="419"/>
      <c r="C29" s="419"/>
      <c r="D29" s="419"/>
      <c r="E29" s="419"/>
      <c r="F29" s="445"/>
      <c r="G29" s="445"/>
      <c r="H29" s="22"/>
    </row>
  </sheetData>
  <mergeCells count="20">
    <mergeCell ref="B26:D26"/>
    <mergeCell ref="A27:D27"/>
    <mergeCell ref="B18:D18"/>
    <mergeCell ref="B19:D19"/>
    <mergeCell ref="B20:D20"/>
    <mergeCell ref="A21:D21"/>
    <mergeCell ref="A23:J23"/>
    <mergeCell ref="B24:D24"/>
    <mergeCell ref="B13:D13"/>
    <mergeCell ref="B14:D14"/>
    <mergeCell ref="B15:D15"/>
    <mergeCell ref="B16:D16"/>
    <mergeCell ref="B17:D17"/>
    <mergeCell ref="B25:D25"/>
    <mergeCell ref="A1:H1"/>
    <mergeCell ref="B4:D4"/>
    <mergeCell ref="B5:D5"/>
    <mergeCell ref="B6:D6"/>
    <mergeCell ref="B7:D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&amp;C2021. évi költségvetés&amp;R&amp;A</oddHeader>
    <oddFooter xml:space="preserve">&amp;C&amp;P/&amp;N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topLeftCell="A32" zoomScale="80" zoomScaleNormal="100" zoomScaleSheetLayoutView="80" workbookViewId="0">
      <selection activeCell="D27" sqref="D27"/>
    </sheetView>
  </sheetViews>
  <sheetFormatPr defaultColWidth="8.85546875" defaultRowHeight="15" x14ac:dyDescent="0.25"/>
  <cols>
    <col min="1" max="1" width="5.140625" style="20" customWidth="1"/>
    <col min="2" max="2" width="61.42578125" style="20" customWidth="1"/>
    <col min="3" max="3" width="7.140625" style="20" bestFit="1" customWidth="1"/>
    <col min="4" max="4" width="17" style="20" customWidth="1"/>
    <col min="5" max="5" width="3.85546875" style="20" customWidth="1"/>
    <col min="6" max="6" width="68.140625" style="20" customWidth="1"/>
    <col min="7" max="7" width="7.140625" style="20" bestFit="1" customWidth="1"/>
    <col min="8" max="8" width="17.140625" style="20" customWidth="1"/>
    <col min="9" max="9" width="17.7109375" style="891" bestFit="1" customWidth="1"/>
    <col min="10" max="10" width="17.42578125" style="891" bestFit="1" customWidth="1"/>
    <col min="11" max="16384" width="8.85546875" style="20"/>
  </cols>
  <sheetData>
    <row r="1" spans="1:10" ht="35.450000000000003" customHeight="1" x14ac:dyDescent="0.25">
      <c r="A1" s="1280" t="s">
        <v>1187</v>
      </c>
      <c r="B1" s="1280"/>
      <c r="C1" s="1280"/>
      <c r="D1" s="1280"/>
      <c r="E1" s="1280"/>
      <c r="F1" s="1280"/>
      <c r="G1" s="1280"/>
      <c r="H1" s="1280"/>
    </row>
    <row r="2" spans="1:10" s="644" customFormat="1" ht="3.75" customHeight="1" x14ac:dyDescent="0.2">
      <c r="A2" s="643"/>
      <c r="B2" s="643"/>
      <c r="C2" s="643"/>
      <c r="D2" s="643"/>
      <c r="E2" s="643"/>
      <c r="F2" s="643"/>
      <c r="G2" s="643"/>
      <c r="H2" s="643"/>
      <c r="I2" s="892"/>
      <c r="J2" s="892"/>
    </row>
    <row r="3" spans="1:10" s="644" customFormat="1" ht="23.25" customHeight="1" x14ac:dyDescent="0.2">
      <c r="A3" s="645"/>
      <c r="B3" s="645"/>
      <c r="C3" s="645"/>
      <c r="D3" s="645"/>
      <c r="E3" s="645"/>
      <c r="F3" s="20"/>
      <c r="G3" s="20"/>
      <c r="H3" s="646" t="s">
        <v>458</v>
      </c>
      <c r="I3" s="892"/>
      <c r="J3" s="892"/>
    </row>
    <row r="4" spans="1:10" ht="18.75" x14ac:dyDescent="0.25">
      <c r="A4" s="1281" t="s">
        <v>37</v>
      </c>
      <c r="B4" s="1282" t="s">
        <v>1162</v>
      </c>
      <c r="C4" s="1283"/>
      <c r="D4" s="1283"/>
      <c r="E4" s="647"/>
      <c r="F4" s="1282" t="s">
        <v>267</v>
      </c>
      <c r="G4" s="1283"/>
      <c r="H4" s="1283"/>
    </row>
    <row r="5" spans="1:10" ht="36" customHeight="1" x14ac:dyDescent="0.25">
      <c r="A5" s="1281"/>
      <c r="B5" s="648" t="s">
        <v>2</v>
      </c>
      <c r="C5" s="648" t="s">
        <v>55</v>
      </c>
      <c r="D5" s="648" t="s">
        <v>1188</v>
      </c>
      <c r="E5" s="649"/>
      <c r="F5" s="648" t="s">
        <v>2</v>
      </c>
      <c r="G5" s="648" t="s">
        <v>55</v>
      </c>
      <c r="H5" s="648" t="s">
        <v>1188</v>
      </c>
    </row>
    <row r="6" spans="1:10" ht="22.5" customHeight="1" x14ac:dyDescent="0.25">
      <c r="A6" s="633" t="s">
        <v>203</v>
      </c>
      <c r="B6" s="650" t="s">
        <v>52</v>
      </c>
      <c r="C6" s="128" t="s">
        <v>224</v>
      </c>
      <c r="D6" s="651">
        <f>+'3. sz.Városi szintű összesen'!G30</f>
        <v>1656698953</v>
      </c>
      <c r="E6" s="652"/>
      <c r="F6" s="653" t="s">
        <v>345</v>
      </c>
      <c r="G6" s="125" t="s">
        <v>214</v>
      </c>
      <c r="H6" s="651">
        <f>+'3. sz.Városi szintű összesen'!G8</f>
        <v>2156697969</v>
      </c>
    </row>
    <row r="7" spans="1:10" ht="22.5" customHeight="1" x14ac:dyDescent="0.25">
      <c r="A7" s="633" t="s">
        <v>204</v>
      </c>
      <c r="B7" s="650" t="s">
        <v>235</v>
      </c>
      <c r="C7" s="128" t="s">
        <v>225</v>
      </c>
      <c r="D7" s="651">
        <f>+'3. sz.Városi szintű összesen'!G31</f>
        <v>0</v>
      </c>
      <c r="E7" s="652"/>
      <c r="F7" s="650" t="s">
        <v>215</v>
      </c>
      <c r="G7" s="125" t="s">
        <v>216</v>
      </c>
      <c r="H7" s="651">
        <f>+'3. sz.Városi szintű összesen'!G9</f>
        <v>374420063</v>
      </c>
    </row>
    <row r="8" spans="1:10" ht="22.5" customHeight="1" x14ac:dyDescent="0.25">
      <c r="A8" s="633" t="s">
        <v>205</v>
      </c>
      <c r="B8" s="650" t="s">
        <v>234</v>
      </c>
      <c r="C8" s="128" t="s">
        <v>226</v>
      </c>
      <c r="D8" s="651">
        <f>+'3. sz.Városi szintű összesen'!G32</f>
        <v>3823624585</v>
      </c>
      <c r="E8" s="652"/>
      <c r="F8" s="650" t="s">
        <v>346</v>
      </c>
      <c r="G8" s="125" t="s">
        <v>217</v>
      </c>
      <c r="H8" s="651">
        <f>+'3. sz.Városi szintű összesen'!G10</f>
        <v>2288857050</v>
      </c>
    </row>
    <row r="9" spans="1:10" ht="22.5" customHeight="1" x14ac:dyDescent="0.25">
      <c r="A9" s="633" t="s">
        <v>206</v>
      </c>
      <c r="B9" s="654" t="s">
        <v>1163</v>
      </c>
      <c r="C9" s="128" t="s">
        <v>227</v>
      </c>
      <c r="D9" s="651">
        <f>+'3. sz.Városi szintű összesen'!G33</f>
        <v>420797576</v>
      </c>
      <c r="E9" s="652"/>
      <c r="F9" s="654" t="s">
        <v>347</v>
      </c>
      <c r="G9" s="125" t="s">
        <v>218</v>
      </c>
      <c r="H9" s="651">
        <f>+'3. sz.Városi szintű összesen'!G11</f>
        <v>41000000</v>
      </c>
    </row>
    <row r="10" spans="1:10" ht="22.5" customHeight="1" x14ac:dyDescent="0.25">
      <c r="A10" s="633" t="s">
        <v>207</v>
      </c>
      <c r="B10" s="650" t="s">
        <v>257</v>
      </c>
      <c r="C10" s="128" t="s">
        <v>228</v>
      </c>
      <c r="D10" s="651">
        <f>+'3. sz.Városi szintű összesen'!G34</f>
        <v>62752000</v>
      </c>
      <c r="E10" s="652"/>
      <c r="F10" s="654" t="s">
        <v>249</v>
      </c>
      <c r="G10" s="125" t="s">
        <v>219</v>
      </c>
      <c r="H10" s="651">
        <f>+'3. sz.Városi szintű összesen'!G12</f>
        <v>2157098779</v>
      </c>
    </row>
    <row r="11" spans="1:10" ht="22.5" customHeight="1" x14ac:dyDescent="0.25">
      <c r="A11" s="633" t="s">
        <v>208</v>
      </c>
      <c r="B11" s="650" t="s">
        <v>252</v>
      </c>
      <c r="C11" s="128" t="s">
        <v>229</v>
      </c>
      <c r="D11" s="651">
        <f>+'3. sz.Városi szintű összesen'!G35</f>
        <v>0</v>
      </c>
      <c r="E11" s="652"/>
      <c r="F11" s="650" t="s">
        <v>256</v>
      </c>
      <c r="G11" s="125" t="s">
        <v>220</v>
      </c>
      <c r="H11" s="651">
        <f>+'3. sz.Városi szintű összesen'!G16</f>
        <v>913099698</v>
      </c>
    </row>
    <row r="12" spans="1:10" ht="22.5" customHeight="1" x14ac:dyDescent="0.25">
      <c r="A12" s="633" t="s">
        <v>209</v>
      </c>
      <c r="B12" s="650" t="s">
        <v>253</v>
      </c>
      <c r="C12" s="128" t="s">
        <v>230</v>
      </c>
      <c r="D12" s="651">
        <f>+'3. sz.Városi szintű összesen'!G36</f>
        <v>4974400</v>
      </c>
      <c r="E12" s="652"/>
      <c r="F12" s="654" t="s">
        <v>348</v>
      </c>
      <c r="G12" s="125" t="s">
        <v>221</v>
      </c>
      <c r="H12" s="651">
        <f>+'3. sz.Városi szintű összesen'!G17</f>
        <v>192425195</v>
      </c>
    </row>
    <row r="13" spans="1:10" ht="22.5" customHeight="1" x14ac:dyDescent="0.25">
      <c r="A13" s="633" t="s">
        <v>210</v>
      </c>
      <c r="B13" s="128"/>
      <c r="C13" s="128"/>
      <c r="D13" s="651"/>
      <c r="E13" s="652"/>
      <c r="F13" s="654" t="s">
        <v>250</v>
      </c>
      <c r="G13" s="125" t="s">
        <v>222</v>
      </c>
      <c r="H13" s="651">
        <f>+'3. sz.Városi szintű összesen'!G18</f>
        <v>22320000</v>
      </c>
    </row>
    <row r="14" spans="1:10" ht="22.5" customHeight="1" x14ac:dyDescent="0.25">
      <c r="A14" s="633" t="s">
        <v>211</v>
      </c>
      <c r="B14" s="129" t="s">
        <v>254</v>
      </c>
      <c r="C14" s="128" t="s">
        <v>231</v>
      </c>
      <c r="D14" s="655">
        <f>SUM(D6:D13)</f>
        <v>5968847514</v>
      </c>
      <c r="E14" s="652"/>
      <c r="F14" s="128" t="s">
        <v>251</v>
      </c>
      <c r="G14" s="129" t="s">
        <v>223</v>
      </c>
      <c r="H14" s="655">
        <f>SUM(H6:H13)</f>
        <v>8145918754</v>
      </c>
      <c r="I14" s="891">
        <f>+'3. sz.Városi szintű összesen'!G37</f>
        <v>5968847514</v>
      </c>
      <c r="J14" s="891">
        <f>+'3. sz.Városi szintű összesen'!G20</f>
        <v>8145918754</v>
      </c>
    </row>
    <row r="15" spans="1:10" ht="22.5" customHeight="1" x14ac:dyDescent="0.25">
      <c r="A15" s="633" t="s">
        <v>212</v>
      </c>
      <c r="B15" s="654" t="s">
        <v>1164</v>
      </c>
      <c r="C15" s="128"/>
      <c r="D15" s="651">
        <f>D6+D9+D8+D11</f>
        <v>5901121114</v>
      </c>
      <c r="E15" s="652"/>
      <c r="F15" s="650" t="s">
        <v>1165</v>
      </c>
      <c r="G15" s="654"/>
      <c r="H15" s="651">
        <f>H6+H8+H9+H10+H7</f>
        <v>7018073861</v>
      </c>
    </row>
    <row r="16" spans="1:10" ht="22.5" customHeight="1" x14ac:dyDescent="0.25">
      <c r="A16" s="633" t="s">
        <v>213</v>
      </c>
      <c r="B16" s="654" t="s">
        <v>1166</v>
      </c>
      <c r="C16" s="128"/>
      <c r="D16" s="651">
        <f>D7+D10+D12</f>
        <v>67726400</v>
      </c>
      <c r="E16" s="652"/>
      <c r="F16" s="650" t="s">
        <v>1167</v>
      </c>
      <c r="G16" s="128"/>
      <c r="H16" s="651">
        <f>H11+H12+H13</f>
        <v>1127844893</v>
      </c>
    </row>
    <row r="17" spans="1:10" ht="22.5" customHeight="1" x14ac:dyDescent="0.25">
      <c r="A17" s="633" t="s">
        <v>240</v>
      </c>
      <c r="B17" s="128" t="s">
        <v>255</v>
      </c>
      <c r="C17" s="129" t="s">
        <v>233</v>
      </c>
      <c r="D17" s="655">
        <f>SUM(D18:D23)</f>
        <v>5311818130</v>
      </c>
      <c r="E17" s="652"/>
      <c r="F17" s="128" t="s">
        <v>236</v>
      </c>
      <c r="G17" s="128" t="s">
        <v>232</v>
      </c>
      <c r="H17" s="655">
        <f>SUM(H18:H22)</f>
        <v>3134746890</v>
      </c>
      <c r="I17" s="891">
        <f>+'3. sz.Városi szintű összesen'!G38</f>
        <v>5311818130</v>
      </c>
      <c r="J17" s="891">
        <f>+'3. sz.Városi szintű összesen'!G21</f>
        <v>3134746890</v>
      </c>
    </row>
    <row r="18" spans="1:10" ht="22.5" customHeight="1" x14ac:dyDescent="0.25">
      <c r="A18" s="633" t="s">
        <v>241</v>
      </c>
      <c r="B18" s="656" t="s">
        <v>1168</v>
      </c>
      <c r="C18" s="654"/>
      <c r="D18" s="651">
        <f>+'3. sz.Városi szintű összesen'!G40</f>
        <v>1410758710</v>
      </c>
      <c r="E18" s="652"/>
      <c r="F18" s="656" t="s">
        <v>1169</v>
      </c>
      <c r="G18" s="650"/>
      <c r="H18" s="651">
        <f>+'3. sz.Városi szintű összesen'!G22</f>
        <v>62766147</v>
      </c>
    </row>
    <row r="19" spans="1:10" ht="22.5" customHeight="1" x14ac:dyDescent="0.25">
      <c r="A19" s="633" t="s">
        <v>242</v>
      </c>
      <c r="B19" s="650" t="s">
        <v>1170</v>
      </c>
      <c r="C19" s="654"/>
      <c r="D19" s="651">
        <f>+'3. sz.Városi szintű összesen'!G41</f>
        <v>857261301</v>
      </c>
      <c r="E19" s="652"/>
      <c r="F19" s="650" t="s">
        <v>1171</v>
      </c>
      <c r="G19" s="128"/>
      <c r="H19" s="651">
        <f>+'3. sz.Városi szintű összesen'!G23</f>
        <v>2989846329</v>
      </c>
    </row>
    <row r="20" spans="1:10" ht="22.5" customHeight="1" x14ac:dyDescent="0.25">
      <c r="A20" s="633" t="s">
        <v>243</v>
      </c>
      <c r="B20" s="650" t="s">
        <v>570</v>
      </c>
      <c r="C20" s="650"/>
      <c r="D20" s="651">
        <f>+'3. sz.Városi szintű összesen'!G42</f>
        <v>2989846329</v>
      </c>
      <c r="E20" s="652"/>
      <c r="F20" s="650" t="s">
        <v>1172</v>
      </c>
      <c r="G20" s="657"/>
      <c r="H20" s="651">
        <f>+'3. sz.Városi szintű összesen'!G24</f>
        <v>53951790</v>
      </c>
    </row>
    <row r="21" spans="1:10" ht="22.5" customHeight="1" x14ac:dyDescent="0.25">
      <c r="A21" s="633" t="s">
        <v>244</v>
      </c>
      <c r="B21" s="650" t="s">
        <v>571</v>
      </c>
      <c r="C21" s="650"/>
      <c r="D21" s="651">
        <f>+'3. sz.Városi szintű összesen'!G43</f>
        <v>53951790</v>
      </c>
      <c r="E21" s="652"/>
      <c r="F21" s="650" t="s">
        <v>134</v>
      </c>
      <c r="G21" s="658"/>
      <c r="H21" s="651">
        <f>+'3. sz.Városi szintű összesen'!G25</f>
        <v>28182624</v>
      </c>
    </row>
    <row r="22" spans="1:10" ht="22.5" customHeight="1" x14ac:dyDescent="0.25">
      <c r="A22" s="633" t="s">
        <v>245</v>
      </c>
      <c r="B22" s="656" t="s">
        <v>1173</v>
      </c>
      <c r="C22" s="650"/>
      <c r="D22" s="651">
        <f>+'[4]3. sz.Városi szintű összesen'!G44</f>
        <v>0</v>
      </c>
      <c r="E22" s="652"/>
      <c r="F22" s="656" t="s">
        <v>1174</v>
      </c>
      <c r="G22" s="658"/>
      <c r="H22" s="651">
        <f>+'3. sz.Városi szintű összesen'!G26</f>
        <v>0</v>
      </c>
    </row>
    <row r="23" spans="1:10" ht="22.5" customHeight="1" x14ac:dyDescent="0.25">
      <c r="A23" s="633" t="s">
        <v>246</v>
      </c>
      <c r="B23" s="656" t="s">
        <v>1175</v>
      </c>
      <c r="C23" s="650"/>
      <c r="D23" s="651">
        <f>+'[4]3. sz.Városi szintű összesen'!G45</f>
        <v>0</v>
      </c>
      <c r="E23" s="652"/>
      <c r="F23" s="128"/>
      <c r="G23" s="658"/>
      <c r="H23" s="651"/>
    </row>
    <row r="24" spans="1:10" ht="22.5" customHeight="1" x14ac:dyDescent="0.25">
      <c r="A24" s="633"/>
      <c r="B24" s="656" t="s">
        <v>1176</v>
      </c>
      <c r="C24" s="650"/>
      <c r="D24" s="651">
        <f>+'[4]3. sz.Városi szintű összesen'!G39</f>
        <v>0</v>
      </c>
      <c r="E24" s="652"/>
      <c r="F24" s="128"/>
      <c r="G24" s="658"/>
      <c r="H24" s="651"/>
    </row>
    <row r="25" spans="1:10" ht="31.5" x14ac:dyDescent="0.25">
      <c r="A25" s="633" t="s">
        <v>247</v>
      </c>
      <c r="B25" s="128" t="s">
        <v>120</v>
      </c>
      <c r="C25" s="650"/>
      <c r="D25" s="651">
        <f>+D6+D8+D9+D11+D18+D20+D23+D24</f>
        <v>10301726153</v>
      </c>
      <c r="E25" s="652"/>
      <c r="F25" s="128" t="s">
        <v>32</v>
      </c>
      <c r="G25" s="658"/>
      <c r="H25" s="651">
        <f>+H6+H7+H8+H9+H10+H18+H19+H22</f>
        <v>10070686337</v>
      </c>
    </row>
    <row r="26" spans="1:10" ht="31.5" x14ac:dyDescent="0.25">
      <c r="A26" s="633" t="s">
        <v>248</v>
      </c>
      <c r="B26" s="128" t="s">
        <v>121</v>
      </c>
      <c r="C26" s="650"/>
      <c r="D26" s="651">
        <f>+D7+D10+D12+D19+D21+D22</f>
        <v>978939491</v>
      </c>
      <c r="E26" s="652"/>
      <c r="F26" s="128" t="s">
        <v>33</v>
      </c>
      <c r="G26" s="658"/>
      <c r="H26" s="651">
        <f>+H11+H12+H13+H20+H21</f>
        <v>1209979307</v>
      </c>
    </row>
    <row r="27" spans="1:10" ht="23.25" customHeight="1" x14ac:dyDescent="0.25">
      <c r="A27" s="633" t="s">
        <v>276</v>
      </c>
      <c r="B27" s="659" t="s">
        <v>344</v>
      </c>
      <c r="C27" s="660" t="s">
        <v>955</v>
      </c>
      <c r="D27" s="661">
        <f>+D25+D26</f>
        <v>11280665644</v>
      </c>
      <c r="E27" s="662"/>
      <c r="F27" s="660" t="s">
        <v>343</v>
      </c>
      <c r="G27" s="660" t="s">
        <v>31</v>
      </c>
      <c r="H27" s="661">
        <f>SUM(H25:H26)</f>
        <v>11280665644</v>
      </c>
      <c r="I27" s="891">
        <f>+'3. sz.Városi szintű összesen'!G48</f>
        <v>11280665644</v>
      </c>
      <c r="J27" s="891">
        <f>+'3. sz.Városi szintű összesen'!G29</f>
        <v>11280665644</v>
      </c>
    </row>
    <row r="29" spans="1:10" ht="20.25" customHeight="1" x14ac:dyDescent="0.25">
      <c r="B29" s="663" t="s">
        <v>1177</v>
      </c>
      <c r="F29" s="664"/>
    </row>
    <row r="30" spans="1:10" ht="19.5" customHeight="1" x14ac:dyDescent="0.25">
      <c r="B30" s="1284" t="s">
        <v>1178</v>
      </c>
      <c r="C30" s="1284"/>
      <c r="D30" s="666">
        <f>+D15</f>
        <v>5901121114</v>
      </c>
      <c r="E30" s="665"/>
      <c r="F30" s="1284"/>
      <c r="G30" s="1284"/>
      <c r="H30" s="666"/>
    </row>
    <row r="31" spans="1:10" ht="19.5" customHeight="1" x14ac:dyDescent="0.25">
      <c r="B31" s="1284" t="s">
        <v>1179</v>
      </c>
      <c r="C31" s="1284"/>
      <c r="D31" s="666">
        <f>+H15</f>
        <v>7018073861</v>
      </c>
      <c r="E31" s="665"/>
      <c r="F31" s="1284"/>
      <c r="G31" s="1284"/>
      <c r="H31" s="666"/>
    </row>
    <row r="32" spans="1:10" ht="19.5" customHeight="1" x14ac:dyDescent="0.25">
      <c r="B32" s="1284" t="s">
        <v>1180</v>
      </c>
      <c r="C32" s="1284"/>
      <c r="D32" s="667">
        <f>+D30-D31</f>
        <v>-1116952747</v>
      </c>
      <c r="E32" s="665"/>
      <c r="F32" s="1284"/>
      <c r="G32" s="1284"/>
      <c r="H32" s="667"/>
    </row>
    <row r="33" spans="2:8" ht="15.75" x14ac:dyDescent="0.25">
      <c r="B33" s="665"/>
      <c r="C33" s="665"/>
      <c r="D33" s="668"/>
      <c r="E33" s="665"/>
      <c r="F33" s="665"/>
      <c r="G33" s="665"/>
      <c r="H33" s="668"/>
    </row>
    <row r="34" spans="2:8" ht="20.25" customHeight="1" x14ac:dyDescent="0.25">
      <c r="B34" s="1284" t="s">
        <v>1181</v>
      </c>
      <c r="C34" s="1284"/>
      <c r="D34" s="666">
        <f>+D16</f>
        <v>67726400</v>
      </c>
      <c r="E34" s="665"/>
      <c r="F34" s="1284"/>
      <c r="G34" s="1284"/>
      <c r="H34" s="666"/>
    </row>
    <row r="35" spans="2:8" ht="20.25" customHeight="1" x14ac:dyDescent="0.25">
      <c r="B35" s="1284" t="s">
        <v>1182</v>
      </c>
      <c r="C35" s="1284"/>
      <c r="D35" s="666">
        <f>+H16</f>
        <v>1127844893</v>
      </c>
      <c r="E35" s="665"/>
      <c r="F35" s="1284"/>
      <c r="G35" s="1284"/>
      <c r="H35" s="666"/>
    </row>
    <row r="36" spans="2:8" ht="20.25" customHeight="1" x14ac:dyDescent="0.25">
      <c r="B36" s="1284" t="s">
        <v>1183</v>
      </c>
      <c r="C36" s="1284"/>
      <c r="D36" s="667">
        <f>+D34-D35</f>
        <v>-1060118493</v>
      </c>
      <c r="E36" s="665"/>
      <c r="F36" s="1284"/>
      <c r="G36" s="1284"/>
      <c r="H36" s="667"/>
    </row>
    <row r="37" spans="2:8" ht="15.75" x14ac:dyDescent="0.25">
      <c r="B37" s="665"/>
      <c r="C37" s="665"/>
      <c r="D37" s="668"/>
      <c r="E37" s="665"/>
      <c r="F37" s="665"/>
      <c r="G37" s="665"/>
      <c r="H37" s="668"/>
    </row>
    <row r="38" spans="2:8" ht="32.25" customHeight="1" x14ac:dyDescent="0.25">
      <c r="B38" s="1285" t="s">
        <v>1184</v>
      </c>
      <c r="C38" s="1285"/>
      <c r="D38" s="671">
        <f>+D32+D36</f>
        <v>-2177071240</v>
      </c>
      <c r="E38" s="670"/>
      <c r="F38" s="1285"/>
      <c r="G38" s="1285"/>
      <c r="H38" s="671"/>
    </row>
    <row r="39" spans="2:8" ht="39" customHeight="1" x14ac:dyDescent="0.25">
      <c r="B39" s="1285" t="s">
        <v>1185</v>
      </c>
      <c r="C39" s="1285"/>
      <c r="D39" s="671">
        <f>+D17-H17</f>
        <v>2177071240</v>
      </c>
      <c r="E39" s="670"/>
      <c r="F39" s="1285"/>
      <c r="G39" s="1285"/>
      <c r="H39" s="671"/>
    </row>
    <row r="40" spans="2:8" ht="36" customHeight="1" x14ac:dyDescent="0.25">
      <c r="B40" s="1285" t="s">
        <v>1186</v>
      </c>
      <c r="C40" s="1285"/>
      <c r="D40" s="672">
        <f>+D38+D39</f>
        <v>0</v>
      </c>
      <c r="E40" s="673"/>
      <c r="F40" s="1285"/>
      <c r="G40" s="1285"/>
      <c r="H40" s="672"/>
    </row>
    <row r="42" spans="2:8" x14ac:dyDescent="0.25">
      <c r="D42" s="669">
        <f>+D18+D19-H18-H21</f>
        <v>2177071240</v>
      </c>
    </row>
  </sheetData>
  <mergeCells count="22">
    <mergeCell ref="B39:C39"/>
    <mergeCell ref="F39:G39"/>
    <mergeCell ref="B40:C40"/>
    <mergeCell ref="F40:G40"/>
    <mergeCell ref="B35:C35"/>
    <mergeCell ref="F35:G35"/>
    <mergeCell ref="B36:C36"/>
    <mergeCell ref="F36:G36"/>
    <mergeCell ref="B38:C38"/>
    <mergeCell ref="F38:G38"/>
    <mergeCell ref="B31:C31"/>
    <mergeCell ref="F31:G31"/>
    <mergeCell ref="B32:C32"/>
    <mergeCell ref="F32:G32"/>
    <mergeCell ref="B34:C34"/>
    <mergeCell ref="F34:G34"/>
    <mergeCell ref="A1:H1"/>
    <mergeCell ref="A4:A5"/>
    <mergeCell ref="B4:D4"/>
    <mergeCell ref="F4:H4"/>
    <mergeCell ref="B30:C30"/>
    <mergeCell ref="F30:G30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55" orientation="landscape" r:id="rId1"/>
  <headerFooter>
    <oddHeader>&amp;C2021. évi költségvetés&amp;R&amp;A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view="pageBreakPreview" topLeftCell="A44" zoomScale="80" zoomScaleNormal="100" zoomScaleSheetLayoutView="80" workbookViewId="0">
      <selection activeCell="D27" sqref="D27:I27"/>
    </sheetView>
  </sheetViews>
  <sheetFormatPr defaultRowHeight="12.75" x14ac:dyDescent="0.2"/>
  <cols>
    <col min="1" max="1" width="10" customWidth="1"/>
    <col min="2" max="2" width="71.7109375" customWidth="1"/>
    <col min="3" max="3" width="10.42578125" customWidth="1"/>
    <col min="4" max="4" width="20.7109375" style="597" customWidth="1"/>
    <col min="5" max="5" width="20.28515625" style="449" customWidth="1"/>
    <col min="6" max="6" width="18" style="449" bestFit="1" customWidth="1"/>
    <col min="7" max="7" width="28" style="449" bestFit="1" customWidth="1"/>
    <col min="8" max="9" width="19.42578125" style="449" bestFit="1" customWidth="1"/>
    <col min="10" max="10" width="10.28515625" bestFit="1" customWidth="1"/>
    <col min="11" max="11" width="15.5703125" bestFit="1" customWidth="1"/>
    <col min="12" max="12" width="14.28515625" bestFit="1" customWidth="1"/>
    <col min="15" max="15" width="13.140625" bestFit="1" customWidth="1"/>
  </cols>
  <sheetData>
    <row r="1" spans="1:50" ht="12" customHeight="1" x14ac:dyDescent="0.2">
      <c r="A1" s="1280" t="s">
        <v>1214</v>
      </c>
      <c r="B1" s="1280"/>
      <c r="C1" s="1280"/>
      <c r="D1" s="1280"/>
      <c r="E1" s="1280"/>
      <c r="F1" s="1280"/>
      <c r="G1" s="1280"/>
      <c r="H1" s="1280"/>
      <c r="I1" s="1280"/>
    </row>
    <row r="2" spans="1:50" ht="23.25" customHeight="1" x14ac:dyDescent="0.2">
      <c r="A2" s="1286"/>
      <c r="B2" s="1286"/>
      <c r="C2" s="1286"/>
      <c r="D2" s="1286"/>
      <c r="E2" s="1286"/>
      <c r="F2" s="1286"/>
      <c r="G2" s="1286"/>
      <c r="H2" s="1286"/>
      <c r="I2" s="1286"/>
    </row>
    <row r="3" spans="1:50" s="163" customFormat="1" ht="45.75" customHeight="1" x14ac:dyDescent="0.25">
      <c r="A3" s="674" t="s">
        <v>53</v>
      </c>
      <c r="B3" s="674" t="s">
        <v>1189</v>
      </c>
      <c r="C3" s="674" t="s">
        <v>1190</v>
      </c>
      <c r="D3" s="965" t="s">
        <v>1215</v>
      </c>
      <c r="E3" s="675" t="s">
        <v>1216</v>
      </c>
      <c r="F3" s="675" t="s">
        <v>1217</v>
      </c>
      <c r="G3" s="675" t="s">
        <v>1192</v>
      </c>
      <c r="H3" s="675" t="s">
        <v>1193</v>
      </c>
      <c r="I3" s="675" t="s">
        <v>1218</v>
      </c>
      <c r="J3" s="13"/>
    </row>
    <row r="4" spans="1:50" ht="15" customHeight="1" x14ac:dyDescent="0.25">
      <c r="A4" s="676" t="s">
        <v>203</v>
      </c>
      <c r="B4" s="653" t="s">
        <v>345</v>
      </c>
      <c r="C4" s="677" t="s">
        <v>214</v>
      </c>
      <c r="D4" s="966">
        <v>1870584379</v>
      </c>
      <c r="E4" s="678">
        <f>+'3. sz.Városi szintű összesen'!G8</f>
        <v>2156697969</v>
      </c>
      <c r="F4" s="679">
        <f t="shared" ref="F4:F19" si="0">E4/D4</f>
        <v>1.1529541212960166</v>
      </c>
      <c r="G4" s="680">
        <f>E4*1.001</f>
        <v>2158854666.9689999</v>
      </c>
      <c r="H4" s="680">
        <f t="shared" ref="H4:I6" si="1">+G4*1.005</f>
        <v>2169648940.3038445</v>
      </c>
      <c r="I4" s="680">
        <f t="shared" si="1"/>
        <v>2180497185.0053635</v>
      </c>
    </row>
    <row r="5" spans="1:50" ht="15.75" x14ac:dyDescent="0.25">
      <c r="A5" s="676" t="s">
        <v>204</v>
      </c>
      <c r="B5" s="650" t="s">
        <v>215</v>
      </c>
      <c r="C5" s="677" t="s">
        <v>216</v>
      </c>
      <c r="D5" s="966">
        <v>362912951</v>
      </c>
      <c r="E5" s="678">
        <f>+'3. sz.Városi szintű összesen'!G9</f>
        <v>374420063</v>
      </c>
      <c r="F5" s="679">
        <f t="shared" si="0"/>
        <v>1.0317076366888873</v>
      </c>
      <c r="G5" s="680">
        <f>E5*1.001</f>
        <v>374794483.06299996</v>
      </c>
      <c r="H5" s="680">
        <f t="shared" si="1"/>
        <v>376668455.47831494</v>
      </c>
      <c r="I5" s="680">
        <f t="shared" si="1"/>
        <v>378551797.75570649</v>
      </c>
    </row>
    <row r="6" spans="1:50" ht="15.75" x14ac:dyDescent="0.25">
      <c r="A6" s="676" t="s">
        <v>205</v>
      </c>
      <c r="B6" s="650" t="s">
        <v>346</v>
      </c>
      <c r="C6" s="677" t="s">
        <v>217</v>
      </c>
      <c r="D6" s="966">
        <v>2169021861</v>
      </c>
      <c r="E6" s="678">
        <f>+'3. sz.Városi szintű összesen'!G10</f>
        <v>2288857050</v>
      </c>
      <c r="F6" s="679">
        <f t="shared" si="0"/>
        <v>1.0552484929519113</v>
      </c>
      <c r="G6" s="680">
        <f>E6*1.005</f>
        <v>2300301335.2499995</v>
      </c>
      <c r="H6" s="680">
        <f t="shared" si="1"/>
        <v>2311802841.9262495</v>
      </c>
      <c r="I6" s="680">
        <f t="shared" si="1"/>
        <v>2323361856.1358805</v>
      </c>
    </row>
    <row r="7" spans="1:50" ht="15.75" x14ac:dyDescent="0.25">
      <c r="A7" s="676" t="s">
        <v>206</v>
      </c>
      <c r="B7" s="654" t="s">
        <v>347</v>
      </c>
      <c r="C7" s="677" t="s">
        <v>218</v>
      </c>
      <c r="D7" s="966">
        <v>41000000</v>
      </c>
      <c r="E7" s="678">
        <f>+'3. sz.Városi szintű összesen'!G11</f>
        <v>41000000</v>
      </c>
      <c r="F7" s="679">
        <f t="shared" si="0"/>
        <v>1</v>
      </c>
      <c r="G7" s="680">
        <v>41000000</v>
      </c>
      <c r="H7" s="680">
        <f>+G7</f>
        <v>41000000</v>
      </c>
      <c r="I7" s="680">
        <f>+H7</f>
        <v>41000000</v>
      </c>
    </row>
    <row r="8" spans="1:50" ht="15.75" x14ac:dyDescent="0.25">
      <c r="A8" s="676" t="s">
        <v>207</v>
      </c>
      <c r="B8" s="654" t="s">
        <v>249</v>
      </c>
      <c r="C8" s="677" t="s">
        <v>219</v>
      </c>
      <c r="D8" s="966">
        <v>1393684413</v>
      </c>
      <c r="E8" s="678">
        <f>SUM(E9:E11)</f>
        <v>2157098779</v>
      </c>
      <c r="F8" s="679">
        <f t="shared" si="0"/>
        <v>1.5477670259342995</v>
      </c>
      <c r="G8" s="680">
        <f>SUM(G9:G11)</f>
        <v>2119157350</v>
      </c>
      <c r="H8" s="680">
        <f>SUM(H9:H11)</f>
        <v>2174691902.3199997</v>
      </c>
      <c r="I8" s="680">
        <f>SUM(I9:I11)</f>
        <v>2180565361.8315997</v>
      </c>
    </row>
    <row r="9" spans="1:50" s="687" customFormat="1" ht="15.75" x14ac:dyDescent="0.25">
      <c r="A9" s="681"/>
      <c r="B9" s="682" t="s">
        <v>133</v>
      </c>
      <c r="C9" s="683"/>
      <c r="D9" s="967">
        <v>251832528</v>
      </c>
      <c r="E9" s="684">
        <f>+'3. sz.Városi szintű összesen'!G13</f>
        <v>268497664</v>
      </c>
      <c r="F9" s="685">
        <f t="shared" si="0"/>
        <v>1.0661754703903858</v>
      </c>
      <c r="G9" s="686">
        <f>+E9</f>
        <v>268497664</v>
      </c>
      <c r="H9" s="686">
        <f>G9*1.005</f>
        <v>269840152.31999999</v>
      </c>
      <c r="I9" s="686">
        <f>H9*1.005</f>
        <v>271189353.08159995</v>
      </c>
    </row>
    <row r="10" spans="1:50" s="687" customFormat="1" ht="15.75" x14ac:dyDescent="0.25">
      <c r="A10" s="681"/>
      <c r="B10" s="682" t="s">
        <v>123</v>
      </c>
      <c r="C10" s="683"/>
      <c r="D10" s="967">
        <v>710434485</v>
      </c>
      <c r="E10" s="684">
        <f>+'3. sz.Városi szintű összesen'!G14</f>
        <v>938291429</v>
      </c>
      <c r="F10" s="685">
        <f t="shared" si="0"/>
        <v>1.3207290029002463</v>
      </c>
      <c r="G10" s="686">
        <v>900350000</v>
      </c>
      <c r="H10" s="686">
        <f>G10*1.005</f>
        <v>904851749.99999988</v>
      </c>
      <c r="I10" s="686">
        <f>H10*1.005</f>
        <v>909376008.74999976</v>
      </c>
    </row>
    <row r="11" spans="1:50" s="687" customFormat="1" ht="15.75" x14ac:dyDescent="0.25">
      <c r="A11" s="681"/>
      <c r="B11" s="682" t="s">
        <v>582</v>
      </c>
      <c r="C11" s="683"/>
      <c r="D11" s="967">
        <v>431417400</v>
      </c>
      <c r="E11" s="684">
        <f>+'3. sz.Városi szintű összesen'!G15</f>
        <v>950309686</v>
      </c>
      <c r="F11" s="685">
        <f t="shared" si="0"/>
        <v>2.2027616085952952</v>
      </c>
      <c r="G11" s="686">
        <f>+E11</f>
        <v>950309686</v>
      </c>
      <c r="H11" s="686">
        <v>1000000000</v>
      </c>
      <c r="I11" s="686">
        <v>1000000000</v>
      </c>
    </row>
    <row r="12" spans="1:50" ht="15.75" x14ac:dyDescent="0.25">
      <c r="A12" s="676" t="s">
        <v>208</v>
      </c>
      <c r="B12" s="688" t="s">
        <v>256</v>
      </c>
      <c r="C12" s="677" t="s">
        <v>220</v>
      </c>
      <c r="D12" s="966">
        <v>1389139084</v>
      </c>
      <c r="E12" s="678">
        <f>+'3. sz.Városi szintű összesen'!G16</f>
        <v>913099698</v>
      </c>
      <c r="F12" s="679">
        <f t="shared" si="0"/>
        <v>0.65731337381333088</v>
      </c>
      <c r="G12" s="680">
        <f>1470000000-529689645-4500000+30150000</f>
        <v>965960355</v>
      </c>
      <c r="H12" s="680">
        <f>1470000000-577276859-8500000+30300750</f>
        <v>914523891</v>
      </c>
      <c r="I12" s="680">
        <f>1470000000-575163244-8500000+30452254</f>
        <v>916789010</v>
      </c>
    </row>
    <row r="13" spans="1:50" ht="15.75" x14ac:dyDescent="0.25">
      <c r="A13" s="676" t="s">
        <v>209</v>
      </c>
      <c r="B13" s="654" t="s">
        <v>348</v>
      </c>
      <c r="C13" s="677" t="s">
        <v>221</v>
      </c>
      <c r="D13" s="966">
        <v>330132320</v>
      </c>
      <c r="E13" s="678">
        <f>+'3. sz.Városi szintű összesen'!G17</f>
        <v>192425195</v>
      </c>
      <c r="F13" s="679">
        <f t="shared" si="0"/>
        <v>0.58287293713017863</v>
      </c>
      <c r="G13" s="680">
        <f>100000000+88192700+57</f>
        <v>188192757</v>
      </c>
      <c r="H13" s="680">
        <f>115000000+50000000-20000000-65348117+99621865</f>
        <v>179273748</v>
      </c>
      <c r="I13" s="680">
        <f>115000000+40000000-15000000-53321400+14970793+58818224</f>
        <v>160467617</v>
      </c>
      <c r="M13" s="1287"/>
      <c r="N13" s="1287"/>
      <c r="O13" s="1287"/>
      <c r="P13" s="1287"/>
      <c r="Q13" s="1287"/>
      <c r="R13" s="1287"/>
      <c r="S13" s="1287"/>
      <c r="T13" s="1287"/>
      <c r="U13" s="1287"/>
      <c r="V13" s="1287"/>
      <c r="W13" s="1287"/>
      <c r="X13" s="1287"/>
      <c r="Y13" s="1287"/>
      <c r="Z13" s="1287"/>
      <c r="AA13" s="1287"/>
      <c r="AB13" s="1287"/>
      <c r="AC13" s="1287"/>
      <c r="AD13" s="1287"/>
      <c r="AE13" s="1287"/>
      <c r="AF13" s="1287"/>
      <c r="AG13" s="1287"/>
      <c r="AH13" s="1287"/>
      <c r="AI13" s="1287"/>
      <c r="AJ13" s="1287"/>
      <c r="AK13" s="1287"/>
      <c r="AL13" s="1287"/>
      <c r="AM13" s="1287"/>
      <c r="AN13" s="1287"/>
      <c r="AO13" s="1287"/>
      <c r="AP13" s="1287"/>
      <c r="AQ13" s="1287"/>
      <c r="AR13" s="1287"/>
      <c r="AS13" s="1287"/>
      <c r="AT13" s="1287"/>
      <c r="AU13" s="1287"/>
      <c r="AV13" s="1287"/>
      <c r="AW13" s="1287"/>
      <c r="AX13" s="1287"/>
    </row>
    <row r="14" spans="1:50" ht="15.75" x14ac:dyDescent="0.25">
      <c r="A14" s="676" t="s">
        <v>210</v>
      </c>
      <c r="B14" s="654" t="s">
        <v>1194</v>
      </c>
      <c r="C14" s="677" t="s">
        <v>222</v>
      </c>
      <c r="D14" s="966">
        <v>15500000</v>
      </c>
      <c r="E14" s="678">
        <f>+E15</f>
        <v>22320000</v>
      </c>
      <c r="F14" s="679">
        <f t="shared" si="0"/>
        <v>1.44</v>
      </c>
      <c r="G14" s="680">
        <f>+G15</f>
        <v>20000000</v>
      </c>
      <c r="H14" s="680">
        <f>+H15</f>
        <v>20000000</v>
      </c>
      <c r="I14" s="680">
        <f>+I15</f>
        <v>20000000</v>
      </c>
      <c r="M14" s="1287"/>
      <c r="N14" s="1287"/>
      <c r="O14" s="1287"/>
      <c r="P14" s="1287"/>
      <c r="Q14" s="1287"/>
      <c r="R14" s="1287"/>
      <c r="S14" s="1287"/>
      <c r="T14" s="1287"/>
      <c r="U14" s="1287"/>
      <c r="V14" s="1287"/>
      <c r="W14" s="1287"/>
      <c r="X14" s="1287"/>
      <c r="Y14" s="1287"/>
      <c r="Z14" s="1287"/>
      <c r="AA14" s="1287"/>
      <c r="AB14" s="1287"/>
      <c r="AC14" s="1287"/>
      <c r="AD14" s="1287"/>
      <c r="AE14" s="1287"/>
      <c r="AF14" s="1287"/>
      <c r="AG14" s="1287"/>
      <c r="AH14" s="1287"/>
      <c r="AI14" s="1287"/>
      <c r="AJ14" s="1287"/>
      <c r="AK14" s="1287"/>
      <c r="AL14" s="1287"/>
      <c r="AM14" s="1287"/>
      <c r="AN14" s="1287"/>
      <c r="AO14" s="1287"/>
      <c r="AP14" s="1287"/>
      <c r="AQ14" s="1287"/>
      <c r="AR14" s="1287"/>
      <c r="AS14" s="1287"/>
      <c r="AT14" s="1287"/>
      <c r="AU14" s="1287"/>
      <c r="AV14" s="1287"/>
      <c r="AW14" s="1287"/>
      <c r="AX14" s="1287"/>
    </row>
    <row r="15" spans="1:50" ht="15.75" x14ac:dyDescent="0.25">
      <c r="A15" s="676"/>
      <c r="B15" s="682" t="s">
        <v>132</v>
      </c>
      <c r="C15" s="677"/>
      <c r="D15" s="966">
        <v>15500000</v>
      </c>
      <c r="E15" s="684">
        <f>+'3. sz.Városi szintű összesen'!G19</f>
        <v>22320000</v>
      </c>
      <c r="F15" s="679">
        <f t="shared" si="0"/>
        <v>1.44</v>
      </c>
      <c r="G15" s="680">
        <v>20000000</v>
      </c>
      <c r="H15" s="680">
        <v>20000000</v>
      </c>
      <c r="I15" s="680">
        <v>20000000</v>
      </c>
      <c r="M15" s="1288"/>
      <c r="N15" s="1288"/>
      <c r="O15" s="1288"/>
      <c r="P15" s="1288"/>
      <c r="Q15" s="1288"/>
      <c r="R15" s="1288"/>
      <c r="S15" s="1288"/>
      <c r="T15" s="1288"/>
      <c r="U15" s="1288"/>
      <c r="V15" s="1288"/>
      <c r="W15" s="1288"/>
      <c r="X15" s="1288"/>
      <c r="Y15" s="1288"/>
      <c r="Z15" s="1288"/>
      <c r="AA15" s="1288"/>
      <c r="AB15" s="1288"/>
      <c r="AC15" s="1288"/>
      <c r="AD15" s="1288"/>
      <c r="AE15" s="1288"/>
      <c r="AF15" s="1288"/>
      <c r="AG15" s="1288"/>
      <c r="AH15" s="1288"/>
      <c r="AI15" s="1288"/>
      <c r="AJ15" s="1288"/>
      <c r="AK15" s="1288"/>
      <c r="AL15" s="1288"/>
      <c r="AM15" s="1288"/>
      <c r="AN15" s="1288"/>
      <c r="AO15" s="1288"/>
      <c r="AP15" s="1288"/>
      <c r="AQ15" s="1288"/>
      <c r="AR15" s="1288"/>
      <c r="AS15" s="1288"/>
      <c r="AT15" s="689"/>
      <c r="AU15" s="689"/>
      <c r="AV15" s="689"/>
      <c r="AW15" s="689"/>
      <c r="AX15" s="690"/>
    </row>
    <row r="16" spans="1:50" s="163" customFormat="1" ht="15.75" x14ac:dyDescent="0.25">
      <c r="A16" s="676" t="s">
        <v>211</v>
      </c>
      <c r="B16" s="131" t="s">
        <v>251</v>
      </c>
      <c r="C16" s="1" t="s">
        <v>223</v>
      </c>
      <c r="D16" s="968">
        <f>+D4+D5+D6+D7+D12+D13+D14+D8</f>
        <v>7571975008</v>
      </c>
      <c r="E16" s="691">
        <f>+E4+E5+E6+E7+E12+E13+E14+E8</f>
        <v>8145918754</v>
      </c>
      <c r="F16" s="692">
        <f t="shared" si="0"/>
        <v>1.0757984205433342</v>
      </c>
      <c r="G16" s="693">
        <f>+G4+G5+G6+G7+G8+G12+G13+G14</f>
        <v>8168260947.2819996</v>
      </c>
      <c r="H16" s="693">
        <f>+H4+H5+H6+H7+H8+H12+H13+H14</f>
        <v>8187609779.0284081</v>
      </c>
      <c r="I16" s="693">
        <f>+I4+I5+I6+I7+I8+I12+I13+I14</f>
        <v>8201232827.72855</v>
      </c>
    </row>
    <row r="17" spans="1:10" s="687" customFormat="1" ht="15.75" x14ac:dyDescent="0.25">
      <c r="A17" s="681"/>
      <c r="B17" s="694" t="s">
        <v>1195</v>
      </c>
      <c r="C17" s="683"/>
      <c r="D17" s="967">
        <f>+D4+D5+D6+D7+D8</f>
        <v>5837203604</v>
      </c>
      <c r="E17" s="684">
        <f>+E4+E5+E6+E8+E7</f>
        <v>7018073861</v>
      </c>
      <c r="F17" s="685">
        <f t="shared" si="0"/>
        <v>1.2023006797622748</v>
      </c>
      <c r="G17" s="686">
        <f>+G4+G5+G6+G7+G8</f>
        <v>6994107835.2819996</v>
      </c>
      <c r="H17" s="686">
        <f>+H4+H5+H6+H7+H8</f>
        <v>7073812140.0284081</v>
      </c>
      <c r="I17" s="686">
        <f>+I4+I5+I6+I7+I8</f>
        <v>7103976200.72855</v>
      </c>
    </row>
    <row r="18" spans="1:10" s="687" customFormat="1" ht="15.75" x14ac:dyDescent="0.25">
      <c r="A18" s="681"/>
      <c r="B18" s="694" t="s">
        <v>1196</v>
      </c>
      <c r="C18" s="683"/>
      <c r="D18" s="967">
        <f>+D12+D13+D14</f>
        <v>1734771404</v>
      </c>
      <c r="E18" s="684">
        <f>+E12+E13+E14</f>
        <v>1127844893</v>
      </c>
      <c r="F18" s="685">
        <f t="shared" si="0"/>
        <v>0.6501403530167944</v>
      </c>
      <c r="G18" s="686">
        <f>+G12+G13+G14</f>
        <v>1174153112</v>
      </c>
      <c r="H18" s="686">
        <f>+H12+H13+H14</f>
        <v>1113797639</v>
      </c>
      <c r="I18" s="686">
        <f>+I12+I13+I14</f>
        <v>1097256627</v>
      </c>
      <c r="J18" s="695"/>
    </row>
    <row r="19" spans="1:10" s="163" customFormat="1" ht="15.75" x14ac:dyDescent="0.25">
      <c r="A19" s="10" t="s">
        <v>212</v>
      </c>
      <c r="B19" s="131" t="s">
        <v>236</v>
      </c>
      <c r="C19" s="1" t="s">
        <v>232</v>
      </c>
      <c r="D19" s="968">
        <f>SUM(D20:D24)</f>
        <v>2772646429</v>
      </c>
      <c r="E19" s="696">
        <f>SUM(E20:E24)</f>
        <v>3134746890</v>
      </c>
      <c r="F19" s="692">
        <f t="shared" si="0"/>
        <v>1.1305974166820101</v>
      </c>
      <c r="G19" s="693">
        <f>SUM(G20:G23)</f>
        <v>3151097087.3299994</v>
      </c>
      <c r="H19" s="693">
        <f>SUM(H20:H23)</f>
        <v>3166707572.7666488</v>
      </c>
      <c r="I19" s="693">
        <f>SUM(I20:I23)</f>
        <v>3182396110.6304817</v>
      </c>
    </row>
    <row r="20" spans="1:10" s="687" customFormat="1" ht="15.75" x14ac:dyDescent="0.25">
      <c r="A20" s="681"/>
      <c r="B20" s="697" t="s">
        <v>1169</v>
      </c>
      <c r="C20" s="683"/>
      <c r="D20" s="967">
        <v>38767040</v>
      </c>
      <c r="E20" s="684">
        <f>+'3. sz.Városi szintű összesen'!G22</f>
        <v>62766147</v>
      </c>
      <c r="F20" s="685">
        <v>0</v>
      </c>
      <c r="G20" s="686">
        <f>E20*1.005</f>
        <v>63079977.734999992</v>
      </c>
      <c r="H20" s="686">
        <f t="shared" ref="H20:I22" si="2">G20*1.005</f>
        <v>63395377.623674989</v>
      </c>
      <c r="I20" s="686">
        <f t="shared" si="2"/>
        <v>63712354.51179336</v>
      </c>
    </row>
    <row r="21" spans="1:10" s="687" customFormat="1" ht="15.75" x14ac:dyDescent="0.25">
      <c r="A21" s="681"/>
      <c r="B21" s="694" t="s">
        <v>1197</v>
      </c>
      <c r="C21" s="683"/>
      <c r="D21" s="967">
        <v>2626307065</v>
      </c>
      <c r="E21" s="684">
        <f>+'3. sz.Városi szintű összesen'!G23</f>
        <v>2989846329</v>
      </c>
      <c r="F21" s="685">
        <f>E21/D21</f>
        <v>1.1384222236785553</v>
      </c>
      <c r="G21" s="686">
        <f>E21*1.005</f>
        <v>3004795560.6449995</v>
      </c>
      <c r="H21" s="686">
        <f t="shared" si="2"/>
        <v>3019819538.4482241</v>
      </c>
      <c r="I21" s="686">
        <f t="shared" si="2"/>
        <v>3034918636.1404648</v>
      </c>
    </row>
    <row r="22" spans="1:10" s="687" customFormat="1" ht="15.75" x14ac:dyDescent="0.25">
      <c r="A22" s="681"/>
      <c r="B22" s="694" t="s">
        <v>1198</v>
      </c>
      <c r="C22" s="683"/>
      <c r="D22" s="967">
        <v>79389700</v>
      </c>
      <c r="E22" s="684">
        <f>+'3. sz.Városi szintű összesen'!G24</f>
        <v>53951790</v>
      </c>
      <c r="F22" s="685">
        <f>E22/D22</f>
        <v>0.67958173415443057</v>
      </c>
      <c r="G22" s="686">
        <f>E22*1.005</f>
        <v>54221548.949999996</v>
      </c>
      <c r="H22" s="686">
        <f t="shared" si="2"/>
        <v>54492656.694749989</v>
      </c>
      <c r="I22" s="686">
        <f t="shared" si="2"/>
        <v>54765119.978223734</v>
      </c>
    </row>
    <row r="23" spans="1:10" s="687" customFormat="1" ht="15.75" x14ac:dyDescent="0.25">
      <c r="A23" s="681"/>
      <c r="B23" s="694" t="s">
        <v>1199</v>
      </c>
      <c r="C23" s="683"/>
      <c r="D23" s="967">
        <v>28182624</v>
      </c>
      <c r="E23" s="684">
        <f>+'3. sz.Városi szintű összesen'!G25</f>
        <v>28182624</v>
      </c>
      <c r="F23" s="685">
        <f>E23/D23</f>
        <v>1</v>
      </c>
      <c r="G23" s="686">
        <v>29000000</v>
      </c>
      <c r="H23" s="686">
        <v>29000000</v>
      </c>
      <c r="I23" s="686">
        <v>29000000</v>
      </c>
    </row>
    <row r="24" spans="1:10" s="687" customFormat="1" ht="15.75" x14ac:dyDescent="0.25">
      <c r="A24" s="681"/>
      <c r="B24" s="694" t="s">
        <v>1200</v>
      </c>
      <c r="C24" s="683"/>
      <c r="D24" s="967">
        <v>0</v>
      </c>
      <c r="E24" s="684">
        <f>+'3. sz.Városi szintű összesen'!G26</f>
        <v>0</v>
      </c>
      <c r="F24" s="685">
        <v>0</v>
      </c>
      <c r="G24" s="684">
        <v>0</v>
      </c>
      <c r="H24" s="684">
        <v>0</v>
      </c>
      <c r="I24" s="684">
        <v>0</v>
      </c>
    </row>
    <row r="25" spans="1:10" s="163" customFormat="1" ht="15.75" x14ac:dyDescent="0.25">
      <c r="A25" s="10" t="s">
        <v>213</v>
      </c>
      <c r="B25" s="65" t="s">
        <v>32</v>
      </c>
      <c r="C25" s="1"/>
      <c r="D25" s="968">
        <f>+D17+D21+D20+D24</f>
        <v>8502277709</v>
      </c>
      <c r="E25" s="696">
        <f>+E4+E5+E6+E7+E8+E20+E21+E24</f>
        <v>10070686337</v>
      </c>
      <c r="F25" s="692">
        <f t="shared" ref="F25:F42" si="3">E25/D25</f>
        <v>1.1844692306791833</v>
      </c>
      <c r="G25" s="693">
        <f>+G4+G5+G6+G7+G8+G21</f>
        <v>9998903395.9269981</v>
      </c>
      <c r="H25" s="693">
        <f>+H4+H5+H6+H7+H8+H21</f>
        <v>10093631678.476631</v>
      </c>
      <c r="I25" s="693">
        <f>+I4+I5+I6+I7+I8+I21</f>
        <v>10138894836.869015</v>
      </c>
    </row>
    <row r="26" spans="1:10" s="163" customFormat="1" ht="15.75" x14ac:dyDescent="0.25">
      <c r="A26" s="10" t="s">
        <v>240</v>
      </c>
      <c r="B26" s="65" t="s">
        <v>33</v>
      </c>
      <c r="C26" s="1"/>
      <c r="D26" s="968">
        <f>+D18+D22+D23</f>
        <v>1842343728</v>
      </c>
      <c r="E26" s="696">
        <f>+E18+E22+E23</f>
        <v>1209979307</v>
      </c>
      <c r="F26" s="692">
        <f t="shared" si="3"/>
        <v>0.65676089027834228</v>
      </c>
      <c r="G26" s="693">
        <f>+G12+G13+G14+G22+G23</f>
        <v>1257374660.95</v>
      </c>
      <c r="H26" s="693">
        <f>+H12+H13+H14+H22+H23</f>
        <v>1197290295.6947501</v>
      </c>
      <c r="I26" s="693">
        <f>+I12+I13+I14+I22+I23</f>
        <v>1181021746.9782238</v>
      </c>
    </row>
    <row r="27" spans="1:10" s="163" customFormat="1" ht="15.75" x14ac:dyDescent="0.25">
      <c r="A27" s="698" t="s">
        <v>241</v>
      </c>
      <c r="B27" s="699" t="s">
        <v>343</v>
      </c>
      <c r="C27" s="700" t="s">
        <v>31</v>
      </c>
      <c r="D27" s="701">
        <f>+D25+D26</f>
        <v>10344621437</v>
      </c>
      <c r="E27" s="701">
        <f>+E25+E26</f>
        <v>11280665644</v>
      </c>
      <c r="F27" s="973">
        <f t="shared" si="3"/>
        <v>1.0904860765278481</v>
      </c>
      <c r="G27" s="701">
        <f>+G25+G26</f>
        <v>11256278056.876999</v>
      </c>
      <c r="H27" s="701">
        <f>+H25+H26</f>
        <v>11290921974.171381</v>
      </c>
      <c r="I27" s="701">
        <f>+I25+I26</f>
        <v>11319916583.847239</v>
      </c>
    </row>
    <row r="28" spans="1:10" ht="15.75" x14ac:dyDescent="0.25">
      <c r="A28" s="676" t="s">
        <v>242</v>
      </c>
      <c r="B28" s="650" t="s">
        <v>52</v>
      </c>
      <c r="C28" s="688" t="s">
        <v>224</v>
      </c>
      <c r="D28" s="966">
        <v>1025335051</v>
      </c>
      <c r="E28" s="678">
        <f>+'3. sz.Városi szintű összesen'!G30</f>
        <v>1656698953</v>
      </c>
      <c r="F28" s="679">
        <f t="shared" si="3"/>
        <v>1.6157635022661485</v>
      </c>
      <c r="G28" s="680">
        <v>1650000000</v>
      </c>
      <c r="H28" s="680">
        <v>1652000000</v>
      </c>
      <c r="I28" s="680">
        <v>1652000000</v>
      </c>
    </row>
    <row r="29" spans="1:10" ht="15.75" x14ac:dyDescent="0.25">
      <c r="A29" s="676" t="s">
        <v>243</v>
      </c>
      <c r="B29" s="650" t="s">
        <v>235</v>
      </c>
      <c r="C29" s="688" t="s">
        <v>225</v>
      </c>
      <c r="D29" s="966">
        <v>147576592</v>
      </c>
      <c r="E29" s="678">
        <f>+'3. sz.Városi szintű összesen'!G31</f>
        <v>0</v>
      </c>
      <c r="F29" s="679">
        <f t="shared" si="3"/>
        <v>0</v>
      </c>
      <c r="G29" s="680"/>
      <c r="H29" s="680">
        <v>0</v>
      </c>
      <c r="I29" s="680">
        <v>0</v>
      </c>
    </row>
    <row r="30" spans="1:10" ht="15.75" x14ac:dyDescent="0.25">
      <c r="A30" s="676" t="s">
        <v>244</v>
      </c>
      <c r="B30" s="650" t="s">
        <v>1201</v>
      </c>
      <c r="C30" s="688" t="s">
        <v>226</v>
      </c>
      <c r="D30" s="966">
        <v>4337364830</v>
      </c>
      <c r="E30" s="678">
        <f>+'3. sz.Városi szintű összesen'!G32</f>
        <v>3823624585</v>
      </c>
      <c r="F30" s="679">
        <f t="shared" si="3"/>
        <v>0.88155475383425375</v>
      </c>
      <c r="G30" s="680">
        <v>3800000000</v>
      </c>
      <c r="H30" s="680">
        <v>3800000000</v>
      </c>
      <c r="I30" s="680">
        <v>3800000000</v>
      </c>
    </row>
    <row r="31" spans="1:10" ht="15.75" x14ac:dyDescent="0.25">
      <c r="A31" s="676" t="s">
        <v>245</v>
      </c>
      <c r="B31" s="654" t="s">
        <v>0</v>
      </c>
      <c r="C31" s="688" t="s">
        <v>227</v>
      </c>
      <c r="D31" s="966">
        <v>584036924</v>
      </c>
      <c r="E31" s="678">
        <f>+'3. sz.Városi szintű összesen'!G33</f>
        <v>420797576</v>
      </c>
      <c r="F31" s="679">
        <f t="shared" si="3"/>
        <v>0.72049824027906839</v>
      </c>
      <c r="G31" s="680">
        <f>E31*1.005</f>
        <v>422901563.87999994</v>
      </c>
      <c r="H31" s="680">
        <f>G31*1.005</f>
        <v>425016071.69939989</v>
      </c>
      <c r="I31" s="680">
        <f>H31*1.005</f>
        <v>427141152.05789685</v>
      </c>
    </row>
    <row r="32" spans="1:10" ht="15.75" x14ac:dyDescent="0.25">
      <c r="A32" s="676" t="s">
        <v>246</v>
      </c>
      <c r="B32" s="650" t="s">
        <v>257</v>
      </c>
      <c r="C32" s="688" t="s">
        <v>228</v>
      </c>
      <c r="D32" s="966">
        <v>40010000</v>
      </c>
      <c r="E32" s="678">
        <f>+'3. sz.Városi szintű összesen'!G34</f>
        <v>62752000</v>
      </c>
      <c r="F32" s="679">
        <f t="shared" si="3"/>
        <v>1.5684078980254936</v>
      </c>
      <c r="G32" s="680">
        <v>30000000</v>
      </c>
      <c r="H32" s="680">
        <v>30000000</v>
      </c>
      <c r="I32" s="680">
        <v>30000000</v>
      </c>
    </row>
    <row r="33" spans="1:15" ht="15.75" x14ac:dyDescent="0.25">
      <c r="A33" s="676" t="s">
        <v>247</v>
      </c>
      <c r="B33" s="650" t="s">
        <v>252</v>
      </c>
      <c r="C33" s="688" t="s">
        <v>229</v>
      </c>
      <c r="D33" s="966">
        <v>0</v>
      </c>
      <c r="E33" s="678">
        <f>+'3. sz.Városi szintű összesen'!G35</f>
        <v>0</v>
      </c>
      <c r="F33" s="679">
        <v>0</v>
      </c>
      <c r="G33" s="680">
        <v>10000000</v>
      </c>
      <c r="H33" s="680">
        <v>10000000</v>
      </c>
      <c r="I33" s="680">
        <v>10000000</v>
      </c>
    </row>
    <row r="34" spans="1:15" ht="15.75" x14ac:dyDescent="0.25">
      <c r="A34" s="676" t="s">
        <v>248</v>
      </c>
      <c r="B34" s="650" t="s">
        <v>1202</v>
      </c>
      <c r="C34" s="688" t="s">
        <v>230</v>
      </c>
      <c r="D34" s="966">
        <v>4586500</v>
      </c>
      <c r="E34" s="678">
        <f>+'3. sz.Városi szintű összesen'!G36</f>
        <v>4974400</v>
      </c>
      <c r="F34" s="679">
        <f t="shared" si="3"/>
        <v>1.0845742941240597</v>
      </c>
      <c r="G34" s="680">
        <f t="shared" ref="G34:G43" si="4">E34*1.005</f>
        <v>4999271.9999999991</v>
      </c>
      <c r="H34" s="680">
        <f>G34*1.005</f>
        <v>5024268.3599999985</v>
      </c>
      <c r="I34" s="680">
        <f>H34*1.005</f>
        <v>5049389.7017999981</v>
      </c>
    </row>
    <row r="35" spans="1:15" s="163" customFormat="1" ht="15.75" x14ac:dyDescent="0.25">
      <c r="A35" s="10" t="s">
        <v>276</v>
      </c>
      <c r="B35" s="129" t="s">
        <v>254</v>
      </c>
      <c r="C35" s="131" t="s">
        <v>231</v>
      </c>
      <c r="D35" s="968">
        <f>SUM(D28:D34)</f>
        <v>6138909897</v>
      </c>
      <c r="E35" s="696">
        <f>SUM(E36:E37)</f>
        <v>5968847514</v>
      </c>
      <c r="F35" s="692">
        <f t="shared" si="3"/>
        <v>0.97229762517232787</v>
      </c>
      <c r="G35" s="693">
        <f>SUM(G28:G34)</f>
        <v>5917900835.8800001</v>
      </c>
      <c r="H35" s="693">
        <f>SUM(H28:H34)</f>
        <v>5922040340.0593996</v>
      </c>
      <c r="I35" s="693">
        <f>SUM(I28:I34)</f>
        <v>5924190541.759697</v>
      </c>
    </row>
    <row r="36" spans="1:15" s="687" customFormat="1" ht="15.75" x14ac:dyDescent="0.25">
      <c r="A36" s="702"/>
      <c r="B36" s="682" t="s">
        <v>1203</v>
      </c>
      <c r="C36" s="694"/>
      <c r="D36" s="967">
        <f>+D28+D30+D31+D33</f>
        <v>5946736805</v>
      </c>
      <c r="E36" s="684">
        <f>+E28+E30+E31+E33</f>
        <v>5901121114</v>
      </c>
      <c r="F36" s="685">
        <f t="shared" si="3"/>
        <v>0.99232929041661189</v>
      </c>
      <c r="G36" s="686">
        <f>+G28+G30+G31+G33</f>
        <v>5882901563.8800001</v>
      </c>
      <c r="H36" s="686">
        <f>+H28+H30+H31+H33</f>
        <v>5887016071.6993999</v>
      </c>
      <c r="I36" s="686">
        <f>+I28+I30+I31+I33</f>
        <v>5889141152.0578966</v>
      </c>
    </row>
    <row r="37" spans="1:15" s="687" customFormat="1" ht="15.75" x14ac:dyDescent="0.25">
      <c r="A37" s="702"/>
      <c r="B37" s="682" t="s">
        <v>1204</v>
      </c>
      <c r="C37" s="694"/>
      <c r="D37" s="967">
        <f>+D29+D32+D34</f>
        <v>192173092</v>
      </c>
      <c r="E37" s="684">
        <f>+E29+E32+E34</f>
        <v>67726400</v>
      </c>
      <c r="F37" s="685">
        <f t="shared" si="3"/>
        <v>0.35242394913435643</v>
      </c>
      <c r="G37" s="686">
        <f>+G29+G32+G34</f>
        <v>34999272</v>
      </c>
      <c r="H37" s="686">
        <f>+H29+H32+H34</f>
        <v>35024268.359999999</v>
      </c>
      <c r="I37" s="686">
        <f>+I29+I32+I34</f>
        <v>35049389.701799996</v>
      </c>
      <c r="J37" s="695"/>
      <c r="K37" s="695">
        <f>+G27-G48</f>
        <v>0.34699821472167969</v>
      </c>
    </row>
    <row r="38" spans="1:15" s="163" customFormat="1" ht="15.75" x14ac:dyDescent="0.25">
      <c r="A38" s="10" t="s">
        <v>277</v>
      </c>
      <c r="B38" s="131" t="s">
        <v>255</v>
      </c>
      <c r="C38" s="1" t="s">
        <v>233</v>
      </c>
      <c r="D38" s="968">
        <f>SUM(D39:D45)</f>
        <v>4205711540</v>
      </c>
      <c r="E38" s="696">
        <f>SUM(E39:E45)</f>
        <v>5311818130</v>
      </c>
      <c r="F38" s="692">
        <f t="shared" si="3"/>
        <v>1.2630010592690339</v>
      </c>
      <c r="G38" s="693">
        <f>+G39+G40+G41+G42+G43</f>
        <v>5338377220.6499987</v>
      </c>
      <c r="H38" s="693">
        <f>+H39+H40+H41+H42+H43</f>
        <v>5368881633.7532482</v>
      </c>
      <c r="I38" s="693">
        <f>+I39+I40+I41+I42+I43</f>
        <v>5395726041.9220142</v>
      </c>
      <c r="O38" s="703">
        <f>+G27-G48</f>
        <v>0.34699821472167969</v>
      </c>
    </row>
    <row r="39" spans="1:15" s="687" customFormat="1" ht="15" customHeight="1" x14ac:dyDescent="0.25">
      <c r="A39" s="681"/>
      <c r="B39" s="694" t="s">
        <v>1205</v>
      </c>
      <c r="C39" s="683"/>
      <c r="D39" s="967">
        <v>737255365</v>
      </c>
      <c r="E39" s="684">
        <f>+'3. sz.Városi szintű összesen'!G40</f>
        <v>1410758710</v>
      </c>
      <c r="F39" s="685">
        <f t="shared" si="3"/>
        <v>1.9135278995223046</v>
      </c>
      <c r="G39" s="686">
        <f t="shared" si="4"/>
        <v>1417812503.55</v>
      </c>
      <c r="H39" s="686">
        <f>G39*1.005</f>
        <v>1424901566.0677497</v>
      </c>
      <c r="I39" s="686">
        <f>H39*1.005</f>
        <v>1432026073.8980882</v>
      </c>
    </row>
    <row r="40" spans="1:15" s="687" customFormat="1" ht="15.75" x14ac:dyDescent="0.25">
      <c r="A40" s="681"/>
      <c r="B40" s="694" t="s">
        <v>1206</v>
      </c>
      <c r="C40" s="683"/>
      <c r="D40" s="967">
        <v>762759410</v>
      </c>
      <c r="E40" s="684">
        <f>+'3. sz.Városi szintű összesen'!G41</f>
        <v>857261301</v>
      </c>
      <c r="F40" s="685">
        <f t="shared" si="3"/>
        <v>1.1238947560148751</v>
      </c>
      <c r="G40" s="686">
        <f t="shared" si="4"/>
        <v>861547607.50499988</v>
      </c>
      <c r="H40" s="686">
        <f>G40*1.005</f>
        <v>865855345.54252481</v>
      </c>
      <c r="I40" s="686">
        <f>H40*1.005</f>
        <v>870184622.27023733</v>
      </c>
    </row>
    <row r="41" spans="1:15" s="687" customFormat="1" ht="15.75" x14ac:dyDescent="0.25">
      <c r="A41" s="681"/>
      <c r="B41" s="694" t="s">
        <v>1207</v>
      </c>
      <c r="C41" s="683"/>
      <c r="D41" s="967">
        <v>2626307065</v>
      </c>
      <c r="E41" s="684">
        <f>+'3. sz.Városi szintű összesen'!G42</f>
        <v>2989846329</v>
      </c>
      <c r="F41" s="685">
        <f t="shared" si="3"/>
        <v>1.1384222236785553</v>
      </c>
      <c r="G41" s="686">
        <f t="shared" si="4"/>
        <v>3004795560.6449995</v>
      </c>
      <c r="H41" s="686">
        <f>G41*1.005+3812527</f>
        <v>3023632065.4482241</v>
      </c>
      <c r="I41" s="686">
        <f>H41*1.005</f>
        <v>3038750225.775465</v>
      </c>
    </row>
    <row r="42" spans="1:15" s="687" customFormat="1" ht="15.75" x14ac:dyDescent="0.25">
      <c r="A42" s="681"/>
      <c r="B42" s="694" t="s">
        <v>1208</v>
      </c>
      <c r="C42" s="683"/>
      <c r="D42" s="967">
        <v>79389700</v>
      </c>
      <c r="E42" s="684">
        <f>+'3. sz.Városi szintű összesen'!G43</f>
        <v>53951790</v>
      </c>
      <c r="F42" s="685">
        <f t="shared" si="3"/>
        <v>0.67958173415443057</v>
      </c>
      <c r="G42" s="686">
        <f t="shared" si="4"/>
        <v>54221548.949999996</v>
      </c>
      <c r="H42" s="686">
        <f>G42*1.005</f>
        <v>54492656.694749989</v>
      </c>
      <c r="I42" s="686">
        <f>H42*1.005</f>
        <v>54765119.978223734</v>
      </c>
      <c r="L42" s="695">
        <f>+G27-G48</f>
        <v>0.34699821472167969</v>
      </c>
    </row>
    <row r="43" spans="1:15" s="687" customFormat="1" ht="15.75" x14ac:dyDescent="0.25">
      <c r="A43" s="681"/>
      <c r="B43" s="694" t="s">
        <v>1209</v>
      </c>
      <c r="C43" s="683"/>
      <c r="D43" s="967">
        <v>0</v>
      </c>
      <c r="E43" s="684">
        <f>+'3. sz.Városi szintű összesen'!G44</f>
        <v>0</v>
      </c>
      <c r="F43" s="685">
        <v>0</v>
      </c>
      <c r="G43" s="686">
        <f t="shared" si="4"/>
        <v>0</v>
      </c>
      <c r="H43" s="686">
        <f>G43*1.005</f>
        <v>0</v>
      </c>
      <c r="I43" s="686">
        <f>H43*1.005</f>
        <v>0</v>
      </c>
      <c r="K43" s="695">
        <f>+H27-H48</f>
        <v>0.35873222351074219</v>
      </c>
    </row>
    <row r="44" spans="1:15" s="687" customFormat="1" ht="15.75" x14ac:dyDescent="0.25">
      <c r="A44" s="681"/>
      <c r="B44" s="694" t="s">
        <v>1210</v>
      </c>
      <c r="C44" s="683"/>
      <c r="D44" s="967">
        <v>0</v>
      </c>
      <c r="E44" s="684">
        <f>+'3. sz.Városi szintű összesen'!G45</f>
        <v>0</v>
      </c>
      <c r="F44" s="685"/>
      <c r="G44" s="684">
        <v>0</v>
      </c>
      <c r="H44" s="684">
        <v>0</v>
      </c>
      <c r="I44" s="684">
        <v>0</v>
      </c>
      <c r="K44" s="695"/>
    </row>
    <row r="45" spans="1:15" s="687" customFormat="1" ht="15.75" x14ac:dyDescent="0.25">
      <c r="A45" s="681"/>
      <c r="B45" s="694" t="s">
        <v>1211</v>
      </c>
      <c r="C45" s="683"/>
      <c r="D45" s="967">
        <v>0</v>
      </c>
      <c r="E45" s="684">
        <f>+'3. sz.Városi szintű összesen'!G39</f>
        <v>0</v>
      </c>
      <c r="F45" s="685"/>
      <c r="G45" s="684"/>
      <c r="H45" s="684"/>
      <c r="I45" s="684"/>
      <c r="K45" s="695"/>
    </row>
    <row r="46" spans="1:15" s="163" customFormat="1" ht="15.75" x14ac:dyDescent="0.25">
      <c r="A46" s="10" t="s">
        <v>278</v>
      </c>
      <c r="B46" s="65" t="s">
        <v>120</v>
      </c>
      <c r="C46" s="1"/>
      <c r="D46" s="968">
        <f>+D36+D39+D41+D44</f>
        <v>9310299235</v>
      </c>
      <c r="E46" s="696">
        <f>+E36+E39+E41+E44+E45</f>
        <v>10301726153</v>
      </c>
      <c r="F46" s="692">
        <f>E46/D46</f>
        <v>1.1064871163617331</v>
      </c>
      <c r="G46" s="693">
        <f>+G28+G30+G31+G33+G39+G41</f>
        <v>10305509628.075001</v>
      </c>
      <c r="H46" s="693">
        <f>+H28+H30+H31+H33+H39+H41</f>
        <v>10335549703.215374</v>
      </c>
      <c r="I46" s="693">
        <f>+I28+I30+I31+I33+I39+I41</f>
        <v>10359917451.731449</v>
      </c>
    </row>
    <row r="47" spans="1:15" s="163" customFormat="1" ht="15.75" x14ac:dyDescent="0.25">
      <c r="A47" s="10" t="s">
        <v>279</v>
      </c>
      <c r="B47" s="65" t="s">
        <v>121</v>
      </c>
      <c r="C47" s="1"/>
      <c r="D47" s="968">
        <f>+D37+D40+D42+D43</f>
        <v>1034322202</v>
      </c>
      <c r="E47" s="696">
        <f>+E37+E40+E42</f>
        <v>978939491</v>
      </c>
      <c r="F47" s="692">
        <f>E47/D47</f>
        <v>0.94645506893992015</v>
      </c>
      <c r="G47" s="693">
        <f>+G29+G32+G34+G40+G42</f>
        <v>950768428.45499992</v>
      </c>
      <c r="H47" s="693">
        <f>+H29+H32+H34+H40+H42</f>
        <v>955372270.59727478</v>
      </c>
      <c r="I47" s="693">
        <f>+I29+I32+I34+I40+I42</f>
        <v>959999131.950261</v>
      </c>
      <c r="L47" s="703">
        <f>+G27-G48</f>
        <v>0.34699821472167969</v>
      </c>
    </row>
    <row r="48" spans="1:15" s="163" customFormat="1" ht="15.75" x14ac:dyDescent="0.25">
      <c r="A48" s="698" t="s">
        <v>280</v>
      </c>
      <c r="B48" s="699" t="s">
        <v>344</v>
      </c>
      <c r="C48" s="700" t="s">
        <v>955</v>
      </c>
      <c r="D48" s="701">
        <f>+D46+D47</f>
        <v>10344621437</v>
      </c>
      <c r="E48" s="701">
        <f>+E46+E47</f>
        <v>11280665644</v>
      </c>
      <c r="F48" s="973">
        <f>E48/D48</f>
        <v>1.0904860765278481</v>
      </c>
      <c r="G48" s="701">
        <f>+G46+G47</f>
        <v>11256278056.530001</v>
      </c>
      <c r="H48" s="701">
        <f>+H46+H47</f>
        <v>11290921973.812649</v>
      </c>
      <c r="I48" s="701">
        <f>+I46+I47</f>
        <v>11319916583.681709</v>
      </c>
      <c r="K48" s="703">
        <f>+I27-I48</f>
        <v>0.16552925109863281</v>
      </c>
    </row>
    <row r="49" spans="1:11" s="163" customFormat="1" ht="15.75" x14ac:dyDescent="0.25">
      <c r="A49" s="704"/>
      <c r="B49" s="665"/>
      <c r="C49" s="705"/>
      <c r="D49" s="706"/>
      <c r="E49" s="707"/>
      <c r="F49" s="708"/>
      <c r="G49" s="707"/>
      <c r="H49" s="707"/>
      <c r="I49" s="707"/>
      <c r="K49" s="703"/>
    </row>
    <row r="50" spans="1:11" s="163" customFormat="1" ht="18.75" customHeight="1" x14ac:dyDescent="0.25">
      <c r="A50" s="704"/>
      <c r="B50" s="1284" t="s">
        <v>1178</v>
      </c>
      <c r="C50" s="1284"/>
      <c r="D50" s="1284"/>
      <c r="E50" s="707">
        <f>E36</f>
        <v>5901121114</v>
      </c>
      <c r="F50" s="709"/>
      <c r="G50" s="707">
        <f>+G48-G27</f>
        <v>-0.34699821472167969</v>
      </c>
      <c r="H50" s="707">
        <f>+H48-H27</f>
        <v>-0.35873222351074219</v>
      </c>
      <c r="I50" s="707">
        <f>+I48-I27</f>
        <v>-0.16552925109863281</v>
      </c>
      <c r="J50" s="707"/>
    </row>
    <row r="51" spans="1:11" s="163" customFormat="1" ht="18.75" customHeight="1" x14ac:dyDescent="0.25">
      <c r="A51" s="704"/>
      <c r="B51" s="1284" t="s">
        <v>1179</v>
      </c>
      <c r="C51" s="1284"/>
      <c r="D51" s="1284"/>
      <c r="E51" s="707">
        <f>E17</f>
        <v>7018073861</v>
      </c>
      <c r="F51" s="709"/>
      <c r="G51" s="707"/>
      <c r="H51" s="707"/>
      <c r="I51" s="707"/>
      <c r="J51" s="703"/>
    </row>
    <row r="52" spans="1:11" s="163" customFormat="1" ht="18.75" customHeight="1" x14ac:dyDescent="0.25">
      <c r="A52" s="704"/>
      <c r="B52" s="1284" t="s">
        <v>1180</v>
      </c>
      <c r="C52" s="1284"/>
      <c r="D52" s="1284"/>
      <c r="E52" s="707">
        <f>E50-E51</f>
        <v>-1116952747</v>
      </c>
      <c r="F52" s="709"/>
      <c r="G52" s="707"/>
      <c r="H52" s="707"/>
      <c r="I52" s="707"/>
    </row>
    <row r="53" spans="1:11" s="163" customFormat="1" ht="18.75" customHeight="1" x14ac:dyDescent="0.25">
      <c r="A53" s="704"/>
      <c r="B53" s="665"/>
      <c r="C53" s="665"/>
      <c r="D53" s="969"/>
      <c r="E53" s="707"/>
      <c r="F53" s="709"/>
      <c r="G53" s="707"/>
      <c r="H53" s="707"/>
      <c r="I53" s="707"/>
      <c r="K53" s="703">
        <f>+H27-H48</f>
        <v>0.35873222351074219</v>
      </c>
    </row>
    <row r="54" spans="1:11" s="163" customFormat="1" ht="18.75" customHeight="1" x14ac:dyDescent="0.25">
      <c r="A54" s="704"/>
      <c r="B54" s="1284" t="s">
        <v>1181</v>
      </c>
      <c r="C54" s="1284"/>
      <c r="D54" s="1284"/>
      <c r="E54" s="707">
        <f>E37</f>
        <v>67726400</v>
      </c>
      <c r="F54" s="709"/>
      <c r="G54" s="707"/>
      <c r="H54" s="707"/>
      <c r="I54" s="707"/>
    </row>
    <row r="55" spans="1:11" s="163" customFormat="1" ht="18.75" customHeight="1" x14ac:dyDescent="0.25">
      <c r="A55" s="704"/>
      <c r="B55" s="1284" t="s">
        <v>1182</v>
      </c>
      <c r="C55" s="1284"/>
      <c r="D55" s="1284"/>
      <c r="E55" s="707">
        <f>E18</f>
        <v>1127844893</v>
      </c>
      <c r="F55" s="709"/>
      <c r="G55" s="707"/>
      <c r="H55" s="707"/>
      <c r="I55" s="707"/>
    </row>
    <row r="56" spans="1:11" s="163" customFormat="1" ht="18.75" customHeight="1" x14ac:dyDescent="0.25">
      <c r="A56" s="704"/>
      <c r="B56" s="1284" t="s">
        <v>1183</v>
      </c>
      <c r="C56" s="1284"/>
      <c r="D56" s="1284"/>
      <c r="E56" s="707">
        <f>E54-E55</f>
        <v>-1060118493</v>
      </c>
      <c r="F56" s="709"/>
      <c r="G56" s="707"/>
      <c r="H56" s="707"/>
      <c r="I56" s="707"/>
      <c r="K56" s="703">
        <f>+G48-G27</f>
        <v>-0.34699821472167969</v>
      </c>
    </row>
    <row r="57" spans="1:11" s="163" customFormat="1" ht="18.75" customHeight="1" x14ac:dyDescent="0.25">
      <c r="A57" s="704"/>
      <c r="B57" s="665"/>
      <c r="C57" s="665"/>
      <c r="D57" s="969"/>
      <c r="E57" s="707"/>
      <c r="F57" s="709"/>
      <c r="G57" s="707"/>
      <c r="H57" s="707"/>
      <c r="I57" s="707"/>
    </row>
    <row r="58" spans="1:11" s="163" customFormat="1" ht="18.75" customHeight="1" x14ac:dyDescent="0.25">
      <c r="A58" s="704"/>
      <c r="B58" s="1284" t="s">
        <v>1184</v>
      </c>
      <c r="C58" s="1284"/>
      <c r="D58" s="1284"/>
      <c r="E58" s="707">
        <f>E52+E56</f>
        <v>-2177071240</v>
      </c>
      <c r="F58" s="709"/>
      <c r="G58" s="707"/>
      <c r="H58" s="707"/>
      <c r="I58" s="707"/>
    </row>
    <row r="59" spans="1:11" s="163" customFormat="1" ht="18.75" customHeight="1" x14ac:dyDescent="0.25">
      <c r="A59" s="704"/>
      <c r="B59" s="1284" t="s">
        <v>1185</v>
      </c>
      <c r="C59" s="1284"/>
      <c r="D59" s="1284"/>
      <c r="E59" s="707">
        <f>+E38-E19</f>
        <v>2177071240</v>
      </c>
      <c r="F59" s="709"/>
      <c r="G59" s="707"/>
      <c r="H59" s="707"/>
      <c r="I59" s="707"/>
    </row>
    <row r="60" spans="1:11" s="163" customFormat="1" ht="18.75" customHeight="1" x14ac:dyDescent="0.25">
      <c r="A60" s="704"/>
      <c r="B60" s="1284" t="s">
        <v>1219</v>
      </c>
      <c r="C60" s="1284"/>
      <c r="D60" s="1284"/>
      <c r="E60" s="707">
        <f>+E58+E59</f>
        <v>0</v>
      </c>
      <c r="F60" s="709"/>
      <c r="G60" s="707"/>
      <c r="H60" s="707"/>
      <c r="I60" s="707"/>
    </row>
    <row r="62" spans="1:11" s="597" customFormat="1" ht="15.75" customHeight="1" x14ac:dyDescent="0.25">
      <c r="A62" s="1291" t="s">
        <v>1212</v>
      </c>
      <c r="B62" s="1291"/>
      <c r="C62" s="970"/>
      <c r="D62" s="970"/>
      <c r="E62" s="970"/>
      <c r="F62" s="970"/>
      <c r="G62" s="970"/>
      <c r="H62" s="970"/>
      <c r="I62" s="970"/>
    </row>
    <row r="63" spans="1:11" ht="50.25" customHeight="1" x14ac:dyDescent="0.25">
      <c r="A63" s="1289" t="s">
        <v>1522</v>
      </c>
      <c r="B63" s="1289"/>
      <c r="C63" s="1289"/>
      <c r="D63" s="1289"/>
      <c r="E63" s="1289"/>
      <c r="F63" s="1289"/>
      <c r="G63" s="1289"/>
      <c r="H63" s="1289"/>
      <c r="I63" s="1289"/>
    </row>
    <row r="64" spans="1:11" s="449" customFormat="1" ht="15.6" customHeight="1" x14ac:dyDescent="0.25">
      <c r="A64" s="1289" t="s">
        <v>1213</v>
      </c>
      <c r="B64" s="1289"/>
      <c r="C64" s="1289"/>
      <c r="D64" s="1289"/>
      <c r="E64" s="1289"/>
      <c r="F64" s="1289"/>
      <c r="G64" s="1289"/>
      <c r="H64" s="1289"/>
      <c r="I64" s="1289"/>
    </row>
    <row r="65" spans="1:9" s="449" customFormat="1" ht="52.5" customHeight="1" x14ac:dyDescent="0.25">
      <c r="A65" s="1289" t="s">
        <v>1523</v>
      </c>
      <c r="B65" s="1289"/>
      <c r="C65" s="1289"/>
      <c r="D65" s="1289"/>
      <c r="E65" s="1289"/>
      <c r="F65" s="1289"/>
      <c r="G65" s="1289"/>
      <c r="H65" s="1289"/>
      <c r="I65" s="1289"/>
    </row>
    <row r="66" spans="1:9" s="449" customFormat="1" ht="15.75" customHeight="1" x14ac:dyDescent="0.25">
      <c r="A66" s="1289" t="s">
        <v>1524</v>
      </c>
      <c r="B66" s="1289"/>
      <c r="C66" s="1289"/>
      <c r="D66" s="1289"/>
      <c r="E66" s="1289"/>
      <c r="F66" s="1289"/>
      <c r="G66" s="1289"/>
      <c r="H66" s="1289"/>
      <c r="I66" s="1289"/>
    </row>
    <row r="67" spans="1:9" ht="15.75" customHeight="1" x14ac:dyDescent="0.25">
      <c r="A67" s="1289" t="s">
        <v>1525</v>
      </c>
      <c r="B67" s="1289"/>
      <c r="C67" s="1289"/>
      <c r="D67" s="1289"/>
      <c r="E67" s="1289"/>
      <c r="F67" s="1289"/>
      <c r="G67" s="1289"/>
      <c r="H67" s="1289"/>
      <c r="I67" s="597"/>
    </row>
    <row r="68" spans="1:9" ht="15.75" customHeight="1" x14ac:dyDescent="0.25">
      <c r="A68" s="1289" t="s">
        <v>1526</v>
      </c>
      <c r="B68" s="1289"/>
      <c r="C68" s="1289"/>
      <c r="D68" s="1289"/>
      <c r="E68" s="1289"/>
      <c r="F68" s="1289"/>
      <c r="G68" s="1289"/>
      <c r="H68" s="1289"/>
      <c r="I68" s="597"/>
    </row>
    <row r="69" spans="1:9" ht="15.75" customHeight="1" x14ac:dyDescent="0.25">
      <c r="A69" s="1289" t="s">
        <v>1527</v>
      </c>
      <c r="B69" s="1289"/>
      <c r="C69" s="1289"/>
      <c r="D69" s="1289"/>
      <c r="E69" s="1289"/>
      <c r="F69" s="1289"/>
      <c r="G69" s="1289"/>
      <c r="H69" s="1289"/>
      <c r="I69" s="597"/>
    </row>
    <row r="70" spans="1:9" ht="15.75" x14ac:dyDescent="0.25">
      <c r="A70" s="1290"/>
      <c r="B70" s="1290"/>
      <c r="C70" s="1290"/>
      <c r="D70" s="1290"/>
      <c r="E70" s="1290"/>
      <c r="F70" s="1290"/>
      <c r="G70" s="1290"/>
      <c r="H70" s="1290"/>
    </row>
    <row r="71" spans="1:9" ht="15.75" x14ac:dyDescent="0.25">
      <c r="A71" s="1290"/>
      <c r="B71" s="1290"/>
      <c r="C71" s="1290"/>
      <c r="D71" s="1290"/>
      <c r="E71" s="1290"/>
      <c r="F71" s="1290"/>
      <c r="G71" s="1290"/>
      <c r="H71" s="1290"/>
    </row>
    <row r="72" spans="1:9" ht="15.75" x14ac:dyDescent="0.25">
      <c r="A72" s="1290"/>
      <c r="B72" s="1290"/>
      <c r="C72" s="1290"/>
      <c r="D72" s="1290"/>
      <c r="E72" s="1290"/>
      <c r="F72" s="1290"/>
      <c r="G72" s="1290"/>
      <c r="H72" s="1290"/>
    </row>
    <row r="73" spans="1:9" ht="15.75" x14ac:dyDescent="0.25">
      <c r="A73" s="1290"/>
      <c r="B73" s="1290"/>
      <c r="C73" s="1290"/>
      <c r="D73" s="1290"/>
      <c r="E73" s="1290"/>
      <c r="F73" s="1290"/>
      <c r="G73" s="1290"/>
      <c r="H73" s="1290"/>
    </row>
    <row r="74" spans="1:9" ht="15.75" x14ac:dyDescent="0.25">
      <c r="A74" s="1290"/>
      <c r="B74" s="1290"/>
      <c r="C74" s="1290"/>
      <c r="D74" s="1290"/>
      <c r="E74" s="1290"/>
      <c r="F74" s="1290"/>
      <c r="G74" s="1290"/>
      <c r="H74" s="1290"/>
    </row>
    <row r="75" spans="1:9" ht="15.75" x14ac:dyDescent="0.25">
      <c r="A75" s="710"/>
      <c r="B75" s="710"/>
      <c r="C75" s="710"/>
      <c r="D75" s="971"/>
      <c r="E75" s="710"/>
      <c r="F75" s="710"/>
      <c r="G75" s="711"/>
      <c r="H75" s="711"/>
    </row>
    <row r="76" spans="1:9" ht="15.75" x14ac:dyDescent="0.25">
      <c r="A76" s="1292"/>
      <c r="B76" s="1292"/>
      <c r="C76" s="1292"/>
      <c r="D76" s="1292"/>
      <c r="E76" s="1292"/>
      <c r="F76" s="1292"/>
      <c r="G76" s="1292"/>
      <c r="H76" s="1292"/>
      <c r="I76" s="1292"/>
    </row>
    <row r="77" spans="1:9" ht="15.75" x14ac:dyDescent="0.25">
      <c r="A77" s="1290"/>
      <c r="B77" s="1290"/>
      <c r="C77" s="1290"/>
      <c r="D77" s="1290"/>
      <c r="E77" s="1290"/>
      <c r="F77" s="1290"/>
      <c r="G77" s="1290"/>
      <c r="H77" s="1290"/>
      <c r="I77" s="1290"/>
    </row>
    <row r="78" spans="1:9" ht="15.75" x14ac:dyDescent="0.25">
      <c r="A78" s="1290"/>
      <c r="B78" s="1290"/>
      <c r="C78" s="1290"/>
      <c r="D78" s="1290"/>
      <c r="E78" s="1290"/>
      <c r="F78" s="1290"/>
      <c r="G78" s="1290"/>
      <c r="H78" s="1290"/>
      <c r="I78" s="1290"/>
    </row>
    <row r="79" spans="1:9" ht="34.5" customHeight="1" x14ac:dyDescent="0.25">
      <c r="A79" s="1290"/>
      <c r="B79" s="1290"/>
      <c r="C79" s="1290"/>
      <c r="D79" s="1290"/>
      <c r="E79" s="1290"/>
      <c r="F79" s="1290"/>
      <c r="G79" s="1290"/>
      <c r="H79" s="1290"/>
      <c r="I79" s="1290"/>
    </row>
    <row r="80" spans="1:9" ht="15.75" x14ac:dyDescent="0.25">
      <c r="A80" s="1290"/>
      <c r="B80" s="1290"/>
      <c r="C80" s="1290"/>
      <c r="D80" s="1290"/>
      <c r="E80" s="1290"/>
      <c r="F80" s="1290"/>
      <c r="G80" s="1290"/>
      <c r="H80" s="1290"/>
      <c r="I80" s="1290"/>
    </row>
    <row r="81" spans="1:9" ht="15.75" x14ac:dyDescent="0.25">
      <c r="A81" s="668"/>
      <c r="B81" s="668"/>
      <c r="C81" s="668"/>
      <c r="D81" s="972"/>
      <c r="E81" s="712"/>
      <c r="F81" s="712"/>
      <c r="G81" s="712"/>
      <c r="H81" s="712"/>
      <c r="I81" s="712"/>
    </row>
  </sheetData>
  <mergeCells count="30">
    <mergeCell ref="A80:I80"/>
    <mergeCell ref="A73:H73"/>
    <mergeCell ref="A74:H74"/>
    <mergeCell ref="A76:I76"/>
    <mergeCell ref="A77:I77"/>
    <mergeCell ref="A78:I78"/>
    <mergeCell ref="A79:I79"/>
    <mergeCell ref="A70:H70"/>
    <mergeCell ref="A71:H71"/>
    <mergeCell ref="A72:H72"/>
    <mergeCell ref="A62:B62"/>
    <mergeCell ref="A63:I63"/>
    <mergeCell ref="A64:I64"/>
    <mergeCell ref="A67:H67"/>
    <mergeCell ref="A68:H68"/>
    <mergeCell ref="A69:H69"/>
    <mergeCell ref="A65:I65"/>
    <mergeCell ref="A66:I66"/>
    <mergeCell ref="B54:D54"/>
    <mergeCell ref="B55:D55"/>
    <mergeCell ref="B56:D56"/>
    <mergeCell ref="B58:D58"/>
    <mergeCell ref="B59:D59"/>
    <mergeCell ref="B60:D60"/>
    <mergeCell ref="A1:I2"/>
    <mergeCell ref="M13:AX14"/>
    <mergeCell ref="M15:AS15"/>
    <mergeCell ref="B50:D50"/>
    <mergeCell ref="B51:D51"/>
    <mergeCell ref="B52:D52"/>
  </mergeCells>
  <printOptions horizontalCentered="1" verticalCentered="1"/>
  <pageMargins left="0.15748031496062992" right="0.23622047244094491" top="0.31496062992125984" bottom="0.31496062992125984" header="0.23622047244094491" footer="0.15748031496062992"/>
  <pageSetup paperSize="9" scale="53" orientation="landscape" r:id="rId1"/>
  <headerFooter>
    <oddHeader>&amp;C2021. évi költségvetés&amp;R&amp;A</oddHeader>
    <oddFooter>&amp;C&amp;P/&amp;N</oddFooter>
  </headerFooter>
  <rowBreaks count="1" manualBreakCount="1">
    <brk id="60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9" zoomScaleNormal="100" zoomScaleSheetLayoutView="89" workbookViewId="0">
      <selection activeCell="B13" sqref="B13"/>
    </sheetView>
  </sheetViews>
  <sheetFormatPr defaultRowHeight="12.75" x14ac:dyDescent="0.2"/>
  <cols>
    <col min="1" max="1" width="9.140625" style="449"/>
    <col min="2" max="2" width="48.140625" style="449" customWidth="1"/>
    <col min="3" max="3" width="9.140625" style="449"/>
    <col min="4" max="4" width="12.28515625" style="449" customWidth="1"/>
    <col min="5" max="5" width="13.28515625" style="449" customWidth="1"/>
    <col min="6" max="6" width="12.42578125" style="449" customWidth="1"/>
    <col min="7" max="8" width="13.28515625" style="449" customWidth="1"/>
    <col min="9" max="9" width="16.7109375" style="449" customWidth="1"/>
    <col min="10" max="10" width="15.42578125" style="449" customWidth="1"/>
    <col min="11" max="11" width="18.42578125" style="449" bestFit="1" customWidth="1"/>
    <col min="12" max="12" width="12.140625" style="449" bestFit="1" customWidth="1"/>
    <col min="13" max="16384" width="9.140625" style="449"/>
  </cols>
  <sheetData>
    <row r="1" spans="1:13" ht="15.75" x14ac:dyDescent="0.2">
      <c r="A1" s="1296" t="s">
        <v>1220</v>
      </c>
      <c r="B1" s="1296"/>
      <c r="C1" s="1296"/>
      <c r="D1" s="1296"/>
      <c r="E1" s="1296"/>
      <c r="F1" s="1296"/>
      <c r="G1" s="1296"/>
      <c r="H1" s="1296"/>
      <c r="I1" s="1296"/>
    </row>
    <row r="2" spans="1:13" ht="14.25" thickBot="1" x14ac:dyDescent="0.3">
      <c r="A2" s="714"/>
      <c r="B2" s="715"/>
      <c r="C2" s="715"/>
      <c r="D2" s="715"/>
      <c r="E2" s="715"/>
      <c r="F2" s="715"/>
      <c r="G2" s="715"/>
      <c r="H2" s="715"/>
      <c r="I2" s="716"/>
    </row>
    <row r="3" spans="1:13" x14ac:dyDescent="0.2">
      <c r="A3" s="1297" t="s">
        <v>201</v>
      </c>
      <c r="B3" s="1299" t="s">
        <v>1221</v>
      </c>
      <c r="C3" s="1301" t="s">
        <v>1222</v>
      </c>
      <c r="D3" s="1301" t="s">
        <v>1251</v>
      </c>
      <c r="E3" s="1299" t="s">
        <v>1223</v>
      </c>
      <c r="F3" s="1299"/>
      <c r="G3" s="1299"/>
      <c r="H3" s="1299"/>
      <c r="I3" s="1303" t="s">
        <v>126</v>
      </c>
      <c r="J3" s="1293" t="s">
        <v>1224</v>
      </c>
      <c r="K3" s="449" t="s">
        <v>1225</v>
      </c>
    </row>
    <row r="4" spans="1:13" x14ac:dyDescent="0.2">
      <c r="A4" s="1298"/>
      <c r="B4" s="1300"/>
      <c r="C4" s="1300"/>
      <c r="D4" s="1302"/>
      <c r="E4" s="717" t="s">
        <v>1227</v>
      </c>
      <c r="F4" s="717" t="s">
        <v>1228</v>
      </c>
      <c r="G4" s="717" t="s">
        <v>1252</v>
      </c>
      <c r="H4" s="718" t="s">
        <v>1253</v>
      </c>
      <c r="I4" s="1304"/>
      <c r="J4" s="1293"/>
    </row>
    <row r="5" spans="1:13" x14ac:dyDescent="0.2">
      <c r="A5" s="719" t="s">
        <v>1229</v>
      </c>
      <c r="B5" s="718" t="s">
        <v>1230</v>
      </c>
      <c r="C5" s="718" t="s">
        <v>1231</v>
      </c>
      <c r="D5" s="718" t="s">
        <v>1232</v>
      </c>
      <c r="E5" s="718" t="s">
        <v>1233</v>
      </c>
      <c r="F5" s="718" t="s">
        <v>1234</v>
      </c>
      <c r="G5" s="718" t="s">
        <v>1235</v>
      </c>
      <c r="H5" s="718" t="s">
        <v>1236</v>
      </c>
      <c r="I5" s="720" t="s">
        <v>1237</v>
      </c>
      <c r="J5" s="1293"/>
    </row>
    <row r="6" spans="1:13" ht="32.25" customHeight="1" x14ac:dyDescent="0.2">
      <c r="A6" s="719" t="s">
        <v>203</v>
      </c>
      <c r="B6" s="721" t="s">
        <v>1238</v>
      </c>
      <c r="C6" s="722"/>
      <c r="D6" s="723"/>
      <c r="E6" s="723"/>
      <c r="F6" s="723"/>
      <c r="G6" s="723"/>
      <c r="H6" s="723"/>
      <c r="I6" s="724"/>
    </row>
    <row r="7" spans="1:13" ht="36.75" customHeight="1" x14ac:dyDescent="0.2">
      <c r="A7" s="719" t="s">
        <v>204</v>
      </c>
      <c r="B7" s="721" t="s">
        <v>1239</v>
      </c>
      <c r="C7" s="722"/>
      <c r="D7" s="893">
        <f t="shared" ref="D7:I7" si="0">SUM(D8:D10)</f>
        <v>149278151</v>
      </c>
      <c r="E7" s="893">
        <f t="shared" si="0"/>
        <v>28182624</v>
      </c>
      <c r="F7" s="893">
        <f t="shared" si="0"/>
        <v>28182624</v>
      </c>
      <c r="G7" s="893">
        <f t="shared" si="0"/>
        <v>28182624</v>
      </c>
      <c r="H7" s="893">
        <f t="shared" si="0"/>
        <v>415666545</v>
      </c>
      <c r="I7" s="893">
        <f t="shared" si="0"/>
        <v>649492568</v>
      </c>
      <c r="J7" s="726">
        <f>SUM(I8:I10)</f>
        <v>649492568</v>
      </c>
    </row>
    <row r="8" spans="1:13" ht="23.25" customHeight="1" x14ac:dyDescent="0.2">
      <c r="A8" s="719"/>
      <c r="B8" s="725" t="s">
        <v>1240</v>
      </c>
      <c r="C8" s="722" t="s">
        <v>1241</v>
      </c>
      <c r="D8" s="895">
        <v>103389477</v>
      </c>
      <c r="E8" s="895">
        <v>14063032</v>
      </c>
      <c r="F8" s="895">
        <v>14063032</v>
      </c>
      <c r="G8" s="895">
        <v>14063032</v>
      </c>
      <c r="H8" s="895">
        <v>203913995</v>
      </c>
      <c r="I8" s="894">
        <f>SUM(D8:H8)</f>
        <v>349492568</v>
      </c>
      <c r="J8" s="896">
        <f>+K8</f>
        <v>349492568</v>
      </c>
      <c r="K8" s="897">
        <v>349492568</v>
      </c>
      <c r="L8" s="726"/>
    </row>
    <row r="9" spans="1:13" ht="18" customHeight="1" x14ac:dyDescent="0.2">
      <c r="A9" s="719"/>
      <c r="B9" s="725" t="s">
        <v>1242</v>
      </c>
      <c r="C9" s="722" t="s">
        <v>1243</v>
      </c>
      <c r="D9" s="895">
        <v>31666674</v>
      </c>
      <c r="E9" s="895">
        <v>9743592</v>
      </c>
      <c r="F9" s="895">
        <v>9743592</v>
      </c>
      <c r="G9" s="895">
        <v>9743592</v>
      </c>
      <c r="H9" s="895">
        <v>146153917</v>
      </c>
      <c r="I9" s="894">
        <f>SUM(D9:H9)</f>
        <v>207051367</v>
      </c>
      <c r="J9" s="896">
        <v>207051367</v>
      </c>
      <c r="K9" s="896"/>
    </row>
    <row r="10" spans="1:13" ht="21.75" customHeight="1" x14ac:dyDescent="0.2">
      <c r="A10" s="719"/>
      <c r="B10" s="725" t="s">
        <v>1244</v>
      </c>
      <c r="C10" s="722" t="s">
        <v>1243</v>
      </c>
      <c r="D10" s="895">
        <v>14222000</v>
      </c>
      <c r="E10" s="895">
        <v>4376000</v>
      </c>
      <c r="F10" s="895">
        <v>4376000</v>
      </c>
      <c r="G10" s="895">
        <v>4376000</v>
      </c>
      <c r="H10" s="895">
        <v>65598633</v>
      </c>
      <c r="I10" s="894">
        <f>SUM(D10:H10)</f>
        <v>92948633</v>
      </c>
      <c r="J10" s="449">
        <v>92948633</v>
      </c>
      <c r="K10" s="726"/>
      <c r="L10" s="726"/>
    </row>
    <row r="11" spans="1:13" ht="21" customHeight="1" x14ac:dyDescent="0.2">
      <c r="A11" s="719" t="s">
        <v>205</v>
      </c>
      <c r="B11" s="721" t="s">
        <v>1245</v>
      </c>
      <c r="C11" s="722"/>
      <c r="D11" s="893">
        <f>SUM(D12:D12)</f>
        <v>9829500</v>
      </c>
      <c r="E11" s="893">
        <f>SUM(E12:E12)</f>
        <v>493294660</v>
      </c>
      <c r="F11" s="893">
        <f>SUM(F12:F12)</f>
        <v>124359621</v>
      </c>
      <c r="G11" s="893">
        <f>SUM(G12:G12)</f>
        <v>0</v>
      </c>
      <c r="H11" s="893">
        <f>SUM(H12:H12)</f>
        <v>0</v>
      </c>
      <c r="I11" s="894">
        <f>SUM(D11:H11)</f>
        <v>627483781</v>
      </c>
    </row>
    <row r="12" spans="1:13" ht="35.25" customHeight="1" x14ac:dyDescent="0.2">
      <c r="A12" s="719"/>
      <c r="B12" s="930" t="s">
        <v>1504</v>
      </c>
      <c r="C12" s="722" t="s">
        <v>1246</v>
      </c>
      <c r="D12" s="893">
        <f>7429500+2400000</f>
        <v>9829500</v>
      </c>
      <c r="E12" s="893">
        <f>88554434+404740226</f>
        <v>493294660</v>
      </c>
      <c r="F12" s="893">
        <v>124359621</v>
      </c>
      <c r="G12" s="893"/>
      <c r="H12" s="893"/>
      <c r="I12" s="894">
        <f>SUM(D12:H12)</f>
        <v>627483781</v>
      </c>
      <c r="J12" s="449">
        <v>708443675</v>
      </c>
    </row>
    <row r="13" spans="1:13" ht="20.25" customHeight="1" x14ac:dyDescent="0.2">
      <c r="A13" s="719" t="s">
        <v>206</v>
      </c>
      <c r="B13" s="721" t="s">
        <v>1247</v>
      </c>
      <c r="C13" s="722"/>
      <c r="D13" s="723"/>
      <c r="E13" s="723"/>
      <c r="F13" s="723"/>
      <c r="G13" s="723"/>
      <c r="H13" s="723"/>
      <c r="I13" s="724"/>
      <c r="L13" s="449" t="s">
        <v>1248</v>
      </c>
      <c r="M13" s="449">
        <v>38607</v>
      </c>
    </row>
    <row r="14" spans="1:13" ht="17.25" customHeight="1" x14ac:dyDescent="0.2">
      <c r="A14" s="719" t="s">
        <v>207</v>
      </c>
      <c r="B14" s="721" t="s">
        <v>1249</v>
      </c>
      <c r="C14" s="722"/>
      <c r="D14" s="723"/>
      <c r="E14" s="723"/>
      <c r="F14" s="723"/>
      <c r="G14" s="723"/>
      <c r="H14" s="723"/>
      <c r="I14" s="724"/>
    </row>
    <row r="15" spans="1:13" ht="23.25" customHeight="1" thickBot="1" x14ac:dyDescent="0.25">
      <c r="A15" s="1294" t="s">
        <v>1250</v>
      </c>
      <c r="B15" s="1295"/>
      <c r="C15" s="727">
        <f t="shared" ref="C15:I15" si="1">+C6+C7+C11+C13+C14</f>
        <v>0</v>
      </c>
      <c r="D15" s="727">
        <f t="shared" si="1"/>
        <v>159107651</v>
      </c>
      <c r="E15" s="727">
        <f t="shared" si="1"/>
        <v>521477284</v>
      </c>
      <c r="F15" s="727">
        <f t="shared" si="1"/>
        <v>152542245</v>
      </c>
      <c r="G15" s="727">
        <f t="shared" si="1"/>
        <v>28182624</v>
      </c>
      <c r="H15" s="727">
        <f t="shared" si="1"/>
        <v>415666545</v>
      </c>
      <c r="I15" s="728">
        <f t="shared" si="1"/>
        <v>1276976349</v>
      </c>
    </row>
  </sheetData>
  <mergeCells count="9">
    <mergeCell ref="J3:J5"/>
    <mergeCell ref="A15:B1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&amp;C2021. évi költségvetés
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87"/>
  <sheetViews>
    <sheetView view="pageBreakPreview" topLeftCell="A21" zoomScaleNormal="100" zoomScaleSheetLayoutView="100" workbookViewId="0">
      <selection activeCell="A24" sqref="A24:IV24"/>
    </sheetView>
  </sheetViews>
  <sheetFormatPr defaultColWidth="12.42578125" defaultRowHeight="11.25" x14ac:dyDescent="0.2"/>
  <cols>
    <col min="1" max="1" width="25.5703125" style="738" bestFit="1" customWidth="1"/>
    <col min="2" max="4" width="26.140625" style="738" bestFit="1" customWidth="1"/>
    <col min="5" max="5" width="16.42578125" style="738" bestFit="1" customWidth="1"/>
    <col min="6" max="6" width="21.85546875" style="738" customWidth="1"/>
    <col min="7" max="16384" width="12.42578125" style="738"/>
  </cols>
  <sheetData>
    <row r="1" spans="1:94" s="731" customFormat="1" ht="29.25" customHeight="1" x14ac:dyDescent="0.25">
      <c r="A1" s="1306" t="s">
        <v>1254</v>
      </c>
      <c r="B1" s="1306"/>
      <c r="C1" s="1306"/>
      <c r="D1" s="1306"/>
      <c r="E1" s="1306"/>
      <c r="F1" s="729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</row>
    <row r="2" spans="1:94" s="730" customFormat="1" ht="14.25" customHeight="1" x14ac:dyDescent="0.25">
      <c r="A2" s="1307"/>
      <c r="B2" s="1307"/>
      <c r="C2" s="1307"/>
      <c r="D2" s="1307"/>
      <c r="E2" s="1307"/>
      <c r="F2" s="1307"/>
    </row>
    <row r="3" spans="1:94" s="730" customFormat="1" ht="11.25" customHeight="1" x14ac:dyDescent="0.2">
      <c r="A3" s="732"/>
      <c r="E3" s="733"/>
      <c r="F3" s="734"/>
    </row>
    <row r="4" spans="1:94" s="730" customFormat="1" ht="3" customHeight="1" thickBot="1" x14ac:dyDescent="0.25">
      <c r="F4" s="733"/>
    </row>
    <row r="5" spans="1:94" s="737" customFormat="1" ht="37.5" customHeight="1" x14ac:dyDescent="0.2">
      <c r="A5" s="1308" t="s">
        <v>2</v>
      </c>
      <c r="B5" s="1309" t="s">
        <v>1255</v>
      </c>
      <c r="C5" s="1309"/>
      <c r="D5" s="1309"/>
      <c r="E5" s="1310" t="s">
        <v>1256</v>
      </c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0"/>
      <c r="AT5" s="730"/>
      <c r="AU5" s="730"/>
      <c r="AV5" s="730"/>
      <c r="AW5" s="730"/>
      <c r="AX5" s="730"/>
      <c r="AY5" s="730"/>
      <c r="AZ5" s="730"/>
      <c r="BA5" s="730"/>
      <c r="BB5" s="730"/>
      <c r="BC5" s="730"/>
      <c r="BD5" s="730"/>
      <c r="BE5" s="730"/>
      <c r="BF5" s="730"/>
      <c r="BG5" s="730"/>
      <c r="BH5" s="730"/>
      <c r="BI5" s="730"/>
      <c r="BJ5" s="730"/>
      <c r="BK5" s="730"/>
      <c r="BL5" s="730"/>
      <c r="BM5" s="730"/>
      <c r="BN5" s="730"/>
      <c r="BO5" s="730"/>
      <c r="BP5" s="730"/>
      <c r="BQ5" s="730"/>
      <c r="BR5" s="730"/>
      <c r="BS5" s="730"/>
      <c r="BT5" s="730"/>
      <c r="BU5" s="730"/>
      <c r="BV5" s="730"/>
      <c r="BW5" s="730"/>
      <c r="BX5" s="730"/>
      <c r="BY5" s="730"/>
      <c r="BZ5" s="730"/>
      <c r="CA5" s="730"/>
      <c r="CB5" s="730"/>
      <c r="CC5" s="730"/>
      <c r="CD5" s="730"/>
      <c r="CE5" s="730"/>
      <c r="CF5" s="730"/>
      <c r="CG5" s="730"/>
      <c r="CH5" s="730"/>
      <c r="CI5" s="730"/>
      <c r="CJ5" s="730"/>
      <c r="CK5" s="730"/>
      <c r="CL5" s="730"/>
      <c r="CM5" s="730"/>
      <c r="CN5" s="730"/>
      <c r="CO5" s="730"/>
      <c r="CP5" s="730"/>
    </row>
    <row r="6" spans="1:94" ht="24.75" customHeight="1" x14ac:dyDescent="0.2">
      <c r="A6" s="1308"/>
      <c r="B6" s="735" t="s">
        <v>1257</v>
      </c>
      <c r="C6" s="735" t="s">
        <v>1257</v>
      </c>
      <c r="D6" s="735" t="s">
        <v>1257</v>
      </c>
      <c r="E6" s="131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30"/>
      <c r="BF6" s="730"/>
      <c r="BG6" s="730"/>
      <c r="BH6" s="730"/>
      <c r="BI6" s="730"/>
      <c r="BJ6" s="730"/>
      <c r="BK6" s="730"/>
      <c r="BL6" s="730"/>
      <c r="BM6" s="730"/>
      <c r="BN6" s="730"/>
      <c r="BO6" s="730"/>
      <c r="BP6" s="730"/>
      <c r="BQ6" s="730"/>
      <c r="BR6" s="730"/>
      <c r="BS6" s="730"/>
      <c r="BT6" s="730"/>
      <c r="BU6" s="730"/>
      <c r="BV6" s="730"/>
      <c r="BW6" s="730"/>
      <c r="BX6" s="730"/>
      <c r="BY6" s="730"/>
      <c r="BZ6" s="730"/>
      <c r="CA6" s="730"/>
      <c r="CB6" s="730"/>
      <c r="CC6" s="730"/>
      <c r="CD6" s="730"/>
      <c r="CE6" s="730"/>
      <c r="CF6" s="730"/>
      <c r="CG6" s="730"/>
      <c r="CH6" s="730"/>
      <c r="CI6" s="730"/>
      <c r="CJ6" s="730"/>
      <c r="CK6" s="730"/>
      <c r="CL6" s="730"/>
      <c r="CM6" s="730"/>
      <c r="CN6" s="730"/>
      <c r="CO6" s="730"/>
      <c r="CP6" s="730"/>
    </row>
    <row r="7" spans="1:94" s="740" customFormat="1" ht="16.5" customHeight="1" thickBot="1" x14ac:dyDescent="0.25">
      <c r="A7" s="1308"/>
      <c r="B7" s="739">
        <f>360000000-10507432</f>
        <v>349492568</v>
      </c>
      <c r="C7" s="739">
        <v>207051367</v>
      </c>
      <c r="D7" s="739">
        <v>92948633</v>
      </c>
      <c r="E7" s="1311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</row>
    <row r="8" spans="1:94" s="743" customFormat="1" ht="45" customHeight="1" x14ac:dyDescent="0.2">
      <c r="A8" s="741" t="s">
        <v>1258</v>
      </c>
      <c r="B8" s="742" t="s">
        <v>1259</v>
      </c>
      <c r="C8" s="742" t="s">
        <v>1260</v>
      </c>
      <c r="D8" s="742" t="s">
        <v>1261</v>
      </c>
      <c r="E8" s="1312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0"/>
      <c r="BF8" s="730"/>
      <c r="BG8" s="730"/>
      <c r="BH8" s="730"/>
      <c r="BI8" s="730"/>
      <c r="BJ8" s="730"/>
      <c r="BK8" s="730"/>
      <c r="BL8" s="730"/>
      <c r="BM8" s="730"/>
      <c r="BN8" s="730"/>
      <c r="BO8" s="730"/>
      <c r="BP8" s="730"/>
      <c r="BQ8" s="730"/>
      <c r="BR8" s="730"/>
      <c r="BS8" s="730"/>
      <c r="BT8" s="730"/>
      <c r="BU8" s="730"/>
      <c r="BV8" s="730"/>
      <c r="BW8" s="730"/>
      <c r="BX8" s="730"/>
      <c r="BY8" s="730"/>
      <c r="BZ8" s="730"/>
      <c r="CA8" s="730"/>
      <c r="CB8" s="730"/>
      <c r="CC8" s="730"/>
      <c r="CD8" s="730"/>
      <c r="CE8" s="730"/>
      <c r="CF8" s="730"/>
      <c r="CG8" s="730"/>
      <c r="CH8" s="730"/>
      <c r="CI8" s="730"/>
      <c r="CJ8" s="730"/>
      <c r="CK8" s="730"/>
      <c r="CL8" s="730"/>
      <c r="CM8" s="730"/>
      <c r="CN8" s="730"/>
      <c r="CO8" s="730"/>
      <c r="CP8" s="730"/>
    </row>
    <row r="9" spans="1:94" s="743" customFormat="1" ht="22.5" customHeight="1" x14ac:dyDescent="0.2">
      <c r="A9" s="741" t="s">
        <v>1262</v>
      </c>
      <c r="B9" s="744">
        <v>41466</v>
      </c>
      <c r="C9" s="744">
        <v>41647</v>
      </c>
      <c r="D9" s="744">
        <v>41647</v>
      </c>
      <c r="E9" s="1312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</row>
    <row r="10" spans="1:94" s="743" customFormat="1" ht="18" customHeight="1" x14ac:dyDescent="0.2">
      <c r="A10" s="745" t="s">
        <v>1263</v>
      </c>
      <c r="B10" s="746"/>
      <c r="C10" s="746"/>
      <c r="D10" s="746"/>
      <c r="E10" s="1312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0"/>
      <c r="CB10" s="730"/>
      <c r="CC10" s="730"/>
      <c r="CD10" s="730"/>
      <c r="CE10" s="730"/>
      <c r="CF10" s="730"/>
      <c r="CG10" s="730"/>
      <c r="CH10" s="730"/>
      <c r="CI10" s="730"/>
      <c r="CJ10" s="730"/>
      <c r="CK10" s="730"/>
      <c r="CL10" s="730"/>
      <c r="CM10" s="730"/>
      <c r="CN10" s="730"/>
      <c r="CO10" s="730"/>
      <c r="CP10" s="730"/>
    </row>
    <row r="11" spans="1:94" s="743" customFormat="1" ht="13.5" customHeight="1" x14ac:dyDescent="0.2">
      <c r="A11" s="747" t="s">
        <v>1264</v>
      </c>
      <c r="B11" s="741" t="s">
        <v>1265</v>
      </c>
      <c r="C11" s="741" t="s">
        <v>1266</v>
      </c>
      <c r="D11" s="741" t="s">
        <v>1266</v>
      </c>
      <c r="E11" s="1312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0"/>
      <c r="BF11" s="730"/>
      <c r="BG11" s="730"/>
      <c r="BH11" s="730"/>
      <c r="BI11" s="730"/>
      <c r="BJ11" s="730"/>
      <c r="BK11" s="730"/>
      <c r="BL11" s="730"/>
      <c r="BM11" s="730"/>
      <c r="BN11" s="730"/>
      <c r="BO11" s="730"/>
      <c r="BP11" s="730"/>
      <c r="BQ11" s="730"/>
      <c r="BR11" s="730"/>
      <c r="BS11" s="730"/>
      <c r="BT11" s="730"/>
      <c r="BU11" s="730"/>
      <c r="BV11" s="730"/>
      <c r="BW11" s="730"/>
      <c r="BX11" s="730"/>
      <c r="BY11" s="730"/>
      <c r="BZ11" s="730"/>
      <c r="CA11" s="730"/>
      <c r="CB11" s="730"/>
      <c r="CC11" s="730"/>
      <c r="CD11" s="730"/>
      <c r="CE11" s="730"/>
      <c r="CF11" s="730"/>
      <c r="CG11" s="730"/>
      <c r="CH11" s="730"/>
      <c r="CI11" s="730"/>
      <c r="CJ11" s="730"/>
      <c r="CK11" s="730"/>
      <c r="CL11" s="730"/>
      <c r="CM11" s="730"/>
      <c r="CN11" s="730"/>
      <c r="CO11" s="730"/>
      <c r="CP11" s="730"/>
    </row>
    <row r="12" spans="1:94" s="750" customFormat="1" ht="12.75" customHeight="1" x14ac:dyDescent="0.2">
      <c r="A12" s="747" t="s">
        <v>53</v>
      </c>
      <c r="B12" s="748" t="s">
        <v>203</v>
      </c>
      <c r="C12" s="748" t="s">
        <v>204</v>
      </c>
      <c r="D12" s="748" t="s">
        <v>205</v>
      </c>
      <c r="E12" s="1312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  <c r="BI12" s="749"/>
      <c r="BJ12" s="749"/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/>
      <c r="BV12" s="749"/>
      <c r="BW12" s="749"/>
      <c r="BX12" s="749"/>
      <c r="BY12" s="749"/>
      <c r="BZ12" s="749"/>
      <c r="CA12" s="749"/>
      <c r="CB12" s="749"/>
      <c r="CC12" s="749"/>
      <c r="CD12" s="749"/>
      <c r="CE12" s="749"/>
      <c r="CF12" s="749"/>
      <c r="CG12" s="749"/>
      <c r="CH12" s="749"/>
      <c r="CI12" s="749"/>
      <c r="CJ12" s="749"/>
      <c r="CK12" s="749"/>
      <c r="CL12" s="749"/>
      <c r="CM12" s="749"/>
      <c r="CN12" s="749"/>
      <c r="CO12" s="749"/>
      <c r="CP12" s="749"/>
    </row>
    <row r="13" spans="1:94" s="753" customFormat="1" ht="31.5" customHeight="1" x14ac:dyDescent="0.2">
      <c r="A13" s="735" t="s">
        <v>1267</v>
      </c>
      <c r="B13" s="751" t="s">
        <v>1268</v>
      </c>
      <c r="C13" s="751" t="s">
        <v>1268</v>
      </c>
      <c r="D13" s="751" t="s">
        <v>1268</v>
      </c>
      <c r="E13" s="131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752"/>
      <c r="AL13" s="752"/>
      <c r="AM13" s="752"/>
      <c r="AN13" s="752"/>
      <c r="AO13" s="752"/>
      <c r="AP13" s="752"/>
      <c r="AQ13" s="752"/>
      <c r="AR13" s="752"/>
      <c r="AS13" s="752"/>
      <c r="AT13" s="752"/>
      <c r="AU13" s="752"/>
      <c r="AV13" s="752"/>
      <c r="AW13" s="752"/>
      <c r="AX13" s="752"/>
      <c r="AY13" s="752"/>
      <c r="AZ13" s="752"/>
      <c r="BA13" s="752"/>
      <c r="BB13" s="752"/>
      <c r="BC13" s="752"/>
      <c r="BD13" s="752"/>
      <c r="BE13" s="752"/>
      <c r="BF13" s="752"/>
      <c r="BG13" s="752"/>
      <c r="BH13" s="752"/>
      <c r="BI13" s="752"/>
      <c r="BJ13" s="752"/>
      <c r="BK13" s="752"/>
      <c r="BL13" s="752"/>
      <c r="BM13" s="752"/>
      <c r="BN13" s="752"/>
      <c r="BO13" s="752"/>
      <c r="BP13" s="752"/>
      <c r="BQ13" s="752"/>
      <c r="BR13" s="752"/>
      <c r="BS13" s="752"/>
      <c r="BT13" s="752"/>
      <c r="BU13" s="752"/>
      <c r="BV13" s="752"/>
      <c r="BW13" s="752"/>
      <c r="BX13" s="752"/>
      <c r="BY13" s="752"/>
      <c r="BZ13" s="752"/>
      <c r="CA13" s="752"/>
      <c r="CB13" s="752"/>
      <c r="CC13" s="752"/>
      <c r="CD13" s="752"/>
      <c r="CE13" s="752"/>
      <c r="CF13" s="752"/>
      <c r="CG13" s="752"/>
      <c r="CH13" s="752"/>
      <c r="CI13" s="752"/>
      <c r="CJ13" s="752"/>
      <c r="CK13" s="752"/>
      <c r="CL13" s="752"/>
      <c r="CM13" s="752"/>
      <c r="CN13" s="752"/>
      <c r="CO13" s="752"/>
      <c r="CP13" s="752"/>
    </row>
    <row r="14" spans="1:94" s="753" customFormat="1" ht="44.25" customHeight="1" x14ac:dyDescent="0.2">
      <c r="A14" s="754" t="s">
        <v>1269</v>
      </c>
      <c r="B14" s="736"/>
      <c r="C14" s="736"/>
      <c r="D14" s="736"/>
      <c r="E14" s="1313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  <c r="AJ14" s="752"/>
      <c r="AK14" s="752"/>
      <c r="AL14" s="752"/>
      <c r="AM14" s="752"/>
      <c r="AN14" s="752"/>
      <c r="AO14" s="752"/>
      <c r="AP14" s="752"/>
      <c r="AQ14" s="752"/>
      <c r="AR14" s="752"/>
      <c r="AS14" s="752"/>
      <c r="AT14" s="752"/>
      <c r="AU14" s="752"/>
      <c r="AV14" s="752"/>
      <c r="AW14" s="752"/>
      <c r="AX14" s="752"/>
      <c r="AY14" s="752"/>
      <c r="AZ14" s="752"/>
      <c r="BA14" s="752"/>
      <c r="BB14" s="752"/>
      <c r="BC14" s="752"/>
      <c r="BD14" s="752"/>
      <c r="BE14" s="752"/>
      <c r="BF14" s="752"/>
      <c r="BG14" s="752"/>
      <c r="BH14" s="752"/>
      <c r="BI14" s="752"/>
      <c r="BJ14" s="752"/>
      <c r="BK14" s="752"/>
      <c r="BL14" s="752"/>
      <c r="BM14" s="752"/>
      <c r="BN14" s="752"/>
      <c r="BO14" s="752"/>
      <c r="BP14" s="752"/>
      <c r="BQ14" s="752"/>
      <c r="BR14" s="752"/>
      <c r="BS14" s="752"/>
      <c r="BT14" s="752"/>
      <c r="BU14" s="752"/>
      <c r="BV14" s="752"/>
      <c r="BW14" s="752"/>
      <c r="BX14" s="752"/>
      <c r="BY14" s="752"/>
      <c r="BZ14" s="752"/>
      <c r="CA14" s="752"/>
      <c r="CB14" s="752"/>
      <c r="CC14" s="752"/>
      <c r="CD14" s="752"/>
      <c r="CE14" s="752"/>
      <c r="CF14" s="752"/>
      <c r="CG14" s="752"/>
      <c r="CH14" s="752"/>
      <c r="CI14" s="752"/>
      <c r="CJ14" s="752"/>
      <c r="CK14" s="752"/>
      <c r="CL14" s="752"/>
      <c r="CM14" s="752"/>
      <c r="CN14" s="752"/>
      <c r="CO14" s="752"/>
      <c r="CP14" s="752"/>
    </row>
    <row r="15" spans="1:94" s="756" customFormat="1" ht="14.25" customHeight="1" x14ac:dyDescent="0.2">
      <c r="A15" s="755" t="s">
        <v>1270</v>
      </c>
      <c r="B15" s="755"/>
      <c r="C15" s="755"/>
      <c r="D15" s="755"/>
      <c r="E15" s="755" t="s">
        <v>1271</v>
      </c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2"/>
      <c r="AK15" s="752"/>
      <c r="AL15" s="752"/>
      <c r="AM15" s="752"/>
      <c r="AN15" s="752"/>
      <c r="AO15" s="752"/>
      <c r="AP15" s="752"/>
      <c r="AQ15" s="752"/>
      <c r="AR15" s="752"/>
      <c r="AS15" s="752"/>
      <c r="AT15" s="752"/>
      <c r="AU15" s="752"/>
      <c r="AV15" s="752"/>
      <c r="AW15" s="752"/>
      <c r="AX15" s="752"/>
      <c r="AY15" s="752"/>
      <c r="AZ15" s="752"/>
      <c r="BA15" s="752"/>
      <c r="BB15" s="752"/>
      <c r="BC15" s="752"/>
      <c r="BD15" s="752"/>
      <c r="BE15" s="752"/>
      <c r="BF15" s="752"/>
      <c r="BG15" s="752"/>
      <c r="BH15" s="752"/>
      <c r="BI15" s="752"/>
      <c r="BJ15" s="752"/>
      <c r="BK15" s="752"/>
      <c r="BL15" s="752"/>
      <c r="BM15" s="752"/>
      <c r="BN15" s="752"/>
      <c r="BO15" s="752"/>
      <c r="BP15" s="752"/>
      <c r="BQ15" s="752"/>
      <c r="BR15" s="752"/>
      <c r="BS15" s="752"/>
      <c r="BT15" s="752"/>
      <c r="BU15" s="752"/>
      <c r="BV15" s="752"/>
      <c r="BW15" s="752"/>
      <c r="BX15" s="752"/>
      <c r="BY15" s="752"/>
      <c r="BZ15" s="752"/>
      <c r="CA15" s="752"/>
      <c r="CB15" s="752"/>
      <c r="CC15" s="752"/>
      <c r="CD15" s="752"/>
      <c r="CE15" s="752"/>
      <c r="CF15" s="752"/>
      <c r="CG15" s="752"/>
      <c r="CH15" s="752"/>
      <c r="CI15" s="752"/>
      <c r="CJ15" s="752"/>
      <c r="CK15" s="752"/>
      <c r="CL15" s="752"/>
      <c r="CM15" s="752"/>
      <c r="CN15" s="752"/>
      <c r="CO15" s="752"/>
      <c r="CP15" s="752"/>
    </row>
    <row r="16" spans="1:94" ht="15.95" customHeight="1" x14ac:dyDescent="0.2">
      <c r="A16" s="735" t="s">
        <v>1272</v>
      </c>
      <c r="B16" s="757">
        <v>64716139</v>
      </c>
      <c r="C16" s="757"/>
      <c r="D16" s="757"/>
      <c r="E16" s="758">
        <f>SUM(B16:B16)</f>
        <v>64716139</v>
      </c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0"/>
      <c r="BP16" s="730"/>
      <c r="BQ16" s="730"/>
      <c r="BR16" s="730"/>
      <c r="BS16" s="730"/>
      <c r="BT16" s="730"/>
      <c r="BU16" s="730"/>
      <c r="BV16" s="730"/>
      <c r="BW16" s="730"/>
      <c r="BX16" s="730"/>
      <c r="BY16" s="730"/>
      <c r="BZ16" s="730"/>
      <c r="CA16" s="730"/>
      <c r="CB16" s="730"/>
      <c r="CC16" s="730"/>
      <c r="CD16" s="730"/>
      <c r="CE16" s="730"/>
      <c r="CF16" s="730"/>
      <c r="CG16" s="730"/>
      <c r="CH16" s="730"/>
      <c r="CI16" s="730"/>
      <c r="CJ16" s="730"/>
      <c r="CK16" s="730"/>
      <c r="CL16" s="730"/>
      <c r="CM16" s="730"/>
      <c r="CN16" s="730"/>
      <c r="CO16" s="730"/>
      <c r="CP16" s="730"/>
    </row>
    <row r="17" spans="1:94" ht="15.95" customHeight="1" x14ac:dyDescent="0.2">
      <c r="A17" s="735" t="s">
        <v>1273</v>
      </c>
      <c r="B17" s="757"/>
      <c r="C17" s="757"/>
      <c r="D17" s="757"/>
      <c r="E17" s="758">
        <f>SUM(B17:B17)</f>
        <v>0</v>
      </c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0"/>
      <c r="BP17" s="730"/>
      <c r="BQ17" s="730"/>
      <c r="BR17" s="730"/>
      <c r="BS17" s="730"/>
      <c r="BT17" s="730"/>
      <c r="BU17" s="730"/>
      <c r="BV17" s="730"/>
      <c r="BW17" s="730"/>
      <c r="BX17" s="730"/>
      <c r="BY17" s="730"/>
      <c r="BZ17" s="730"/>
      <c r="CA17" s="730"/>
      <c r="CB17" s="730"/>
      <c r="CC17" s="730"/>
      <c r="CD17" s="730"/>
      <c r="CE17" s="730"/>
      <c r="CF17" s="730"/>
      <c r="CG17" s="730"/>
      <c r="CH17" s="730"/>
      <c r="CI17" s="730"/>
      <c r="CJ17" s="730"/>
      <c r="CK17" s="730"/>
      <c r="CL17" s="730"/>
      <c r="CM17" s="730"/>
      <c r="CN17" s="730"/>
      <c r="CO17" s="730"/>
      <c r="CP17" s="730"/>
    </row>
    <row r="18" spans="1:94" s="731" customFormat="1" ht="15.95" customHeight="1" x14ac:dyDescent="0.2">
      <c r="A18" s="735" t="s">
        <v>1274</v>
      </c>
      <c r="B18" s="757"/>
      <c r="C18" s="757"/>
      <c r="D18" s="757"/>
      <c r="E18" s="758">
        <f>SUM(B18:B18)</f>
        <v>0</v>
      </c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</row>
    <row r="19" spans="1:94" s="731" customFormat="1" ht="15.95" customHeight="1" x14ac:dyDescent="0.2">
      <c r="A19" s="735" t="s">
        <v>1275</v>
      </c>
      <c r="B19" s="757"/>
      <c r="C19" s="757">
        <v>2435898</v>
      </c>
      <c r="D19" s="757">
        <v>1094000</v>
      </c>
      <c r="E19" s="758">
        <f>SUM(B19:D19)</f>
        <v>3529898</v>
      </c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0"/>
      <c r="BP19" s="730"/>
      <c r="BQ19" s="730"/>
      <c r="BR19" s="730"/>
      <c r="BS19" s="730"/>
      <c r="BT19" s="730"/>
      <c r="BU19" s="730"/>
      <c r="BV19" s="730"/>
      <c r="BW19" s="730"/>
      <c r="BX19" s="730"/>
      <c r="BY19" s="730"/>
      <c r="BZ19" s="730"/>
      <c r="CA19" s="730"/>
      <c r="CB19" s="730"/>
      <c r="CC19" s="730"/>
      <c r="CD19" s="730"/>
      <c r="CE19" s="730"/>
      <c r="CF19" s="730"/>
      <c r="CG19" s="730"/>
      <c r="CH19" s="730"/>
      <c r="CI19" s="730"/>
      <c r="CJ19" s="730"/>
      <c r="CK19" s="730"/>
      <c r="CL19" s="730"/>
      <c r="CM19" s="730"/>
      <c r="CN19" s="730"/>
      <c r="CO19" s="730"/>
      <c r="CP19" s="730"/>
    </row>
    <row r="20" spans="1:94" s="731" customFormat="1" ht="28.15" customHeight="1" x14ac:dyDescent="0.2">
      <c r="A20" s="735" t="s">
        <v>1276</v>
      </c>
      <c r="B20" s="757">
        <v>10547274</v>
      </c>
      <c r="C20" s="757">
        <f>9743592-2435898</f>
        <v>7307694</v>
      </c>
      <c r="D20" s="757">
        <f>4376000-1094000</f>
        <v>3282000</v>
      </c>
      <c r="E20" s="758">
        <f t="shared" ref="E20:E41" si="0">SUM(B20:D20)</f>
        <v>21136968</v>
      </c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  <c r="CD20" s="730"/>
      <c r="CE20" s="730"/>
      <c r="CF20" s="730"/>
      <c r="CG20" s="730"/>
      <c r="CH20" s="730"/>
      <c r="CI20" s="730"/>
      <c r="CJ20" s="730"/>
      <c r="CK20" s="730"/>
      <c r="CL20" s="730"/>
      <c r="CM20" s="730"/>
      <c r="CN20" s="730"/>
      <c r="CO20" s="730"/>
      <c r="CP20" s="730"/>
    </row>
    <row r="21" spans="1:94" s="731" customFormat="1" ht="15.95" customHeight="1" x14ac:dyDescent="0.2">
      <c r="A21" s="735" t="s">
        <v>1277</v>
      </c>
      <c r="B21" s="757"/>
      <c r="C21" s="757">
        <v>2435898</v>
      </c>
      <c r="D21" s="757">
        <v>1094000</v>
      </c>
      <c r="E21" s="758">
        <f t="shared" si="0"/>
        <v>3529898</v>
      </c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0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/>
      <c r="BS21" s="730"/>
      <c r="BT21" s="730"/>
      <c r="BU21" s="730"/>
      <c r="BV21" s="730"/>
      <c r="BW21" s="730"/>
      <c r="BX21" s="730"/>
      <c r="BY21" s="730"/>
      <c r="BZ21" s="730"/>
      <c r="CA21" s="730"/>
      <c r="CB21" s="730"/>
      <c r="CC21" s="730"/>
      <c r="CD21" s="730"/>
      <c r="CE21" s="730"/>
      <c r="CF21" s="730"/>
      <c r="CG21" s="730"/>
      <c r="CH21" s="730"/>
      <c r="CI21" s="730"/>
      <c r="CJ21" s="730"/>
      <c r="CK21" s="730"/>
      <c r="CL21" s="730"/>
      <c r="CM21" s="730"/>
      <c r="CN21" s="730"/>
      <c r="CO21" s="730"/>
      <c r="CP21" s="730"/>
    </row>
    <row r="22" spans="1:94" s="731" customFormat="1" ht="28.15" customHeight="1" x14ac:dyDescent="0.2">
      <c r="A22" s="735" t="s">
        <v>1278</v>
      </c>
      <c r="B22" s="757">
        <v>14063032</v>
      </c>
      <c r="C22" s="757">
        <v>9743592</v>
      </c>
      <c r="D22" s="757">
        <v>4376000</v>
      </c>
      <c r="E22" s="758">
        <f t="shared" si="0"/>
        <v>28182624</v>
      </c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0"/>
      <c r="BF22" s="730"/>
      <c r="BG22" s="730"/>
      <c r="BH22" s="730"/>
      <c r="BI22" s="730"/>
      <c r="BJ22" s="730"/>
      <c r="BK22" s="730"/>
      <c r="BL22" s="730"/>
      <c r="BM22" s="730"/>
      <c r="BN22" s="730"/>
      <c r="BO22" s="730"/>
      <c r="BP22" s="730"/>
      <c r="BQ22" s="730"/>
      <c r="BR22" s="730"/>
      <c r="BS22" s="730"/>
      <c r="BT22" s="730"/>
      <c r="BU22" s="730"/>
      <c r="BV22" s="730"/>
      <c r="BW22" s="730"/>
      <c r="BX22" s="730"/>
      <c r="BY22" s="730"/>
      <c r="BZ22" s="730"/>
      <c r="CA22" s="730"/>
      <c r="CB22" s="730"/>
      <c r="CC22" s="730"/>
      <c r="CD22" s="730"/>
      <c r="CE22" s="730"/>
      <c r="CF22" s="730"/>
      <c r="CG22" s="730"/>
      <c r="CH22" s="730"/>
      <c r="CI22" s="730"/>
      <c r="CJ22" s="730"/>
      <c r="CK22" s="730"/>
      <c r="CL22" s="730"/>
      <c r="CM22" s="730"/>
      <c r="CN22" s="730"/>
      <c r="CO22" s="730"/>
      <c r="CP22" s="730"/>
    </row>
    <row r="23" spans="1:94" s="731" customFormat="1" ht="15.95" customHeight="1" x14ac:dyDescent="0.2">
      <c r="A23" s="735" t="s">
        <v>1226</v>
      </c>
      <c r="B23" s="757">
        <v>14063032</v>
      </c>
      <c r="C23" s="757">
        <v>9743592</v>
      </c>
      <c r="D23" s="757">
        <v>4376000</v>
      </c>
      <c r="E23" s="758">
        <f t="shared" si="0"/>
        <v>28182624</v>
      </c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30"/>
      <c r="BF23" s="730"/>
      <c r="BG23" s="730"/>
      <c r="BH23" s="730"/>
      <c r="BI23" s="730"/>
      <c r="BJ23" s="730"/>
      <c r="BK23" s="730"/>
      <c r="BL23" s="730"/>
      <c r="BM23" s="730"/>
      <c r="BN23" s="730"/>
      <c r="BO23" s="730"/>
      <c r="BP23" s="730"/>
      <c r="BQ23" s="730"/>
      <c r="BR23" s="730"/>
      <c r="BS23" s="730"/>
      <c r="BT23" s="730"/>
      <c r="BU23" s="730"/>
      <c r="BV23" s="730"/>
      <c r="BW23" s="730"/>
      <c r="BX23" s="730"/>
      <c r="BY23" s="730"/>
      <c r="BZ23" s="730"/>
      <c r="CA23" s="730"/>
      <c r="CB23" s="730"/>
      <c r="CC23" s="730"/>
      <c r="CD23" s="730"/>
      <c r="CE23" s="730"/>
      <c r="CF23" s="730"/>
      <c r="CG23" s="730"/>
      <c r="CH23" s="730"/>
      <c r="CI23" s="730"/>
      <c r="CJ23" s="730"/>
      <c r="CK23" s="730"/>
      <c r="CL23" s="730"/>
      <c r="CM23" s="730"/>
      <c r="CN23" s="730"/>
      <c r="CO23" s="730"/>
      <c r="CP23" s="730"/>
    </row>
    <row r="24" spans="1:94" s="731" customFormat="1" ht="15.95" customHeight="1" x14ac:dyDescent="0.2">
      <c r="A24" s="735" t="s">
        <v>1227</v>
      </c>
      <c r="B24" s="757">
        <v>14063032</v>
      </c>
      <c r="C24" s="757">
        <v>9743592</v>
      </c>
      <c r="D24" s="757">
        <v>4376000</v>
      </c>
      <c r="E24" s="758">
        <f t="shared" si="0"/>
        <v>28182624</v>
      </c>
      <c r="F24" s="730"/>
      <c r="G24" s="759"/>
      <c r="H24" s="760"/>
      <c r="I24" s="760"/>
      <c r="J24" s="761"/>
      <c r="K24" s="762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30"/>
      <c r="AK24" s="730"/>
      <c r="AL24" s="730"/>
      <c r="AM24" s="730"/>
      <c r="AN24" s="730"/>
      <c r="AO24" s="730"/>
      <c r="AP24" s="730"/>
      <c r="AQ24" s="730"/>
      <c r="AR24" s="730"/>
      <c r="AS24" s="730"/>
      <c r="AT24" s="730"/>
      <c r="AU24" s="730"/>
      <c r="AV24" s="730"/>
      <c r="AW24" s="730"/>
      <c r="AX24" s="730"/>
      <c r="AY24" s="730"/>
      <c r="AZ24" s="730"/>
      <c r="BA24" s="730"/>
      <c r="BB24" s="730"/>
      <c r="BC24" s="730"/>
      <c r="BD24" s="730"/>
      <c r="BE24" s="730"/>
      <c r="BF24" s="730"/>
      <c r="BG24" s="730"/>
      <c r="BH24" s="730"/>
      <c r="BI24" s="730"/>
      <c r="BJ24" s="730"/>
      <c r="BK24" s="730"/>
      <c r="BL24" s="730"/>
      <c r="BM24" s="730"/>
      <c r="BN24" s="730"/>
      <c r="BO24" s="730"/>
      <c r="BP24" s="730"/>
      <c r="BQ24" s="730"/>
      <c r="BR24" s="730"/>
      <c r="BS24" s="730"/>
      <c r="BT24" s="730"/>
      <c r="BU24" s="730"/>
      <c r="BV24" s="730"/>
      <c r="BW24" s="730"/>
      <c r="BX24" s="730"/>
      <c r="BY24" s="730"/>
      <c r="BZ24" s="730"/>
      <c r="CA24" s="730"/>
      <c r="CB24" s="730"/>
      <c r="CC24" s="730"/>
      <c r="CD24" s="730"/>
      <c r="CE24" s="730"/>
      <c r="CF24" s="730"/>
      <c r="CG24" s="730"/>
      <c r="CH24" s="730"/>
      <c r="CI24" s="730"/>
      <c r="CJ24" s="730"/>
      <c r="CK24" s="730"/>
      <c r="CL24" s="730"/>
      <c r="CM24" s="730"/>
      <c r="CN24" s="730"/>
      <c r="CO24" s="730"/>
      <c r="CP24" s="730"/>
    </row>
    <row r="25" spans="1:94" s="731" customFormat="1" ht="15.95" customHeight="1" x14ac:dyDescent="0.2">
      <c r="A25" s="735" t="s">
        <v>1228</v>
      </c>
      <c r="B25" s="757">
        <v>14063032</v>
      </c>
      <c r="C25" s="757">
        <v>9743592</v>
      </c>
      <c r="D25" s="757">
        <v>4376000</v>
      </c>
      <c r="E25" s="758">
        <f t="shared" si="0"/>
        <v>28182624</v>
      </c>
      <c r="F25" s="730"/>
      <c r="G25" s="763"/>
      <c r="H25" s="763"/>
      <c r="I25" s="763"/>
      <c r="J25" s="763"/>
      <c r="K25" s="763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30"/>
      <c r="BF25" s="730"/>
      <c r="BG25" s="730"/>
      <c r="BH25" s="730"/>
      <c r="BI25" s="730"/>
      <c r="BJ25" s="730"/>
      <c r="BK25" s="730"/>
      <c r="BL25" s="730"/>
      <c r="BM25" s="730"/>
      <c r="BN25" s="730"/>
      <c r="BO25" s="730"/>
      <c r="BP25" s="730"/>
      <c r="BQ25" s="730"/>
      <c r="BR25" s="730"/>
      <c r="BS25" s="730"/>
      <c r="BT25" s="730"/>
      <c r="BU25" s="730"/>
      <c r="BV25" s="730"/>
      <c r="BW25" s="730"/>
      <c r="BX25" s="730"/>
      <c r="BY25" s="730"/>
      <c r="BZ25" s="730"/>
      <c r="CA25" s="730"/>
      <c r="CB25" s="730"/>
      <c r="CC25" s="730"/>
      <c r="CD25" s="730"/>
      <c r="CE25" s="730"/>
      <c r="CF25" s="730"/>
      <c r="CG25" s="730"/>
      <c r="CH25" s="730"/>
      <c r="CI25" s="730"/>
      <c r="CJ25" s="730"/>
      <c r="CK25" s="730"/>
      <c r="CL25" s="730"/>
      <c r="CM25" s="730"/>
      <c r="CN25" s="730"/>
      <c r="CO25" s="730"/>
      <c r="CP25" s="730"/>
    </row>
    <row r="26" spans="1:94" s="731" customFormat="1" ht="15.95" customHeight="1" x14ac:dyDescent="0.2">
      <c r="A26" s="735" t="s">
        <v>1252</v>
      </c>
      <c r="B26" s="757">
        <v>14063032</v>
      </c>
      <c r="C26" s="757">
        <v>9743592</v>
      </c>
      <c r="D26" s="757">
        <v>4376000</v>
      </c>
      <c r="E26" s="758">
        <f t="shared" si="0"/>
        <v>28182624</v>
      </c>
      <c r="F26" s="730"/>
      <c r="G26" s="763"/>
      <c r="H26" s="763"/>
      <c r="I26" s="763"/>
      <c r="J26" s="763"/>
      <c r="K26" s="763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30"/>
      <c r="BF26" s="730"/>
      <c r="BG26" s="730"/>
      <c r="BH26" s="730"/>
      <c r="BI26" s="730"/>
      <c r="BJ26" s="730"/>
      <c r="BK26" s="730"/>
      <c r="BL26" s="730"/>
      <c r="BM26" s="730"/>
      <c r="BN26" s="730"/>
      <c r="BO26" s="730"/>
      <c r="BP26" s="730"/>
      <c r="BQ26" s="730"/>
      <c r="BR26" s="730"/>
      <c r="BS26" s="730"/>
      <c r="BT26" s="730"/>
      <c r="BU26" s="730"/>
      <c r="BV26" s="730"/>
      <c r="BW26" s="730"/>
      <c r="BX26" s="730"/>
      <c r="BY26" s="730"/>
      <c r="BZ26" s="730"/>
      <c r="CA26" s="730"/>
      <c r="CB26" s="730"/>
      <c r="CC26" s="730"/>
      <c r="CD26" s="730"/>
      <c r="CE26" s="730"/>
      <c r="CF26" s="730"/>
      <c r="CG26" s="730"/>
      <c r="CH26" s="730"/>
      <c r="CI26" s="730"/>
      <c r="CJ26" s="730"/>
      <c r="CK26" s="730"/>
      <c r="CL26" s="730"/>
      <c r="CM26" s="730"/>
      <c r="CN26" s="730"/>
      <c r="CO26" s="730"/>
      <c r="CP26" s="730"/>
    </row>
    <row r="27" spans="1:94" s="731" customFormat="1" ht="15.95" customHeight="1" x14ac:dyDescent="0.2">
      <c r="A27" s="735" t="s">
        <v>1279</v>
      </c>
      <c r="B27" s="757">
        <v>14063032</v>
      </c>
      <c r="C27" s="757">
        <v>9743592</v>
      </c>
      <c r="D27" s="757">
        <v>4376000</v>
      </c>
      <c r="E27" s="758">
        <f t="shared" si="0"/>
        <v>28182624</v>
      </c>
      <c r="F27" s="730"/>
      <c r="G27" s="763"/>
      <c r="H27" s="763"/>
      <c r="I27" s="763"/>
      <c r="J27" s="763"/>
      <c r="K27" s="763"/>
      <c r="L27" s="730"/>
      <c r="M27" s="730"/>
      <c r="N27" s="730"/>
      <c r="O27" s="730"/>
      <c r="P27" s="730"/>
      <c r="Q27" s="730"/>
      <c r="R27" s="730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30"/>
      <c r="BF27" s="730"/>
      <c r="BG27" s="730"/>
      <c r="BH27" s="730"/>
      <c r="BI27" s="730"/>
      <c r="BJ27" s="730"/>
      <c r="BK27" s="730"/>
      <c r="BL27" s="730"/>
      <c r="BM27" s="730"/>
      <c r="BN27" s="730"/>
      <c r="BO27" s="730"/>
      <c r="BP27" s="730"/>
      <c r="BQ27" s="730"/>
      <c r="BR27" s="730"/>
      <c r="BS27" s="730"/>
      <c r="BT27" s="730"/>
      <c r="BU27" s="730"/>
      <c r="BV27" s="730"/>
      <c r="BW27" s="730"/>
      <c r="BX27" s="730"/>
      <c r="BY27" s="730"/>
      <c r="BZ27" s="730"/>
      <c r="CA27" s="730"/>
      <c r="CB27" s="730"/>
      <c r="CC27" s="730"/>
      <c r="CD27" s="730"/>
      <c r="CE27" s="730"/>
      <c r="CF27" s="730"/>
      <c r="CG27" s="730"/>
      <c r="CH27" s="730"/>
      <c r="CI27" s="730"/>
      <c r="CJ27" s="730"/>
      <c r="CK27" s="730"/>
      <c r="CL27" s="730"/>
      <c r="CM27" s="730"/>
      <c r="CN27" s="730"/>
      <c r="CO27" s="730"/>
      <c r="CP27" s="730"/>
    </row>
    <row r="28" spans="1:94" s="731" customFormat="1" ht="15.95" customHeight="1" x14ac:dyDescent="0.2">
      <c r="A28" s="735" t="s">
        <v>1280</v>
      </c>
      <c r="B28" s="757">
        <v>14063032</v>
      </c>
      <c r="C28" s="757">
        <v>9743592</v>
      </c>
      <c r="D28" s="757">
        <v>4376000</v>
      </c>
      <c r="E28" s="758">
        <f t="shared" si="0"/>
        <v>28182624</v>
      </c>
      <c r="F28" s="730"/>
      <c r="G28" s="763"/>
      <c r="H28" s="763"/>
      <c r="I28" s="763"/>
      <c r="J28" s="763"/>
      <c r="K28" s="763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30"/>
      <c r="BF28" s="730"/>
      <c r="BG28" s="730"/>
      <c r="BH28" s="730"/>
      <c r="BI28" s="730"/>
      <c r="BJ28" s="730"/>
      <c r="BK28" s="730"/>
      <c r="BL28" s="730"/>
      <c r="BM28" s="730"/>
      <c r="BN28" s="730"/>
      <c r="BO28" s="730"/>
      <c r="BP28" s="730"/>
      <c r="BQ28" s="730"/>
      <c r="BR28" s="730"/>
      <c r="BS28" s="730"/>
      <c r="BT28" s="730"/>
      <c r="BU28" s="730"/>
      <c r="BV28" s="730"/>
      <c r="BW28" s="730"/>
      <c r="BX28" s="730"/>
      <c r="BY28" s="730"/>
      <c r="BZ28" s="730"/>
      <c r="CA28" s="730"/>
      <c r="CB28" s="730"/>
      <c r="CC28" s="730"/>
      <c r="CD28" s="730"/>
      <c r="CE28" s="730"/>
      <c r="CF28" s="730"/>
      <c r="CG28" s="730"/>
      <c r="CH28" s="730"/>
      <c r="CI28" s="730"/>
      <c r="CJ28" s="730"/>
      <c r="CK28" s="730"/>
      <c r="CL28" s="730"/>
      <c r="CM28" s="730"/>
      <c r="CN28" s="730"/>
      <c r="CO28" s="730"/>
      <c r="CP28" s="730"/>
    </row>
    <row r="29" spans="1:94" s="731" customFormat="1" ht="15.95" customHeight="1" x14ac:dyDescent="0.2">
      <c r="A29" s="735" t="s">
        <v>1281</v>
      </c>
      <c r="B29" s="757">
        <v>14063032</v>
      </c>
      <c r="C29" s="757">
        <v>9743592</v>
      </c>
      <c r="D29" s="757">
        <v>4376000</v>
      </c>
      <c r="E29" s="758">
        <f t="shared" si="0"/>
        <v>28182624</v>
      </c>
      <c r="F29" s="730"/>
      <c r="G29" s="763"/>
      <c r="H29" s="763"/>
      <c r="I29" s="763"/>
      <c r="J29" s="763"/>
      <c r="K29" s="763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30"/>
      <c r="BF29" s="730"/>
      <c r="BG29" s="730"/>
      <c r="BH29" s="730"/>
      <c r="BI29" s="730"/>
      <c r="BJ29" s="730"/>
      <c r="BK29" s="730"/>
      <c r="BL29" s="730"/>
      <c r="BM29" s="730"/>
      <c r="BN29" s="730"/>
      <c r="BO29" s="730"/>
      <c r="BP29" s="730"/>
      <c r="BQ29" s="730"/>
      <c r="BR29" s="730"/>
      <c r="BS29" s="730"/>
      <c r="BT29" s="730"/>
      <c r="BU29" s="730"/>
      <c r="BV29" s="730"/>
      <c r="BW29" s="730"/>
      <c r="BX29" s="730"/>
      <c r="BY29" s="730"/>
      <c r="BZ29" s="730"/>
      <c r="CA29" s="730"/>
      <c r="CB29" s="730"/>
      <c r="CC29" s="730"/>
      <c r="CD29" s="730"/>
      <c r="CE29" s="730"/>
      <c r="CF29" s="730"/>
      <c r="CG29" s="730"/>
      <c r="CH29" s="730"/>
      <c r="CI29" s="730"/>
      <c r="CJ29" s="730"/>
      <c r="CK29" s="730"/>
      <c r="CL29" s="730"/>
      <c r="CM29" s="730"/>
      <c r="CN29" s="730"/>
      <c r="CO29" s="730"/>
      <c r="CP29" s="730"/>
    </row>
    <row r="30" spans="1:94" s="731" customFormat="1" ht="15.95" customHeight="1" x14ac:dyDescent="0.2">
      <c r="A30" s="735" t="s">
        <v>1282</v>
      </c>
      <c r="B30" s="757">
        <v>14063032</v>
      </c>
      <c r="C30" s="757">
        <v>9743592</v>
      </c>
      <c r="D30" s="757">
        <v>4376000</v>
      </c>
      <c r="E30" s="758">
        <f t="shared" si="0"/>
        <v>28182624</v>
      </c>
      <c r="F30" s="730"/>
      <c r="G30" s="763"/>
      <c r="H30" s="763"/>
      <c r="I30" s="763"/>
      <c r="J30" s="763"/>
      <c r="K30" s="763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730"/>
      <c r="BA30" s="730"/>
      <c r="BB30" s="730"/>
      <c r="BC30" s="730"/>
      <c r="BD30" s="730"/>
      <c r="BE30" s="730"/>
      <c r="BF30" s="730"/>
      <c r="BG30" s="730"/>
      <c r="BH30" s="730"/>
      <c r="BI30" s="730"/>
      <c r="BJ30" s="730"/>
      <c r="BK30" s="730"/>
      <c r="BL30" s="730"/>
      <c r="BM30" s="730"/>
      <c r="BN30" s="730"/>
      <c r="BO30" s="730"/>
      <c r="BP30" s="730"/>
      <c r="BQ30" s="730"/>
      <c r="BR30" s="730"/>
      <c r="BS30" s="730"/>
      <c r="BT30" s="730"/>
      <c r="BU30" s="730"/>
      <c r="BV30" s="730"/>
      <c r="BW30" s="730"/>
      <c r="BX30" s="730"/>
      <c r="BY30" s="730"/>
      <c r="BZ30" s="730"/>
      <c r="CA30" s="730"/>
      <c r="CB30" s="730"/>
      <c r="CC30" s="730"/>
      <c r="CD30" s="730"/>
      <c r="CE30" s="730"/>
      <c r="CF30" s="730"/>
      <c r="CG30" s="730"/>
      <c r="CH30" s="730"/>
      <c r="CI30" s="730"/>
      <c r="CJ30" s="730"/>
      <c r="CK30" s="730"/>
      <c r="CL30" s="730"/>
      <c r="CM30" s="730"/>
      <c r="CN30" s="730"/>
      <c r="CO30" s="730"/>
      <c r="CP30" s="730"/>
    </row>
    <row r="31" spans="1:94" s="731" customFormat="1" ht="15.95" customHeight="1" x14ac:dyDescent="0.2">
      <c r="A31" s="735" t="s">
        <v>1283</v>
      </c>
      <c r="B31" s="757">
        <v>14063032</v>
      </c>
      <c r="C31" s="757">
        <v>9743592</v>
      </c>
      <c r="D31" s="757">
        <v>4376000</v>
      </c>
      <c r="E31" s="758">
        <f t="shared" si="0"/>
        <v>28182624</v>
      </c>
      <c r="F31" s="730"/>
      <c r="G31" s="763"/>
      <c r="H31" s="763"/>
      <c r="I31" s="763"/>
      <c r="J31" s="763"/>
      <c r="K31" s="763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730"/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</row>
    <row r="32" spans="1:94" s="731" customFormat="1" ht="15.95" customHeight="1" x14ac:dyDescent="0.2">
      <c r="A32" s="735" t="s">
        <v>1284</v>
      </c>
      <c r="B32" s="757">
        <v>14063032</v>
      </c>
      <c r="C32" s="757">
        <v>9743592</v>
      </c>
      <c r="D32" s="757">
        <v>4376000</v>
      </c>
      <c r="E32" s="758">
        <f t="shared" si="0"/>
        <v>28182624</v>
      </c>
      <c r="F32" s="730"/>
      <c r="G32" s="763"/>
      <c r="H32" s="763"/>
      <c r="I32" s="763"/>
      <c r="J32" s="763"/>
      <c r="K32" s="763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30"/>
      <c r="AL32" s="730"/>
      <c r="AM32" s="730"/>
      <c r="AN32" s="730"/>
      <c r="AO32" s="730"/>
      <c r="AP32" s="730"/>
      <c r="AQ32" s="730"/>
      <c r="AR32" s="730"/>
      <c r="AS32" s="730"/>
      <c r="AT32" s="730"/>
      <c r="AU32" s="730"/>
      <c r="AV32" s="730"/>
      <c r="AW32" s="730"/>
      <c r="AX32" s="730"/>
      <c r="AY32" s="730"/>
      <c r="AZ32" s="730"/>
      <c r="BA32" s="730"/>
      <c r="BB32" s="730"/>
      <c r="BC32" s="730"/>
      <c r="BD32" s="730"/>
      <c r="BE32" s="730"/>
      <c r="BF32" s="730"/>
      <c r="BG32" s="730"/>
      <c r="BH32" s="730"/>
      <c r="BI32" s="730"/>
      <c r="BJ32" s="730"/>
      <c r="BK32" s="730"/>
      <c r="BL32" s="730"/>
      <c r="BM32" s="730"/>
      <c r="BN32" s="730"/>
      <c r="BO32" s="730"/>
      <c r="BP32" s="730"/>
      <c r="BQ32" s="730"/>
      <c r="BR32" s="730"/>
      <c r="BS32" s="730"/>
      <c r="BT32" s="730"/>
      <c r="BU32" s="730"/>
      <c r="BV32" s="730"/>
      <c r="BW32" s="730"/>
      <c r="BX32" s="730"/>
      <c r="BY32" s="730"/>
      <c r="BZ32" s="730"/>
      <c r="CA32" s="730"/>
      <c r="CB32" s="730"/>
      <c r="CC32" s="730"/>
      <c r="CD32" s="730"/>
      <c r="CE32" s="730"/>
      <c r="CF32" s="730"/>
      <c r="CG32" s="730"/>
      <c r="CH32" s="730"/>
      <c r="CI32" s="730"/>
      <c r="CJ32" s="730"/>
      <c r="CK32" s="730"/>
      <c r="CL32" s="730"/>
      <c r="CM32" s="730"/>
      <c r="CN32" s="730"/>
      <c r="CO32" s="730"/>
      <c r="CP32" s="730"/>
    </row>
    <row r="33" spans="1:94" s="731" customFormat="1" ht="15.95" customHeight="1" x14ac:dyDescent="0.2">
      <c r="A33" s="735" t="s">
        <v>1285</v>
      </c>
      <c r="B33" s="757">
        <v>14063032</v>
      </c>
      <c r="C33" s="757">
        <v>9743592</v>
      </c>
      <c r="D33" s="757">
        <v>4376000</v>
      </c>
      <c r="E33" s="758">
        <f t="shared" si="0"/>
        <v>28182624</v>
      </c>
      <c r="F33" s="730"/>
      <c r="G33" s="763"/>
      <c r="H33" s="763"/>
      <c r="I33" s="763"/>
      <c r="J33" s="763"/>
      <c r="K33" s="763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  <c r="AT33" s="730"/>
      <c r="AU33" s="730"/>
      <c r="AV33" s="730"/>
      <c r="AW33" s="730"/>
      <c r="AX33" s="730"/>
      <c r="AY33" s="730"/>
      <c r="AZ33" s="730"/>
      <c r="BA33" s="730"/>
      <c r="BB33" s="730"/>
      <c r="BC33" s="730"/>
      <c r="BD33" s="730"/>
      <c r="BE33" s="730"/>
      <c r="BF33" s="730"/>
      <c r="BG33" s="730"/>
      <c r="BH33" s="730"/>
      <c r="BI33" s="730"/>
      <c r="BJ33" s="730"/>
      <c r="BK33" s="730"/>
      <c r="BL33" s="730"/>
      <c r="BM33" s="730"/>
      <c r="BN33" s="730"/>
      <c r="BO33" s="730"/>
      <c r="BP33" s="730"/>
      <c r="BQ33" s="730"/>
      <c r="BR33" s="730"/>
      <c r="BS33" s="730"/>
      <c r="BT33" s="730"/>
      <c r="BU33" s="730"/>
      <c r="BV33" s="730"/>
      <c r="BW33" s="730"/>
      <c r="BX33" s="730"/>
      <c r="BY33" s="730"/>
      <c r="BZ33" s="730"/>
      <c r="CA33" s="730"/>
      <c r="CB33" s="730"/>
      <c r="CC33" s="730"/>
      <c r="CD33" s="730"/>
      <c r="CE33" s="730"/>
      <c r="CF33" s="730"/>
      <c r="CG33" s="730"/>
      <c r="CH33" s="730"/>
      <c r="CI33" s="730"/>
      <c r="CJ33" s="730"/>
      <c r="CK33" s="730"/>
      <c r="CL33" s="730"/>
      <c r="CM33" s="730"/>
      <c r="CN33" s="730"/>
      <c r="CO33" s="730"/>
      <c r="CP33" s="730"/>
    </row>
    <row r="34" spans="1:94" s="731" customFormat="1" ht="15.95" customHeight="1" x14ac:dyDescent="0.2">
      <c r="A34" s="735" t="s">
        <v>1286</v>
      </c>
      <c r="B34" s="757">
        <v>14063032</v>
      </c>
      <c r="C34" s="757">
        <v>9743592</v>
      </c>
      <c r="D34" s="757">
        <v>4376000</v>
      </c>
      <c r="E34" s="758">
        <f t="shared" si="0"/>
        <v>28182624</v>
      </c>
      <c r="F34" s="730"/>
      <c r="G34" s="763"/>
      <c r="H34" s="763"/>
      <c r="I34" s="763"/>
      <c r="J34" s="763"/>
      <c r="K34" s="763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730"/>
      <c r="AQ34" s="730"/>
      <c r="AR34" s="730"/>
      <c r="AS34" s="730"/>
      <c r="AT34" s="730"/>
      <c r="AU34" s="730"/>
      <c r="AV34" s="730"/>
      <c r="AW34" s="730"/>
      <c r="AX34" s="730"/>
      <c r="AY34" s="730"/>
      <c r="AZ34" s="730"/>
      <c r="BA34" s="730"/>
      <c r="BB34" s="730"/>
      <c r="BC34" s="730"/>
      <c r="BD34" s="730"/>
      <c r="BE34" s="730"/>
      <c r="BF34" s="730"/>
      <c r="BG34" s="730"/>
      <c r="BH34" s="730"/>
      <c r="BI34" s="730"/>
      <c r="BJ34" s="730"/>
      <c r="BK34" s="730"/>
      <c r="BL34" s="730"/>
      <c r="BM34" s="730"/>
      <c r="BN34" s="730"/>
      <c r="BO34" s="730"/>
      <c r="BP34" s="730"/>
      <c r="BQ34" s="730"/>
      <c r="BR34" s="730"/>
      <c r="BS34" s="730"/>
      <c r="BT34" s="730"/>
      <c r="BU34" s="730"/>
      <c r="BV34" s="730"/>
      <c r="BW34" s="730"/>
      <c r="BX34" s="730"/>
      <c r="BY34" s="730"/>
      <c r="BZ34" s="730"/>
      <c r="CA34" s="730"/>
      <c r="CB34" s="730"/>
      <c r="CC34" s="730"/>
      <c r="CD34" s="730"/>
      <c r="CE34" s="730"/>
      <c r="CF34" s="730"/>
      <c r="CG34" s="730"/>
      <c r="CH34" s="730"/>
      <c r="CI34" s="730"/>
      <c r="CJ34" s="730"/>
      <c r="CK34" s="730"/>
      <c r="CL34" s="730"/>
      <c r="CM34" s="730"/>
      <c r="CN34" s="730"/>
      <c r="CO34" s="730"/>
      <c r="CP34" s="730"/>
    </row>
    <row r="35" spans="1:94" s="731" customFormat="1" ht="15.95" customHeight="1" x14ac:dyDescent="0.2">
      <c r="A35" s="735" t="s">
        <v>1287</v>
      </c>
      <c r="B35" s="757">
        <v>14063032</v>
      </c>
      <c r="C35" s="757">
        <v>9743592</v>
      </c>
      <c r="D35" s="757">
        <v>4376000</v>
      </c>
      <c r="E35" s="758">
        <f t="shared" si="0"/>
        <v>28182624</v>
      </c>
      <c r="F35" s="730"/>
      <c r="G35" s="763"/>
      <c r="H35" s="763"/>
      <c r="I35" s="763"/>
      <c r="J35" s="763"/>
      <c r="K35" s="763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730"/>
      <c r="BA35" s="730"/>
      <c r="BB35" s="730"/>
      <c r="BC35" s="730"/>
      <c r="BD35" s="730"/>
      <c r="BE35" s="730"/>
      <c r="BF35" s="730"/>
      <c r="BG35" s="730"/>
      <c r="BH35" s="730"/>
      <c r="BI35" s="730"/>
      <c r="BJ35" s="730"/>
      <c r="BK35" s="730"/>
      <c r="BL35" s="730"/>
      <c r="BM35" s="730"/>
      <c r="BN35" s="730"/>
      <c r="BO35" s="730"/>
      <c r="BP35" s="730"/>
      <c r="BQ35" s="730"/>
      <c r="BR35" s="730"/>
      <c r="BS35" s="730"/>
      <c r="BT35" s="730"/>
      <c r="BU35" s="730"/>
      <c r="BV35" s="730"/>
      <c r="BW35" s="730"/>
      <c r="BX35" s="730"/>
      <c r="BY35" s="730"/>
      <c r="BZ35" s="730"/>
      <c r="CA35" s="730"/>
      <c r="CB35" s="730"/>
      <c r="CC35" s="730"/>
      <c r="CD35" s="730"/>
      <c r="CE35" s="730"/>
      <c r="CF35" s="730"/>
      <c r="CG35" s="730"/>
      <c r="CH35" s="730"/>
      <c r="CI35" s="730"/>
      <c r="CJ35" s="730"/>
      <c r="CK35" s="730"/>
      <c r="CL35" s="730"/>
      <c r="CM35" s="730"/>
      <c r="CN35" s="730"/>
      <c r="CO35" s="730"/>
      <c r="CP35" s="730"/>
    </row>
    <row r="36" spans="1:94" s="731" customFormat="1" ht="15.95" customHeight="1" x14ac:dyDescent="0.2">
      <c r="A36" s="735" t="s">
        <v>1288</v>
      </c>
      <c r="B36" s="757">
        <v>14063032</v>
      </c>
      <c r="C36" s="757">
        <v>9743592</v>
      </c>
      <c r="D36" s="757">
        <v>4376000</v>
      </c>
      <c r="E36" s="758">
        <f t="shared" si="0"/>
        <v>28182624</v>
      </c>
      <c r="F36" s="730"/>
      <c r="G36" s="763"/>
      <c r="H36" s="763"/>
      <c r="I36" s="763"/>
      <c r="J36" s="763"/>
      <c r="K36" s="763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30"/>
      <c r="BF36" s="730"/>
      <c r="BG36" s="730"/>
      <c r="BH36" s="730"/>
      <c r="BI36" s="730"/>
      <c r="BJ36" s="730"/>
      <c r="BK36" s="730"/>
      <c r="BL36" s="730"/>
      <c r="BM36" s="730"/>
      <c r="BN36" s="730"/>
      <c r="BO36" s="730"/>
      <c r="BP36" s="730"/>
      <c r="BQ36" s="730"/>
      <c r="BR36" s="730"/>
      <c r="BS36" s="730"/>
      <c r="BT36" s="730"/>
      <c r="BU36" s="730"/>
      <c r="BV36" s="730"/>
      <c r="BW36" s="730"/>
      <c r="BX36" s="730"/>
      <c r="BY36" s="730"/>
      <c r="BZ36" s="730"/>
      <c r="CA36" s="730"/>
      <c r="CB36" s="730"/>
      <c r="CC36" s="730"/>
      <c r="CD36" s="730"/>
      <c r="CE36" s="730"/>
      <c r="CF36" s="730"/>
      <c r="CG36" s="730"/>
      <c r="CH36" s="730"/>
      <c r="CI36" s="730"/>
      <c r="CJ36" s="730"/>
      <c r="CK36" s="730"/>
      <c r="CL36" s="730"/>
      <c r="CM36" s="730"/>
      <c r="CN36" s="730"/>
      <c r="CO36" s="730"/>
      <c r="CP36" s="730"/>
    </row>
    <row r="37" spans="1:94" s="731" customFormat="1" ht="15.95" customHeight="1" x14ac:dyDescent="0.2">
      <c r="A37" s="735" t="s">
        <v>1289</v>
      </c>
      <c r="B37" s="757">
        <v>14063032</v>
      </c>
      <c r="C37" s="757">
        <v>9743592</v>
      </c>
      <c r="D37" s="757">
        <v>4376000</v>
      </c>
      <c r="E37" s="758">
        <f t="shared" si="0"/>
        <v>28182624</v>
      </c>
      <c r="F37" s="730"/>
      <c r="G37" s="763"/>
      <c r="H37" s="763"/>
      <c r="I37" s="763"/>
      <c r="J37" s="763"/>
      <c r="K37" s="763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  <c r="AU37" s="730"/>
      <c r="AV37" s="730"/>
      <c r="AW37" s="730"/>
      <c r="AX37" s="730"/>
      <c r="AY37" s="730"/>
      <c r="AZ37" s="730"/>
      <c r="BA37" s="730"/>
      <c r="BB37" s="730"/>
      <c r="BC37" s="730"/>
      <c r="BD37" s="730"/>
      <c r="BE37" s="730"/>
      <c r="BF37" s="730"/>
      <c r="BG37" s="730"/>
      <c r="BH37" s="730"/>
      <c r="BI37" s="730"/>
      <c r="BJ37" s="730"/>
      <c r="BK37" s="730"/>
      <c r="BL37" s="730"/>
      <c r="BM37" s="730"/>
      <c r="BN37" s="730"/>
      <c r="BO37" s="730"/>
      <c r="BP37" s="730"/>
      <c r="BQ37" s="730"/>
      <c r="BR37" s="730"/>
      <c r="BS37" s="730"/>
      <c r="BT37" s="730"/>
      <c r="BU37" s="730"/>
      <c r="BV37" s="730"/>
      <c r="BW37" s="730"/>
      <c r="BX37" s="730"/>
      <c r="BY37" s="730"/>
      <c r="BZ37" s="730"/>
      <c r="CA37" s="730"/>
      <c r="CB37" s="730"/>
      <c r="CC37" s="730"/>
      <c r="CD37" s="730"/>
      <c r="CE37" s="730"/>
      <c r="CF37" s="730"/>
      <c r="CG37" s="730"/>
      <c r="CH37" s="730"/>
      <c r="CI37" s="730"/>
      <c r="CJ37" s="730"/>
      <c r="CK37" s="730"/>
      <c r="CL37" s="730"/>
      <c r="CM37" s="730"/>
      <c r="CN37" s="730"/>
      <c r="CO37" s="730"/>
      <c r="CP37" s="730"/>
    </row>
    <row r="38" spans="1:94" s="731" customFormat="1" ht="15.95" customHeight="1" x14ac:dyDescent="0.2">
      <c r="A38" s="735" t="s">
        <v>1290</v>
      </c>
      <c r="B38" s="757">
        <v>14063032</v>
      </c>
      <c r="C38" s="757">
        <v>9743592</v>
      </c>
      <c r="D38" s="757">
        <v>4376000</v>
      </c>
      <c r="E38" s="758">
        <f t="shared" si="0"/>
        <v>28182624</v>
      </c>
      <c r="F38" s="730"/>
      <c r="G38" s="763"/>
      <c r="H38" s="763"/>
      <c r="I38" s="763"/>
      <c r="J38" s="763"/>
      <c r="K38" s="763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0"/>
      <c r="BF38" s="730"/>
      <c r="BG38" s="730"/>
      <c r="BH38" s="730"/>
      <c r="BI38" s="730"/>
      <c r="BJ38" s="730"/>
      <c r="BK38" s="730"/>
      <c r="BL38" s="730"/>
      <c r="BM38" s="730"/>
      <c r="BN38" s="730"/>
      <c r="BO38" s="730"/>
      <c r="BP38" s="730"/>
      <c r="BQ38" s="730"/>
      <c r="BR38" s="730"/>
      <c r="BS38" s="730"/>
      <c r="BT38" s="730"/>
      <c r="BU38" s="730"/>
      <c r="BV38" s="730"/>
      <c r="BW38" s="730"/>
      <c r="BX38" s="730"/>
      <c r="BY38" s="730"/>
      <c r="BZ38" s="730"/>
      <c r="CA38" s="730"/>
      <c r="CB38" s="730"/>
      <c r="CC38" s="730"/>
      <c r="CD38" s="730"/>
      <c r="CE38" s="730"/>
      <c r="CF38" s="730"/>
      <c r="CG38" s="730"/>
      <c r="CH38" s="730"/>
      <c r="CI38" s="730"/>
      <c r="CJ38" s="730"/>
      <c r="CK38" s="730"/>
      <c r="CL38" s="730"/>
      <c r="CM38" s="730"/>
      <c r="CN38" s="730"/>
      <c r="CO38" s="730"/>
      <c r="CP38" s="730"/>
    </row>
    <row r="39" spans="1:94" s="731" customFormat="1" ht="15.95" customHeight="1" x14ac:dyDescent="0.2">
      <c r="A39" s="735" t="s">
        <v>1291</v>
      </c>
      <c r="B39" s="757">
        <v>14063032</v>
      </c>
      <c r="C39" s="757">
        <v>9743592</v>
      </c>
      <c r="D39" s="757">
        <v>4376000</v>
      </c>
      <c r="E39" s="758">
        <f t="shared" si="0"/>
        <v>28182624</v>
      </c>
      <c r="F39" s="730"/>
      <c r="G39" s="763"/>
      <c r="H39" s="763"/>
      <c r="I39" s="763"/>
      <c r="J39" s="763"/>
      <c r="K39" s="763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30"/>
      <c r="AL39" s="730"/>
      <c r="AM39" s="730"/>
      <c r="AN39" s="730"/>
      <c r="AO39" s="730"/>
      <c r="AP39" s="730"/>
      <c r="AQ39" s="730"/>
      <c r="AR39" s="730"/>
      <c r="AS39" s="730"/>
      <c r="AT39" s="730"/>
      <c r="AU39" s="730"/>
      <c r="AV39" s="730"/>
      <c r="AW39" s="730"/>
      <c r="AX39" s="730"/>
      <c r="AY39" s="730"/>
      <c r="AZ39" s="730"/>
      <c r="BA39" s="730"/>
      <c r="BB39" s="730"/>
      <c r="BC39" s="730"/>
      <c r="BD39" s="730"/>
      <c r="BE39" s="730"/>
      <c r="BF39" s="730"/>
      <c r="BG39" s="730"/>
      <c r="BH39" s="730"/>
      <c r="BI39" s="730"/>
      <c r="BJ39" s="730"/>
      <c r="BK39" s="730"/>
      <c r="BL39" s="730"/>
      <c r="BM39" s="730"/>
      <c r="BN39" s="730"/>
      <c r="BO39" s="730"/>
      <c r="BP39" s="730"/>
      <c r="BQ39" s="730"/>
      <c r="BR39" s="730"/>
      <c r="BS39" s="730"/>
      <c r="BT39" s="730"/>
      <c r="BU39" s="730"/>
      <c r="BV39" s="730"/>
      <c r="BW39" s="730"/>
      <c r="BX39" s="730"/>
      <c r="BY39" s="730"/>
      <c r="BZ39" s="730"/>
      <c r="CA39" s="730"/>
      <c r="CB39" s="730"/>
      <c r="CC39" s="730"/>
      <c r="CD39" s="730"/>
      <c r="CE39" s="730"/>
      <c r="CF39" s="730"/>
      <c r="CG39" s="730"/>
      <c r="CH39" s="730"/>
      <c r="CI39" s="730"/>
      <c r="CJ39" s="730"/>
      <c r="CK39" s="730"/>
      <c r="CL39" s="730"/>
      <c r="CM39" s="730"/>
      <c r="CN39" s="730"/>
      <c r="CO39" s="730"/>
      <c r="CP39" s="730"/>
    </row>
    <row r="40" spans="1:94" s="731" customFormat="1" ht="15.95" customHeight="1" x14ac:dyDescent="0.2">
      <c r="A40" s="735" t="s">
        <v>1292</v>
      </c>
      <c r="B40" s="757">
        <v>14063032</v>
      </c>
      <c r="C40" s="757">
        <v>9743592</v>
      </c>
      <c r="D40" s="757">
        <v>4376000</v>
      </c>
      <c r="E40" s="758">
        <f t="shared" si="0"/>
        <v>28182624</v>
      </c>
      <c r="F40" s="730"/>
      <c r="G40" s="763"/>
      <c r="H40" s="763"/>
      <c r="I40" s="763"/>
      <c r="J40" s="763"/>
      <c r="K40" s="763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30"/>
      <c r="BF40" s="730"/>
      <c r="BG40" s="730"/>
      <c r="BH40" s="730"/>
      <c r="BI40" s="730"/>
      <c r="BJ40" s="730"/>
      <c r="BK40" s="730"/>
      <c r="BL40" s="730"/>
      <c r="BM40" s="730"/>
      <c r="BN40" s="730"/>
      <c r="BO40" s="730"/>
      <c r="BP40" s="730"/>
      <c r="BQ40" s="730"/>
      <c r="BR40" s="730"/>
      <c r="BS40" s="730"/>
      <c r="BT40" s="730"/>
      <c r="BU40" s="730"/>
      <c r="BV40" s="730"/>
      <c r="BW40" s="730"/>
      <c r="BX40" s="730"/>
      <c r="BY40" s="730"/>
      <c r="BZ40" s="730"/>
      <c r="CA40" s="730"/>
      <c r="CB40" s="730"/>
      <c r="CC40" s="730"/>
      <c r="CD40" s="730"/>
      <c r="CE40" s="730"/>
      <c r="CF40" s="730"/>
      <c r="CG40" s="730"/>
      <c r="CH40" s="730"/>
      <c r="CI40" s="730"/>
      <c r="CJ40" s="730"/>
      <c r="CK40" s="730"/>
      <c r="CL40" s="730"/>
      <c r="CM40" s="730"/>
      <c r="CN40" s="730"/>
      <c r="CO40" s="730"/>
      <c r="CP40" s="730"/>
    </row>
    <row r="41" spans="1:94" s="731" customFormat="1" ht="15.95" customHeight="1" x14ac:dyDescent="0.2">
      <c r="A41" s="735" t="s">
        <v>1293</v>
      </c>
      <c r="B41" s="757">
        <v>7031547</v>
      </c>
      <c r="C41" s="757">
        <v>9743629</v>
      </c>
      <c r="D41" s="757">
        <v>4334633</v>
      </c>
      <c r="E41" s="758">
        <f t="shared" si="0"/>
        <v>21109809</v>
      </c>
      <c r="F41" s="730"/>
      <c r="G41" s="763"/>
      <c r="H41" s="763"/>
      <c r="I41" s="763"/>
      <c r="J41" s="763"/>
      <c r="K41" s="763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730"/>
      <c r="AL41" s="730"/>
      <c r="AM41" s="730"/>
      <c r="AN41" s="730"/>
      <c r="AO41" s="730"/>
      <c r="AP41" s="730"/>
      <c r="AQ41" s="730"/>
      <c r="AR41" s="730"/>
      <c r="AS41" s="730"/>
      <c r="AT41" s="730"/>
      <c r="AU41" s="730"/>
      <c r="AV41" s="730"/>
      <c r="AW41" s="730"/>
      <c r="AX41" s="730"/>
      <c r="AY41" s="730"/>
      <c r="AZ41" s="730"/>
      <c r="BA41" s="730"/>
      <c r="BB41" s="730"/>
      <c r="BC41" s="730"/>
      <c r="BD41" s="730"/>
      <c r="BE41" s="730"/>
      <c r="BF41" s="730"/>
      <c r="BG41" s="730"/>
      <c r="BH41" s="730"/>
      <c r="BI41" s="730"/>
      <c r="BJ41" s="730"/>
      <c r="BK41" s="730"/>
      <c r="BL41" s="730"/>
      <c r="BM41" s="730"/>
      <c r="BN41" s="730"/>
      <c r="BO41" s="730"/>
      <c r="BP41" s="730"/>
      <c r="BQ41" s="730"/>
      <c r="BR41" s="730"/>
      <c r="BS41" s="730"/>
      <c r="BT41" s="730"/>
      <c r="BU41" s="730"/>
      <c r="BV41" s="730"/>
      <c r="BW41" s="730"/>
      <c r="BX41" s="730"/>
      <c r="BY41" s="730"/>
      <c r="BZ41" s="730"/>
      <c r="CA41" s="730"/>
      <c r="CB41" s="730"/>
      <c r="CC41" s="730"/>
      <c r="CD41" s="730"/>
      <c r="CE41" s="730"/>
      <c r="CF41" s="730"/>
      <c r="CG41" s="730"/>
      <c r="CH41" s="730"/>
      <c r="CI41" s="730"/>
      <c r="CJ41" s="730"/>
      <c r="CK41" s="730"/>
      <c r="CL41" s="730"/>
      <c r="CM41" s="730"/>
      <c r="CN41" s="730"/>
      <c r="CO41" s="730"/>
      <c r="CP41" s="730"/>
    </row>
    <row r="42" spans="1:94" s="731" customFormat="1" ht="21" customHeight="1" thickBot="1" x14ac:dyDescent="0.25">
      <c r="A42" s="764" t="s">
        <v>1486</v>
      </c>
      <c r="B42" s="765">
        <f>SUM(B24:B41)</f>
        <v>246103091</v>
      </c>
      <c r="C42" s="765">
        <f>SUM(C24:C41)</f>
        <v>175384693</v>
      </c>
      <c r="D42" s="765">
        <f>SUM(D24:D41)</f>
        <v>78726633</v>
      </c>
      <c r="E42" s="765">
        <f>SUM(E24:E41)</f>
        <v>500214417</v>
      </c>
      <c r="F42" s="730"/>
      <c r="G42" s="763"/>
      <c r="H42" s="763"/>
      <c r="I42" s="763"/>
      <c r="J42" s="763"/>
      <c r="K42" s="763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30"/>
      <c r="BF42" s="730"/>
      <c r="BG42" s="730"/>
      <c r="BH42" s="730"/>
      <c r="BI42" s="730"/>
      <c r="BJ42" s="730"/>
      <c r="BK42" s="730"/>
      <c r="BL42" s="730"/>
      <c r="BM42" s="730"/>
      <c r="BN42" s="730"/>
      <c r="BO42" s="730"/>
      <c r="BP42" s="730"/>
      <c r="BQ42" s="730"/>
      <c r="BR42" s="730"/>
      <c r="BS42" s="730"/>
      <c r="BT42" s="730"/>
      <c r="BU42" s="730"/>
      <c r="BV42" s="730"/>
      <c r="BW42" s="730"/>
      <c r="BX42" s="730"/>
      <c r="BY42" s="730"/>
      <c r="BZ42" s="730"/>
      <c r="CA42" s="730"/>
      <c r="CB42" s="730"/>
      <c r="CC42" s="730"/>
      <c r="CD42" s="730"/>
      <c r="CE42" s="730"/>
      <c r="CF42" s="730"/>
      <c r="CG42" s="730"/>
      <c r="CH42" s="730"/>
      <c r="CI42" s="730"/>
      <c r="CJ42" s="730"/>
      <c r="CK42" s="730"/>
      <c r="CL42" s="730"/>
      <c r="CM42" s="730"/>
      <c r="CN42" s="730"/>
      <c r="CO42" s="730"/>
      <c r="CP42" s="730"/>
    </row>
    <row r="43" spans="1:94" s="731" customFormat="1" ht="15.95" customHeight="1" thickTop="1" thickBot="1" x14ac:dyDescent="0.25">
      <c r="A43" s="766" t="s">
        <v>1487</v>
      </c>
      <c r="B43" s="767">
        <f>+B42</f>
        <v>246103091</v>
      </c>
      <c r="C43" s="767">
        <f>+C42</f>
        <v>175384693</v>
      </c>
      <c r="D43" s="767">
        <f>+D42</f>
        <v>78726633</v>
      </c>
      <c r="E43" s="767">
        <f>SUM(B43:D43)</f>
        <v>500214417</v>
      </c>
      <c r="F43" s="730"/>
      <c r="G43" s="763"/>
      <c r="H43" s="763"/>
      <c r="I43" s="763"/>
      <c r="J43" s="763"/>
      <c r="K43" s="763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730"/>
      <c r="BE43" s="730"/>
      <c r="BF43" s="730"/>
      <c r="BG43" s="730"/>
      <c r="BH43" s="730"/>
      <c r="BI43" s="730"/>
      <c r="BJ43" s="730"/>
      <c r="BK43" s="730"/>
      <c r="BL43" s="730"/>
      <c r="BM43" s="730"/>
      <c r="BN43" s="730"/>
      <c r="BO43" s="730"/>
      <c r="BP43" s="730"/>
      <c r="BQ43" s="730"/>
      <c r="BR43" s="730"/>
      <c r="BS43" s="730"/>
      <c r="BT43" s="730"/>
      <c r="BU43" s="730"/>
      <c r="BV43" s="730"/>
      <c r="BW43" s="730"/>
      <c r="BX43" s="730"/>
      <c r="BY43" s="730"/>
      <c r="BZ43" s="730"/>
      <c r="CA43" s="730"/>
      <c r="CB43" s="730"/>
      <c r="CC43" s="730"/>
      <c r="CD43" s="730"/>
      <c r="CE43" s="730"/>
      <c r="CF43" s="730"/>
      <c r="CG43" s="730"/>
      <c r="CH43" s="730"/>
      <c r="CI43" s="730"/>
      <c r="CJ43" s="730"/>
      <c r="CK43" s="730"/>
      <c r="CL43" s="730"/>
      <c r="CM43" s="730"/>
      <c r="CN43" s="730"/>
      <c r="CO43" s="730"/>
      <c r="CP43" s="730"/>
    </row>
    <row r="44" spans="1:94" s="730" customFormat="1" ht="11.25" customHeight="1" thickTop="1" x14ac:dyDescent="0.2">
      <c r="A44" s="768"/>
      <c r="B44" s="769"/>
      <c r="C44" s="769"/>
      <c r="D44" s="769"/>
      <c r="E44" s="769"/>
      <c r="F44" s="770"/>
    </row>
    <row r="45" spans="1:94" s="771" customFormat="1" ht="16.5" customHeight="1" x14ac:dyDescent="0.15">
      <c r="A45" s="771" t="s">
        <v>1294</v>
      </c>
      <c r="C45" s="772"/>
      <c r="D45" s="772"/>
      <c r="F45" s="773"/>
      <c r="G45" s="773"/>
    </row>
    <row r="46" spans="1:94" s="771" customFormat="1" ht="21" customHeight="1" x14ac:dyDescent="0.2">
      <c r="A46" s="1305" t="s">
        <v>1295</v>
      </c>
      <c r="B46" s="1305"/>
      <c r="C46" s="730"/>
      <c r="D46" s="730"/>
      <c r="E46" s="730"/>
      <c r="F46" s="773"/>
      <c r="G46" s="773"/>
    </row>
    <row r="47" spans="1:94" s="730" customFormat="1" x14ac:dyDescent="0.2">
      <c r="A47" s="774"/>
      <c r="F47" s="775"/>
      <c r="H47" s="775"/>
    </row>
    <row r="48" spans="1:94" s="730" customFormat="1" x14ac:dyDescent="0.2">
      <c r="A48" s="774"/>
      <c r="B48" s="775"/>
      <c r="F48" s="775"/>
    </row>
    <row r="49" spans="1:94" s="730" customFormat="1" x14ac:dyDescent="0.2"/>
    <row r="50" spans="1:94" s="730" customFormat="1" x14ac:dyDescent="0.2"/>
    <row r="51" spans="1:94" s="730" customFormat="1" x14ac:dyDescent="0.2">
      <c r="B51" s="770"/>
    </row>
    <row r="52" spans="1:94" s="730" customFormat="1" x14ac:dyDescent="0.2"/>
    <row r="53" spans="1:94" s="730" customFormat="1" x14ac:dyDescent="0.2">
      <c r="B53" s="775"/>
    </row>
    <row r="54" spans="1:94" s="776" customFormat="1" x14ac:dyDescent="0.2">
      <c r="A54" s="730"/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0"/>
      <c r="AG54" s="730"/>
      <c r="AH54" s="730"/>
      <c r="AI54" s="730"/>
      <c r="AJ54" s="730"/>
      <c r="AK54" s="730"/>
      <c r="AL54" s="730"/>
      <c r="AM54" s="730"/>
      <c r="AN54" s="730"/>
      <c r="AO54" s="730"/>
      <c r="AP54" s="730"/>
      <c r="AQ54" s="730"/>
      <c r="AR54" s="730"/>
      <c r="AS54" s="730"/>
      <c r="AT54" s="730"/>
      <c r="AU54" s="730"/>
      <c r="AV54" s="730"/>
      <c r="AW54" s="730"/>
      <c r="AX54" s="730"/>
      <c r="AY54" s="730"/>
      <c r="AZ54" s="730"/>
      <c r="BA54" s="730"/>
      <c r="BB54" s="730"/>
      <c r="BC54" s="730"/>
      <c r="BD54" s="730"/>
      <c r="BE54" s="730"/>
      <c r="BF54" s="730"/>
      <c r="BG54" s="730"/>
      <c r="BH54" s="730"/>
      <c r="BI54" s="730"/>
      <c r="BJ54" s="730"/>
      <c r="BK54" s="730"/>
      <c r="BL54" s="730"/>
      <c r="BM54" s="730"/>
      <c r="BN54" s="730"/>
      <c r="BO54" s="730"/>
      <c r="BP54" s="730"/>
      <c r="BQ54" s="730"/>
      <c r="BR54" s="730"/>
      <c r="BS54" s="730"/>
      <c r="BT54" s="730"/>
      <c r="BU54" s="730"/>
      <c r="BV54" s="730"/>
      <c r="BW54" s="730"/>
      <c r="BX54" s="730"/>
      <c r="BY54" s="730"/>
      <c r="BZ54" s="730"/>
      <c r="CA54" s="730"/>
      <c r="CB54" s="730"/>
      <c r="CC54" s="730"/>
      <c r="CD54" s="730"/>
      <c r="CE54" s="730"/>
      <c r="CF54" s="730"/>
      <c r="CG54" s="730"/>
      <c r="CH54" s="730"/>
      <c r="CI54" s="730"/>
      <c r="CJ54" s="730"/>
      <c r="CK54" s="730"/>
      <c r="CL54" s="730"/>
      <c r="CM54" s="730"/>
      <c r="CN54" s="730"/>
      <c r="CO54" s="730"/>
      <c r="CP54" s="730"/>
    </row>
    <row r="55" spans="1:94" x14ac:dyDescent="0.2">
      <c r="A55" s="730"/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730"/>
      <c r="AL55" s="730"/>
      <c r="AM55" s="730"/>
      <c r="AN55" s="730"/>
      <c r="AO55" s="730"/>
      <c r="AP55" s="730"/>
      <c r="AQ55" s="730"/>
      <c r="AR55" s="730"/>
      <c r="AS55" s="730"/>
      <c r="AT55" s="730"/>
      <c r="AU55" s="730"/>
      <c r="AV55" s="730"/>
      <c r="AW55" s="730"/>
      <c r="AX55" s="730"/>
      <c r="AY55" s="730"/>
      <c r="AZ55" s="730"/>
      <c r="BA55" s="730"/>
      <c r="BB55" s="730"/>
      <c r="BC55" s="730"/>
      <c r="BD55" s="730"/>
      <c r="BE55" s="730"/>
      <c r="BF55" s="730"/>
      <c r="BG55" s="730"/>
      <c r="BH55" s="730"/>
      <c r="BI55" s="730"/>
      <c r="BJ55" s="730"/>
      <c r="BK55" s="730"/>
      <c r="BL55" s="730"/>
      <c r="BM55" s="730"/>
      <c r="BN55" s="730"/>
      <c r="BO55" s="730"/>
      <c r="BP55" s="730"/>
      <c r="BQ55" s="730"/>
      <c r="BR55" s="730"/>
      <c r="BS55" s="730"/>
      <c r="BT55" s="730"/>
      <c r="BU55" s="730"/>
      <c r="BV55" s="730"/>
      <c r="BW55" s="730"/>
      <c r="BX55" s="730"/>
      <c r="BY55" s="730"/>
      <c r="BZ55" s="730"/>
      <c r="CA55" s="730"/>
      <c r="CB55" s="730"/>
      <c r="CC55" s="730"/>
      <c r="CD55" s="730"/>
      <c r="CE55" s="730"/>
      <c r="CF55" s="730"/>
      <c r="CG55" s="730"/>
      <c r="CH55" s="730"/>
      <c r="CI55" s="730"/>
      <c r="CJ55" s="730"/>
      <c r="CK55" s="730"/>
      <c r="CL55" s="730"/>
      <c r="CM55" s="730"/>
      <c r="CN55" s="730"/>
      <c r="CO55" s="730"/>
      <c r="CP55" s="730"/>
    </row>
    <row r="56" spans="1:94" x14ac:dyDescent="0.2">
      <c r="A56" s="730"/>
      <c r="B56" s="730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0"/>
      <c r="AK56" s="730"/>
      <c r="AL56" s="730"/>
      <c r="AM56" s="730"/>
      <c r="AN56" s="730"/>
      <c r="AO56" s="730"/>
      <c r="AP56" s="730"/>
      <c r="AQ56" s="730"/>
      <c r="AR56" s="730"/>
      <c r="AS56" s="730"/>
      <c r="AT56" s="730"/>
      <c r="AU56" s="730"/>
      <c r="AV56" s="730"/>
      <c r="AW56" s="730"/>
      <c r="AX56" s="730"/>
      <c r="AY56" s="730"/>
      <c r="AZ56" s="730"/>
      <c r="BA56" s="730"/>
      <c r="BB56" s="730"/>
      <c r="BC56" s="730"/>
      <c r="BD56" s="730"/>
      <c r="BE56" s="730"/>
      <c r="BF56" s="730"/>
      <c r="BG56" s="730"/>
      <c r="BH56" s="730"/>
      <c r="BI56" s="730"/>
      <c r="BJ56" s="730"/>
      <c r="BK56" s="730"/>
      <c r="BL56" s="730"/>
      <c r="BM56" s="730"/>
      <c r="BN56" s="730"/>
      <c r="BO56" s="730"/>
      <c r="BP56" s="730"/>
      <c r="BQ56" s="730"/>
      <c r="BR56" s="730"/>
      <c r="BS56" s="730"/>
      <c r="BT56" s="730"/>
      <c r="BU56" s="730"/>
      <c r="BV56" s="730"/>
      <c r="BW56" s="730"/>
      <c r="BX56" s="730"/>
      <c r="BY56" s="730"/>
      <c r="BZ56" s="730"/>
      <c r="CA56" s="730"/>
      <c r="CB56" s="730"/>
      <c r="CC56" s="730"/>
      <c r="CD56" s="730"/>
      <c r="CE56" s="730"/>
      <c r="CF56" s="730"/>
      <c r="CG56" s="730"/>
      <c r="CH56" s="730"/>
      <c r="CI56" s="730"/>
      <c r="CJ56" s="730"/>
      <c r="CK56" s="730"/>
      <c r="CL56" s="730"/>
      <c r="CM56" s="730"/>
      <c r="CN56" s="730"/>
      <c r="CO56" s="730"/>
      <c r="CP56" s="730"/>
    </row>
    <row r="57" spans="1:94" x14ac:dyDescent="0.2">
      <c r="A57" s="730"/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730"/>
      <c r="AL57" s="730"/>
      <c r="AM57" s="730"/>
      <c r="AN57" s="730"/>
      <c r="AO57" s="730"/>
      <c r="AP57" s="730"/>
      <c r="AQ57" s="730"/>
      <c r="AR57" s="730"/>
      <c r="AS57" s="730"/>
      <c r="AT57" s="730"/>
      <c r="AU57" s="730"/>
      <c r="AV57" s="730"/>
      <c r="AW57" s="730"/>
      <c r="AX57" s="730"/>
      <c r="AY57" s="730"/>
      <c r="AZ57" s="730"/>
      <c r="BA57" s="730"/>
      <c r="BB57" s="730"/>
      <c r="BC57" s="730"/>
      <c r="BD57" s="730"/>
      <c r="BE57" s="730"/>
      <c r="BF57" s="730"/>
      <c r="BG57" s="730"/>
      <c r="BH57" s="730"/>
      <c r="BI57" s="730"/>
      <c r="BJ57" s="730"/>
      <c r="BK57" s="730"/>
      <c r="BL57" s="730"/>
      <c r="BM57" s="730"/>
      <c r="BN57" s="730"/>
      <c r="BO57" s="730"/>
      <c r="BP57" s="730"/>
      <c r="BQ57" s="730"/>
      <c r="BR57" s="730"/>
      <c r="BS57" s="730"/>
      <c r="BT57" s="730"/>
      <c r="BU57" s="730"/>
      <c r="BV57" s="730"/>
      <c r="BW57" s="730"/>
      <c r="BX57" s="730"/>
      <c r="BY57" s="730"/>
      <c r="BZ57" s="730"/>
      <c r="CA57" s="730"/>
      <c r="CB57" s="730"/>
      <c r="CC57" s="730"/>
      <c r="CD57" s="730"/>
      <c r="CE57" s="730"/>
      <c r="CF57" s="730"/>
      <c r="CG57" s="730"/>
      <c r="CH57" s="730"/>
      <c r="CI57" s="730"/>
      <c r="CJ57" s="730"/>
      <c r="CK57" s="730"/>
      <c r="CL57" s="730"/>
      <c r="CM57" s="730"/>
      <c r="CN57" s="730"/>
      <c r="CO57" s="730"/>
      <c r="CP57" s="730"/>
    </row>
    <row r="58" spans="1:94" x14ac:dyDescent="0.2">
      <c r="A58" s="730"/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30"/>
      <c r="AK58" s="730"/>
      <c r="AL58" s="730"/>
      <c r="AM58" s="730"/>
      <c r="AN58" s="730"/>
      <c r="AO58" s="730"/>
      <c r="AP58" s="730"/>
      <c r="AQ58" s="730"/>
      <c r="AR58" s="730"/>
      <c r="AS58" s="730"/>
      <c r="AT58" s="730"/>
      <c r="AU58" s="730"/>
      <c r="AV58" s="730"/>
      <c r="AW58" s="730"/>
      <c r="AX58" s="730"/>
      <c r="AY58" s="730"/>
      <c r="AZ58" s="730"/>
      <c r="BA58" s="730"/>
      <c r="BB58" s="730"/>
      <c r="BC58" s="730"/>
      <c r="BD58" s="730"/>
      <c r="BE58" s="730"/>
      <c r="BF58" s="730"/>
      <c r="BG58" s="730"/>
      <c r="BH58" s="730"/>
      <c r="BI58" s="730"/>
      <c r="BJ58" s="730"/>
      <c r="BK58" s="730"/>
      <c r="BL58" s="730"/>
      <c r="BM58" s="730"/>
      <c r="BN58" s="730"/>
      <c r="BO58" s="730"/>
      <c r="BP58" s="730"/>
      <c r="BQ58" s="730"/>
      <c r="BR58" s="730"/>
      <c r="BS58" s="730"/>
      <c r="BT58" s="730"/>
      <c r="BU58" s="730"/>
      <c r="BV58" s="730"/>
      <c r="BW58" s="730"/>
      <c r="BX58" s="730"/>
      <c r="BY58" s="730"/>
      <c r="BZ58" s="730"/>
      <c r="CA58" s="730"/>
      <c r="CB58" s="730"/>
      <c r="CC58" s="730"/>
      <c r="CD58" s="730"/>
      <c r="CE58" s="730"/>
      <c r="CF58" s="730"/>
      <c r="CG58" s="730"/>
      <c r="CH58" s="730"/>
      <c r="CI58" s="730"/>
      <c r="CJ58" s="730"/>
      <c r="CK58" s="730"/>
      <c r="CL58" s="730"/>
      <c r="CM58" s="730"/>
      <c r="CN58" s="730"/>
      <c r="CO58" s="730"/>
      <c r="CP58" s="730"/>
    </row>
    <row r="59" spans="1:94" x14ac:dyDescent="0.2">
      <c r="A59" s="730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730"/>
      <c r="AL59" s="730"/>
      <c r="AM59" s="730"/>
      <c r="AN59" s="730"/>
      <c r="AO59" s="730"/>
      <c r="AP59" s="730"/>
      <c r="AQ59" s="730"/>
      <c r="AR59" s="730"/>
      <c r="AS59" s="730"/>
      <c r="AT59" s="730"/>
      <c r="AU59" s="730"/>
      <c r="AV59" s="730"/>
      <c r="AW59" s="730"/>
      <c r="AX59" s="730"/>
      <c r="AY59" s="730"/>
      <c r="AZ59" s="730"/>
      <c r="BA59" s="730"/>
      <c r="BB59" s="730"/>
      <c r="BC59" s="730"/>
      <c r="BD59" s="730"/>
      <c r="BE59" s="730"/>
      <c r="BF59" s="730"/>
      <c r="BG59" s="730"/>
      <c r="BH59" s="730"/>
      <c r="BI59" s="730"/>
      <c r="BJ59" s="730"/>
      <c r="BK59" s="730"/>
      <c r="BL59" s="730"/>
      <c r="BM59" s="730"/>
      <c r="BN59" s="730"/>
      <c r="BO59" s="730"/>
      <c r="BP59" s="730"/>
      <c r="BQ59" s="730"/>
      <c r="BR59" s="730"/>
      <c r="BS59" s="730"/>
      <c r="BT59" s="730"/>
      <c r="BU59" s="730"/>
      <c r="BV59" s="730"/>
      <c r="BW59" s="730"/>
      <c r="BX59" s="730"/>
      <c r="BY59" s="730"/>
      <c r="BZ59" s="730"/>
      <c r="CA59" s="730"/>
      <c r="CB59" s="730"/>
      <c r="CC59" s="730"/>
      <c r="CD59" s="730"/>
      <c r="CE59" s="730"/>
      <c r="CF59" s="730"/>
      <c r="CG59" s="730"/>
      <c r="CH59" s="730"/>
      <c r="CI59" s="730"/>
      <c r="CJ59" s="730"/>
      <c r="CK59" s="730"/>
      <c r="CL59" s="730"/>
      <c r="CM59" s="730"/>
      <c r="CN59" s="730"/>
      <c r="CO59" s="730"/>
      <c r="CP59" s="730"/>
    </row>
    <row r="60" spans="1:94" x14ac:dyDescent="0.2">
      <c r="A60" s="730"/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30"/>
      <c r="AK60" s="730"/>
      <c r="AL60" s="730"/>
      <c r="AM60" s="730"/>
      <c r="AN60" s="730"/>
      <c r="AO60" s="730"/>
      <c r="AP60" s="730"/>
      <c r="AQ60" s="730"/>
      <c r="AR60" s="730"/>
      <c r="AS60" s="730"/>
      <c r="AT60" s="730"/>
      <c r="AU60" s="730"/>
      <c r="AV60" s="730"/>
      <c r="AW60" s="730"/>
      <c r="AX60" s="730"/>
      <c r="AY60" s="730"/>
      <c r="AZ60" s="730"/>
      <c r="BA60" s="730"/>
      <c r="BB60" s="730"/>
      <c r="BC60" s="730"/>
      <c r="BD60" s="730"/>
      <c r="BE60" s="730"/>
      <c r="BF60" s="730"/>
      <c r="BG60" s="730"/>
      <c r="BH60" s="730"/>
      <c r="BI60" s="730"/>
      <c r="BJ60" s="730"/>
      <c r="BK60" s="730"/>
      <c r="BL60" s="730"/>
      <c r="BM60" s="730"/>
      <c r="BN60" s="730"/>
      <c r="BO60" s="730"/>
      <c r="BP60" s="730"/>
      <c r="BQ60" s="730"/>
      <c r="BR60" s="730"/>
      <c r="BS60" s="730"/>
      <c r="BT60" s="730"/>
      <c r="BU60" s="730"/>
      <c r="BV60" s="730"/>
      <c r="BW60" s="730"/>
      <c r="BX60" s="730"/>
      <c r="BY60" s="730"/>
      <c r="BZ60" s="730"/>
      <c r="CA60" s="730"/>
      <c r="CB60" s="730"/>
      <c r="CC60" s="730"/>
      <c r="CD60" s="730"/>
      <c r="CE60" s="730"/>
      <c r="CF60" s="730"/>
      <c r="CG60" s="730"/>
      <c r="CH60" s="730"/>
      <c r="CI60" s="730"/>
      <c r="CJ60" s="730"/>
      <c r="CK60" s="730"/>
      <c r="CL60" s="730"/>
      <c r="CM60" s="730"/>
      <c r="CN60" s="730"/>
      <c r="CO60" s="730"/>
      <c r="CP60" s="730"/>
    </row>
    <row r="61" spans="1:94" x14ac:dyDescent="0.2">
      <c r="A61" s="730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730"/>
      <c r="AL61" s="730"/>
      <c r="AM61" s="730"/>
      <c r="AN61" s="730"/>
      <c r="AO61" s="730"/>
      <c r="AP61" s="730"/>
      <c r="AQ61" s="730"/>
      <c r="AR61" s="730"/>
      <c r="AS61" s="730"/>
      <c r="AT61" s="730"/>
      <c r="AU61" s="730"/>
      <c r="AV61" s="730"/>
      <c r="AW61" s="730"/>
      <c r="AX61" s="730"/>
      <c r="AY61" s="730"/>
      <c r="AZ61" s="730"/>
      <c r="BA61" s="730"/>
      <c r="BB61" s="730"/>
      <c r="BC61" s="730"/>
      <c r="BD61" s="730"/>
      <c r="BE61" s="730"/>
      <c r="BF61" s="730"/>
      <c r="BG61" s="730"/>
      <c r="BH61" s="730"/>
      <c r="BI61" s="730"/>
      <c r="BJ61" s="730"/>
      <c r="BK61" s="730"/>
      <c r="BL61" s="730"/>
      <c r="BM61" s="730"/>
      <c r="BN61" s="730"/>
      <c r="BO61" s="730"/>
      <c r="BP61" s="730"/>
      <c r="BQ61" s="730"/>
      <c r="BR61" s="730"/>
      <c r="BS61" s="730"/>
      <c r="BT61" s="730"/>
      <c r="BU61" s="730"/>
      <c r="BV61" s="730"/>
      <c r="BW61" s="730"/>
      <c r="BX61" s="730"/>
      <c r="BY61" s="730"/>
      <c r="BZ61" s="730"/>
      <c r="CA61" s="730"/>
      <c r="CB61" s="730"/>
      <c r="CC61" s="730"/>
      <c r="CD61" s="730"/>
      <c r="CE61" s="730"/>
      <c r="CF61" s="730"/>
      <c r="CG61" s="730"/>
      <c r="CH61" s="730"/>
      <c r="CI61" s="730"/>
      <c r="CJ61" s="730"/>
      <c r="CK61" s="730"/>
      <c r="CL61" s="730"/>
      <c r="CM61" s="730"/>
      <c r="CN61" s="730"/>
      <c r="CO61" s="730"/>
      <c r="CP61" s="730"/>
    </row>
    <row r="62" spans="1:94" x14ac:dyDescent="0.2">
      <c r="A62" s="730"/>
      <c r="B62" s="730"/>
      <c r="C62" s="730"/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0"/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  <c r="AJ62" s="730"/>
      <c r="AK62" s="730"/>
      <c r="AL62" s="730"/>
      <c r="AM62" s="730"/>
      <c r="AN62" s="730"/>
      <c r="AO62" s="730"/>
      <c r="AP62" s="730"/>
      <c r="AQ62" s="730"/>
      <c r="AR62" s="730"/>
      <c r="AS62" s="730"/>
      <c r="AT62" s="730"/>
      <c r="AU62" s="730"/>
      <c r="AV62" s="730"/>
      <c r="AW62" s="730"/>
      <c r="AX62" s="730"/>
      <c r="AY62" s="730"/>
      <c r="AZ62" s="730"/>
      <c r="BA62" s="730"/>
      <c r="BB62" s="730"/>
      <c r="BC62" s="730"/>
      <c r="BD62" s="730"/>
      <c r="BE62" s="730"/>
      <c r="BF62" s="730"/>
      <c r="BG62" s="730"/>
      <c r="BH62" s="730"/>
      <c r="BI62" s="730"/>
      <c r="BJ62" s="730"/>
      <c r="BK62" s="730"/>
      <c r="BL62" s="730"/>
      <c r="BM62" s="730"/>
      <c r="BN62" s="730"/>
      <c r="BO62" s="730"/>
      <c r="BP62" s="730"/>
      <c r="BQ62" s="730"/>
      <c r="BR62" s="730"/>
      <c r="BS62" s="730"/>
      <c r="BT62" s="730"/>
      <c r="BU62" s="730"/>
      <c r="BV62" s="730"/>
      <c r="BW62" s="730"/>
      <c r="BX62" s="730"/>
      <c r="BY62" s="730"/>
      <c r="BZ62" s="730"/>
      <c r="CA62" s="730"/>
      <c r="CB62" s="730"/>
      <c r="CC62" s="730"/>
      <c r="CD62" s="730"/>
      <c r="CE62" s="730"/>
      <c r="CF62" s="730"/>
      <c r="CG62" s="730"/>
      <c r="CH62" s="730"/>
      <c r="CI62" s="730"/>
      <c r="CJ62" s="730"/>
      <c r="CK62" s="730"/>
      <c r="CL62" s="730"/>
      <c r="CM62" s="730"/>
      <c r="CN62" s="730"/>
      <c r="CO62" s="730"/>
      <c r="CP62" s="730"/>
    </row>
    <row r="63" spans="1:94" x14ac:dyDescent="0.2">
      <c r="A63" s="730"/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730"/>
      <c r="T63" s="730"/>
      <c r="U63" s="730"/>
      <c r="V63" s="730"/>
      <c r="W63" s="730"/>
      <c r="X63" s="730"/>
      <c r="Y63" s="730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  <c r="AJ63" s="730"/>
      <c r="AK63" s="730"/>
      <c r="AL63" s="730"/>
      <c r="AM63" s="730"/>
      <c r="AN63" s="730"/>
      <c r="AO63" s="730"/>
      <c r="AP63" s="730"/>
      <c r="AQ63" s="730"/>
      <c r="AR63" s="730"/>
      <c r="AS63" s="730"/>
      <c r="AT63" s="730"/>
      <c r="AU63" s="730"/>
      <c r="AV63" s="730"/>
      <c r="AW63" s="730"/>
      <c r="AX63" s="730"/>
      <c r="AY63" s="730"/>
      <c r="AZ63" s="730"/>
      <c r="BA63" s="730"/>
      <c r="BB63" s="730"/>
      <c r="BC63" s="730"/>
      <c r="BD63" s="730"/>
      <c r="BE63" s="730"/>
      <c r="BF63" s="730"/>
      <c r="BG63" s="730"/>
      <c r="BH63" s="730"/>
      <c r="BI63" s="730"/>
      <c r="BJ63" s="730"/>
      <c r="BK63" s="730"/>
      <c r="BL63" s="730"/>
      <c r="BM63" s="730"/>
      <c r="BN63" s="730"/>
      <c r="BO63" s="730"/>
      <c r="BP63" s="730"/>
      <c r="BQ63" s="730"/>
      <c r="BR63" s="730"/>
      <c r="BS63" s="730"/>
      <c r="BT63" s="730"/>
      <c r="BU63" s="730"/>
      <c r="BV63" s="730"/>
      <c r="BW63" s="730"/>
      <c r="BX63" s="730"/>
      <c r="BY63" s="730"/>
      <c r="BZ63" s="730"/>
      <c r="CA63" s="730"/>
      <c r="CB63" s="730"/>
      <c r="CC63" s="730"/>
      <c r="CD63" s="730"/>
      <c r="CE63" s="730"/>
      <c r="CF63" s="730"/>
      <c r="CG63" s="730"/>
      <c r="CH63" s="730"/>
      <c r="CI63" s="730"/>
      <c r="CJ63" s="730"/>
      <c r="CK63" s="730"/>
      <c r="CL63" s="730"/>
      <c r="CM63" s="730"/>
      <c r="CN63" s="730"/>
      <c r="CO63" s="730"/>
      <c r="CP63" s="730"/>
    </row>
    <row r="64" spans="1:94" x14ac:dyDescent="0.2">
      <c r="A64" s="730"/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0"/>
      <c r="AV64" s="730"/>
      <c r="AW64" s="730"/>
      <c r="AX64" s="730"/>
      <c r="AY64" s="730"/>
      <c r="AZ64" s="730"/>
      <c r="BA64" s="730"/>
      <c r="BB64" s="730"/>
      <c r="BC64" s="730"/>
      <c r="BD64" s="730"/>
      <c r="BE64" s="730"/>
      <c r="BF64" s="730"/>
      <c r="BG64" s="730"/>
      <c r="BH64" s="730"/>
      <c r="BI64" s="730"/>
      <c r="BJ64" s="730"/>
      <c r="BK64" s="730"/>
      <c r="BL64" s="730"/>
      <c r="BM64" s="730"/>
      <c r="BN64" s="730"/>
      <c r="BO64" s="730"/>
      <c r="BP64" s="730"/>
      <c r="BQ64" s="730"/>
      <c r="BR64" s="730"/>
      <c r="BS64" s="730"/>
      <c r="BT64" s="730"/>
      <c r="BU64" s="730"/>
      <c r="BV64" s="730"/>
      <c r="BW64" s="730"/>
      <c r="BX64" s="730"/>
      <c r="BY64" s="730"/>
      <c r="BZ64" s="730"/>
      <c r="CA64" s="730"/>
      <c r="CB64" s="730"/>
      <c r="CC64" s="730"/>
      <c r="CD64" s="730"/>
      <c r="CE64" s="730"/>
      <c r="CF64" s="730"/>
      <c r="CG64" s="730"/>
      <c r="CH64" s="730"/>
      <c r="CI64" s="730"/>
      <c r="CJ64" s="730"/>
      <c r="CK64" s="730"/>
      <c r="CL64" s="730"/>
      <c r="CM64" s="730"/>
      <c r="CN64" s="730"/>
      <c r="CO64" s="730"/>
      <c r="CP64" s="730"/>
    </row>
    <row r="65" spans="1:94" x14ac:dyDescent="0.2">
      <c r="A65" s="730"/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L65" s="730"/>
      <c r="AM65" s="730"/>
      <c r="AN65" s="730"/>
      <c r="AO65" s="730"/>
      <c r="AP65" s="730"/>
      <c r="AQ65" s="730"/>
      <c r="AR65" s="730"/>
      <c r="AS65" s="730"/>
      <c r="AT65" s="730"/>
      <c r="AU65" s="730"/>
      <c r="AV65" s="730"/>
      <c r="AW65" s="730"/>
      <c r="AX65" s="730"/>
      <c r="AY65" s="730"/>
      <c r="AZ65" s="730"/>
      <c r="BA65" s="730"/>
      <c r="BB65" s="730"/>
      <c r="BC65" s="730"/>
      <c r="BD65" s="730"/>
      <c r="BE65" s="730"/>
      <c r="BF65" s="730"/>
      <c r="BG65" s="730"/>
      <c r="BH65" s="730"/>
      <c r="BI65" s="730"/>
      <c r="BJ65" s="730"/>
      <c r="BK65" s="730"/>
      <c r="BL65" s="730"/>
      <c r="BM65" s="730"/>
      <c r="BN65" s="730"/>
      <c r="BO65" s="730"/>
      <c r="BP65" s="730"/>
      <c r="BQ65" s="730"/>
      <c r="BR65" s="730"/>
      <c r="BS65" s="730"/>
      <c r="BT65" s="730"/>
      <c r="BU65" s="730"/>
      <c r="BV65" s="730"/>
      <c r="BW65" s="730"/>
      <c r="BX65" s="730"/>
      <c r="BY65" s="730"/>
      <c r="BZ65" s="730"/>
      <c r="CA65" s="730"/>
      <c r="CB65" s="730"/>
      <c r="CC65" s="730"/>
      <c r="CD65" s="730"/>
      <c r="CE65" s="730"/>
      <c r="CF65" s="730"/>
      <c r="CG65" s="730"/>
      <c r="CH65" s="730"/>
      <c r="CI65" s="730"/>
      <c r="CJ65" s="730"/>
      <c r="CK65" s="730"/>
      <c r="CL65" s="730"/>
      <c r="CM65" s="730"/>
      <c r="CN65" s="730"/>
      <c r="CO65" s="730"/>
      <c r="CP65" s="730"/>
    </row>
    <row r="66" spans="1:94" x14ac:dyDescent="0.2">
      <c r="A66" s="730"/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0"/>
      <c r="AR66" s="730"/>
      <c r="AS66" s="730"/>
      <c r="AT66" s="730"/>
      <c r="AU66" s="730"/>
      <c r="AV66" s="730"/>
      <c r="AW66" s="730"/>
      <c r="AX66" s="730"/>
      <c r="AY66" s="730"/>
      <c r="AZ66" s="730"/>
      <c r="BA66" s="730"/>
      <c r="BB66" s="730"/>
      <c r="BC66" s="730"/>
      <c r="BD66" s="730"/>
      <c r="BE66" s="730"/>
      <c r="BF66" s="730"/>
      <c r="BG66" s="730"/>
      <c r="BH66" s="730"/>
      <c r="BI66" s="730"/>
      <c r="BJ66" s="730"/>
      <c r="BK66" s="730"/>
      <c r="BL66" s="730"/>
      <c r="BM66" s="730"/>
      <c r="BN66" s="730"/>
      <c r="BO66" s="730"/>
      <c r="BP66" s="730"/>
      <c r="BQ66" s="730"/>
      <c r="BR66" s="730"/>
      <c r="BS66" s="730"/>
      <c r="BT66" s="730"/>
      <c r="BU66" s="730"/>
      <c r="BV66" s="730"/>
      <c r="BW66" s="730"/>
      <c r="BX66" s="730"/>
      <c r="BY66" s="730"/>
      <c r="BZ66" s="730"/>
      <c r="CA66" s="730"/>
      <c r="CB66" s="730"/>
      <c r="CC66" s="730"/>
      <c r="CD66" s="730"/>
      <c r="CE66" s="730"/>
      <c r="CF66" s="730"/>
      <c r="CG66" s="730"/>
      <c r="CH66" s="730"/>
      <c r="CI66" s="730"/>
      <c r="CJ66" s="730"/>
      <c r="CK66" s="730"/>
      <c r="CL66" s="730"/>
      <c r="CM66" s="730"/>
      <c r="CN66" s="730"/>
      <c r="CO66" s="730"/>
      <c r="CP66" s="730"/>
    </row>
    <row r="67" spans="1:94" x14ac:dyDescent="0.2">
      <c r="A67" s="730"/>
      <c r="B67" s="730"/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  <c r="AJ67" s="730"/>
      <c r="AK67" s="730"/>
      <c r="AL67" s="730"/>
      <c r="AM67" s="730"/>
      <c r="AN67" s="730"/>
      <c r="AO67" s="730"/>
      <c r="AP67" s="730"/>
      <c r="AQ67" s="730"/>
      <c r="AR67" s="730"/>
      <c r="AS67" s="730"/>
      <c r="AT67" s="730"/>
      <c r="AU67" s="730"/>
      <c r="AV67" s="730"/>
      <c r="AW67" s="730"/>
      <c r="AX67" s="730"/>
      <c r="AY67" s="730"/>
      <c r="AZ67" s="730"/>
      <c r="BA67" s="730"/>
      <c r="BB67" s="730"/>
      <c r="BC67" s="730"/>
      <c r="BD67" s="730"/>
      <c r="BE67" s="730"/>
      <c r="BF67" s="730"/>
      <c r="BG67" s="730"/>
      <c r="BH67" s="730"/>
      <c r="BI67" s="730"/>
      <c r="BJ67" s="730"/>
      <c r="BK67" s="730"/>
      <c r="BL67" s="730"/>
      <c r="BM67" s="730"/>
      <c r="BN67" s="730"/>
      <c r="BO67" s="730"/>
      <c r="BP67" s="730"/>
      <c r="BQ67" s="730"/>
      <c r="BR67" s="730"/>
      <c r="BS67" s="730"/>
      <c r="BT67" s="730"/>
      <c r="BU67" s="730"/>
      <c r="BV67" s="730"/>
      <c r="BW67" s="730"/>
      <c r="BX67" s="730"/>
      <c r="BY67" s="730"/>
      <c r="BZ67" s="730"/>
      <c r="CA67" s="730"/>
      <c r="CB67" s="730"/>
      <c r="CC67" s="730"/>
      <c r="CD67" s="730"/>
      <c r="CE67" s="730"/>
      <c r="CF67" s="730"/>
      <c r="CG67" s="730"/>
      <c r="CH67" s="730"/>
      <c r="CI67" s="730"/>
      <c r="CJ67" s="730"/>
      <c r="CK67" s="730"/>
      <c r="CL67" s="730"/>
      <c r="CM67" s="730"/>
      <c r="CN67" s="730"/>
      <c r="CO67" s="730"/>
      <c r="CP67" s="730"/>
    </row>
    <row r="68" spans="1:94" x14ac:dyDescent="0.2">
      <c r="A68" s="730"/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30"/>
      <c r="AH68" s="730"/>
      <c r="AI68" s="730"/>
      <c r="AJ68" s="730"/>
      <c r="AK68" s="730"/>
      <c r="AL68" s="730"/>
      <c r="AM68" s="730"/>
      <c r="AN68" s="730"/>
      <c r="AO68" s="730"/>
      <c r="AP68" s="730"/>
      <c r="AQ68" s="730"/>
      <c r="AR68" s="730"/>
      <c r="AS68" s="730"/>
      <c r="AT68" s="730"/>
      <c r="AU68" s="730"/>
      <c r="AV68" s="730"/>
      <c r="AW68" s="730"/>
      <c r="AX68" s="730"/>
      <c r="AY68" s="730"/>
      <c r="AZ68" s="730"/>
      <c r="BA68" s="730"/>
      <c r="BB68" s="730"/>
      <c r="BC68" s="730"/>
      <c r="BD68" s="730"/>
      <c r="BE68" s="730"/>
      <c r="BF68" s="730"/>
      <c r="BG68" s="730"/>
      <c r="BH68" s="730"/>
      <c r="BI68" s="730"/>
      <c r="BJ68" s="730"/>
      <c r="BK68" s="730"/>
      <c r="BL68" s="730"/>
      <c r="BM68" s="730"/>
      <c r="BN68" s="730"/>
      <c r="BO68" s="730"/>
      <c r="BP68" s="730"/>
      <c r="BQ68" s="730"/>
      <c r="BR68" s="730"/>
      <c r="BS68" s="730"/>
      <c r="BT68" s="730"/>
      <c r="BU68" s="730"/>
      <c r="BV68" s="730"/>
      <c r="BW68" s="730"/>
      <c r="BX68" s="730"/>
      <c r="BY68" s="730"/>
      <c r="BZ68" s="730"/>
      <c r="CA68" s="730"/>
      <c r="CB68" s="730"/>
      <c r="CC68" s="730"/>
      <c r="CD68" s="730"/>
      <c r="CE68" s="730"/>
      <c r="CF68" s="730"/>
      <c r="CG68" s="730"/>
      <c r="CH68" s="730"/>
      <c r="CI68" s="730"/>
      <c r="CJ68" s="730"/>
      <c r="CK68" s="730"/>
      <c r="CL68" s="730"/>
      <c r="CM68" s="730"/>
      <c r="CN68" s="730"/>
      <c r="CO68" s="730"/>
      <c r="CP68" s="730"/>
    </row>
    <row r="69" spans="1:94" x14ac:dyDescent="0.2">
      <c r="A69" s="730"/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730"/>
      <c r="Z69" s="730"/>
      <c r="AA69" s="730"/>
      <c r="AB69" s="730"/>
      <c r="AC69" s="730"/>
      <c r="AD69" s="730"/>
      <c r="AE69" s="730"/>
      <c r="AF69" s="730"/>
      <c r="AG69" s="730"/>
      <c r="AH69" s="730"/>
      <c r="AI69" s="730"/>
      <c r="AJ69" s="730"/>
      <c r="AK69" s="730"/>
      <c r="AL69" s="730"/>
      <c r="AM69" s="730"/>
      <c r="AN69" s="730"/>
      <c r="AO69" s="730"/>
      <c r="AP69" s="730"/>
      <c r="AQ69" s="730"/>
      <c r="AR69" s="730"/>
      <c r="AS69" s="730"/>
      <c r="AT69" s="730"/>
      <c r="AU69" s="730"/>
      <c r="AV69" s="730"/>
      <c r="AW69" s="730"/>
      <c r="AX69" s="730"/>
      <c r="AY69" s="730"/>
      <c r="AZ69" s="730"/>
      <c r="BA69" s="730"/>
      <c r="BB69" s="730"/>
      <c r="BC69" s="730"/>
      <c r="BD69" s="730"/>
      <c r="BE69" s="730"/>
      <c r="BF69" s="730"/>
      <c r="BG69" s="730"/>
      <c r="BH69" s="730"/>
      <c r="BI69" s="730"/>
      <c r="BJ69" s="730"/>
      <c r="BK69" s="730"/>
      <c r="BL69" s="730"/>
      <c r="BM69" s="730"/>
      <c r="BN69" s="730"/>
      <c r="BO69" s="730"/>
      <c r="BP69" s="730"/>
      <c r="BQ69" s="730"/>
      <c r="BR69" s="730"/>
      <c r="BS69" s="730"/>
      <c r="BT69" s="730"/>
      <c r="BU69" s="730"/>
      <c r="BV69" s="730"/>
      <c r="BW69" s="730"/>
      <c r="BX69" s="730"/>
      <c r="BY69" s="730"/>
      <c r="BZ69" s="730"/>
      <c r="CA69" s="730"/>
      <c r="CB69" s="730"/>
      <c r="CC69" s="730"/>
      <c r="CD69" s="730"/>
      <c r="CE69" s="730"/>
      <c r="CF69" s="730"/>
      <c r="CG69" s="730"/>
      <c r="CH69" s="730"/>
      <c r="CI69" s="730"/>
      <c r="CJ69" s="730"/>
      <c r="CK69" s="730"/>
      <c r="CL69" s="730"/>
      <c r="CM69" s="730"/>
      <c r="CN69" s="730"/>
      <c r="CO69" s="730"/>
      <c r="CP69" s="730"/>
    </row>
    <row r="70" spans="1:94" x14ac:dyDescent="0.2">
      <c r="A70" s="730"/>
      <c r="B70" s="730"/>
      <c r="C70" s="730"/>
      <c r="D70" s="730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/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30"/>
      <c r="AZ70" s="730"/>
      <c r="BA70" s="730"/>
      <c r="BB70" s="730"/>
      <c r="BC70" s="730"/>
      <c r="BD70" s="730"/>
      <c r="BE70" s="730"/>
      <c r="BF70" s="730"/>
      <c r="BG70" s="730"/>
      <c r="BH70" s="730"/>
      <c r="BI70" s="730"/>
      <c r="BJ70" s="730"/>
      <c r="BK70" s="730"/>
      <c r="BL70" s="730"/>
      <c r="BM70" s="730"/>
      <c r="BN70" s="730"/>
      <c r="BO70" s="730"/>
      <c r="BP70" s="730"/>
      <c r="BQ70" s="730"/>
      <c r="BR70" s="730"/>
      <c r="BS70" s="730"/>
      <c r="BT70" s="730"/>
      <c r="BU70" s="730"/>
      <c r="BV70" s="730"/>
      <c r="BW70" s="730"/>
      <c r="BX70" s="730"/>
      <c r="BY70" s="730"/>
      <c r="BZ70" s="730"/>
      <c r="CA70" s="730"/>
      <c r="CB70" s="730"/>
      <c r="CC70" s="730"/>
      <c r="CD70" s="730"/>
      <c r="CE70" s="730"/>
      <c r="CF70" s="730"/>
      <c r="CG70" s="730"/>
      <c r="CH70" s="730"/>
      <c r="CI70" s="730"/>
      <c r="CJ70" s="730"/>
      <c r="CK70" s="730"/>
      <c r="CL70" s="730"/>
      <c r="CM70" s="730"/>
      <c r="CN70" s="730"/>
      <c r="CO70" s="730"/>
      <c r="CP70" s="730"/>
    </row>
    <row r="71" spans="1:94" x14ac:dyDescent="0.2">
      <c r="A71" s="730"/>
      <c r="B71" s="730"/>
      <c r="C71" s="730"/>
      <c r="D71" s="730"/>
      <c r="E71" s="730"/>
      <c r="F71" s="730"/>
      <c r="G71" s="730"/>
      <c r="H71" s="730"/>
      <c r="I71" s="730"/>
      <c r="J71" s="730"/>
      <c r="K71" s="730"/>
      <c r="L71" s="730"/>
      <c r="M71" s="730"/>
      <c r="N71" s="730"/>
      <c r="O71" s="730"/>
      <c r="P71" s="730"/>
      <c r="Q71" s="730"/>
      <c r="R71" s="730"/>
      <c r="S71" s="730"/>
      <c r="T71" s="730"/>
      <c r="U71" s="730"/>
      <c r="V71" s="730"/>
      <c r="W71" s="730"/>
      <c r="X71" s="730"/>
      <c r="Y71" s="730"/>
      <c r="Z71" s="730"/>
      <c r="AA71" s="730"/>
      <c r="AB71" s="730"/>
      <c r="AC71" s="730"/>
      <c r="AD71" s="730"/>
      <c r="AE71" s="730"/>
      <c r="AF71" s="730"/>
      <c r="AG71" s="730"/>
      <c r="AH71" s="730"/>
      <c r="AI71" s="730"/>
      <c r="AJ71" s="730"/>
      <c r="AK71" s="730"/>
      <c r="AL71" s="730"/>
      <c r="AM71" s="730"/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30"/>
      <c r="AZ71" s="730"/>
      <c r="BA71" s="730"/>
      <c r="BB71" s="730"/>
      <c r="BC71" s="730"/>
      <c r="BD71" s="730"/>
      <c r="BE71" s="730"/>
      <c r="BF71" s="730"/>
      <c r="BG71" s="730"/>
      <c r="BH71" s="730"/>
      <c r="BI71" s="730"/>
      <c r="BJ71" s="730"/>
      <c r="BK71" s="730"/>
      <c r="BL71" s="730"/>
      <c r="BM71" s="730"/>
      <c r="BN71" s="730"/>
      <c r="BO71" s="730"/>
      <c r="BP71" s="730"/>
      <c r="BQ71" s="730"/>
      <c r="BR71" s="730"/>
      <c r="BS71" s="730"/>
      <c r="BT71" s="730"/>
      <c r="BU71" s="730"/>
      <c r="BV71" s="730"/>
      <c r="BW71" s="730"/>
      <c r="BX71" s="730"/>
      <c r="BY71" s="730"/>
      <c r="BZ71" s="730"/>
      <c r="CA71" s="730"/>
      <c r="CB71" s="730"/>
      <c r="CC71" s="730"/>
      <c r="CD71" s="730"/>
      <c r="CE71" s="730"/>
      <c r="CF71" s="730"/>
      <c r="CG71" s="730"/>
      <c r="CH71" s="730"/>
      <c r="CI71" s="730"/>
      <c r="CJ71" s="730"/>
      <c r="CK71" s="730"/>
      <c r="CL71" s="730"/>
      <c r="CM71" s="730"/>
      <c r="CN71" s="730"/>
      <c r="CO71" s="730"/>
      <c r="CP71" s="730"/>
    </row>
    <row r="72" spans="1:94" x14ac:dyDescent="0.2">
      <c r="A72" s="730"/>
      <c r="B72" s="730"/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0"/>
      <c r="AR72" s="730"/>
      <c r="AS72" s="730"/>
      <c r="AT72" s="730"/>
      <c r="AU72" s="730"/>
      <c r="AV72" s="730"/>
      <c r="AW72" s="730"/>
      <c r="AX72" s="730"/>
      <c r="AY72" s="730"/>
      <c r="AZ72" s="730"/>
      <c r="BA72" s="730"/>
      <c r="BB72" s="730"/>
      <c r="BC72" s="730"/>
      <c r="BD72" s="730"/>
      <c r="BE72" s="730"/>
      <c r="BF72" s="730"/>
      <c r="BG72" s="730"/>
      <c r="BH72" s="730"/>
      <c r="BI72" s="730"/>
      <c r="BJ72" s="730"/>
      <c r="BK72" s="730"/>
      <c r="BL72" s="730"/>
      <c r="BM72" s="730"/>
      <c r="BN72" s="730"/>
      <c r="BO72" s="730"/>
      <c r="BP72" s="730"/>
      <c r="BQ72" s="730"/>
      <c r="BR72" s="730"/>
      <c r="BS72" s="730"/>
      <c r="BT72" s="730"/>
      <c r="BU72" s="730"/>
      <c r="BV72" s="730"/>
      <c r="BW72" s="730"/>
      <c r="BX72" s="730"/>
      <c r="BY72" s="730"/>
      <c r="BZ72" s="730"/>
      <c r="CA72" s="730"/>
      <c r="CB72" s="730"/>
      <c r="CC72" s="730"/>
      <c r="CD72" s="730"/>
      <c r="CE72" s="730"/>
      <c r="CF72" s="730"/>
      <c r="CG72" s="730"/>
      <c r="CH72" s="730"/>
      <c r="CI72" s="730"/>
      <c r="CJ72" s="730"/>
      <c r="CK72" s="730"/>
      <c r="CL72" s="730"/>
      <c r="CM72" s="730"/>
      <c r="CN72" s="730"/>
      <c r="CO72" s="730"/>
      <c r="CP72" s="730"/>
    </row>
    <row r="73" spans="1:94" x14ac:dyDescent="0.2">
      <c r="A73" s="730"/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  <c r="S73" s="730"/>
      <c r="T73" s="730"/>
      <c r="U73" s="730"/>
      <c r="V73" s="730"/>
      <c r="W73" s="730"/>
      <c r="X73" s="730"/>
      <c r="Y73" s="730"/>
      <c r="Z73" s="730"/>
      <c r="AA73" s="730"/>
      <c r="AB73" s="730"/>
      <c r="AC73" s="730"/>
      <c r="AD73" s="730"/>
      <c r="AE73" s="730"/>
      <c r="AF73" s="730"/>
      <c r="AG73" s="730"/>
      <c r="AH73" s="730"/>
      <c r="AI73" s="730"/>
      <c r="AJ73" s="730"/>
      <c r="AK73" s="730"/>
      <c r="AL73" s="730"/>
      <c r="AM73" s="730"/>
      <c r="AN73" s="730"/>
      <c r="AO73" s="730"/>
      <c r="AP73" s="730"/>
      <c r="AQ73" s="730"/>
      <c r="AR73" s="730"/>
      <c r="AS73" s="730"/>
      <c r="AT73" s="730"/>
      <c r="AU73" s="730"/>
      <c r="AV73" s="730"/>
      <c r="AW73" s="730"/>
      <c r="AX73" s="730"/>
      <c r="AY73" s="730"/>
      <c r="AZ73" s="730"/>
      <c r="BA73" s="730"/>
      <c r="BB73" s="730"/>
      <c r="BC73" s="730"/>
      <c r="BD73" s="730"/>
      <c r="BE73" s="730"/>
      <c r="BF73" s="730"/>
      <c r="BG73" s="730"/>
      <c r="BH73" s="730"/>
      <c r="BI73" s="730"/>
      <c r="BJ73" s="730"/>
      <c r="BK73" s="730"/>
      <c r="BL73" s="730"/>
      <c r="BM73" s="730"/>
      <c r="BN73" s="730"/>
      <c r="BO73" s="730"/>
      <c r="BP73" s="730"/>
      <c r="BQ73" s="730"/>
      <c r="BR73" s="730"/>
      <c r="BS73" s="730"/>
      <c r="BT73" s="730"/>
      <c r="BU73" s="730"/>
      <c r="BV73" s="730"/>
      <c r="BW73" s="730"/>
      <c r="BX73" s="730"/>
      <c r="BY73" s="730"/>
      <c r="BZ73" s="730"/>
      <c r="CA73" s="730"/>
      <c r="CB73" s="730"/>
      <c r="CC73" s="730"/>
      <c r="CD73" s="730"/>
      <c r="CE73" s="730"/>
      <c r="CF73" s="730"/>
      <c r="CG73" s="730"/>
      <c r="CH73" s="730"/>
      <c r="CI73" s="730"/>
      <c r="CJ73" s="730"/>
      <c r="CK73" s="730"/>
      <c r="CL73" s="730"/>
      <c r="CM73" s="730"/>
      <c r="CN73" s="730"/>
      <c r="CO73" s="730"/>
      <c r="CP73" s="730"/>
    </row>
    <row r="74" spans="1:94" x14ac:dyDescent="0.2">
      <c r="A74" s="730"/>
      <c r="B74" s="730"/>
      <c r="C74" s="730"/>
      <c r="D74" s="730"/>
      <c r="E74" s="730"/>
      <c r="F74" s="730"/>
      <c r="G74" s="730"/>
      <c r="H74" s="730"/>
      <c r="I74" s="730"/>
      <c r="J74" s="730"/>
      <c r="K74" s="730"/>
      <c r="L74" s="730"/>
      <c r="M74" s="730"/>
      <c r="N74" s="730"/>
      <c r="O74" s="730"/>
      <c r="P74" s="730"/>
      <c r="Q74" s="730"/>
      <c r="R74" s="730"/>
      <c r="S74" s="730"/>
      <c r="T74" s="730"/>
      <c r="U74" s="730"/>
      <c r="V74" s="730"/>
      <c r="W74" s="730"/>
      <c r="X74" s="730"/>
      <c r="Y74" s="730"/>
      <c r="Z74" s="730"/>
      <c r="AA74" s="730"/>
      <c r="AB74" s="730"/>
      <c r="AC74" s="730"/>
      <c r="AD74" s="730"/>
      <c r="AE74" s="730"/>
      <c r="AF74" s="730"/>
      <c r="AG74" s="730"/>
      <c r="AH74" s="730"/>
      <c r="AI74" s="730"/>
      <c r="AJ74" s="730"/>
      <c r="AK74" s="730"/>
      <c r="AL74" s="730"/>
      <c r="AM74" s="730"/>
      <c r="AN74" s="730"/>
      <c r="AO74" s="730"/>
      <c r="AP74" s="730"/>
      <c r="AQ74" s="730"/>
      <c r="AR74" s="730"/>
      <c r="AS74" s="730"/>
      <c r="AT74" s="730"/>
      <c r="AU74" s="730"/>
      <c r="AV74" s="730"/>
      <c r="AW74" s="730"/>
      <c r="AX74" s="730"/>
      <c r="AY74" s="730"/>
      <c r="AZ74" s="730"/>
      <c r="BA74" s="730"/>
      <c r="BB74" s="730"/>
      <c r="BC74" s="730"/>
      <c r="BD74" s="730"/>
      <c r="BE74" s="730"/>
      <c r="BF74" s="730"/>
      <c r="BG74" s="730"/>
      <c r="BH74" s="730"/>
      <c r="BI74" s="730"/>
      <c r="BJ74" s="730"/>
      <c r="BK74" s="730"/>
      <c r="BL74" s="730"/>
      <c r="BM74" s="730"/>
      <c r="BN74" s="730"/>
      <c r="BO74" s="730"/>
      <c r="BP74" s="730"/>
      <c r="BQ74" s="730"/>
      <c r="BR74" s="730"/>
      <c r="BS74" s="730"/>
      <c r="BT74" s="730"/>
      <c r="BU74" s="730"/>
      <c r="BV74" s="730"/>
      <c r="BW74" s="730"/>
      <c r="BX74" s="730"/>
      <c r="BY74" s="730"/>
      <c r="BZ74" s="730"/>
      <c r="CA74" s="730"/>
      <c r="CB74" s="730"/>
      <c r="CC74" s="730"/>
      <c r="CD74" s="730"/>
      <c r="CE74" s="730"/>
      <c r="CF74" s="730"/>
      <c r="CG74" s="730"/>
      <c r="CH74" s="730"/>
      <c r="CI74" s="730"/>
      <c r="CJ74" s="730"/>
      <c r="CK74" s="730"/>
      <c r="CL74" s="730"/>
      <c r="CM74" s="730"/>
      <c r="CN74" s="730"/>
      <c r="CO74" s="730"/>
      <c r="CP74" s="730"/>
    </row>
    <row r="75" spans="1:94" x14ac:dyDescent="0.2">
      <c r="A75" s="730"/>
      <c r="B75" s="730"/>
      <c r="C75" s="730"/>
      <c r="D75" s="730"/>
      <c r="E75" s="730"/>
      <c r="F75" s="730"/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0"/>
      <c r="U75" s="730"/>
      <c r="V75" s="730"/>
      <c r="W75" s="730"/>
      <c r="X75" s="730"/>
      <c r="Y75" s="730"/>
      <c r="Z75" s="730"/>
      <c r="AA75" s="730"/>
      <c r="AB75" s="730"/>
      <c r="AC75" s="730"/>
      <c r="AD75" s="730"/>
      <c r="AE75" s="730"/>
      <c r="AF75" s="730"/>
      <c r="AG75" s="730"/>
      <c r="AH75" s="730"/>
      <c r="AI75" s="730"/>
      <c r="AJ75" s="730"/>
      <c r="AK75" s="730"/>
      <c r="AL75" s="730"/>
      <c r="AM75" s="730"/>
      <c r="AN75" s="730"/>
      <c r="AO75" s="730"/>
      <c r="AP75" s="730"/>
      <c r="AQ75" s="730"/>
      <c r="AR75" s="730"/>
      <c r="AS75" s="730"/>
      <c r="AT75" s="730"/>
      <c r="AU75" s="730"/>
      <c r="AV75" s="730"/>
      <c r="AW75" s="730"/>
      <c r="AX75" s="730"/>
      <c r="AY75" s="730"/>
      <c r="AZ75" s="730"/>
      <c r="BA75" s="730"/>
      <c r="BB75" s="730"/>
      <c r="BC75" s="730"/>
      <c r="BD75" s="730"/>
      <c r="BE75" s="730"/>
      <c r="BF75" s="730"/>
      <c r="BG75" s="730"/>
      <c r="BH75" s="730"/>
      <c r="BI75" s="730"/>
      <c r="BJ75" s="730"/>
      <c r="BK75" s="730"/>
      <c r="BL75" s="730"/>
      <c r="BM75" s="730"/>
      <c r="BN75" s="730"/>
      <c r="BO75" s="730"/>
      <c r="BP75" s="730"/>
      <c r="BQ75" s="730"/>
      <c r="BR75" s="730"/>
      <c r="BS75" s="730"/>
      <c r="BT75" s="730"/>
      <c r="BU75" s="730"/>
      <c r="BV75" s="730"/>
      <c r="BW75" s="730"/>
      <c r="BX75" s="730"/>
      <c r="BY75" s="730"/>
      <c r="BZ75" s="730"/>
      <c r="CA75" s="730"/>
      <c r="CB75" s="730"/>
      <c r="CC75" s="730"/>
      <c r="CD75" s="730"/>
      <c r="CE75" s="730"/>
      <c r="CF75" s="730"/>
      <c r="CG75" s="730"/>
      <c r="CH75" s="730"/>
      <c r="CI75" s="730"/>
      <c r="CJ75" s="730"/>
      <c r="CK75" s="730"/>
      <c r="CL75" s="730"/>
      <c r="CM75" s="730"/>
      <c r="CN75" s="730"/>
      <c r="CO75" s="730"/>
      <c r="CP75" s="730"/>
    </row>
    <row r="76" spans="1:94" x14ac:dyDescent="0.2">
      <c r="A76" s="730"/>
      <c r="B76" s="730"/>
      <c r="C76" s="730"/>
      <c r="D76" s="730"/>
      <c r="E76" s="730"/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730"/>
      <c r="AA76" s="730"/>
      <c r="AB76" s="730"/>
      <c r="AC76" s="730"/>
      <c r="AD76" s="730"/>
      <c r="AE76" s="730"/>
      <c r="AF76" s="730"/>
      <c r="AG76" s="730"/>
      <c r="AH76" s="730"/>
      <c r="AI76" s="730"/>
      <c r="AJ76" s="730"/>
      <c r="AK76" s="730"/>
      <c r="AL76" s="730"/>
      <c r="AM76" s="730"/>
      <c r="AN76" s="730"/>
      <c r="AO76" s="730"/>
      <c r="AP76" s="730"/>
      <c r="AQ76" s="730"/>
      <c r="AR76" s="730"/>
      <c r="AS76" s="730"/>
      <c r="AT76" s="730"/>
      <c r="AU76" s="730"/>
      <c r="AV76" s="730"/>
      <c r="AW76" s="730"/>
      <c r="AX76" s="730"/>
      <c r="AY76" s="730"/>
      <c r="AZ76" s="730"/>
      <c r="BA76" s="730"/>
      <c r="BB76" s="730"/>
      <c r="BC76" s="730"/>
      <c r="BD76" s="730"/>
      <c r="BE76" s="730"/>
      <c r="BF76" s="730"/>
      <c r="BG76" s="730"/>
      <c r="BH76" s="730"/>
      <c r="BI76" s="730"/>
      <c r="BJ76" s="730"/>
      <c r="BK76" s="730"/>
      <c r="BL76" s="730"/>
      <c r="BM76" s="730"/>
      <c r="BN76" s="730"/>
      <c r="BO76" s="730"/>
      <c r="BP76" s="730"/>
      <c r="BQ76" s="730"/>
      <c r="BR76" s="730"/>
      <c r="BS76" s="730"/>
      <c r="BT76" s="730"/>
      <c r="BU76" s="730"/>
      <c r="BV76" s="730"/>
      <c r="BW76" s="730"/>
      <c r="BX76" s="730"/>
      <c r="BY76" s="730"/>
      <c r="BZ76" s="730"/>
      <c r="CA76" s="730"/>
      <c r="CB76" s="730"/>
      <c r="CC76" s="730"/>
      <c r="CD76" s="730"/>
      <c r="CE76" s="730"/>
      <c r="CF76" s="730"/>
      <c r="CG76" s="730"/>
      <c r="CH76" s="730"/>
      <c r="CI76" s="730"/>
      <c r="CJ76" s="730"/>
      <c r="CK76" s="730"/>
      <c r="CL76" s="730"/>
      <c r="CM76" s="730"/>
      <c r="CN76" s="730"/>
      <c r="CO76" s="730"/>
      <c r="CP76" s="730"/>
    </row>
    <row r="77" spans="1:94" x14ac:dyDescent="0.2">
      <c r="A77" s="730"/>
      <c r="B77" s="730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0"/>
      <c r="AK77" s="730"/>
      <c r="AL77" s="730"/>
      <c r="AM77" s="730"/>
      <c r="AN77" s="730"/>
      <c r="AO77" s="730"/>
      <c r="AP77" s="730"/>
      <c r="AQ77" s="730"/>
      <c r="AR77" s="730"/>
      <c r="AS77" s="730"/>
      <c r="AT77" s="730"/>
      <c r="AU77" s="730"/>
      <c r="AV77" s="730"/>
      <c r="AW77" s="730"/>
      <c r="AX77" s="730"/>
      <c r="AY77" s="730"/>
      <c r="AZ77" s="730"/>
      <c r="BA77" s="730"/>
      <c r="BB77" s="730"/>
      <c r="BC77" s="730"/>
      <c r="BD77" s="730"/>
      <c r="BE77" s="730"/>
      <c r="BF77" s="730"/>
      <c r="BG77" s="730"/>
      <c r="BH77" s="730"/>
      <c r="BI77" s="730"/>
      <c r="BJ77" s="730"/>
      <c r="BK77" s="730"/>
      <c r="BL77" s="730"/>
      <c r="BM77" s="730"/>
      <c r="BN77" s="730"/>
      <c r="BO77" s="730"/>
      <c r="BP77" s="730"/>
      <c r="BQ77" s="730"/>
      <c r="BR77" s="730"/>
      <c r="BS77" s="730"/>
      <c r="BT77" s="730"/>
      <c r="BU77" s="730"/>
      <c r="BV77" s="730"/>
      <c r="BW77" s="730"/>
      <c r="BX77" s="730"/>
      <c r="BY77" s="730"/>
      <c r="BZ77" s="730"/>
      <c r="CA77" s="730"/>
      <c r="CB77" s="730"/>
      <c r="CC77" s="730"/>
      <c r="CD77" s="730"/>
      <c r="CE77" s="730"/>
      <c r="CF77" s="730"/>
      <c r="CG77" s="730"/>
      <c r="CH77" s="730"/>
      <c r="CI77" s="730"/>
      <c r="CJ77" s="730"/>
      <c r="CK77" s="730"/>
      <c r="CL77" s="730"/>
      <c r="CM77" s="730"/>
      <c r="CN77" s="730"/>
      <c r="CO77" s="730"/>
      <c r="CP77" s="730"/>
    </row>
    <row r="78" spans="1:94" x14ac:dyDescent="0.2">
      <c r="A78" s="730"/>
      <c r="B78" s="730"/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0"/>
      <c r="Q78" s="730"/>
      <c r="R78" s="730"/>
      <c r="S78" s="730"/>
      <c r="T78" s="730"/>
      <c r="U78" s="730"/>
      <c r="V78" s="730"/>
      <c r="W78" s="730"/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730"/>
      <c r="AK78" s="730"/>
      <c r="AL78" s="730"/>
      <c r="AM78" s="730"/>
      <c r="AN78" s="730"/>
      <c r="AO78" s="730"/>
      <c r="AP78" s="730"/>
      <c r="AQ78" s="730"/>
      <c r="AR78" s="730"/>
      <c r="AS78" s="730"/>
      <c r="AT78" s="730"/>
      <c r="AU78" s="730"/>
      <c r="AV78" s="730"/>
      <c r="AW78" s="730"/>
      <c r="AX78" s="730"/>
      <c r="AY78" s="730"/>
      <c r="AZ78" s="730"/>
      <c r="BA78" s="730"/>
      <c r="BB78" s="730"/>
      <c r="BC78" s="730"/>
      <c r="BD78" s="730"/>
      <c r="BE78" s="730"/>
      <c r="BF78" s="730"/>
      <c r="BG78" s="730"/>
      <c r="BH78" s="730"/>
      <c r="BI78" s="730"/>
      <c r="BJ78" s="730"/>
      <c r="BK78" s="730"/>
      <c r="BL78" s="730"/>
      <c r="BM78" s="730"/>
      <c r="BN78" s="730"/>
      <c r="BO78" s="730"/>
      <c r="BP78" s="730"/>
      <c r="BQ78" s="730"/>
      <c r="BR78" s="730"/>
      <c r="BS78" s="730"/>
      <c r="BT78" s="730"/>
      <c r="BU78" s="730"/>
      <c r="BV78" s="730"/>
      <c r="BW78" s="730"/>
      <c r="BX78" s="730"/>
      <c r="BY78" s="730"/>
      <c r="BZ78" s="730"/>
      <c r="CA78" s="730"/>
      <c r="CB78" s="730"/>
      <c r="CC78" s="730"/>
      <c r="CD78" s="730"/>
      <c r="CE78" s="730"/>
      <c r="CF78" s="730"/>
      <c r="CG78" s="730"/>
      <c r="CH78" s="730"/>
      <c r="CI78" s="730"/>
      <c r="CJ78" s="730"/>
      <c r="CK78" s="730"/>
      <c r="CL78" s="730"/>
      <c r="CM78" s="730"/>
      <c r="CN78" s="730"/>
      <c r="CO78" s="730"/>
      <c r="CP78" s="730"/>
    </row>
    <row r="79" spans="1:94" x14ac:dyDescent="0.2">
      <c r="A79" s="730"/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0"/>
      <c r="Z79" s="730"/>
      <c r="AA79" s="730"/>
      <c r="AB79" s="730"/>
      <c r="AC79" s="730"/>
      <c r="AD79" s="730"/>
      <c r="AE79" s="730"/>
      <c r="AF79" s="730"/>
      <c r="AG79" s="730"/>
      <c r="AH79" s="730"/>
      <c r="AI79" s="730"/>
      <c r="AJ79" s="730"/>
      <c r="AK79" s="730"/>
      <c r="AL79" s="730"/>
      <c r="AM79" s="730"/>
      <c r="AN79" s="730"/>
      <c r="AO79" s="730"/>
      <c r="AP79" s="730"/>
      <c r="AQ79" s="730"/>
      <c r="AR79" s="730"/>
      <c r="AS79" s="730"/>
      <c r="AT79" s="730"/>
      <c r="AU79" s="730"/>
      <c r="AV79" s="730"/>
      <c r="AW79" s="730"/>
      <c r="AX79" s="730"/>
      <c r="AY79" s="730"/>
      <c r="AZ79" s="730"/>
      <c r="BA79" s="730"/>
      <c r="BB79" s="730"/>
      <c r="BC79" s="730"/>
      <c r="BD79" s="730"/>
      <c r="BE79" s="730"/>
      <c r="BF79" s="730"/>
      <c r="BG79" s="730"/>
      <c r="BH79" s="730"/>
      <c r="BI79" s="730"/>
      <c r="BJ79" s="730"/>
      <c r="BK79" s="730"/>
      <c r="BL79" s="730"/>
      <c r="BM79" s="730"/>
      <c r="BN79" s="730"/>
      <c r="BO79" s="730"/>
      <c r="BP79" s="730"/>
      <c r="BQ79" s="730"/>
      <c r="BR79" s="730"/>
      <c r="BS79" s="730"/>
      <c r="BT79" s="730"/>
      <c r="BU79" s="730"/>
      <c r="BV79" s="730"/>
      <c r="BW79" s="730"/>
      <c r="BX79" s="730"/>
      <c r="BY79" s="730"/>
      <c r="BZ79" s="730"/>
      <c r="CA79" s="730"/>
      <c r="CB79" s="730"/>
      <c r="CC79" s="730"/>
      <c r="CD79" s="730"/>
      <c r="CE79" s="730"/>
      <c r="CF79" s="730"/>
      <c r="CG79" s="730"/>
      <c r="CH79" s="730"/>
      <c r="CI79" s="730"/>
      <c r="CJ79" s="730"/>
      <c r="CK79" s="730"/>
      <c r="CL79" s="730"/>
      <c r="CM79" s="730"/>
      <c r="CN79" s="730"/>
      <c r="CO79" s="730"/>
      <c r="CP79" s="730"/>
    </row>
    <row r="80" spans="1:94" x14ac:dyDescent="0.2">
      <c r="A80" s="730"/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0"/>
      <c r="AL80" s="730"/>
      <c r="AM80" s="730"/>
      <c r="AN80" s="730"/>
      <c r="AO80" s="730"/>
      <c r="AP80" s="730"/>
      <c r="AQ80" s="730"/>
      <c r="AR80" s="730"/>
      <c r="AS80" s="730"/>
      <c r="AT80" s="730"/>
      <c r="AU80" s="730"/>
      <c r="AV80" s="730"/>
      <c r="AW80" s="730"/>
      <c r="AX80" s="730"/>
      <c r="AY80" s="730"/>
      <c r="AZ80" s="730"/>
      <c r="BA80" s="730"/>
      <c r="BB80" s="730"/>
      <c r="BC80" s="730"/>
      <c r="BD80" s="730"/>
      <c r="BE80" s="730"/>
      <c r="BF80" s="730"/>
      <c r="BG80" s="730"/>
      <c r="BH80" s="730"/>
      <c r="BI80" s="730"/>
      <c r="BJ80" s="730"/>
      <c r="BK80" s="730"/>
      <c r="BL80" s="730"/>
      <c r="BM80" s="730"/>
      <c r="BN80" s="730"/>
      <c r="BO80" s="730"/>
      <c r="BP80" s="730"/>
      <c r="BQ80" s="730"/>
      <c r="BR80" s="730"/>
      <c r="BS80" s="730"/>
      <c r="BT80" s="730"/>
      <c r="BU80" s="730"/>
      <c r="BV80" s="730"/>
      <c r="BW80" s="730"/>
      <c r="BX80" s="730"/>
      <c r="BY80" s="730"/>
      <c r="BZ80" s="730"/>
      <c r="CA80" s="730"/>
      <c r="CB80" s="730"/>
      <c r="CC80" s="730"/>
      <c r="CD80" s="730"/>
      <c r="CE80" s="730"/>
      <c r="CF80" s="730"/>
      <c r="CG80" s="730"/>
      <c r="CH80" s="730"/>
      <c r="CI80" s="730"/>
      <c r="CJ80" s="730"/>
      <c r="CK80" s="730"/>
      <c r="CL80" s="730"/>
      <c r="CM80" s="730"/>
      <c r="CN80" s="730"/>
      <c r="CO80" s="730"/>
      <c r="CP80" s="730"/>
    </row>
    <row r="81" spans="1:94" x14ac:dyDescent="0.2">
      <c r="A81" s="730"/>
      <c r="B81" s="730"/>
      <c r="C81" s="730"/>
      <c r="D81" s="730"/>
      <c r="E81" s="730"/>
      <c r="F81" s="730"/>
      <c r="G81" s="730"/>
      <c r="H81" s="730"/>
      <c r="I81" s="730"/>
      <c r="J81" s="730"/>
      <c r="K81" s="730"/>
      <c r="L81" s="730"/>
      <c r="M81" s="730"/>
      <c r="N81" s="730"/>
      <c r="O81" s="730"/>
      <c r="P81" s="730"/>
      <c r="Q81" s="730"/>
      <c r="R81" s="730"/>
      <c r="S81" s="730"/>
      <c r="T81" s="730"/>
      <c r="U81" s="730"/>
      <c r="V81" s="730"/>
      <c r="W81" s="730"/>
      <c r="X81" s="730"/>
      <c r="Y81" s="730"/>
      <c r="Z81" s="730"/>
      <c r="AA81" s="730"/>
      <c r="AB81" s="730"/>
      <c r="AC81" s="730"/>
      <c r="AD81" s="730"/>
      <c r="AE81" s="730"/>
      <c r="AF81" s="730"/>
      <c r="AG81" s="730"/>
      <c r="AH81" s="730"/>
      <c r="AI81" s="730"/>
      <c r="AJ81" s="730"/>
      <c r="AK81" s="730"/>
      <c r="AL81" s="730"/>
      <c r="AM81" s="730"/>
      <c r="AN81" s="730"/>
      <c r="AO81" s="730"/>
      <c r="AP81" s="730"/>
      <c r="AQ81" s="730"/>
      <c r="AR81" s="730"/>
      <c r="AS81" s="730"/>
      <c r="AT81" s="730"/>
      <c r="AU81" s="730"/>
      <c r="AV81" s="730"/>
      <c r="AW81" s="730"/>
      <c r="AX81" s="730"/>
      <c r="AY81" s="730"/>
      <c r="AZ81" s="730"/>
      <c r="BA81" s="730"/>
      <c r="BB81" s="730"/>
      <c r="BC81" s="730"/>
      <c r="BD81" s="730"/>
      <c r="BE81" s="730"/>
      <c r="BF81" s="730"/>
      <c r="BG81" s="730"/>
      <c r="BH81" s="730"/>
      <c r="BI81" s="730"/>
      <c r="BJ81" s="730"/>
      <c r="BK81" s="730"/>
      <c r="BL81" s="730"/>
      <c r="BM81" s="730"/>
      <c r="BN81" s="730"/>
      <c r="BO81" s="730"/>
      <c r="BP81" s="730"/>
      <c r="BQ81" s="730"/>
      <c r="BR81" s="730"/>
      <c r="BS81" s="730"/>
      <c r="BT81" s="730"/>
      <c r="BU81" s="730"/>
      <c r="BV81" s="730"/>
      <c r="BW81" s="730"/>
      <c r="BX81" s="730"/>
      <c r="BY81" s="730"/>
      <c r="BZ81" s="730"/>
      <c r="CA81" s="730"/>
      <c r="CB81" s="730"/>
      <c r="CC81" s="730"/>
      <c r="CD81" s="730"/>
      <c r="CE81" s="730"/>
      <c r="CF81" s="730"/>
      <c r="CG81" s="730"/>
      <c r="CH81" s="730"/>
      <c r="CI81" s="730"/>
      <c r="CJ81" s="730"/>
      <c r="CK81" s="730"/>
      <c r="CL81" s="730"/>
      <c r="CM81" s="730"/>
      <c r="CN81" s="730"/>
      <c r="CO81" s="730"/>
      <c r="CP81" s="730"/>
    </row>
    <row r="82" spans="1:94" x14ac:dyDescent="0.2">
      <c r="A82" s="730"/>
      <c r="B82" s="730"/>
      <c r="C82" s="730"/>
      <c r="D82" s="730"/>
      <c r="E82" s="730"/>
      <c r="F82" s="730"/>
      <c r="G82" s="730"/>
      <c r="H82" s="730"/>
      <c r="I82" s="730"/>
      <c r="J82" s="730"/>
      <c r="K82" s="730"/>
      <c r="L82" s="730"/>
      <c r="M82" s="730"/>
      <c r="N82" s="730"/>
      <c r="O82" s="730"/>
      <c r="P82" s="730"/>
      <c r="Q82" s="730"/>
      <c r="R82" s="730"/>
      <c r="S82" s="730"/>
      <c r="T82" s="730"/>
      <c r="U82" s="730"/>
      <c r="V82" s="730"/>
      <c r="W82" s="730"/>
      <c r="X82" s="730"/>
      <c r="Y82" s="730"/>
      <c r="Z82" s="730"/>
      <c r="AA82" s="730"/>
      <c r="AB82" s="730"/>
      <c r="AC82" s="730"/>
      <c r="AD82" s="730"/>
      <c r="AE82" s="730"/>
      <c r="AF82" s="730"/>
      <c r="AG82" s="730"/>
      <c r="AH82" s="730"/>
      <c r="AI82" s="730"/>
      <c r="AJ82" s="730"/>
      <c r="AK82" s="730"/>
      <c r="AL82" s="730"/>
      <c r="AM82" s="730"/>
      <c r="AN82" s="730"/>
      <c r="AO82" s="730"/>
      <c r="AP82" s="730"/>
      <c r="AQ82" s="730"/>
      <c r="AR82" s="730"/>
      <c r="AS82" s="730"/>
      <c r="AT82" s="730"/>
      <c r="AU82" s="730"/>
      <c r="AV82" s="730"/>
      <c r="AW82" s="730"/>
      <c r="AX82" s="730"/>
      <c r="AY82" s="730"/>
      <c r="AZ82" s="730"/>
      <c r="BA82" s="730"/>
      <c r="BB82" s="730"/>
      <c r="BC82" s="730"/>
      <c r="BD82" s="730"/>
      <c r="BE82" s="730"/>
      <c r="BF82" s="730"/>
      <c r="BG82" s="730"/>
      <c r="BH82" s="730"/>
      <c r="BI82" s="730"/>
      <c r="BJ82" s="730"/>
      <c r="BK82" s="730"/>
      <c r="BL82" s="730"/>
      <c r="BM82" s="730"/>
      <c r="BN82" s="730"/>
      <c r="BO82" s="730"/>
      <c r="BP82" s="730"/>
      <c r="BQ82" s="730"/>
      <c r="BR82" s="730"/>
      <c r="BS82" s="730"/>
      <c r="BT82" s="730"/>
      <c r="BU82" s="730"/>
      <c r="BV82" s="730"/>
      <c r="BW82" s="730"/>
      <c r="BX82" s="730"/>
      <c r="BY82" s="730"/>
      <c r="BZ82" s="730"/>
      <c r="CA82" s="730"/>
      <c r="CB82" s="730"/>
      <c r="CC82" s="730"/>
      <c r="CD82" s="730"/>
      <c r="CE82" s="730"/>
      <c r="CF82" s="730"/>
      <c r="CG82" s="730"/>
      <c r="CH82" s="730"/>
      <c r="CI82" s="730"/>
      <c r="CJ82" s="730"/>
      <c r="CK82" s="730"/>
      <c r="CL82" s="730"/>
      <c r="CM82" s="730"/>
      <c r="CN82" s="730"/>
      <c r="CO82" s="730"/>
      <c r="CP82" s="730"/>
    </row>
    <row r="83" spans="1:94" x14ac:dyDescent="0.2">
      <c r="A83" s="730"/>
      <c r="B83" s="730"/>
      <c r="C83" s="730"/>
      <c r="D83" s="730"/>
      <c r="E83" s="730"/>
      <c r="F83" s="730"/>
      <c r="G83" s="730"/>
      <c r="H83" s="730"/>
      <c r="I83" s="730"/>
      <c r="J83" s="730"/>
      <c r="K83" s="730"/>
      <c r="L83" s="730"/>
      <c r="M83" s="730"/>
      <c r="N83" s="730"/>
      <c r="O83" s="730"/>
      <c r="P83" s="730"/>
      <c r="Q83" s="730"/>
      <c r="R83" s="730"/>
      <c r="S83" s="730"/>
      <c r="T83" s="730"/>
      <c r="U83" s="730"/>
      <c r="V83" s="730"/>
      <c r="W83" s="730"/>
      <c r="X83" s="730"/>
      <c r="Y83" s="730"/>
      <c r="Z83" s="730"/>
      <c r="AA83" s="730"/>
      <c r="AB83" s="730"/>
      <c r="AC83" s="730"/>
      <c r="AD83" s="730"/>
      <c r="AE83" s="730"/>
      <c r="AF83" s="730"/>
      <c r="AG83" s="730"/>
      <c r="AH83" s="730"/>
      <c r="AI83" s="730"/>
      <c r="AJ83" s="730"/>
      <c r="AK83" s="730"/>
      <c r="AL83" s="730"/>
      <c r="AM83" s="730"/>
      <c r="AN83" s="730"/>
      <c r="AO83" s="730"/>
      <c r="AP83" s="730"/>
      <c r="AQ83" s="730"/>
      <c r="AR83" s="730"/>
      <c r="AS83" s="730"/>
      <c r="AT83" s="730"/>
      <c r="AU83" s="730"/>
      <c r="AV83" s="730"/>
      <c r="AW83" s="730"/>
      <c r="AX83" s="730"/>
      <c r="AY83" s="730"/>
      <c r="AZ83" s="730"/>
      <c r="BA83" s="730"/>
      <c r="BB83" s="730"/>
      <c r="BC83" s="730"/>
      <c r="BD83" s="730"/>
      <c r="BE83" s="730"/>
      <c r="BF83" s="730"/>
      <c r="BG83" s="730"/>
      <c r="BH83" s="730"/>
      <c r="BI83" s="730"/>
      <c r="BJ83" s="730"/>
      <c r="BK83" s="730"/>
      <c r="BL83" s="730"/>
      <c r="BM83" s="730"/>
      <c r="BN83" s="730"/>
      <c r="BO83" s="730"/>
      <c r="BP83" s="730"/>
      <c r="BQ83" s="730"/>
      <c r="BR83" s="730"/>
      <c r="BS83" s="730"/>
      <c r="BT83" s="730"/>
      <c r="BU83" s="730"/>
      <c r="BV83" s="730"/>
      <c r="BW83" s="730"/>
      <c r="BX83" s="730"/>
      <c r="BY83" s="730"/>
      <c r="BZ83" s="730"/>
      <c r="CA83" s="730"/>
      <c r="CB83" s="730"/>
      <c r="CC83" s="730"/>
      <c r="CD83" s="730"/>
      <c r="CE83" s="730"/>
      <c r="CF83" s="730"/>
      <c r="CG83" s="730"/>
      <c r="CH83" s="730"/>
      <c r="CI83" s="730"/>
      <c r="CJ83" s="730"/>
      <c r="CK83" s="730"/>
      <c r="CL83" s="730"/>
      <c r="CM83" s="730"/>
      <c r="CN83" s="730"/>
      <c r="CO83" s="730"/>
      <c r="CP83" s="730"/>
    </row>
    <row r="84" spans="1:94" x14ac:dyDescent="0.2">
      <c r="A84" s="730"/>
      <c r="B84" s="730"/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730"/>
      <c r="AL84" s="730"/>
      <c r="AM84" s="730"/>
      <c r="AN84" s="730"/>
      <c r="AO84" s="730"/>
      <c r="AP84" s="730"/>
      <c r="AQ84" s="730"/>
      <c r="AR84" s="730"/>
      <c r="AS84" s="730"/>
      <c r="AT84" s="730"/>
      <c r="AU84" s="730"/>
      <c r="AV84" s="730"/>
      <c r="AW84" s="730"/>
      <c r="AX84" s="730"/>
      <c r="AY84" s="730"/>
      <c r="AZ84" s="730"/>
      <c r="BA84" s="730"/>
      <c r="BB84" s="730"/>
      <c r="BC84" s="730"/>
      <c r="BD84" s="730"/>
      <c r="BE84" s="730"/>
      <c r="BF84" s="730"/>
      <c r="BG84" s="730"/>
      <c r="BH84" s="730"/>
      <c r="BI84" s="730"/>
      <c r="BJ84" s="730"/>
      <c r="BK84" s="730"/>
      <c r="BL84" s="730"/>
      <c r="BM84" s="730"/>
      <c r="BN84" s="730"/>
      <c r="BO84" s="730"/>
      <c r="BP84" s="730"/>
      <c r="BQ84" s="730"/>
      <c r="BR84" s="730"/>
      <c r="BS84" s="730"/>
      <c r="BT84" s="730"/>
      <c r="BU84" s="730"/>
      <c r="BV84" s="730"/>
      <c r="BW84" s="730"/>
      <c r="BX84" s="730"/>
      <c r="BY84" s="730"/>
      <c r="BZ84" s="730"/>
      <c r="CA84" s="730"/>
      <c r="CB84" s="730"/>
      <c r="CC84" s="730"/>
      <c r="CD84" s="730"/>
      <c r="CE84" s="730"/>
      <c r="CF84" s="730"/>
      <c r="CG84" s="730"/>
      <c r="CH84" s="730"/>
      <c r="CI84" s="730"/>
      <c r="CJ84" s="730"/>
      <c r="CK84" s="730"/>
      <c r="CL84" s="730"/>
      <c r="CM84" s="730"/>
      <c r="CN84" s="730"/>
      <c r="CO84" s="730"/>
      <c r="CP84" s="730"/>
    </row>
    <row r="85" spans="1:94" x14ac:dyDescent="0.2">
      <c r="A85" s="730"/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  <c r="V85" s="730"/>
      <c r="W85" s="730"/>
      <c r="X85" s="730"/>
      <c r="Y85" s="730"/>
      <c r="Z85" s="730"/>
      <c r="AA85" s="730"/>
      <c r="AB85" s="730"/>
      <c r="AC85" s="730"/>
      <c r="AD85" s="730"/>
      <c r="AE85" s="730"/>
      <c r="AF85" s="730"/>
      <c r="AG85" s="730"/>
      <c r="AH85" s="730"/>
      <c r="AI85" s="730"/>
      <c r="AJ85" s="730"/>
      <c r="AK85" s="730"/>
      <c r="AL85" s="730"/>
      <c r="AM85" s="730"/>
      <c r="AN85" s="730"/>
      <c r="AO85" s="730"/>
      <c r="AP85" s="730"/>
      <c r="AQ85" s="730"/>
      <c r="AR85" s="730"/>
      <c r="AS85" s="730"/>
      <c r="AT85" s="730"/>
      <c r="AU85" s="730"/>
      <c r="AV85" s="730"/>
      <c r="AW85" s="730"/>
      <c r="AX85" s="730"/>
      <c r="AY85" s="730"/>
      <c r="AZ85" s="730"/>
      <c r="BA85" s="730"/>
      <c r="BB85" s="730"/>
      <c r="BC85" s="730"/>
      <c r="BD85" s="730"/>
      <c r="BE85" s="730"/>
      <c r="BF85" s="730"/>
      <c r="BG85" s="730"/>
      <c r="BH85" s="730"/>
      <c r="BI85" s="730"/>
      <c r="BJ85" s="730"/>
      <c r="BK85" s="730"/>
      <c r="BL85" s="730"/>
      <c r="BM85" s="730"/>
      <c r="BN85" s="730"/>
      <c r="BO85" s="730"/>
      <c r="BP85" s="730"/>
      <c r="BQ85" s="730"/>
      <c r="BR85" s="730"/>
      <c r="BS85" s="730"/>
      <c r="BT85" s="730"/>
      <c r="BU85" s="730"/>
      <c r="BV85" s="730"/>
      <c r="BW85" s="730"/>
      <c r="BX85" s="730"/>
      <c r="BY85" s="730"/>
      <c r="BZ85" s="730"/>
      <c r="CA85" s="730"/>
      <c r="CB85" s="730"/>
      <c r="CC85" s="730"/>
      <c r="CD85" s="730"/>
      <c r="CE85" s="730"/>
      <c r="CF85" s="730"/>
      <c r="CG85" s="730"/>
      <c r="CH85" s="730"/>
      <c r="CI85" s="730"/>
      <c r="CJ85" s="730"/>
      <c r="CK85" s="730"/>
      <c r="CL85" s="730"/>
      <c r="CM85" s="730"/>
      <c r="CN85" s="730"/>
      <c r="CO85" s="730"/>
      <c r="CP85" s="730"/>
    </row>
    <row r="86" spans="1:94" x14ac:dyDescent="0.2">
      <c r="A86" s="730"/>
      <c r="B86" s="730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730"/>
      <c r="AG86" s="730"/>
      <c r="AH86" s="730"/>
      <c r="AI86" s="730"/>
      <c r="AJ86" s="730"/>
      <c r="AK86" s="730"/>
      <c r="AL86" s="730"/>
      <c r="AM86" s="730"/>
      <c r="AN86" s="730"/>
      <c r="AO86" s="730"/>
      <c r="AP86" s="730"/>
      <c r="AQ86" s="730"/>
      <c r="AR86" s="730"/>
      <c r="AS86" s="730"/>
      <c r="AT86" s="730"/>
      <c r="AU86" s="730"/>
      <c r="AV86" s="730"/>
      <c r="AW86" s="730"/>
      <c r="AX86" s="730"/>
      <c r="AY86" s="730"/>
      <c r="AZ86" s="730"/>
      <c r="BA86" s="730"/>
      <c r="BB86" s="730"/>
      <c r="BC86" s="730"/>
      <c r="BD86" s="730"/>
      <c r="BE86" s="730"/>
      <c r="BF86" s="730"/>
      <c r="BG86" s="730"/>
      <c r="BH86" s="730"/>
      <c r="BI86" s="730"/>
      <c r="BJ86" s="730"/>
      <c r="BK86" s="730"/>
      <c r="BL86" s="730"/>
      <c r="BM86" s="730"/>
      <c r="BN86" s="730"/>
      <c r="BO86" s="730"/>
      <c r="BP86" s="730"/>
      <c r="BQ86" s="730"/>
      <c r="BR86" s="730"/>
      <c r="BS86" s="730"/>
      <c r="BT86" s="730"/>
      <c r="BU86" s="730"/>
      <c r="BV86" s="730"/>
      <c r="BW86" s="730"/>
      <c r="BX86" s="730"/>
      <c r="BY86" s="730"/>
      <c r="BZ86" s="730"/>
      <c r="CA86" s="730"/>
      <c r="CB86" s="730"/>
      <c r="CC86" s="730"/>
      <c r="CD86" s="730"/>
      <c r="CE86" s="730"/>
      <c r="CF86" s="730"/>
      <c r="CG86" s="730"/>
      <c r="CH86" s="730"/>
      <c r="CI86" s="730"/>
      <c r="CJ86" s="730"/>
      <c r="CK86" s="730"/>
      <c r="CL86" s="730"/>
      <c r="CM86" s="730"/>
      <c r="CN86" s="730"/>
      <c r="CO86" s="730"/>
      <c r="CP86" s="730"/>
    </row>
    <row r="87" spans="1:94" x14ac:dyDescent="0.2">
      <c r="A87" s="730"/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  <c r="S87" s="730"/>
      <c r="T87" s="730"/>
      <c r="U87" s="730"/>
      <c r="V87" s="730"/>
      <c r="W87" s="730"/>
      <c r="X87" s="730"/>
      <c r="Y87" s="730"/>
      <c r="Z87" s="730"/>
      <c r="AA87" s="730"/>
      <c r="AB87" s="730"/>
      <c r="AC87" s="730"/>
      <c r="AD87" s="730"/>
      <c r="AE87" s="730"/>
      <c r="AF87" s="730"/>
      <c r="AG87" s="730"/>
      <c r="AH87" s="730"/>
      <c r="AI87" s="730"/>
      <c r="AJ87" s="730"/>
      <c r="AK87" s="730"/>
      <c r="AL87" s="730"/>
      <c r="AM87" s="730"/>
      <c r="AN87" s="730"/>
      <c r="AO87" s="730"/>
      <c r="AP87" s="730"/>
      <c r="AQ87" s="730"/>
      <c r="AR87" s="730"/>
      <c r="AS87" s="730"/>
      <c r="AT87" s="730"/>
      <c r="AU87" s="730"/>
      <c r="AV87" s="730"/>
      <c r="AW87" s="730"/>
      <c r="AX87" s="730"/>
      <c r="AY87" s="730"/>
      <c r="AZ87" s="730"/>
      <c r="BA87" s="730"/>
      <c r="BB87" s="730"/>
      <c r="BC87" s="730"/>
      <c r="BD87" s="730"/>
      <c r="BE87" s="730"/>
      <c r="BF87" s="730"/>
      <c r="BG87" s="730"/>
      <c r="BH87" s="730"/>
      <c r="BI87" s="730"/>
      <c r="BJ87" s="730"/>
      <c r="BK87" s="730"/>
      <c r="BL87" s="730"/>
      <c r="BM87" s="730"/>
      <c r="BN87" s="730"/>
      <c r="BO87" s="730"/>
      <c r="BP87" s="730"/>
      <c r="BQ87" s="730"/>
      <c r="BR87" s="730"/>
      <c r="BS87" s="730"/>
      <c r="BT87" s="730"/>
      <c r="BU87" s="730"/>
      <c r="BV87" s="730"/>
      <c r="BW87" s="730"/>
      <c r="BX87" s="730"/>
      <c r="BY87" s="730"/>
      <c r="BZ87" s="730"/>
      <c r="CA87" s="730"/>
      <c r="CB87" s="730"/>
      <c r="CC87" s="730"/>
      <c r="CD87" s="730"/>
      <c r="CE87" s="730"/>
      <c r="CF87" s="730"/>
      <c r="CG87" s="730"/>
      <c r="CH87" s="730"/>
      <c r="CI87" s="730"/>
      <c r="CJ87" s="730"/>
      <c r="CK87" s="730"/>
      <c r="CL87" s="730"/>
      <c r="CM87" s="730"/>
      <c r="CN87" s="730"/>
      <c r="CO87" s="730"/>
      <c r="CP87" s="730"/>
    </row>
    <row r="88" spans="1:94" x14ac:dyDescent="0.2">
      <c r="A88" s="730"/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0"/>
      <c r="S88" s="730"/>
      <c r="T88" s="730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0"/>
      <c r="AN88" s="730"/>
      <c r="AO88" s="730"/>
      <c r="AP88" s="730"/>
      <c r="AQ88" s="730"/>
      <c r="AR88" s="730"/>
      <c r="AS88" s="730"/>
      <c r="AT88" s="730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730"/>
      <c r="BG88" s="730"/>
      <c r="BH88" s="730"/>
      <c r="BI88" s="730"/>
      <c r="BJ88" s="730"/>
      <c r="BK88" s="730"/>
      <c r="BL88" s="730"/>
      <c r="BM88" s="730"/>
      <c r="BN88" s="730"/>
      <c r="BO88" s="730"/>
      <c r="BP88" s="730"/>
      <c r="BQ88" s="730"/>
      <c r="BR88" s="730"/>
      <c r="BS88" s="730"/>
      <c r="BT88" s="730"/>
      <c r="BU88" s="730"/>
      <c r="BV88" s="730"/>
      <c r="BW88" s="730"/>
      <c r="BX88" s="730"/>
      <c r="BY88" s="730"/>
      <c r="BZ88" s="730"/>
      <c r="CA88" s="730"/>
      <c r="CB88" s="730"/>
      <c r="CC88" s="730"/>
      <c r="CD88" s="730"/>
      <c r="CE88" s="730"/>
      <c r="CF88" s="730"/>
      <c r="CG88" s="730"/>
      <c r="CH88" s="730"/>
      <c r="CI88" s="730"/>
      <c r="CJ88" s="730"/>
      <c r="CK88" s="730"/>
      <c r="CL88" s="730"/>
      <c r="CM88" s="730"/>
      <c r="CN88" s="730"/>
      <c r="CO88" s="730"/>
      <c r="CP88" s="730"/>
    </row>
    <row r="89" spans="1:94" x14ac:dyDescent="0.2">
      <c r="A89" s="730"/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30"/>
      <c r="AL89" s="730"/>
      <c r="AM89" s="730"/>
      <c r="AN89" s="730"/>
      <c r="AO89" s="730"/>
      <c r="AP89" s="730"/>
      <c r="AQ89" s="730"/>
      <c r="AR89" s="730"/>
      <c r="AS89" s="730"/>
      <c r="AT89" s="730"/>
      <c r="AU89" s="730"/>
      <c r="AV89" s="730"/>
      <c r="AW89" s="730"/>
      <c r="AX89" s="730"/>
      <c r="AY89" s="730"/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0"/>
      <c r="BL89" s="730"/>
      <c r="BM89" s="730"/>
      <c r="BN89" s="730"/>
      <c r="BO89" s="730"/>
      <c r="BP89" s="730"/>
      <c r="BQ89" s="730"/>
      <c r="BR89" s="730"/>
      <c r="BS89" s="730"/>
      <c r="BT89" s="730"/>
      <c r="BU89" s="730"/>
      <c r="BV89" s="730"/>
      <c r="BW89" s="730"/>
      <c r="BX89" s="730"/>
      <c r="BY89" s="730"/>
      <c r="BZ89" s="730"/>
      <c r="CA89" s="730"/>
      <c r="CB89" s="730"/>
      <c r="CC89" s="730"/>
      <c r="CD89" s="730"/>
      <c r="CE89" s="730"/>
      <c r="CF89" s="730"/>
      <c r="CG89" s="730"/>
      <c r="CH89" s="730"/>
      <c r="CI89" s="730"/>
      <c r="CJ89" s="730"/>
      <c r="CK89" s="730"/>
      <c r="CL89" s="730"/>
      <c r="CM89" s="730"/>
      <c r="CN89" s="730"/>
      <c r="CO89" s="730"/>
      <c r="CP89" s="730"/>
    </row>
    <row r="90" spans="1:94" x14ac:dyDescent="0.2">
      <c r="A90" s="730"/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730"/>
      <c r="AK90" s="730"/>
      <c r="AL90" s="730"/>
      <c r="AM90" s="730"/>
      <c r="AN90" s="730"/>
      <c r="AO90" s="730"/>
      <c r="AP90" s="730"/>
      <c r="AQ90" s="730"/>
      <c r="AR90" s="730"/>
      <c r="AS90" s="730"/>
      <c r="AT90" s="730"/>
      <c r="AU90" s="730"/>
      <c r="AV90" s="730"/>
      <c r="AW90" s="730"/>
      <c r="AX90" s="730"/>
      <c r="AY90" s="730"/>
      <c r="AZ90" s="730"/>
      <c r="BA90" s="730"/>
      <c r="BB90" s="730"/>
      <c r="BC90" s="730"/>
      <c r="BD90" s="730"/>
      <c r="BE90" s="730"/>
      <c r="BF90" s="730"/>
      <c r="BG90" s="730"/>
      <c r="BH90" s="730"/>
      <c r="BI90" s="730"/>
      <c r="BJ90" s="730"/>
      <c r="BK90" s="730"/>
      <c r="BL90" s="730"/>
      <c r="BM90" s="730"/>
      <c r="BN90" s="730"/>
      <c r="BO90" s="730"/>
      <c r="BP90" s="730"/>
      <c r="BQ90" s="730"/>
      <c r="BR90" s="730"/>
      <c r="BS90" s="730"/>
      <c r="BT90" s="730"/>
      <c r="BU90" s="730"/>
      <c r="BV90" s="730"/>
      <c r="BW90" s="730"/>
      <c r="BX90" s="730"/>
      <c r="BY90" s="730"/>
      <c r="BZ90" s="730"/>
      <c r="CA90" s="730"/>
      <c r="CB90" s="730"/>
      <c r="CC90" s="730"/>
      <c r="CD90" s="730"/>
      <c r="CE90" s="730"/>
      <c r="CF90" s="730"/>
      <c r="CG90" s="730"/>
      <c r="CH90" s="730"/>
      <c r="CI90" s="730"/>
      <c r="CJ90" s="730"/>
      <c r="CK90" s="730"/>
      <c r="CL90" s="730"/>
      <c r="CM90" s="730"/>
      <c r="CN90" s="730"/>
      <c r="CO90" s="730"/>
      <c r="CP90" s="730"/>
    </row>
    <row r="91" spans="1:94" x14ac:dyDescent="0.2">
      <c r="A91" s="730"/>
      <c r="B91" s="730"/>
      <c r="C91" s="730"/>
      <c r="D91" s="730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 s="730"/>
      <c r="Y91" s="730"/>
      <c r="Z91" s="730"/>
      <c r="AA91" s="730"/>
      <c r="AB91" s="730"/>
      <c r="AC91" s="730"/>
      <c r="AD91" s="730"/>
      <c r="AE91" s="730"/>
      <c r="AF91" s="730"/>
      <c r="AG91" s="730"/>
      <c r="AH91" s="730"/>
      <c r="AI91" s="730"/>
      <c r="AJ91" s="730"/>
      <c r="AK91" s="730"/>
      <c r="AL91" s="730"/>
      <c r="AM91" s="730"/>
      <c r="AN91" s="730"/>
      <c r="AO91" s="730"/>
      <c r="AP91" s="730"/>
      <c r="AQ91" s="730"/>
      <c r="AR91" s="730"/>
      <c r="AS91" s="730"/>
      <c r="AT91" s="730"/>
      <c r="AU91" s="730"/>
      <c r="AV91" s="730"/>
      <c r="AW91" s="730"/>
      <c r="AX91" s="730"/>
      <c r="AY91" s="730"/>
      <c r="AZ91" s="730"/>
      <c r="BA91" s="730"/>
      <c r="BB91" s="730"/>
      <c r="BC91" s="730"/>
      <c r="BD91" s="730"/>
      <c r="BE91" s="730"/>
      <c r="BF91" s="730"/>
      <c r="BG91" s="730"/>
      <c r="BH91" s="730"/>
      <c r="BI91" s="730"/>
      <c r="BJ91" s="730"/>
      <c r="BK91" s="730"/>
      <c r="BL91" s="730"/>
      <c r="BM91" s="730"/>
      <c r="BN91" s="730"/>
      <c r="BO91" s="730"/>
      <c r="BP91" s="730"/>
      <c r="BQ91" s="730"/>
      <c r="BR91" s="730"/>
      <c r="BS91" s="730"/>
      <c r="BT91" s="730"/>
      <c r="BU91" s="730"/>
      <c r="BV91" s="730"/>
      <c r="BW91" s="730"/>
      <c r="BX91" s="730"/>
      <c r="BY91" s="730"/>
      <c r="BZ91" s="730"/>
      <c r="CA91" s="730"/>
      <c r="CB91" s="730"/>
      <c r="CC91" s="730"/>
      <c r="CD91" s="730"/>
      <c r="CE91" s="730"/>
      <c r="CF91" s="730"/>
      <c r="CG91" s="730"/>
      <c r="CH91" s="730"/>
      <c r="CI91" s="730"/>
      <c r="CJ91" s="730"/>
      <c r="CK91" s="730"/>
      <c r="CL91" s="730"/>
      <c r="CM91" s="730"/>
      <c r="CN91" s="730"/>
      <c r="CO91" s="730"/>
      <c r="CP91" s="730"/>
    </row>
    <row r="92" spans="1:94" x14ac:dyDescent="0.2">
      <c r="A92" s="730"/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0"/>
      <c r="BF92" s="730"/>
      <c r="BG92" s="730"/>
      <c r="BH92" s="730"/>
      <c r="BI92" s="730"/>
      <c r="BJ92" s="730"/>
      <c r="BK92" s="730"/>
      <c r="BL92" s="730"/>
      <c r="BM92" s="730"/>
      <c r="BN92" s="730"/>
      <c r="BO92" s="730"/>
      <c r="BP92" s="730"/>
      <c r="BQ92" s="730"/>
      <c r="BR92" s="730"/>
      <c r="BS92" s="730"/>
      <c r="BT92" s="730"/>
      <c r="BU92" s="730"/>
      <c r="BV92" s="730"/>
      <c r="BW92" s="730"/>
      <c r="BX92" s="730"/>
      <c r="BY92" s="730"/>
      <c r="BZ92" s="730"/>
      <c r="CA92" s="730"/>
      <c r="CB92" s="730"/>
      <c r="CC92" s="730"/>
      <c r="CD92" s="730"/>
      <c r="CE92" s="730"/>
      <c r="CF92" s="730"/>
      <c r="CG92" s="730"/>
      <c r="CH92" s="730"/>
      <c r="CI92" s="730"/>
      <c r="CJ92" s="730"/>
      <c r="CK92" s="730"/>
      <c r="CL92" s="730"/>
      <c r="CM92" s="730"/>
      <c r="CN92" s="730"/>
      <c r="CO92" s="730"/>
      <c r="CP92" s="730"/>
    </row>
    <row r="93" spans="1:94" x14ac:dyDescent="0.2">
      <c r="A93" s="730"/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 s="730"/>
      <c r="Y93" s="730"/>
      <c r="Z93" s="730"/>
      <c r="AA93" s="730"/>
      <c r="AB93" s="730"/>
      <c r="AC93" s="730"/>
      <c r="AD93" s="730"/>
      <c r="AE93" s="730"/>
      <c r="AF93" s="730"/>
      <c r="AG93" s="730"/>
      <c r="AH93" s="730"/>
      <c r="AI93" s="730"/>
      <c r="AJ93" s="730"/>
      <c r="AK93" s="730"/>
      <c r="AL93" s="730"/>
      <c r="AM93" s="730"/>
      <c r="AN93" s="730"/>
      <c r="AO93" s="730"/>
      <c r="AP93" s="730"/>
      <c r="AQ93" s="730"/>
      <c r="AR93" s="730"/>
      <c r="AS93" s="730"/>
      <c r="AT93" s="730"/>
      <c r="AU93" s="730"/>
      <c r="AV93" s="730"/>
      <c r="AW93" s="730"/>
      <c r="AX93" s="730"/>
      <c r="AY93" s="730"/>
      <c r="AZ93" s="730"/>
      <c r="BA93" s="730"/>
      <c r="BB93" s="730"/>
      <c r="BC93" s="730"/>
      <c r="BD93" s="730"/>
      <c r="BE93" s="730"/>
      <c r="BF93" s="730"/>
      <c r="BG93" s="730"/>
      <c r="BH93" s="730"/>
      <c r="BI93" s="730"/>
      <c r="BJ93" s="730"/>
      <c r="BK93" s="730"/>
      <c r="BL93" s="730"/>
      <c r="BM93" s="730"/>
      <c r="BN93" s="730"/>
      <c r="BO93" s="730"/>
      <c r="BP93" s="730"/>
      <c r="BQ93" s="730"/>
      <c r="BR93" s="730"/>
      <c r="BS93" s="730"/>
      <c r="BT93" s="730"/>
      <c r="BU93" s="730"/>
      <c r="BV93" s="730"/>
      <c r="BW93" s="730"/>
      <c r="BX93" s="730"/>
      <c r="BY93" s="730"/>
      <c r="BZ93" s="730"/>
      <c r="CA93" s="730"/>
      <c r="CB93" s="730"/>
      <c r="CC93" s="730"/>
      <c r="CD93" s="730"/>
      <c r="CE93" s="730"/>
      <c r="CF93" s="730"/>
      <c r="CG93" s="730"/>
      <c r="CH93" s="730"/>
      <c r="CI93" s="730"/>
      <c r="CJ93" s="730"/>
      <c r="CK93" s="730"/>
      <c r="CL93" s="730"/>
      <c r="CM93" s="730"/>
      <c r="CN93" s="730"/>
      <c r="CO93" s="730"/>
      <c r="CP93" s="730"/>
    </row>
    <row r="94" spans="1:94" x14ac:dyDescent="0.2">
      <c r="A94" s="730"/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E94" s="730"/>
      <c r="AF94" s="730"/>
      <c r="AG94" s="730"/>
      <c r="AH94" s="730"/>
      <c r="AI94" s="730"/>
      <c r="AJ94" s="730"/>
      <c r="AK94" s="730"/>
      <c r="AL94" s="730"/>
      <c r="AM94" s="730"/>
      <c r="AN94" s="730"/>
      <c r="AO94" s="730"/>
      <c r="AP94" s="730"/>
      <c r="AQ94" s="730"/>
      <c r="AR94" s="730"/>
      <c r="AS94" s="730"/>
      <c r="AT94" s="730"/>
      <c r="AU94" s="730"/>
      <c r="AV94" s="730"/>
      <c r="AW94" s="730"/>
      <c r="AX94" s="730"/>
      <c r="AY94" s="730"/>
      <c r="AZ94" s="730"/>
      <c r="BA94" s="730"/>
      <c r="BB94" s="730"/>
      <c r="BC94" s="730"/>
      <c r="BD94" s="730"/>
      <c r="BE94" s="730"/>
      <c r="BF94" s="730"/>
      <c r="BG94" s="730"/>
      <c r="BH94" s="730"/>
      <c r="BI94" s="730"/>
      <c r="BJ94" s="730"/>
      <c r="BK94" s="730"/>
      <c r="BL94" s="730"/>
      <c r="BM94" s="730"/>
      <c r="BN94" s="730"/>
      <c r="BO94" s="730"/>
      <c r="BP94" s="730"/>
      <c r="BQ94" s="730"/>
      <c r="BR94" s="730"/>
      <c r="BS94" s="730"/>
      <c r="BT94" s="730"/>
      <c r="BU94" s="730"/>
      <c r="BV94" s="730"/>
      <c r="BW94" s="730"/>
      <c r="BX94" s="730"/>
      <c r="BY94" s="730"/>
      <c r="BZ94" s="730"/>
      <c r="CA94" s="730"/>
      <c r="CB94" s="730"/>
      <c r="CC94" s="730"/>
      <c r="CD94" s="730"/>
      <c r="CE94" s="730"/>
      <c r="CF94" s="730"/>
      <c r="CG94" s="730"/>
      <c r="CH94" s="730"/>
      <c r="CI94" s="730"/>
      <c r="CJ94" s="730"/>
      <c r="CK94" s="730"/>
      <c r="CL94" s="730"/>
      <c r="CM94" s="730"/>
      <c r="CN94" s="730"/>
      <c r="CO94" s="730"/>
      <c r="CP94" s="730"/>
    </row>
    <row r="95" spans="1:94" x14ac:dyDescent="0.2">
      <c r="A95" s="730"/>
      <c r="B95" s="730"/>
      <c r="C95" s="730"/>
      <c r="D95" s="730"/>
      <c r="E95" s="730"/>
      <c r="F95" s="730"/>
      <c r="G95" s="730"/>
      <c r="H95" s="730"/>
      <c r="I95" s="730"/>
      <c r="J95" s="730"/>
      <c r="K95" s="730"/>
      <c r="L95" s="730"/>
      <c r="M95" s="730"/>
      <c r="N95" s="730"/>
      <c r="O95" s="730"/>
      <c r="P95" s="730"/>
      <c r="Q95" s="730"/>
      <c r="R95" s="730"/>
      <c r="S95" s="730"/>
      <c r="T95" s="730"/>
      <c r="U95" s="730"/>
      <c r="V95" s="730"/>
      <c r="W95" s="730"/>
      <c r="X95" s="730"/>
      <c r="Y95" s="730"/>
      <c r="Z95" s="730"/>
      <c r="AA95" s="730"/>
      <c r="AB95" s="730"/>
      <c r="AC95" s="730"/>
      <c r="AD95" s="730"/>
      <c r="AE95" s="730"/>
      <c r="AF95" s="730"/>
      <c r="AG95" s="730"/>
      <c r="AH95" s="730"/>
      <c r="AI95" s="730"/>
      <c r="AJ95" s="730"/>
      <c r="AK95" s="730"/>
      <c r="AL95" s="730"/>
      <c r="AM95" s="730"/>
      <c r="AN95" s="730"/>
      <c r="AO95" s="730"/>
      <c r="AP95" s="730"/>
      <c r="AQ95" s="730"/>
      <c r="AR95" s="730"/>
      <c r="AS95" s="730"/>
      <c r="AT95" s="730"/>
      <c r="AU95" s="730"/>
      <c r="AV95" s="730"/>
      <c r="AW95" s="730"/>
      <c r="AX95" s="730"/>
      <c r="AY95" s="730"/>
      <c r="AZ95" s="730"/>
      <c r="BA95" s="730"/>
      <c r="BB95" s="730"/>
      <c r="BC95" s="730"/>
      <c r="BD95" s="730"/>
      <c r="BE95" s="730"/>
      <c r="BF95" s="730"/>
      <c r="BG95" s="730"/>
      <c r="BH95" s="730"/>
      <c r="BI95" s="730"/>
      <c r="BJ95" s="730"/>
      <c r="BK95" s="730"/>
      <c r="BL95" s="730"/>
      <c r="BM95" s="730"/>
      <c r="BN95" s="730"/>
      <c r="BO95" s="730"/>
      <c r="BP95" s="730"/>
      <c r="BQ95" s="730"/>
      <c r="BR95" s="730"/>
      <c r="BS95" s="730"/>
      <c r="BT95" s="730"/>
      <c r="BU95" s="730"/>
      <c r="BV95" s="730"/>
      <c r="BW95" s="730"/>
      <c r="BX95" s="730"/>
      <c r="BY95" s="730"/>
      <c r="BZ95" s="730"/>
      <c r="CA95" s="730"/>
      <c r="CB95" s="730"/>
      <c r="CC95" s="730"/>
      <c r="CD95" s="730"/>
      <c r="CE95" s="730"/>
      <c r="CF95" s="730"/>
      <c r="CG95" s="730"/>
      <c r="CH95" s="730"/>
      <c r="CI95" s="730"/>
      <c r="CJ95" s="730"/>
      <c r="CK95" s="730"/>
      <c r="CL95" s="730"/>
      <c r="CM95" s="730"/>
      <c r="CN95" s="730"/>
      <c r="CO95" s="730"/>
      <c r="CP95" s="730"/>
    </row>
    <row r="96" spans="1:94" x14ac:dyDescent="0.2">
      <c r="A96" s="730"/>
      <c r="B96" s="730"/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 s="730"/>
      <c r="Y96" s="730"/>
      <c r="Z96" s="730"/>
      <c r="AA96" s="730"/>
      <c r="AB96" s="730"/>
      <c r="AC96" s="730"/>
      <c r="AD96" s="730"/>
      <c r="AE96" s="730"/>
      <c r="AF96" s="730"/>
      <c r="AG96" s="730"/>
      <c r="AH96" s="730"/>
      <c r="AI96" s="730"/>
      <c r="AJ96" s="730"/>
      <c r="AK96" s="730"/>
      <c r="AL96" s="730"/>
      <c r="AM96" s="730"/>
      <c r="AN96" s="730"/>
      <c r="AO96" s="730"/>
      <c r="AP96" s="730"/>
      <c r="AQ96" s="730"/>
      <c r="AR96" s="730"/>
      <c r="AS96" s="730"/>
      <c r="AT96" s="730"/>
      <c r="AU96" s="730"/>
      <c r="AV96" s="730"/>
      <c r="AW96" s="730"/>
      <c r="AX96" s="730"/>
      <c r="AY96" s="730"/>
      <c r="AZ96" s="730"/>
      <c r="BA96" s="730"/>
      <c r="BB96" s="730"/>
      <c r="BC96" s="730"/>
      <c r="BD96" s="730"/>
      <c r="BE96" s="730"/>
      <c r="BF96" s="730"/>
      <c r="BG96" s="730"/>
      <c r="BH96" s="730"/>
      <c r="BI96" s="730"/>
      <c r="BJ96" s="730"/>
      <c r="BK96" s="730"/>
      <c r="BL96" s="730"/>
      <c r="BM96" s="730"/>
      <c r="BN96" s="730"/>
      <c r="BO96" s="730"/>
      <c r="BP96" s="730"/>
      <c r="BQ96" s="730"/>
      <c r="BR96" s="730"/>
      <c r="BS96" s="730"/>
      <c r="BT96" s="730"/>
      <c r="BU96" s="730"/>
      <c r="BV96" s="730"/>
      <c r="BW96" s="730"/>
      <c r="BX96" s="730"/>
      <c r="BY96" s="730"/>
      <c r="BZ96" s="730"/>
      <c r="CA96" s="730"/>
      <c r="CB96" s="730"/>
      <c r="CC96" s="730"/>
      <c r="CD96" s="730"/>
      <c r="CE96" s="730"/>
      <c r="CF96" s="730"/>
      <c r="CG96" s="730"/>
      <c r="CH96" s="730"/>
      <c r="CI96" s="730"/>
      <c r="CJ96" s="730"/>
      <c r="CK96" s="730"/>
      <c r="CL96" s="730"/>
      <c r="CM96" s="730"/>
      <c r="CN96" s="730"/>
      <c r="CO96" s="730"/>
      <c r="CP96" s="730"/>
    </row>
    <row r="97" spans="1:94" x14ac:dyDescent="0.2">
      <c r="A97" s="730"/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 s="730"/>
      <c r="Y97" s="730"/>
      <c r="Z97" s="730"/>
      <c r="AA97" s="730"/>
      <c r="AB97" s="730"/>
      <c r="AC97" s="730"/>
      <c r="AD97" s="730"/>
      <c r="AE97" s="730"/>
      <c r="AF97" s="730"/>
      <c r="AG97" s="730"/>
      <c r="AH97" s="730"/>
      <c r="AI97" s="730"/>
      <c r="AJ97" s="730"/>
      <c r="AK97" s="730"/>
      <c r="AL97" s="730"/>
      <c r="AM97" s="730"/>
      <c r="AN97" s="730"/>
      <c r="AO97" s="730"/>
      <c r="AP97" s="730"/>
      <c r="AQ97" s="730"/>
      <c r="AR97" s="730"/>
      <c r="AS97" s="730"/>
      <c r="AT97" s="730"/>
      <c r="AU97" s="730"/>
      <c r="AV97" s="730"/>
      <c r="AW97" s="730"/>
      <c r="AX97" s="730"/>
      <c r="AY97" s="730"/>
      <c r="AZ97" s="730"/>
      <c r="BA97" s="730"/>
      <c r="BB97" s="730"/>
      <c r="BC97" s="730"/>
      <c r="BD97" s="730"/>
      <c r="BE97" s="730"/>
      <c r="BF97" s="730"/>
      <c r="BG97" s="730"/>
      <c r="BH97" s="730"/>
      <c r="BI97" s="730"/>
      <c r="BJ97" s="730"/>
      <c r="BK97" s="730"/>
      <c r="BL97" s="730"/>
      <c r="BM97" s="730"/>
      <c r="BN97" s="730"/>
      <c r="BO97" s="730"/>
      <c r="BP97" s="730"/>
      <c r="BQ97" s="730"/>
      <c r="BR97" s="730"/>
      <c r="BS97" s="730"/>
      <c r="BT97" s="730"/>
      <c r="BU97" s="730"/>
      <c r="BV97" s="730"/>
      <c r="BW97" s="730"/>
      <c r="BX97" s="730"/>
      <c r="BY97" s="730"/>
      <c r="BZ97" s="730"/>
      <c r="CA97" s="730"/>
      <c r="CB97" s="730"/>
      <c r="CC97" s="730"/>
      <c r="CD97" s="730"/>
      <c r="CE97" s="730"/>
      <c r="CF97" s="730"/>
      <c r="CG97" s="730"/>
      <c r="CH97" s="730"/>
      <c r="CI97" s="730"/>
      <c r="CJ97" s="730"/>
      <c r="CK97" s="730"/>
      <c r="CL97" s="730"/>
      <c r="CM97" s="730"/>
      <c r="CN97" s="730"/>
      <c r="CO97" s="730"/>
      <c r="CP97" s="730"/>
    </row>
    <row r="98" spans="1:94" x14ac:dyDescent="0.2">
      <c r="A98" s="730"/>
      <c r="B98" s="730"/>
      <c r="C98" s="730"/>
      <c r="D98" s="730"/>
      <c r="E98" s="730"/>
      <c r="F98" s="730"/>
      <c r="G98" s="730"/>
      <c r="H98" s="730"/>
      <c r="I98" s="730"/>
      <c r="J98" s="730"/>
      <c r="K98" s="730"/>
      <c r="L98" s="730"/>
      <c r="M98" s="730"/>
      <c r="N98" s="730"/>
      <c r="O98" s="730"/>
      <c r="P98" s="730"/>
      <c r="Q98" s="730"/>
      <c r="R98" s="730"/>
      <c r="S98" s="730"/>
      <c r="T98" s="730"/>
      <c r="U98" s="730"/>
      <c r="V98" s="730"/>
      <c r="W98" s="730"/>
      <c r="X98" s="730"/>
      <c r="Y98" s="730"/>
      <c r="Z98" s="730"/>
      <c r="AA98" s="730"/>
      <c r="AB98" s="730"/>
      <c r="AC98" s="730"/>
      <c r="AD98" s="730"/>
      <c r="AE98" s="730"/>
      <c r="AF98" s="730"/>
      <c r="AG98" s="730"/>
      <c r="AH98" s="730"/>
      <c r="AI98" s="730"/>
      <c r="AJ98" s="730"/>
      <c r="AK98" s="730"/>
      <c r="AL98" s="730"/>
      <c r="AM98" s="730"/>
      <c r="AN98" s="730"/>
      <c r="AO98" s="730"/>
      <c r="AP98" s="730"/>
      <c r="AQ98" s="730"/>
      <c r="AR98" s="730"/>
      <c r="AS98" s="730"/>
      <c r="AT98" s="730"/>
      <c r="AU98" s="730"/>
      <c r="AV98" s="730"/>
      <c r="AW98" s="730"/>
      <c r="AX98" s="730"/>
      <c r="AY98" s="730"/>
      <c r="AZ98" s="730"/>
      <c r="BA98" s="730"/>
      <c r="BB98" s="730"/>
      <c r="BC98" s="730"/>
      <c r="BD98" s="730"/>
      <c r="BE98" s="730"/>
      <c r="BF98" s="730"/>
      <c r="BG98" s="730"/>
      <c r="BH98" s="730"/>
      <c r="BI98" s="730"/>
      <c r="BJ98" s="730"/>
      <c r="BK98" s="730"/>
      <c r="BL98" s="730"/>
      <c r="BM98" s="730"/>
      <c r="BN98" s="730"/>
      <c r="BO98" s="730"/>
      <c r="BP98" s="730"/>
      <c r="BQ98" s="730"/>
      <c r="BR98" s="730"/>
      <c r="BS98" s="730"/>
      <c r="BT98" s="730"/>
      <c r="BU98" s="730"/>
      <c r="BV98" s="730"/>
      <c r="BW98" s="730"/>
      <c r="BX98" s="730"/>
      <c r="BY98" s="730"/>
      <c r="BZ98" s="730"/>
      <c r="CA98" s="730"/>
      <c r="CB98" s="730"/>
      <c r="CC98" s="730"/>
      <c r="CD98" s="730"/>
      <c r="CE98" s="730"/>
      <c r="CF98" s="730"/>
      <c r="CG98" s="730"/>
      <c r="CH98" s="730"/>
      <c r="CI98" s="730"/>
      <c r="CJ98" s="730"/>
      <c r="CK98" s="730"/>
      <c r="CL98" s="730"/>
      <c r="CM98" s="730"/>
      <c r="CN98" s="730"/>
      <c r="CO98" s="730"/>
      <c r="CP98" s="730"/>
    </row>
    <row r="99" spans="1:94" x14ac:dyDescent="0.2">
      <c r="A99" s="730"/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  <c r="S99" s="730"/>
      <c r="T99" s="730"/>
      <c r="U99" s="730"/>
      <c r="V99" s="730"/>
      <c r="W99" s="730"/>
      <c r="X99" s="730"/>
      <c r="Y99" s="730"/>
      <c r="Z99" s="730"/>
      <c r="AA99" s="730"/>
      <c r="AB99" s="730"/>
      <c r="AC99" s="730"/>
      <c r="AD99" s="730"/>
      <c r="AE99" s="730"/>
      <c r="AF99" s="730"/>
      <c r="AG99" s="730"/>
      <c r="AH99" s="730"/>
      <c r="AI99" s="730"/>
      <c r="AJ99" s="730"/>
      <c r="AK99" s="730"/>
      <c r="AL99" s="730"/>
      <c r="AM99" s="730"/>
      <c r="AN99" s="730"/>
      <c r="AO99" s="730"/>
      <c r="AP99" s="730"/>
      <c r="AQ99" s="730"/>
      <c r="AR99" s="730"/>
      <c r="AS99" s="730"/>
      <c r="AT99" s="730"/>
      <c r="AU99" s="730"/>
      <c r="AV99" s="730"/>
      <c r="AW99" s="730"/>
      <c r="AX99" s="730"/>
      <c r="AY99" s="730"/>
      <c r="AZ99" s="730"/>
      <c r="BA99" s="730"/>
      <c r="BB99" s="730"/>
      <c r="BC99" s="730"/>
      <c r="BD99" s="730"/>
      <c r="BE99" s="730"/>
      <c r="BF99" s="730"/>
      <c r="BG99" s="730"/>
      <c r="BH99" s="730"/>
      <c r="BI99" s="730"/>
      <c r="BJ99" s="730"/>
      <c r="BK99" s="730"/>
      <c r="BL99" s="730"/>
      <c r="BM99" s="730"/>
      <c r="BN99" s="730"/>
      <c r="BO99" s="730"/>
      <c r="BP99" s="730"/>
      <c r="BQ99" s="730"/>
      <c r="BR99" s="730"/>
      <c r="BS99" s="730"/>
      <c r="BT99" s="730"/>
      <c r="BU99" s="730"/>
      <c r="BV99" s="730"/>
      <c r="BW99" s="730"/>
      <c r="BX99" s="730"/>
      <c r="BY99" s="730"/>
      <c r="BZ99" s="730"/>
      <c r="CA99" s="730"/>
      <c r="CB99" s="730"/>
      <c r="CC99" s="730"/>
      <c r="CD99" s="730"/>
      <c r="CE99" s="730"/>
      <c r="CF99" s="730"/>
      <c r="CG99" s="730"/>
      <c r="CH99" s="730"/>
      <c r="CI99" s="730"/>
      <c r="CJ99" s="730"/>
      <c r="CK99" s="730"/>
      <c r="CL99" s="730"/>
      <c r="CM99" s="730"/>
      <c r="CN99" s="730"/>
      <c r="CO99" s="730"/>
      <c r="CP99" s="730"/>
    </row>
    <row r="100" spans="1:94" x14ac:dyDescent="0.2">
      <c r="A100" s="730"/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730"/>
      <c r="M100" s="730"/>
      <c r="N100" s="730"/>
      <c r="O100" s="730"/>
      <c r="P100" s="730"/>
      <c r="Q100" s="730"/>
      <c r="R100" s="730"/>
      <c r="S100" s="730"/>
      <c r="T100" s="730"/>
      <c r="U100" s="730"/>
      <c r="V100" s="730"/>
      <c r="W100" s="730"/>
      <c r="X100" s="730"/>
      <c r="Y100" s="730"/>
      <c r="Z100" s="730"/>
      <c r="AA100" s="730"/>
      <c r="AB100" s="730"/>
      <c r="AC100" s="730"/>
      <c r="AD100" s="730"/>
      <c r="AE100" s="730"/>
      <c r="AF100" s="730"/>
      <c r="AG100" s="730"/>
      <c r="AH100" s="730"/>
      <c r="AI100" s="730"/>
      <c r="AJ100" s="730"/>
      <c r="AK100" s="730"/>
      <c r="AL100" s="730"/>
      <c r="AM100" s="730"/>
      <c r="AN100" s="730"/>
      <c r="AO100" s="730"/>
      <c r="AP100" s="730"/>
      <c r="AQ100" s="730"/>
      <c r="AR100" s="730"/>
      <c r="AS100" s="730"/>
      <c r="AT100" s="730"/>
      <c r="AU100" s="730"/>
      <c r="AV100" s="730"/>
      <c r="AW100" s="730"/>
      <c r="AX100" s="730"/>
      <c r="AY100" s="730"/>
      <c r="AZ100" s="730"/>
      <c r="BA100" s="730"/>
      <c r="BB100" s="730"/>
      <c r="BC100" s="730"/>
      <c r="BD100" s="730"/>
      <c r="BE100" s="730"/>
      <c r="BF100" s="730"/>
      <c r="BG100" s="730"/>
      <c r="BH100" s="730"/>
      <c r="BI100" s="730"/>
      <c r="BJ100" s="730"/>
      <c r="BK100" s="730"/>
      <c r="BL100" s="730"/>
      <c r="BM100" s="730"/>
      <c r="BN100" s="730"/>
      <c r="BO100" s="730"/>
      <c r="BP100" s="730"/>
      <c r="BQ100" s="730"/>
      <c r="BR100" s="730"/>
      <c r="BS100" s="730"/>
      <c r="BT100" s="730"/>
      <c r="BU100" s="730"/>
      <c r="BV100" s="730"/>
      <c r="BW100" s="730"/>
      <c r="BX100" s="730"/>
      <c r="BY100" s="730"/>
      <c r="BZ100" s="730"/>
      <c r="CA100" s="730"/>
      <c r="CB100" s="730"/>
      <c r="CC100" s="730"/>
      <c r="CD100" s="730"/>
      <c r="CE100" s="730"/>
      <c r="CF100" s="730"/>
      <c r="CG100" s="730"/>
      <c r="CH100" s="730"/>
      <c r="CI100" s="730"/>
      <c r="CJ100" s="730"/>
      <c r="CK100" s="730"/>
      <c r="CL100" s="730"/>
      <c r="CM100" s="730"/>
      <c r="CN100" s="730"/>
      <c r="CO100" s="730"/>
      <c r="CP100" s="730"/>
    </row>
    <row r="101" spans="1:94" x14ac:dyDescent="0.2">
      <c r="A101" s="730"/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  <c r="U101" s="730"/>
      <c r="V101" s="730"/>
      <c r="W101" s="730"/>
      <c r="X101" s="730"/>
      <c r="Y101" s="730"/>
      <c r="Z101" s="730"/>
      <c r="AA101" s="730"/>
      <c r="AB101" s="730"/>
      <c r="AC101" s="730"/>
      <c r="AD101" s="730"/>
      <c r="AE101" s="730"/>
      <c r="AF101" s="730"/>
      <c r="AG101" s="730"/>
      <c r="AH101" s="730"/>
      <c r="AI101" s="730"/>
      <c r="AJ101" s="730"/>
      <c r="AK101" s="730"/>
      <c r="AL101" s="730"/>
      <c r="AM101" s="730"/>
      <c r="AN101" s="730"/>
      <c r="AO101" s="730"/>
      <c r="AP101" s="730"/>
      <c r="AQ101" s="730"/>
      <c r="AR101" s="730"/>
      <c r="AS101" s="730"/>
      <c r="AT101" s="730"/>
      <c r="AU101" s="730"/>
      <c r="AV101" s="730"/>
      <c r="AW101" s="730"/>
      <c r="AX101" s="730"/>
      <c r="AY101" s="730"/>
      <c r="AZ101" s="730"/>
      <c r="BA101" s="730"/>
      <c r="BB101" s="730"/>
      <c r="BC101" s="730"/>
      <c r="BD101" s="730"/>
      <c r="BE101" s="730"/>
      <c r="BF101" s="730"/>
      <c r="BG101" s="730"/>
      <c r="BH101" s="730"/>
      <c r="BI101" s="730"/>
      <c r="BJ101" s="730"/>
      <c r="BK101" s="730"/>
      <c r="BL101" s="730"/>
      <c r="BM101" s="730"/>
      <c r="BN101" s="730"/>
      <c r="BO101" s="730"/>
      <c r="BP101" s="730"/>
      <c r="BQ101" s="730"/>
      <c r="BR101" s="730"/>
      <c r="BS101" s="730"/>
      <c r="BT101" s="730"/>
      <c r="BU101" s="730"/>
      <c r="BV101" s="730"/>
      <c r="BW101" s="730"/>
      <c r="BX101" s="730"/>
      <c r="BY101" s="730"/>
      <c r="BZ101" s="730"/>
      <c r="CA101" s="730"/>
      <c r="CB101" s="730"/>
      <c r="CC101" s="730"/>
      <c r="CD101" s="730"/>
      <c r="CE101" s="730"/>
      <c r="CF101" s="730"/>
      <c r="CG101" s="730"/>
      <c r="CH101" s="730"/>
      <c r="CI101" s="730"/>
      <c r="CJ101" s="730"/>
      <c r="CK101" s="730"/>
      <c r="CL101" s="730"/>
      <c r="CM101" s="730"/>
      <c r="CN101" s="730"/>
      <c r="CO101" s="730"/>
      <c r="CP101" s="730"/>
    </row>
    <row r="102" spans="1:94" x14ac:dyDescent="0.2">
      <c r="A102" s="730"/>
      <c r="B102" s="730"/>
      <c r="C102" s="730"/>
      <c r="D102" s="730"/>
      <c r="E102" s="730"/>
      <c r="F102" s="730"/>
      <c r="G102" s="730"/>
      <c r="H102" s="777"/>
    </row>
    <row r="103" spans="1:94" x14ac:dyDescent="0.2">
      <c r="A103" s="730"/>
      <c r="B103" s="730"/>
      <c r="C103" s="730"/>
      <c r="D103" s="730"/>
      <c r="E103" s="730"/>
      <c r="F103" s="730"/>
      <c r="G103" s="730"/>
      <c r="H103" s="777"/>
    </row>
    <row r="104" spans="1:94" x14ac:dyDescent="0.2">
      <c r="A104" s="730"/>
      <c r="B104" s="730"/>
      <c r="C104" s="730"/>
      <c r="D104" s="730"/>
      <c r="E104" s="730"/>
      <c r="F104" s="730"/>
      <c r="G104" s="730"/>
      <c r="H104" s="777"/>
    </row>
    <row r="105" spans="1:94" x14ac:dyDescent="0.2">
      <c r="A105" s="730"/>
      <c r="B105" s="730"/>
      <c r="C105" s="730"/>
      <c r="D105" s="730"/>
      <c r="E105" s="730"/>
      <c r="F105" s="730"/>
      <c r="G105" s="730"/>
      <c r="H105" s="777"/>
    </row>
    <row r="106" spans="1:94" x14ac:dyDescent="0.2">
      <c r="A106" s="730"/>
      <c r="B106" s="730"/>
      <c r="C106" s="730"/>
      <c r="D106" s="730"/>
      <c r="E106" s="730"/>
      <c r="F106" s="730"/>
      <c r="G106" s="730"/>
      <c r="H106" s="777"/>
    </row>
    <row r="107" spans="1:94" x14ac:dyDescent="0.2">
      <c r="A107" s="730"/>
      <c r="B107" s="730"/>
      <c r="C107" s="730"/>
      <c r="D107" s="730"/>
      <c r="E107" s="730"/>
      <c r="F107" s="730"/>
      <c r="G107" s="730"/>
      <c r="H107" s="777"/>
    </row>
    <row r="108" spans="1:94" x14ac:dyDescent="0.2">
      <c r="A108" s="730"/>
      <c r="B108" s="730"/>
      <c r="C108" s="730"/>
      <c r="D108" s="730"/>
      <c r="E108" s="730"/>
      <c r="F108" s="730"/>
      <c r="G108" s="730"/>
      <c r="H108" s="777"/>
    </row>
    <row r="109" spans="1:94" x14ac:dyDescent="0.2">
      <c r="A109" s="730"/>
      <c r="B109" s="730"/>
      <c r="C109" s="730"/>
      <c r="D109" s="730"/>
      <c r="E109" s="730"/>
      <c r="F109" s="730"/>
      <c r="G109" s="730"/>
      <c r="H109" s="777"/>
    </row>
    <row r="110" spans="1:94" x14ac:dyDescent="0.2">
      <c r="A110" s="730"/>
      <c r="B110" s="730"/>
      <c r="C110" s="730"/>
      <c r="D110" s="730"/>
      <c r="E110" s="730"/>
      <c r="F110" s="730"/>
      <c r="G110" s="730"/>
      <c r="H110" s="777"/>
    </row>
    <row r="111" spans="1:94" x14ac:dyDescent="0.2">
      <c r="A111" s="730"/>
      <c r="B111" s="730"/>
      <c r="C111" s="730"/>
      <c r="D111" s="730"/>
      <c r="E111" s="730"/>
      <c r="F111" s="730"/>
      <c r="G111" s="730"/>
      <c r="H111" s="777"/>
    </row>
    <row r="112" spans="1:94" x14ac:dyDescent="0.2">
      <c r="A112" s="730"/>
      <c r="B112" s="730"/>
      <c r="C112" s="730"/>
      <c r="D112" s="730"/>
      <c r="E112" s="730"/>
      <c r="F112" s="730"/>
      <c r="G112" s="730"/>
      <c r="H112" s="777"/>
    </row>
    <row r="113" spans="1:8" x14ac:dyDescent="0.2">
      <c r="A113" s="730"/>
      <c r="B113" s="730"/>
      <c r="C113" s="730"/>
      <c r="D113" s="730"/>
      <c r="E113" s="730"/>
      <c r="F113" s="730"/>
      <c r="G113" s="730"/>
      <c r="H113" s="777"/>
    </row>
    <row r="114" spans="1:8" x14ac:dyDescent="0.2">
      <c r="A114" s="730"/>
      <c r="B114" s="730"/>
      <c r="C114" s="730"/>
      <c r="D114" s="730"/>
      <c r="E114" s="730"/>
      <c r="F114" s="730"/>
      <c r="G114" s="730"/>
      <c r="H114" s="777"/>
    </row>
    <row r="115" spans="1:8" x14ac:dyDescent="0.2">
      <c r="A115" s="730"/>
      <c r="B115" s="730"/>
      <c r="C115" s="730"/>
      <c r="D115" s="730"/>
      <c r="E115" s="730"/>
      <c r="F115" s="730"/>
      <c r="G115" s="730"/>
      <c r="H115" s="777"/>
    </row>
    <row r="116" spans="1:8" x14ac:dyDescent="0.2">
      <c r="A116" s="730"/>
      <c r="B116" s="730"/>
      <c r="C116" s="730"/>
      <c r="D116" s="730"/>
      <c r="E116" s="730"/>
      <c r="F116" s="730"/>
      <c r="G116" s="730"/>
      <c r="H116" s="777"/>
    </row>
    <row r="117" spans="1:8" x14ac:dyDescent="0.2">
      <c r="A117" s="730"/>
      <c r="B117" s="730"/>
      <c r="C117" s="730"/>
      <c r="D117" s="730"/>
      <c r="E117" s="730"/>
      <c r="F117" s="730"/>
      <c r="G117" s="730"/>
      <c r="H117" s="777"/>
    </row>
    <row r="118" spans="1:8" x14ac:dyDescent="0.2">
      <c r="A118" s="730"/>
      <c r="B118" s="730"/>
      <c r="C118" s="730"/>
      <c r="D118" s="730"/>
      <c r="E118" s="730"/>
      <c r="F118" s="730"/>
      <c r="G118" s="730"/>
      <c r="H118" s="777"/>
    </row>
    <row r="119" spans="1:8" x14ac:dyDescent="0.2">
      <c r="A119" s="730"/>
      <c r="B119" s="730"/>
      <c r="C119" s="730"/>
      <c r="D119" s="730"/>
      <c r="E119" s="730"/>
      <c r="F119" s="730"/>
      <c r="G119" s="730"/>
      <c r="H119" s="777"/>
    </row>
    <row r="120" spans="1:8" x14ac:dyDescent="0.2">
      <c r="A120" s="730"/>
      <c r="B120" s="730"/>
      <c r="C120" s="730"/>
      <c r="D120" s="730"/>
      <c r="E120" s="730"/>
      <c r="F120" s="730"/>
      <c r="G120" s="730"/>
      <c r="H120" s="777"/>
    </row>
    <row r="121" spans="1:8" x14ac:dyDescent="0.2">
      <c r="A121" s="730"/>
      <c r="B121" s="730"/>
      <c r="C121" s="730"/>
      <c r="D121" s="730"/>
      <c r="E121" s="730"/>
      <c r="F121" s="730"/>
      <c r="G121" s="730"/>
      <c r="H121" s="777"/>
    </row>
    <row r="122" spans="1:8" x14ac:dyDescent="0.2">
      <c r="A122" s="730"/>
      <c r="B122" s="730"/>
      <c r="C122" s="730"/>
      <c r="D122" s="730"/>
      <c r="E122" s="730"/>
      <c r="F122" s="730"/>
      <c r="G122" s="730"/>
      <c r="H122" s="777"/>
    </row>
    <row r="123" spans="1:8" x14ac:dyDescent="0.2">
      <c r="A123" s="730"/>
      <c r="B123" s="730"/>
      <c r="C123" s="730"/>
      <c r="D123" s="730"/>
      <c r="E123" s="730"/>
      <c r="F123" s="730"/>
      <c r="G123" s="730"/>
      <c r="H123" s="777"/>
    </row>
    <row r="124" spans="1:8" x14ac:dyDescent="0.2">
      <c r="A124" s="730"/>
      <c r="B124" s="730"/>
      <c r="C124" s="730"/>
      <c r="D124" s="730"/>
      <c r="E124" s="730"/>
      <c r="F124" s="730"/>
      <c r="G124" s="730"/>
      <c r="H124" s="777"/>
    </row>
    <row r="125" spans="1:8" x14ac:dyDescent="0.2">
      <c r="A125" s="730"/>
      <c r="B125" s="730"/>
      <c r="C125" s="730"/>
      <c r="D125" s="730"/>
      <c r="E125" s="730"/>
      <c r="F125" s="730"/>
      <c r="G125" s="730"/>
      <c r="H125" s="777"/>
    </row>
    <row r="126" spans="1:8" x14ac:dyDescent="0.2">
      <c r="A126" s="730"/>
      <c r="B126" s="730"/>
      <c r="C126" s="730"/>
      <c r="D126" s="730"/>
      <c r="E126" s="730"/>
      <c r="F126" s="730"/>
      <c r="G126" s="730"/>
      <c r="H126" s="777"/>
    </row>
    <row r="127" spans="1:8" x14ac:dyDescent="0.2">
      <c r="A127" s="730"/>
      <c r="B127" s="730"/>
      <c r="C127" s="730"/>
      <c r="D127" s="730"/>
      <c r="E127" s="730"/>
      <c r="F127" s="730"/>
      <c r="G127" s="730"/>
      <c r="H127" s="777"/>
    </row>
    <row r="128" spans="1:8" x14ac:dyDescent="0.2">
      <c r="A128" s="730"/>
      <c r="B128" s="730"/>
      <c r="C128" s="730"/>
      <c r="D128" s="730"/>
      <c r="E128" s="730"/>
      <c r="F128" s="730"/>
      <c r="G128" s="730"/>
      <c r="H128" s="777"/>
    </row>
    <row r="129" spans="1:8" x14ac:dyDescent="0.2">
      <c r="A129" s="730"/>
      <c r="B129" s="730"/>
      <c r="C129" s="730"/>
      <c r="D129" s="730"/>
      <c r="E129" s="730"/>
      <c r="F129" s="730"/>
      <c r="G129" s="730"/>
      <c r="H129" s="777"/>
    </row>
    <row r="130" spans="1:8" x14ac:dyDescent="0.2">
      <c r="A130" s="730"/>
      <c r="B130" s="730"/>
      <c r="C130" s="730"/>
      <c r="D130" s="730"/>
      <c r="E130" s="730"/>
      <c r="F130" s="730"/>
      <c r="G130" s="730"/>
      <c r="H130" s="777"/>
    </row>
    <row r="131" spans="1:8" x14ac:dyDescent="0.2">
      <c r="A131" s="730"/>
      <c r="B131" s="730"/>
      <c r="C131" s="730"/>
      <c r="D131" s="730"/>
      <c r="E131" s="730"/>
      <c r="F131" s="730"/>
      <c r="G131" s="730"/>
      <c r="H131" s="777"/>
    </row>
    <row r="132" spans="1:8" x14ac:dyDescent="0.2">
      <c r="A132" s="730"/>
      <c r="B132" s="730"/>
      <c r="C132" s="730"/>
      <c r="D132" s="730"/>
      <c r="E132" s="730"/>
      <c r="F132" s="730"/>
      <c r="G132" s="730"/>
      <c r="H132" s="777"/>
    </row>
    <row r="133" spans="1:8" x14ac:dyDescent="0.2">
      <c r="A133" s="730"/>
      <c r="B133" s="730"/>
      <c r="C133" s="730"/>
      <c r="D133" s="730"/>
      <c r="E133" s="730"/>
      <c r="F133" s="730"/>
      <c r="G133" s="730"/>
      <c r="H133" s="777"/>
    </row>
    <row r="134" spans="1:8" x14ac:dyDescent="0.2">
      <c r="A134" s="730"/>
      <c r="B134" s="730"/>
      <c r="C134" s="730"/>
      <c r="D134" s="730"/>
      <c r="E134" s="730"/>
      <c r="F134" s="730"/>
      <c r="G134" s="730"/>
      <c r="H134" s="777"/>
    </row>
    <row r="135" spans="1:8" x14ac:dyDescent="0.2">
      <c r="A135" s="730"/>
      <c r="B135" s="730"/>
      <c r="C135" s="730"/>
      <c r="D135" s="730"/>
      <c r="E135" s="730"/>
      <c r="F135" s="730"/>
      <c r="G135" s="730"/>
      <c r="H135" s="777"/>
    </row>
    <row r="136" spans="1:8" x14ac:dyDescent="0.2">
      <c r="A136" s="730"/>
      <c r="B136" s="730"/>
      <c r="C136" s="730"/>
      <c r="D136" s="730"/>
      <c r="E136" s="730"/>
      <c r="F136" s="730"/>
      <c r="G136" s="730"/>
      <c r="H136" s="777"/>
    </row>
    <row r="137" spans="1:8" x14ac:dyDescent="0.2">
      <c r="A137" s="730"/>
      <c r="B137" s="730"/>
      <c r="C137" s="730"/>
      <c r="D137" s="730"/>
      <c r="E137" s="730"/>
      <c r="F137" s="730"/>
      <c r="G137" s="730"/>
      <c r="H137" s="777"/>
    </row>
    <row r="138" spans="1:8" x14ac:dyDescent="0.2">
      <c r="A138" s="730"/>
      <c r="B138" s="730"/>
      <c r="C138" s="730"/>
      <c r="D138" s="730"/>
      <c r="E138" s="730"/>
      <c r="F138" s="730"/>
      <c r="G138" s="730"/>
      <c r="H138" s="777"/>
    </row>
    <row r="139" spans="1:8" x14ac:dyDescent="0.2">
      <c r="A139" s="730"/>
      <c r="B139" s="730"/>
      <c r="C139" s="730"/>
      <c r="D139" s="730"/>
      <c r="E139" s="730"/>
      <c r="F139" s="730"/>
      <c r="G139" s="730"/>
      <c r="H139" s="777"/>
    </row>
    <row r="140" spans="1:8" x14ac:dyDescent="0.2">
      <c r="A140" s="730"/>
      <c r="B140" s="730"/>
      <c r="C140" s="730"/>
      <c r="D140" s="730"/>
      <c r="E140" s="730"/>
      <c r="F140" s="730"/>
      <c r="G140" s="730"/>
      <c r="H140" s="777"/>
    </row>
    <row r="141" spans="1:8" x14ac:dyDescent="0.2">
      <c r="A141" s="730"/>
      <c r="B141" s="730"/>
      <c r="C141" s="730"/>
      <c r="D141" s="730"/>
      <c r="E141" s="730"/>
      <c r="F141" s="730"/>
      <c r="G141" s="730"/>
      <c r="H141" s="777"/>
    </row>
    <row r="142" spans="1:8" x14ac:dyDescent="0.2">
      <c r="A142" s="730"/>
      <c r="B142" s="730"/>
      <c r="C142" s="730"/>
      <c r="D142" s="730"/>
      <c r="E142" s="730"/>
      <c r="F142" s="730"/>
      <c r="G142" s="730"/>
      <c r="H142" s="777"/>
    </row>
    <row r="143" spans="1:8" x14ac:dyDescent="0.2">
      <c r="A143" s="730"/>
      <c r="B143" s="730"/>
      <c r="C143" s="730"/>
      <c r="D143" s="730"/>
      <c r="E143" s="730"/>
      <c r="F143" s="730"/>
      <c r="G143" s="730"/>
      <c r="H143" s="777"/>
    </row>
    <row r="144" spans="1:8" x14ac:dyDescent="0.2">
      <c r="A144" s="730"/>
      <c r="B144" s="730"/>
      <c r="C144" s="730"/>
      <c r="D144" s="730"/>
      <c r="E144" s="730"/>
      <c r="F144" s="730"/>
      <c r="G144" s="730"/>
      <c r="H144" s="777"/>
    </row>
    <row r="145" spans="1:8" x14ac:dyDescent="0.2">
      <c r="A145" s="730"/>
      <c r="B145" s="730"/>
      <c r="C145" s="730"/>
      <c r="D145" s="730"/>
      <c r="E145" s="730"/>
      <c r="F145" s="730"/>
      <c r="G145" s="730"/>
      <c r="H145" s="777"/>
    </row>
    <row r="146" spans="1:8" x14ac:dyDescent="0.2">
      <c r="A146" s="730"/>
      <c r="B146" s="730"/>
      <c r="C146" s="730"/>
      <c r="D146" s="730"/>
      <c r="E146" s="730"/>
      <c r="F146" s="730"/>
      <c r="G146" s="730"/>
      <c r="H146" s="777"/>
    </row>
    <row r="147" spans="1:8" x14ac:dyDescent="0.2">
      <c r="A147" s="730"/>
      <c r="B147" s="730"/>
      <c r="C147" s="730"/>
      <c r="D147" s="730"/>
      <c r="E147" s="730"/>
      <c r="F147" s="730"/>
      <c r="G147" s="730"/>
      <c r="H147" s="777"/>
    </row>
    <row r="148" spans="1:8" x14ac:dyDescent="0.2">
      <c r="A148" s="730"/>
      <c r="B148" s="730"/>
      <c r="C148" s="730"/>
      <c r="D148" s="730"/>
      <c r="E148" s="730"/>
      <c r="F148" s="730"/>
      <c r="G148" s="730"/>
      <c r="H148" s="777"/>
    </row>
    <row r="149" spans="1:8" x14ac:dyDescent="0.2">
      <c r="A149" s="730"/>
      <c r="B149" s="730"/>
      <c r="C149" s="730"/>
      <c r="D149" s="730"/>
      <c r="E149" s="730"/>
      <c r="F149" s="730"/>
      <c r="G149" s="730"/>
      <c r="H149" s="777"/>
    </row>
    <row r="150" spans="1:8" x14ac:dyDescent="0.2">
      <c r="A150" s="730"/>
      <c r="B150" s="730"/>
      <c r="C150" s="730"/>
      <c r="D150" s="730"/>
      <c r="E150" s="730"/>
      <c r="F150" s="730"/>
      <c r="G150" s="730"/>
      <c r="H150" s="777"/>
    </row>
    <row r="151" spans="1:8" x14ac:dyDescent="0.2">
      <c r="A151" s="730"/>
      <c r="B151" s="730"/>
      <c r="C151" s="730"/>
      <c r="D151" s="730"/>
      <c r="E151" s="730"/>
      <c r="F151" s="730"/>
      <c r="G151" s="730"/>
      <c r="H151" s="777"/>
    </row>
    <row r="152" spans="1:8" x14ac:dyDescent="0.2">
      <c r="A152" s="730"/>
      <c r="B152" s="730"/>
      <c r="C152" s="730"/>
      <c r="D152" s="730"/>
      <c r="E152" s="730"/>
      <c r="F152" s="730"/>
      <c r="G152" s="730"/>
      <c r="H152" s="777"/>
    </row>
    <row r="153" spans="1:8" x14ac:dyDescent="0.2">
      <c r="A153" s="730"/>
      <c r="B153" s="730"/>
      <c r="C153" s="730"/>
      <c r="D153" s="730"/>
      <c r="E153" s="730"/>
      <c r="F153" s="730"/>
      <c r="G153" s="730"/>
      <c r="H153" s="777"/>
    </row>
    <row r="154" spans="1:8" x14ac:dyDescent="0.2">
      <c r="A154" s="730"/>
      <c r="B154" s="730"/>
      <c r="C154" s="730"/>
      <c r="D154" s="730"/>
      <c r="E154" s="730"/>
      <c r="F154" s="730"/>
      <c r="G154" s="730"/>
      <c r="H154" s="777"/>
    </row>
    <row r="155" spans="1:8" x14ac:dyDescent="0.2">
      <c r="A155" s="730"/>
      <c r="B155" s="730"/>
      <c r="C155" s="730"/>
      <c r="D155" s="730"/>
      <c r="E155" s="730"/>
      <c r="F155" s="730"/>
      <c r="G155" s="730"/>
      <c r="H155" s="777"/>
    </row>
    <row r="156" spans="1:8" x14ac:dyDescent="0.2">
      <c r="A156" s="730"/>
      <c r="B156" s="730"/>
      <c r="C156" s="730"/>
      <c r="D156" s="730"/>
      <c r="E156" s="730"/>
      <c r="F156" s="730"/>
      <c r="G156" s="730"/>
      <c r="H156" s="777"/>
    </row>
    <row r="157" spans="1:8" x14ac:dyDescent="0.2">
      <c r="A157" s="730"/>
      <c r="B157" s="730"/>
      <c r="C157" s="730"/>
      <c r="D157" s="730"/>
      <c r="E157" s="730"/>
      <c r="F157" s="730"/>
      <c r="G157" s="730"/>
      <c r="H157" s="777"/>
    </row>
    <row r="158" spans="1:8" x14ac:dyDescent="0.2">
      <c r="A158" s="730"/>
      <c r="B158" s="730"/>
      <c r="C158" s="730"/>
      <c r="D158" s="730"/>
      <c r="E158" s="730"/>
      <c r="F158" s="730"/>
      <c r="G158" s="730"/>
      <c r="H158" s="777"/>
    </row>
    <row r="159" spans="1:8" x14ac:dyDescent="0.2">
      <c r="A159" s="730"/>
      <c r="B159" s="730"/>
      <c r="C159" s="730"/>
      <c r="D159" s="730"/>
      <c r="E159" s="730"/>
      <c r="F159" s="730"/>
      <c r="G159" s="730"/>
      <c r="H159" s="777"/>
    </row>
    <row r="160" spans="1:8" x14ac:dyDescent="0.2">
      <c r="A160" s="730"/>
      <c r="B160" s="730"/>
      <c r="C160" s="730"/>
      <c r="D160" s="730"/>
      <c r="E160" s="730"/>
      <c r="F160" s="730"/>
      <c r="G160" s="730"/>
      <c r="H160" s="777"/>
    </row>
    <row r="161" spans="1:8" x14ac:dyDescent="0.2">
      <c r="A161" s="730"/>
      <c r="B161" s="730"/>
      <c r="C161" s="730"/>
      <c r="D161" s="730"/>
      <c r="E161" s="730"/>
      <c r="F161" s="730"/>
      <c r="G161" s="730"/>
      <c r="H161" s="777"/>
    </row>
    <row r="162" spans="1:8" x14ac:dyDescent="0.2">
      <c r="A162" s="730"/>
      <c r="B162" s="730"/>
      <c r="C162" s="730"/>
      <c r="D162" s="730"/>
      <c r="E162" s="730"/>
      <c r="F162" s="730"/>
      <c r="G162" s="730"/>
      <c r="H162" s="777"/>
    </row>
    <row r="163" spans="1:8" x14ac:dyDescent="0.2">
      <c r="A163" s="730"/>
      <c r="B163" s="730"/>
      <c r="C163" s="730"/>
      <c r="D163" s="730"/>
      <c r="E163" s="730"/>
      <c r="F163" s="730"/>
      <c r="G163" s="730"/>
      <c r="H163" s="777"/>
    </row>
    <row r="164" spans="1:8" x14ac:dyDescent="0.2">
      <c r="A164" s="730"/>
      <c r="B164" s="730"/>
      <c r="C164" s="730"/>
      <c r="D164" s="730"/>
      <c r="E164" s="730"/>
      <c r="F164" s="730"/>
      <c r="G164" s="730"/>
      <c r="H164" s="777"/>
    </row>
    <row r="165" spans="1:8" x14ac:dyDescent="0.2">
      <c r="A165" s="730"/>
      <c r="B165" s="730"/>
      <c r="C165" s="730"/>
      <c r="D165" s="730"/>
      <c r="E165" s="730"/>
      <c r="F165" s="730"/>
      <c r="G165" s="730"/>
      <c r="H165" s="777"/>
    </row>
    <row r="166" spans="1:8" x14ac:dyDescent="0.2">
      <c r="A166" s="730"/>
      <c r="B166" s="730"/>
      <c r="C166" s="730"/>
      <c r="D166" s="730"/>
      <c r="E166" s="730"/>
      <c r="F166" s="730"/>
      <c r="G166" s="730"/>
      <c r="H166" s="777"/>
    </row>
    <row r="167" spans="1:8" x14ac:dyDescent="0.2">
      <c r="A167" s="730"/>
      <c r="B167" s="730"/>
      <c r="C167" s="730"/>
      <c r="D167" s="730"/>
      <c r="E167" s="730"/>
      <c r="F167" s="730"/>
      <c r="G167" s="730"/>
      <c r="H167" s="777"/>
    </row>
    <row r="168" spans="1:8" x14ac:dyDescent="0.2">
      <c r="A168" s="730"/>
      <c r="B168" s="730"/>
      <c r="C168" s="730"/>
      <c r="D168" s="730"/>
      <c r="E168" s="730"/>
      <c r="F168" s="730"/>
      <c r="G168" s="730"/>
      <c r="H168" s="777"/>
    </row>
    <row r="169" spans="1:8" x14ac:dyDescent="0.2">
      <c r="A169" s="730"/>
      <c r="B169" s="730"/>
      <c r="C169" s="730"/>
      <c r="D169" s="730"/>
      <c r="E169" s="730"/>
      <c r="F169" s="730"/>
      <c r="G169" s="730"/>
      <c r="H169" s="777"/>
    </row>
    <row r="170" spans="1:8" x14ac:dyDescent="0.2">
      <c r="A170" s="730"/>
      <c r="B170" s="730"/>
      <c r="C170" s="730"/>
      <c r="D170" s="730"/>
      <c r="E170" s="730"/>
      <c r="F170" s="730"/>
      <c r="G170" s="730"/>
      <c r="H170" s="777"/>
    </row>
    <row r="171" spans="1:8" x14ac:dyDescent="0.2">
      <c r="A171" s="730"/>
      <c r="B171" s="730"/>
      <c r="C171" s="730"/>
      <c r="D171" s="730"/>
      <c r="E171" s="730"/>
      <c r="F171" s="730"/>
      <c r="G171" s="730"/>
      <c r="H171" s="777"/>
    </row>
    <row r="172" spans="1:8" x14ac:dyDescent="0.2">
      <c r="A172" s="730"/>
      <c r="B172" s="730"/>
      <c r="C172" s="730"/>
      <c r="D172" s="730"/>
      <c r="E172" s="730"/>
      <c r="F172" s="730"/>
      <c r="G172" s="730"/>
      <c r="H172" s="777"/>
    </row>
    <row r="173" spans="1:8" x14ac:dyDescent="0.2">
      <c r="A173" s="730"/>
      <c r="B173" s="730"/>
      <c r="C173" s="730"/>
      <c r="D173" s="730"/>
      <c r="E173" s="730"/>
      <c r="F173" s="730"/>
      <c r="G173" s="730"/>
      <c r="H173" s="777"/>
    </row>
    <row r="174" spans="1:8" x14ac:dyDescent="0.2">
      <c r="A174" s="730"/>
      <c r="B174" s="730"/>
      <c r="C174" s="730"/>
      <c r="D174" s="730"/>
      <c r="E174" s="730"/>
      <c r="F174" s="730"/>
      <c r="G174" s="730"/>
      <c r="H174" s="777"/>
    </row>
    <row r="175" spans="1:8" x14ac:dyDescent="0.2">
      <c r="A175" s="730"/>
      <c r="B175" s="730"/>
      <c r="C175" s="730"/>
      <c r="D175" s="730"/>
      <c r="E175" s="730"/>
      <c r="F175" s="730"/>
      <c r="G175" s="730"/>
      <c r="H175" s="777"/>
    </row>
    <row r="176" spans="1:8" x14ac:dyDescent="0.2">
      <c r="A176" s="730"/>
      <c r="B176" s="730"/>
      <c r="C176" s="730"/>
      <c r="D176" s="730"/>
      <c r="E176" s="730"/>
      <c r="F176" s="730"/>
      <c r="G176" s="730"/>
      <c r="H176" s="777"/>
    </row>
    <row r="177" spans="1:11" x14ac:dyDescent="0.2">
      <c r="A177" s="730"/>
      <c r="B177" s="730"/>
      <c r="C177" s="730"/>
      <c r="D177" s="730"/>
      <c r="E177" s="730"/>
      <c r="F177" s="730"/>
      <c r="G177" s="730"/>
      <c r="H177" s="777"/>
    </row>
    <row r="178" spans="1:11" x14ac:dyDescent="0.2">
      <c r="A178" s="730"/>
      <c r="B178" s="730"/>
      <c r="C178" s="730"/>
      <c r="D178" s="730"/>
      <c r="E178" s="730"/>
      <c r="F178" s="730"/>
      <c r="G178" s="730"/>
      <c r="H178" s="777"/>
    </row>
    <row r="179" spans="1:11" x14ac:dyDescent="0.2">
      <c r="A179" s="730"/>
      <c r="B179" s="730"/>
      <c r="C179" s="730"/>
      <c r="D179" s="730"/>
      <c r="E179" s="730"/>
      <c r="F179" s="730"/>
      <c r="G179" s="730"/>
      <c r="H179" s="777"/>
    </row>
    <row r="180" spans="1:11" x14ac:dyDescent="0.2">
      <c r="A180" s="730"/>
      <c r="B180" s="730"/>
      <c r="C180" s="730"/>
      <c r="D180" s="730"/>
      <c r="E180" s="730"/>
      <c r="F180" s="730"/>
      <c r="G180" s="730"/>
      <c r="H180" s="777"/>
    </row>
    <row r="181" spans="1:11" x14ac:dyDescent="0.2">
      <c r="A181" s="730"/>
      <c r="B181" s="730"/>
      <c r="C181" s="730"/>
      <c r="D181" s="730"/>
      <c r="E181" s="730"/>
      <c r="F181" s="730"/>
      <c r="G181" s="730"/>
      <c r="H181" s="777"/>
    </row>
    <row r="182" spans="1:11" x14ac:dyDescent="0.2">
      <c r="A182" s="730"/>
      <c r="B182" s="730"/>
      <c r="C182" s="730"/>
      <c r="D182" s="730"/>
      <c r="E182" s="730"/>
      <c r="F182" s="730"/>
      <c r="G182" s="730"/>
      <c r="H182" s="777"/>
    </row>
    <row r="183" spans="1:11" x14ac:dyDescent="0.2">
      <c r="A183" s="730"/>
      <c r="B183" s="730"/>
      <c r="C183" s="730"/>
      <c r="D183" s="730"/>
      <c r="E183" s="730"/>
      <c r="F183" s="730"/>
      <c r="G183" s="730"/>
      <c r="H183" s="777"/>
    </row>
    <row r="184" spans="1:11" x14ac:dyDescent="0.2">
      <c r="A184" s="730"/>
      <c r="B184" s="730"/>
      <c r="C184" s="730"/>
      <c r="D184" s="730"/>
      <c r="E184" s="730"/>
      <c r="F184" s="730"/>
      <c r="G184" s="730"/>
      <c r="H184" s="778"/>
      <c r="I184" s="731"/>
      <c r="J184" s="731"/>
    </row>
    <row r="185" spans="1:11" x14ac:dyDescent="0.2">
      <c r="A185" s="730"/>
      <c r="B185" s="730"/>
      <c r="C185" s="730"/>
      <c r="D185" s="730"/>
      <c r="E185" s="730"/>
      <c r="F185" s="730"/>
      <c r="G185" s="730"/>
      <c r="H185" s="730"/>
      <c r="I185" s="730"/>
      <c r="J185" s="730"/>
      <c r="K185" s="777"/>
    </row>
    <row r="186" spans="1:11" x14ac:dyDescent="0.2">
      <c r="A186" s="730"/>
      <c r="B186" s="730"/>
      <c r="C186" s="730"/>
      <c r="D186" s="730"/>
      <c r="E186" s="730"/>
      <c r="F186" s="730"/>
      <c r="G186" s="730"/>
      <c r="H186" s="730"/>
      <c r="I186" s="730"/>
      <c r="J186" s="730"/>
      <c r="K186" s="777"/>
    </row>
    <row r="187" spans="1:11" x14ac:dyDescent="0.2">
      <c r="A187" s="730"/>
      <c r="B187" s="730"/>
      <c r="C187" s="730"/>
      <c r="D187" s="730"/>
      <c r="E187" s="730"/>
      <c r="F187" s="730"/>
      <c r="G187" s="730"/>
      <c r="H187" s="730"/>
      <c r="I187" s="730"/>
      <c r="J187" s="730"/>
      <c r="K187" s="777"/>
    </row>
    <row r="188" spans="1:11" x14ac:dyDescent="0.2">
      <c r="A188" s="730"/>
      <c r="B188" s="730"/>
      <c r="C188" s="730"/>
      <c r="D188" s="730"/>
      <c r="E188" s="730"/>
      <c r="F188" s="730"/>
      <c r="G188" s="730"/>
      <c r="H188" s="730"/>
      <c r="I188" s="730"/>
      <c r="J188" s="730"/>
      <c r="K188" s="777"/>
    </row>
    <row r="189" spans="1:11" x14ac:dyDescent="0.2">
      <c r="A189" s="730"/>
      <c r="B189" s="730"/>
      <c r="C189" s="730"/>
      <c r="D189" s="730"/>
      <c r="E189" s="730"/>
      <c r="F189" s="730"/>
      <c r="G189" s="730"/>
      <c r="H189" s="730"/>
      <c r="I189" s="730"/>
      <c r="J189" s="730"/>
      <c r="K189" s="777"/>
    </row>
    <row r="190" spans="1:11" x14ac:dyDescent="0.2">
      <c r="A190" s="730"/>
      <c r="B190" s="730"/>
      <c r="C190" s="730"/>
      <c r="D190" s="730"/>
      <c r="E190" s="730"/>
      <c r="F190" s="730"/>
      <c r="G190" s="730"/>
      <c r="H190" s="730"/>
      <c r="I190" s="730"/>
      <c r="J190" s="730"/>
      <c r="K190" s="777"/>
    </row>
    <row r="191" spans="1:11" x14ac:dyDescent="0.2">
      <c r="A191" s="730"/>
      <c r="B191" s="730"/>
      <c r="C191" s="730"/>
      <c r="D191" s="730"/>
      <c r="E191" s="730"/>
      <c r="F191" s="730"/>
      <c r="G191" s="730"/>
      <c r="H191" s="730"/>
      <c r="I191" s="730"/>
      <c r="J191" s="730"/>
      <c r="K191" s="777"/>
    </row>
    <row r="192" spans="1:11" x14ac:dyDescent="0.2">
      <c r="A192" s="730"/>
      <c r="B192" s="730"/>
      <c r="C192" s="730"/>
      <c r="D192" s="730"/>
      <c r="E192" s="730"/>
      <c r="F192" s="730"/>
      <c r="G192" s="730"/>
      <c r="H192" s="730"/>
      <c r="I192" s="730"/>
      <c r="J192" s="730"/>
      <c r="K192" s="777"/>
    </row>
    <row r="193" spans="1:11" x14ac:dyDescent="0.2">
      <c r="A193" s="730"/>
      <c r="B193" s="730"/>
      <c r="C193" s="730"/>
      <c r="D193" s="730"/>
      <c r="E193" s="730"/>
      <c r="F193" s="730"/>
      <c r="G193" s="730"/>
      <c r="H193" s="730"/>
      <c r="I193" s="730"/>
      <c r="J193" s="730"/>
      <c r="K193" s="777"/>
    </row>
    <row r="194" spans="1:11" x14ac:dyDescent="0.2">
      <c r="A194" s="730"/>
      <c r="B194" s="730"/>
      <c r="C194" s="730"/>
      <c r="D194" s="730"/>
      <c r="E194" s="730"/>
      <c r="F194" s="730"/>
      <c r="G194" s="730"/>
      <c r="H194" s="730"/>
      <c r="I194" s="730"/>
      <c r="J194" s="730"/>
      <c r="K194" s="777"/>
    </row>
    <row r="195" spans="1:11" x14ac:dyDescent="0.2">
      <c r="A195" s="730"/>
      <c r="B195" s="730"/>
      <c r="C195" s="730"/>
      <c r="D195" s="730"/>
      <c r="E195" s="730"/>
      <c r="F195" s="730"/>
      <c r="G195" s="730"/>
      <c r="H195" s="730"/>
      <c r="I195" s="730"/>
      <c r="J195" s="730"/>
      <c r="K195" s="777"/>
    </row>
    <row r="196" spans="1:11" x14ac:dyDescent="0.2">
      <c r="A196" s="730"/>
      <c r="B196" s="730"/>
      <c r="C196" s="730"/>
      <c r="D196" s="730"/>
      <c r="E196" s="730"/>
      <c r="F196" s="730"/>
      <c r="G196" s="730"/>
      <c r="H196" s="730"/>
      <c r="I196" s="730"/>
      <c r="J196" s="730"/>
      <c r="K196" s="777"/>
    </row>
    <row r="197" spans="1:11" x14ac:dyDescent="0.2">
      <c r="A197" s="730"/>
      <c r="B197" s="730"/>
      <c r="C197" s="730"/>
      <c r="D197" s="730"/>
      <c r="E197" s="730"/>
      <c r="F197" s="730"/>
      <c r="G197" s="730"/>
      <c r="H197" s="730"/>
      <c r="I197" s="730"/>
      <c r="J197" s="730"/>
      <c r="K197" s="777"/>
    </row>
    <row r="198" spans="1:11" x14ac:dyDescent="0.2">
      <c r="A198" s="730"/>
      <c r="B198" s="730"/>
      <c r="C198" s="730"/>
      <c r="D198" s="730"/>
      <c r="E198" s="730"/>
      <c r="F198" s="730"/>
      <c r="G198" s="730"/>
      <c r="H198" s="730"/>
      <c r="I198" s="730"/>
      <c r="J198" s="730"/>
      <c r="K198" s="777"/>
    </row>
    <row r="199" spans="1:11" x14ac:dyDescent="0.2">
      <c r="A199" s="730"/>
      <c r="B199" s="730"/>
      <c r="C199" s="730"/>
      <c r="D199" s="730"/>
      <c r="E199" s="730"/>
      <c r="F199" s="730"/>
      <c r="G199" s="730"/>
      <c r="H199" s="730"/>
      <c r="I199" s="730"/>
      <c r="J199" s="730"/>
      <c r="K199" s="777"/>
    </row>
    <row r="200" spans="1:11" x14ac:dyDescent="0.2">
      <c r="A200" s="730"/>
      <c r="B200" s="730"/>
      <c r="C200" s="730"/>
      <c r="D200" s="730"/>
      <c r="E200" s="730"/>
      <c r="F200" s="730"/>
      <c r="G200" s="730"/>
      <c r="H200" s="730"/>
      <c r="I200" s="730"/>
      <c r="J200" s="730"/>
      <c r="K200" s="777"/>
    </row>
    <row r="201" spans="1:11" x14ac:dyDescent="0.2">
      <c r="A201" s="730"/>
      <c r="B201" s="730"/>
      <c r="C201" s="730"/>
      <c r="D201" s="730"/>
      <c r="E201" s="730"/>
      <c r="F201" s="730"/>
      <c r="G201" s="730"/>
      <c r="H201" s="730"/>
      <c r="I201" s="730"/>
      <c r="J201" s="730"/>
      <c r="K201" s="777"/>
    </row>
    <row r="202" spans="1:11" x14ac:dyDescent="0.2">
      <c r="A202" s="730"/>
      <c r="B202" s="730"/>
      <c r="C202" s="730"/>
      <c r="D202" s="730"/>
      <c r="E202" s="730"/>
      <c r="F202" s="730"/>
      <c r="G202" s="730"/>
      <c r="H202" s="730"/>
      <c r="I202" s="730"/>
      <c r="J202" s="730"/>
      <c r="K202" s="777"/>
    </row>
    <row r="203" spans="1:11" x14ac:dyDescent="0.2">
      <c r="A203" s="730"/>
      <c r="B203" s="730"/>
      <c r="C203" s="730"/>
      <c r="D203" s="730"/>
      <c r="E203" s="730"/>
      <c r="F203" s="730"/>
      <c r="G203" s="730"/>
      <c r="H203" s="730"/>
      <c r="I203" s="730"/>
      <c r="J203" s="730"/>
      <c r="K203" s="777"/>
    </row>
    <row r="204" spans="1:11" x14ac:dyDescent="0.2">
      <c r="A204" s="730"/>
      <c r="B204" s="730"/>
      <c r="C204" s="730"/>
      <c r="D204" s="730"/>
      <c r="E204" s="730"/>
      <c r="F204" s="730"/>
      <c r="G204" s="730"/>
      <c r="H204" s="730"/>
      <c r="I204" s="730"/>
      <c r="J204" s="730"/>
      <c r="K204" s="777"/>
    </row>
    <row r="205" spans="1:11" x14ac:dyDescent="0.2">
      <c r="A205" s="730"/>
      <c r="B205" s="730"/>
      <c r="C205" s="730"/>
      <c r="D205" s="730"/>
      <c r="E205" s="730"/>
      <c r="F205" s="730"/>
      <c r="G205" s="730"/>
      <c r="H205" s="730"/>
      <c r="I205" s="730"/>
      <c r="J205" s="730"/>
      <c r="K205" s="777"/>
    </row>
    <row r="206" spans="1:11" x14ac:dyDescent="0.2">
      <c r="A206" s="730"/>
      <c r="B206" s="730"/>
      <c r="C206" s="730"/>
      <c r="D206" s="730"/>
      <c r="E206" s="730"/>
      <c r="F206" s="730"/>
      <c r="G206" s="730"/>
      <c r="H206" s="730"/>
      <c r="I206" s="730"/>
      <c r="J206" s="730"/>
      <c r="K206" s="777"/>
    </row>
    <row r="207" spans="1:11" x14ac:dyDescent="0.2">
      <c r="A207" s="730"/>
      <c r="B207" s="730"/>
      <c r="C207" s="730"/>
      <c r="D207" s="730"/>
      <c r="E207" s="730"/>
      <c r="F207" s="730"/>
      <c r="G207" s="730"/>
      <c r="H207" s="730"/>
      <c r="I207" s="730"/>
      <c r="J207" s="730"/>
      <c r="K207" s="777"/>
    </row>
    <row r="208" spans="1:11" x14ac:dyDescent="0.2">
      <c r="A208" s="730"/>
      <c r="B208" s="730"/>
      <c r="C208" s="730"/>
      <c r="D208" s="730"/>
      <c r="E208" s="730"/>
      <c r="F208" s="730"/>
      <c r="G208" s="730"/>
      <c r="H208" s="730"/>
      <c r="I208" s="730"/>
      <c r="J208" s="730"/>
      <c r="K208" s="777"/>
    </row>
    <row r="209" spans="1:11" x14ac:dyDescent="0.2">
      <c r="A209" s="730"/>
      <c r="B209" s="730"/>
      <c r="C209" s="730"/>
      <c r="D209" s="730"/>
      <c r="E209" s="730"/>
      <c r="F209" s="730"/>
      <c r="G209" s="730"/>
      <c r="H209" s="730"/>
      <c r="I209" s="730"/>
      <c r="J209" s="730"/>
      <c r="K209" s="777"/>
    </row>
    <row r="210" spans="1:11" x14ac:dyDescent="0.2">
      <c r="A210" s="730"/>
      <c r="B210" s="730"/>
      <c r="C210" s="730"/>
      <c r="D210" s="730"/>
      <c r="E210" s="730"/>
      <c r="F210" s="730"/>
      <c r="G210" s="730"/>
      <c r="H210" s="730"/>
      <c r="I210" s="730"/>
      <c r="J210" s="730"/>
      <c r="K210" s="777"/>
    </row>
    <row r="211" spans="1:11" x14ac:dyDescent="0.2">
      <c r="A211" s="730"/>
      <c r="B211" s="730"/>
      <c r="C211" s="730"/>
      <c r="D211" s="730"/>
      <c r="E211" s="730"/>
      <c r="F211" s="730"/>
      <c r="G211" s="730"/>
      <c r="H211" s="730"/>
      <c r="I211" s="730"/>
      <c r="J211" s="730"/>
      <c r="K211" s="777"/>
    </row>
    <row r="212" spans="1:11" x14ac:dyDescent="0.2">
      <c r="A212" s="730"/>
      <c r="B212" s="730"/>
      <c r="C212" s="730"/>
      <c r="D212" s="730"/>
      <c r="E212" s="730"/>
      <c r="F212" s="730"/>
      <c r="G212" s="730"/>
      <c r="H212" s="730"/>
      <c r="I212" s="730"/>
      <c r="J212" s="730"/>
      <c r="K212" s="777"/>
    </row>
    <row r="213" spans="1:11" x14ac:dyDescent="0.2">
      <c r="A213" s="730"/>
      <c r="B213" s="730"/>
      <c r="C213" s="730"/>
      <c r="D213" s="730"/>
      <c r="E213" s="730"/>
      <c r="F213" s="730"/>
      <c r="G213" s="730"/>
      <c r="H213" s="730"/>
      <c r="I213" s="730"/>
      <c r="J213" s="730"/>
      <c r="K213" s="777"/>
    </row>
    <row r="214" spans="1:11" x14ac:dyDescent="0.2">
      <c r="A214" s="730"/>
      <c r="B214" s="730"/>
      <c r="C214" s="730"/>
      <c r="D214" s="730"/>
      <c r="E214" s="730"/>
      <c r="F214" s="730"/>
      <c r="G214" s="730"/>
      <c r="H214" s="730"/>
      <c r="I214" s="730"/>
      <c r="J214" s="730"/>
      <c r="K214" s="777"/>
    </row>
    <row r="215" spans="1:11" x14ac:dyDescent="0.2">
      <c r="A215" s="730"/>
      <c r="B215" s="730"/>
      <c r="C215" s="730"/>
      <c r="D215" s="730"/>
      <c r="E215" s="730"/>
      <c r="F215" s="730"/>
      <c r="G215" s="730"/>
      <c r="H215" s="730"/>
      <c r="I215" s="730"/>
      <c r="J215" s="730"/>
      <c r="K215" s="777"/>
    </row>
    <row r="216" spans="1:11" x14ac:dyDescent="0.2">
      <c r="A216" s="730"/>
      <c r="B216" s="730"/>
      <c r="C216" s="730"/>
      <c r="D216" s="730"/>
      <c r="E216" s="730"/>
      <c r="F216" s="730"/>
      <c r="G216" s="730"/>
      <c r="H216" s="730"/>
      <c r="I216" s="730"/>
      <c r="J216" s="730"/>
      <c r="K216" s="777"/>
    </row>
    <row r="217" spans="1:11" x14ac:dyDescent="0.2">
      <c r="A217" s="730"/>
      <c r="B217" s="730"/>
      <c r="C217" s="730"/>
      <c r="D217" s="730"/>
      <c r="E217" s="730"/>
      <c r="F217" s="730"/>
      <c r="G217" s="730"/>
      <c r="H217" s="730"/>
      <c r="I217" s="730"/>
      <c r="J217" s="730"/>
      <c r="K217" s="777"/>
    </row>
    <row r="218" spans="1:11" x14ac:dyDescent="0.2">
      <c r="A218" s="730"/>
      <c r="B218" s="730"/>
      <c r="C218" s="730"/>
      <c r="D218" s="730"/>
      <c r="E218" s="730"/>
      <c r="F218" s="730"/>
      <c r="G218" s="730"/>
      <c r="H218" s="730"/>
      <c r="I218" s="730"/>
      <c r="J218" s="730"/>
      <c r="K218" s="777"/>
    </row>
    <row r="219" spans="1:11" x14ac:dyDescent="0.2">
      <c r="A219" s="730"/>
      <c r="B219" s="730"/>
      <c r="C219" s="730"/>
      <c r="D219" s="730"/>
      <c r="E219" s="730"/>
      <c r="F219" s="730"/>
      <c r="G219" s="730"/>
      <c r="H219" s="730"/>
      <c r="I219" s="730"/>
      <c r="J219" s="730"/>
      <c r="K219" s="777"/>
    </row>
    <row r="220" spans="1:11" x14ac:dyDescent="0.2">
      <c r="A220" s="730"/>
      <c r="B220" s="730"/>
      <c r="C220" s="730"/>
      <c r="D220" s="730"/>
      <c r="E220" s="730"/>
      <c r="F220" s="730"/>
      <c r="G220" s="730"/>
      <c r="H220" s="730"/>
      <c r="I220" s="730"/>
      <c r="J220" s="730"/>
      <c r="K220" s="777"/>
    </row>
    <row r="221" spans="1:11" x14ac:dyDescent="0.2">
      <c r="A221" s="730"/>
      <c r="B221" s="730"/>
      <c r="C221" s="730"/>
      <c r="D221" s="730"/>
      <c r="E221" s="730"/>
      <c r="F221" s="730"/>
      <c r="G221" s="730"/>
      <c r="H221" s="730"/>
      <c r="I221" s="730"/>
      <c r="J221" s="730"/>
      <c r="K221" s="777"/>
    </row>
    <row r="222" spans="1:11" x14ac:dyDescent="0.2">
      <c r="A222" s="730"/>
      <c r="B222" s="730"/>
      <c r="C222" s="730"/>
      <c r="D222" s="730"/>
      <c r="E222" s="730"/>
      <c r="F222" s="730"/>
      <c r="G222" s="730"/>
      <c r="H222" s="730"/>
      <c r="I222" s="730"/>
      <c r="J222" s="730"/>
      <c r="K222" s="777"/>
    </row>
    <row r="223" spans="1:11" x14ac:dyDescent="0.2">
      <c r="A223" s="730"/>
      <c r="B223" s="730"/>
      <c r="C223" s="730"/>
      <c r="D223" s="730"/>
      <c r="E223" s="730"/>
      <c r="F223" s="730"/>
      <c r="G223" s="730"/>
      <c r="H223" s="730"/>
      <c r="I223" s="730"/>
      <c r="J223" s="730"/>
      <c r="K223" s="777"/>
    </row>
    <row r="224" spans="1:11" x14ac:dyDescent="0.2">
      <c r="A224" s="730"/>
      <c r="B224" s="730"/>
      <c r="C224" s="730"/>
      <c r="D224" s="730"/>
      <c r="E224" s="730"/>
      <c r="F224" s="730"/>
      <c r="G224" s="730"/>
      <c r="H224" s="730"/>
      <c r="I224" s="730"/>
      <c r="J224" s="730"/>
      <c r="K224" s="777"/>
    </row>
    <row r="225" spans="1:11" x14ac:dyDescent="0.2">
      <c r="A225" s="730"/>
      <c r="B225" s="730"/>
      <c r="C225" s="730"/>
      <c r="D225" s="730"/>
      <c r="E225" s="730"/>
      <c r="F225" s="730"/>
      <c r="G225" s="730"/>
      <c r="H225" s="730"/>
      <c r="I225" s="730"/>
      <c r="J225" s="730"/>
      <c r="K225" s="777"/>
    </row>
    <row r="226" spans="1:11" x14ac:dyDescent="0.2">
      <c r="A226" s="730"/>
      <c r="B226" s="730"/>
      <c r="C226" s="730"/>
      <c r="D226" s="730"/>
      <c r="E226" s="730"/>
      <c r="F226" s="730"/>
      <c r="G226" s="730"/>
      <c r="H226" s="730"/>
      <c r="I226" s="730"/>
      <c r="J226" s="730"/>
      <c r="K226" s="777"/>
    </row>
    <row r="227" spans="1:11" x14ac:dyDescent="0.2">
      <c r="A227" s="730"/>
      <c r="B227" s="730"/>
      <c r="C227" s="730"/>
      <c r="D227" s="730"/>
      <c r="E227" s="730"/>
      <c r="F227" s="730"/>
      <c r="G227" s="730"/>
      <c r="H227" s="730"/>
      <c r="I227" s="730"/>
      <c r="J227" s="730"/>
      <c r="K227" s="777"/>
    </row>
    <row r="228" spans="1:11" x14ac:dyDescent="0.2">
      <c r="A228" s="730"/>
      <c r="B228" s="730"/>
      <c r="C228" s="730"/>
      <c r="D228" s="730"/>
      <c r="E228" s="730"/>
      <c r="F228" s="730"/>
      <c r="G228" s="730"/>
      <c r="H228" s="730"/>
      <c r="I228" s="730"/>
      <c r="J228" s="730"/>
      <c r="K228" s="777"/>
    </row>
    <row r="229" spans="1:11" x14ac:dyDescent="0.2">
      <c r="A229" s="730"/>
      <c r="B229" s="730"/>
      <c r="C229" s="730"/>
      <c r="D229" s="730"/>
      <c r="E229" s="730"/>
      <c r="F229" s="730"/>
      <c r="G229" s="730"/>
      <c r="H229" s="730"/>
      <c r="I229" s="730"/>
      <c r="J229" s="730"/>
      <c r="K229" s="777"/>
    </row>
    <row r="230" spans="1:11" x14ac:dyDescent="0.2">
      <c r="A230" s="730"/>
      <c r="B230" s="730"/>
      <c r="C230" s="730"/>
      <c r="D230" s="730"/>
      <c r="E230" s="730"/>
      <c r="F230" s="730"/>
      <c r="G230" s="730"/>
      <c r="H230" s="730"/>
      <c r="I230" s="730"/>
      <c r="J230" s="730"/>
      <c r="K230" s="777"/>
    </row>
    <row r="231" spans="1:11" x14ac:dyDescent="0.2">
      <c r="A231" s="730"/>
      <c r="B231" s="730"/>
      <c r="C231" s="730"/>
      <c r="D231" s="730"/>
      <c r="E231" s="730"/>
      <c r="F231" s="730"/>
      <c r="G231" s="730"/>
      <c r="H231" s="730"/>
      <c r="I231" s="730"/>
      <c r="J231" s="730"/>
      <c r="K231" s="777"/>
    </row>
    <row r="232" spans="1:11" x14ac:dyDescent="0.2">
      <c r="A232" s="730"/>
      <c r="B232" s="730"/>
      <c r="C232" s="730"/>
      <c r="D232" s="730"/>
      <c r="E232" s="730"/>
      <c r="F232" s="730"/>
      <c r="G232" s="730"/>
      <c r="H232" s="730"/>
      <c r="I232" s="730"/>
      <c r="J232" s="730"/>
      <c r="K232" s="777"/>
    </row>
    <row r="233" spans="1:11" x14ac:dyDescent="0.2">
      <c r="A233" s="730"/>
      <c r="B233" s="730"/>
      <c r="C233" s="730"/>
      <c r="D233" s="730"/>
      <c r="E233" s="730"/>
      <c r="F233" s="730"/>
      <c r="G233" s="730"/>
      <c r="H233" s="730"/>
      <c r="I233" s="730"/>
      <c r="J233" s="730"/>
      <c r="K233" s="777"/>
    </row>
    <row r="234" spans="1:11" x14ac:dyDescent="0.2">
      <c r="A234" s="730"/>
      <c r="B234" s="730"/>
      <c r="C234" s="730"/>
      <c r="D234" s="730"/>
      <c r="E234" s="730"/>
      <c r="F234" s="730"/>
      <c r="G234" s="730"/>
      <c r="H234" s="730"/>
      <c r="I234" s="730"/>
      <c r="J234" s="730"/>
      <c r="K234" s="777"/>
    </row>
    <row r="235" spans="1:11" x14ac:dyDescent="0.2">
      <c r="A235" s="730"/>
      <c r="B235" s="730"/>
      <c r="C235" s="730"/>
      <c r="D235" s="730"/>
      <c r="E235" s="730"/>
      <c r="F235" s="730"/>
      <c r="G235" s="730"/>
      <c r="H235" s="730"/>
      <c r="I235" s="730"/>
      <c r="J235" s="730"/>
      <c r="K235" s="777"/>
    </row>
    <row r="236" spans="1:11" x14ac:dyDescent="0.2">
      <c r="A236" s="730"/>
      <c r="B236" s="730"/>
      <c r="C236" s="730"/>
      <c r="D236" s="730"/>
      <c r="E236" s="730"/>
      <c r="F236" s="730"/>
      <c r="G236" s="730"/>
      <c r="H236" s="730"/>
      <c r="I236" s="730"/>
      <c r="J236" s="730"/>
      <c r="K236" s="777"/>
    </row>
    <row r="237" spans="1:11" x14ac:dyDescent="0.2">
      <c r="A237" s="730"/>
      <c r="B237" s="730"/>
      <c r="C237" s="730"/>
      <c r="D237" s="730"/>
      <c r="E237" s="730"/>
      <c r="F237" s="730"/>
      <c r="G237" s="730"/>
      <c r="H237" s="730"/>
      <c r="I237" s="730"/>
      <c r="J237" s="730"/>
      <c r="K237" s="777"/>
    </row>
    <row r="238" spans="1:11" x14ac:dyDescent="0.2">
      <c r="A238" s="730"/>
      <c r="B238" s="730"/>
      <c r="C238" s="730"/>
      <c r="D238" s="730"/>
      <c r="E238" s="730"/>
      <c r="F238" s="730"/>
      <c r="G238" s="730"/>
      <c r="H238" s="730"/>
      <c r="I238" s="730"/>
      <c r="J238" s="730"/>
      <c r="K238" s="777"/>
    </row>
    <row r="239" spans="1:11" x14ac:dyDescent="0.2">
      <c r="A239" s="730"/>
      <c r="B239" s="730"/>
      <c r="C239" s="730"/>
      <c r="D239" s="730"/>
      <c r="E239" s="730"/>
      <c r="F239" s="730"/>
      <c r="G239" s="730"/>
      <c r="H239" s="730"/>
      <c r="I239" s="730"/>
      <c r="J239" s="730"/>
      <c r="K239" s="777"/>
    </row>
    <row r="240" spans="1:11" x14ac:dyDescent="0.2">
      <c r="A240" s="730"/>
      <c r="B240" s="730"/>
      <c r="C240" s="730"/>
      <c r="D240" s="730"/>
      <c r="E240" s="730"/>
      <c r="F240" s="730"/>
      <c r="G240" s="730"/>
      <c r="H240" s="730"/>
      <c r="I240" s="730"/>
      <c r="J240" s="730"/>
      <c r="K240" s="777"/>
    </row>
    <row r="241" spans="1:11" x14ac:dyDescent="0.2">
      <c r="A241" s="730"/>
      <c r="B241" s="730"/>
      <c r="C241" s="730"/>
      <c r="D241" s="730"/>
      <c r="E241" s="730"/>
      <c r="F241" s="730"/>
      <c r="G241" s="730"/>
      <c r="H241" s="730"/>
      <c r="I241" s="730"/>
      <c r="J241" s="730"/>
      <c r="K241" s="777"/>
    </row>
    <row r="242" spans="1:11" x14ac:dyDescent="0.2">
      <c r="A242" s="730"/>
      <c r="B242" s="730"/>
      <c r="C242" s="730"/>
      <c r="D242" s="730"/>
      <c r="E242" s="730"/>
      <c r="F242" s="730"/>
      <c r="G242" s="730"/>
      <c r="H242" s="730"/>
      <c r="I242" s="730"/>
      <c r="J242" s="730"/>
      <c r="K242" s="777"/>
    </row>
    <row r="243" spans="1:11" x14ac:dyDescent="0.2">
      <c r="A243" s="730"/>
      <c r="B243" s="730"/>
      <c r="C243" s="730"/>
      <c r="D243" s="730"/>
      <c r="E243" s="730"/>
      <c r="F243" s="730"/>
      <c r="G243" s="730"/>
      <c r="H243" s="730"/>
      <c r="I243" s="730"/>
      <c r="J243" s="730"/>
      <c r="K243" s="777"/>
    </row>
    <row r="244" spans="1:11" x14ac:dyDescent="0.2">
      <c r="A244" s="730"/>
      <c r="B244" s="730"/>
      <c r="C244" s="730"/>
      <c r="D244" s="730"/>
      <c r="E244" s="730"/>
      <c r="F244" s="730"/>
      <c r="G244" s="730"/>
      <c r="H244" s="730"/>
      <c r="I244" s="730"/>
      <c r="J244" s="730"/>
      <c r="K244" s="777"/>
    </row>
    <row r="245" spans="1:11" x14ac:dyDescent="0.2">
      <c r="A245" s="730"/>
      <c r="B245" s="730"/>
      <c r="C245" s="730"/>
      <c r="D245" s="730"/>
      <c r="E245" s="730"/>
      <c r="F245" s="730"/>
      <c r="G245" s="730"/>
      <c r="H245" s="730"/>
      <c r="I245" s="730"/>
      <c r="J245" s="730"/>
      <c r="K245" s="777"/>
    </row>
    <row r="246" spans="1:11" x14ac:dyDescent="0.2">
      <c r="A246" s="730"/>
      <c r="B246" s="730"/>
      <c r="C246" s="730"/>
      <c r="D246" s="730"/>
      <c r="E246" s="730"/>
      <c r="F246" s="730"/>
      <c r="G246" s="730"/>
      <c r="H246" s="730"/>
      <c r="I246" s="730"/>
      <c r="J246" s="730"/>
      <c r="K246" s="777"/>
    </row>
    <row r="247" spans="1:11" x14ac:dyDescent="0.2">
      <c r="A247" s="730"/>
      <c r="B247" s="730"/>
      <c r="C247" s="730"/>
      <c r="D247" s="730"/>
      <c r="E247" s="730"/>
      <c r="F247" s="730"/>
      <c r="G247" s="730"/>
      <c r="H247" s="730"/>
      <c r="I247" s="730"/>
      <c r="J247" s="730"/>
      <c r="K247" s="777"/>
    </row>
    <row r="248" spans="1:11" x14ac:dyDescent="0.2">
      <c r="A248" s="730"/>
      <c r="B248" s="730"/>
      <c r="C248" s="730"/>
      <c r="D248" s="730"/>
      <c r="E248" s="730"/>
      <c r="F248" s="730"/>
      <c r="G248" s="730"/>
      <c r="H248" s="730"/>
      <c r="I248" s="730"/>
      <c r="J248" s="730"/>
      <c r="K248" s="777"/>
    </row>
    <row r="249" spans="1:11" x14ac:dyDescent="0.2">
      <c r="A249" s="730"/>
      <c r="B249" s="730"/>
      <c r="C249" s="730"/>
      <c r="D249" s="730"/>
      <c r="E249" s="730"/>
      <c r="F249" s="730"/>
      <c r="G249" s="730"/>
      <c r="H249" s="730"/>
      <c r="I249" s="730"/>
      <c r="J249" s="730"/>
      <c r="K249" s="777"/>
    </row>
    <row r="250" spans="1:11" x14ac:dyDescent="0.2">
      <c r="A250" s="730"/>
      <c r="B250" s="730"/>
      <c r="C250" s="730"/>
      <c r="D250" s="730"/>
      <c r="E250" s="730"/>
      <c r="F250" s="730"/>
      <c r="G250" s="730"/>
      <c r="H250" s="730"/>
      <c r="I250" s="730"/>
      <c r="J250" s="730"/>
      <c r="K250" s="777"/>
    </row>
    <row r="251" spans="1:11" x14ac:dyDescent="0.2">
      <c r="A251" s="730"/>
      <c r="B251" s="730"/>
      <c r="C251" s="730"/>
      <c r="D251" s="730"/>
      <c r="E251" s="730"/>
      <c r="F251" s="730"/>
      <c r="G251" s="730"/>
      <c r="H251" s="730"/>
      <c r="I251" s="730"/>
      <c r="J251" s="730"/>
      <c r="K251" s="777"/>
    </row>
    <row r="252" spans="1:11" x14ac:dyDescent="0.2">
      <c r="A252" s="730"/>
      <c r="B252" s="730"/>
      <c r="C252" s="730"/>
      <c r="D252" s="730"/>
      <c r="E252" s="730"/>
      <c r="F252" s="730"/>
      <c r="G252" s="730"/>
      <c r="H252" s="730"/>
      <c r="I252" s="730"/>
      <c r="J252" s="730"/>
      <c r="K252" s="777"/>
    </row>
    <row r="253" spans="1:11" x14ac:dyDescent="0.2">
      <c r="A253" s="730"/>
      <c r="B253" s="730"/>
      <c r="C253" s="730"/>
      <c r="D253" s="730"/>
      <c r="E253" s="730"/>
      <c r="F253" s="730"/>
      <c r="G253" s="730"/>
      <c r="H253" s="730"/>
      <c r="I253" s="730"/>
      <c r="J253" s="730"/>
      <c r="K253" s="777"/>
    </row>
    <row r="254" spans="1:11" x14ac:dyDescent="0.2">
      <c r="A254" s="730"/>
      <c r="B254" s="730"/>
      <c r="C254" s="730"/>
      <c r="D254" s="730"/>
      <c r="E254" s="730"/>
      <c r="F254" s="730"/>
      <c r="G254" s="730"/>
      <c r="H254" s="730"/>
      <c r="I254" s="730"/>
      <c r="J254" s="730"/>
      <c r="K254" s="777"/>
    </row>
    <row r="255" spans="1:11" x14ac:dyDescent="0.2">
      <c r="A255" s="730"/>
      <c r="B255" s="730"/>
      <c r="C255" s="730"/>
      <c r="D255" s="730"/>
      <c r="E255" s="730"/>
      <c r="F255" s="730"/>
      <c r="G255" s="730"/>
      <c r="H255" s="730"/>
      <c r="I255" s="730"/>
      <c r="J255" s="730"/>
      <c r="K255" s="777"/>
    </row>
    <row r="256" spans="1:11" x14ac:dyDescent="0.2">
      <c r="A256" s="730"/>
      <c r="B256" s="730"/>
      <c r="C256" s="730"/>
      <c r="D256" s="730"/>
      <c r="E256" s="730"/>
      <c r="F256" s="730"/>
      <c r="G256" s="730"/>
      <c r="H256" s="730"/>
      <c r="I256" s="730"/>
      <c r="J256" s="730"/>
      <c r="K256" s="777"/>
    </row>
    <row r="257" spans="1:11" x14ac:dyDescent="0.2">
      <c r="A257" s="730"/>
      <c r="B257" s="730"/>
      <c r="C257" s="730"/>
      <c r="D257" s="730"/>
      <c r="E257" s="730"/>
      <c r="F257" s="730"/>
      <c r="G257" s="730"/>
      <c r="H257" s="730"/>
      <c r="I257" s="730"/>
      <c r="J257" s="730"/>
      <c r="K257" s="777"/>
    </row>
    <row r="258" spans="1:11" x14ac:dyDescent="0.2">
      <c r="A258" s="730"/>
      <c r="B258" s="730"/>
      <c r="C258" s="730"/>
      <c r="D258" s="730"/>
      <c r="E258" s="730"/>
      <c r="F258" s="730"/>
      <c r="G258" s="730"/>
      <c r="H258" s="730"/>
      <c r="I258" s="730"/>
      <c r="J258" s="730"/>
      <c r="K258" s="777"/>
    </row>
    <row r="259" spans="1:11" x14ac:dyDescent="0.2">
      <c r="A259" s="730"/>
      <c r="B259" s="730"/>
      <c r="C259" s="730"/>
      <c r="D259" s="730"/>
      <c r="E259" s="730"/>
      <c r="F259" s="730"/>
      <c r="G259" s="730"/>
      <c r="H259" s="730"/>
      <c r="I259" s="730"/>
      <c r="J259" s="730"/>
      <c r="K259" s="777"/>
    </row>
    <row r="260" spans="1:11" x14ac:dyDescent="0.2">
      <c r="A260" s="730"/>
      <c r="B260" s="730"/>
      <c r="C260" s="730"/>
      <c r="D260" s="730"/>
      <c r="E260" s="730"/>
      <c r="F260" s="730"/>
      <c r="G260" s="730"/>
      <c r="H260" s="730"/>
      <c r="I260" s="730"/>
      <c r="J260" s="730"/>
      <c r="K260" s="777"/>
    </row>
    <row r="261" spans="1:11" x14ac:dyDescent="0.2">
      <c r="A261" s="730"/>
      <c r="B261" s="730"/>
      <c r="C261" s="730"/>
      <c r="D261" s="730"/>
      <c r="E261" s="730"/>
      <c r="F261" s="730"/>
      <c r="G261" s="730"/>
      <c r="H261" s="730"/>
      <c r="I261" s="730"/>
      <c r="J261" s="730"/>
      <c r="K261" s="777"/>
    </row>
    <row r="262" spans="1:11" x14ac:dyDescent="0.2">
      <c r="A262" s="730"/>
      <c r="B262" s="730"/>
      <c r="C262" s="730"/>
      <c r="D262" s="730"/>
      <c r="E262" s="730"/>
      <c r="F262" s="730"/>
      <c r="G262" s="730"/>
      <c r="H262" s="730"/>
      <c r="I262" s="730"/>
      <c r="J262" s="730"/>
      <c r="K262" s="777"/>
    </row>
    <row r="263" spans="1:11" x14ac:dyDescent="0.2">
      <c r="A263" s="730"/>
      <c r="B263" s="730"/>
      <c r="C263" s="730"/>
      <c r="D263" s="730"/>
      <c r="E263" s="730"/>
      <c r="F263" s="730"/>
      <c r="G263" s="730"/>
      <c r="H263" s="730"/>
      <c r="I263" s="730"/>
      <c r="J263" s="730"/>
      <c r="K263" s="777"/>
    </row>
    <row r="264" spans="1:11" x14ac:dyDescent="0.2">
      <c r="A264" s="730"/>
      <c r="B264" s="730"/>
      <c r="C264" s="730"/>
      <c r="D264" s="730"/>
      <c r="E264" s="730"/>
      <c r="F264" s="730"/>
      <c r="G264" s="730"/>
      <c r="H264" s="730"/>
      <c r="I264" s="730"/>
      <c r="J264" s="730"/>
      <c r="K264" s="777"/>
    </row>
    <row r="265" spans="1:11" x14ac:dyDescent="0.2">
      <c r="A265" s="730"/>
      <c r="B265" s="730"/>
      <c r="C265" s="730"/>
      <c r="D265" s="730"/>
      <c r="E265" s="730"/>
      <c r="F265" s="730"/>
      <c r="G265" s="730"/>
      <c r="H265" s="730"/>
      <c r="I265" s="730"/>
      <c r="J265" s="730"/>
      <c r="K265" s="777"/>
    </row>
    <row r="266" spans="1:11" x14ac:dyDescent="0.2">
      <c r="A266" s="730"/>
      <c r="B266" s="730"/>
      <c r="C266" s="730"/>
      <c r="D266" s="730"/>
      <c r="E266" s="730"/>
      <c r="F266" s="730"/>
      <c r="G266" s="730"/>
      <c r="H266" s="730"/>
      <c r="I266" s="730"/>
      <c r="J266" s="730"/>
      <c r="K266" s="777"/>
    </row>
    <row r="267" spans="1:11" x14ac:dyDescent="0.2">
      <c r="A267" s="730"/>
      <c r="B267" s="730"/>
      <c r="C267" s="730"/>
      <c r="D267" s="730"/>
      <c r="E267" s="730"/>
      <c r="F267" s="730"/>
      <c r="G267" s="730"/>
      <c r="H267" s="730"/>
      <c r="I267" s="730"/>
      <c r="J267" s="730"/>
      <c r="K267" s="777"/>
    </row>
    <row r="268" spans="1:11" x14ac:dyDescent="0.2">
      <c r="A268" s="730"/>
      <c r="B268" s="730"/>
      <c r="C268" s="730"/>
      <c r="D268" s="730"/>
      <c r="E268" s="730"/>
      <c r="F268" s="730"/>
      <c r="G268" s="730"/>
      <c r="H268" s="730"/>
      <c r="I268" s="730"/>
      <c r="J268" s="730"/>
      <c r="K268" s="777"/>
    </row>
    <row r="269" spans="1:11" x14ac:dyDescent="0.2">
      <c r="A269" s="730"/>
      <c r="B269" s="730"/>
      <c r="C269" s="730"/>
      <c r="D269" s="730"/>
      <c r="E269" s="730"/>
      <c r="F269" s="730"/>
      <c r="G269" s="730"/>
      <c r="H269" s="730"/>
      <c r="I269" s="730"/>
      <c r="J269" s="730"/>
      <c r="K269" s="777"/>
    </row>
    <row r="270" spans="1:11" x14ac:dyDescent="0.2">
      <c r="A270" s="730"/>
      <c r="B270" s="730"/>
      <c r="C270" s="730"/>
      <c r="D270" s="730"/>
      <c r="E270" s="730"/>
      <c r="F270" s="730"/>
      <c r="G270" s="730"/>
      <c r="H270" s="730"/>
      <c r="I270" s="730"/>
      <c r="J270" s="730"/>
      <c r="K270" s="777"/>
    </row>
    <row r="271" spans="1:11" x14ac:dyDescent="0.2">
      <c r="A271" s="730"/>
      <c r="B271" s="730"/>
      <c r="C271" s="730"/>
      <c r="D271" s="730"/>
      <c r="E271" s="730"/>
      <c r="F271" s="730"/>
      <c r="G271" s="730"/>
      <c r="H271" s="730"/>
      <c r="I271" s="730"/>
      <c r="J271" s="730"/>
      <c r="K271" s="777"/>
    </row>
    <row r="272" spans="1:11" x14ac:dyDescent="0.2">
      <c r="A272" s="730"/>
      <c r="B272" s="730"/>
      <c r="C272" s="730"/>
      <c r="D272" s="730"/>
      <c r="E272" s="730"/>
      <c r="F272" s="730"/>
      <c r="G272" s="730"/>
      <c r="H272" s="730"/>
      <c r="I272" s="730"/>
      <c r="J272" s="730"/>
      <c r="K272" s="777"/>
    </row>
    <row r="273" spans="1:11" x14ac:dyDescent="0.2">
      <c r="A273" s="730"/>
      <c r="B273" s="730"/>
      <c r="C273" s="730"/>
      <c r="D273" s="730"/>
      <c r="E273" s="730"/>
      <c r="F273" s="730"/>
      <c r="G273" s="730"/>
      <c r="H273" s="730"/>
      <c r="I273" s="730"/>
      <c r="J273" s="730"/>
      <c r="K273" s="777"/>
    </row>
    <row r="274" spans="1:11" x14ac:dyDescent="0.2">
      <c r="A274" s="730"/>
      <c r="B274" s="730"/>
      <c r="C274" s="730"/>
      <c r="D274" s="730"/>
      <c r="E274" s="730"/>
      <c r="F274" s="730"/>
      <c r="G274" s="730"/>
      <c r="H274" s="730"/>
      <c r="I274" s="730"/>
      <c r="J274" s="730"/>
      <c r="K274" s="777"/>
    </row>
    <row r="275" spans="1:11" x14ac:dyDescent="0.2">
      <c r="A275" s="730"/>
      <c r="B275" s="730"/>
      <c r="C275" s="730"/>
      <c r="D275" s="730"/>
      <c r="E275" s="730"/>
      <c r="F275" s="730"/>
      <c r="G275" s="730"/>
      <c r="H275" s="730"/>
      <c r="I275" s="730"/>
      <c r="J275" s="730"/>
      <c r="K275" s="777"/>
    </row>
    <row r="276" spans="1:11" x14ac:dyDescent="0.2">
      <c r="A276" s="730"/>
      <c r="B276" s="730"/>
      <c r="C276" s="730"/>
      <c r="D276" s="730"/>
      <c r="E276" s="730"/>
      <c r="F276" s="730"/>
      <c r="G276" s="730"/>
      <c r="H276" s="730"/>
      <c r="I276" s="730"/>
      <c r="J276" s="730"/>
      <c r="K276" s="777"/>
    </row>
    <row r="277" spans="1:11" x14ac:dyDescent="0.2">
      <c r="A277" s="730"/>
      <c r="B277" s="730"/>
      <c r="C277" s="730"/>
      <c r="D277" s="730"/>
      <c r="E277" s="730"/>
      <c r="F277" s="730"/>
      <c r="G277" s="730"/>
      <c r="H277" s="730"/>
      <c r="I277" s="730"/>
      <c r="J277" s="730"/>
      <c r="K277" s="777"/>
    </row>
    <row r="278" spans="1:11" x14ac:dyDescent="0.2">
      <c r="A278" s="730"/>
      <c r="B278" s="730"/>
      <c r="C278" s="730"/>
      <c r="D278" s="730"/>
      <c r="E278" s="730"/>
      <c r="F278" s="730"/>
      <c r="G278" s="730"/>
      <c r="H278" s="730"/>
      <c r="I278" s="730"/>
      <c r="J278" s="730"/>
      <c r="K278" s="777"/>
    </row>
    <row r="279" spans="1:11" x14ac:dyDescent="0.2">
      <c r="A279" s="730"/>
      <c r="B279" s="730"/>
      <c r="C279" s="730"/>
      <c r="D279" s="730"/>
      <c r="E279" s="730"/>
      <c r="F279" s="730"/>
      <c r="G279" s="730"/>
      <c r="H279" s="730"/>
      <c r="I279" s="730"/>
      <c r="J279" s="730"/>
      <c r="K279" s="777"/>
    </row>
    <row r="280" spans="1:11" x14ac:dyDescent="0.2">
      <c r="A280" s="730"/>
      <c r="B280" s="730"/>
      <c r="C280" s="730"/>
      <c r="D280" s="730"/>
      <c r="E280" s="730"/>
      <c r="F280" s="730"/>
      <c r="G280" s="730"/>
      <c r="H280" s="730"/>
      <c r="I280" s="730"/>
      <c r="J280" s="730"/>
      <c r="K280" s="777"/>
    </row>
    <row r="281" spans="1:11" x14ac:dyDescent="0.2">
      <c r="A281" s="730"/>
      <c r="B281" s="730"/>
      <c r="C281" s="730"/>
      <c r="D281" s="730"/>
      <c r="E281" s="730"/>
      <c r="F281" s="730"/>
      <c r="G281" s="730"/>
      <c r="H281" s="730"/>
      <c r="I281" s="730"/>
      <c r="J281" s="730"/>
      <c r="K281" s="777"/>
    </row>
    <row r="282" spans="1:11" x14ac:dyDescent="0.2">
      <c r="A282" s="730"/>
      <c r="B282" s="730"/>
      <c r="C282" s="730"/>
      <c r="D282" s="730"/>
      <c r="E282" s="730"/>
      <c r="F282" s="730"/>
      <c r="G282" s="730"/>
      <c r="H282" s="730"/>
      <c r="I282" s="730"/>
      <c r="J282" s="730"/>
      <c r="K282" s="777"/>
    </row>
    <row r="283" spans="1:11" x14ac:dyDescent="0.2">
      <c r="A283" s="730"/>
      <c r="B283" s="730"/>
      <c r="C283" s="730"/>
      <c r="D283" s="730"/>
      <c r="E283" s="730"/>
      <c r="F283" s="730"/>
      <c r="G283" s="730"/>
      <c r="H283" s="730"/>
      <c r="I283" s="730"/>
      <c r="J283" s="730"/>
      <c r="K283" s="777"/>
    </row>
    <row r="284" spans="1:11" x14ac:dyDescent="0.2">
      <c r="A284" s="730"/>
      <c r="B284" s="730"/>
      <c r="C284" s="730"/>
      <c r="D284" s="730"/>
      <c r="E284" s="730"/>
      <c r="F284" s="730"/>
      <c r="G284" s="730"/>
      <c r="H284" s="730"/>
      <c r="I284" s="730"/>
      <c r="J284" s="730"/>
      <c r="K284" s="777"/>
    </row>
    <row r="285" spans="1:11" x14ac:dyDescent="0.2">
      <c r="A285" s="730"/>
      <c r="B285" s="730"/>
      <c r="C285" s="730"/>
      <c r="D285" s="730"/>
      <c r="E285" s="730"/>
      <c r="F285" s="730"/>
      <c r="G285" s="730"/>
      <c r="H285" s="730"/>
      <c r="I285" s="730"/>
      <c r="J285" s="730"/>
      <c r="K285" s="777"/>
    </row>
    <row r="286" spans="1:11" x14ac:dyDescent="0.2">
      <c r="A286" s="730"/>
      <c r="B286" s="730"/>
      <c r="C286" s="730"/>
      <c r="D286" s="730"/>
      <c r="E286" s="730"/>
      <c r="F286" s="730"/>
      <c r="G286" s="730"/>
      <c r="H286" s="730"/>
      <c r="I286" s="730"/>
      <c r="J286" s="730"/>
      <c r="K286" s="777"/>
    </row>
    <row r="287" spans="1:11" x14ac:dyDescent="0.2">
      <c r="A287" s="730"/>
      <c r="B287" s="730"/>
      <c r="C287" s="730"/>
      <c r="D287" s="730"/>
      <c r="E287" s="730"/>
      <c r="F287" s="730"/>
      <c r="G287" s="730"/>
      <c r="H287" s="730"/>
      <c r="I287" s="730"/>
      <c r="J287" s="730"/>
      <c r="K287" s="777"/>
    </row>
    <row r="288" spans="1:11" x14ac:dyDescent="0.2">
      <c r="A288" s="730"/>
      <c r="B288" s="730"/>
      <c r="C288" s="730"/>
      <c r="D288" s="730"/>
      <c r="E288" s="730"/>
      <c r="F288" s="730"/>
      <c r="G288" s="730"/>
      <c r="H288" s="730"/>
      <c r="I288" s="730"/>
      <c r="J288" s="730"/>
      <c r="K288" s="777"/>
    </row>
    <row r="289" spans="1:11" x14ac:dyDescent="0.2">
      <c r="A289" s="730"/>
      <c r="B289" s="730"/>
      <c r="C289" s="730"/>
      <c r="D289" s="730"/>
      <c r="E289" s="730"/>
      <c r="F289" s="730"/>
      <c r="G289" s="730"/>
      <c r="H289" s="730"/>
      <c r="I289" s="730"/>
      <c r="J289" s="730"/>
      <c r="K289" s="777"/>
    </row>
    <row r="290" spans="1:11" x14ac:dyDescent="0.2">
      <c r="A290" s="730"/>
      <c r="B290" s="730"/>
      <c r="C290" s="730"/>
      <c r="D290" s="730"/>
      <c r="E290" s="730"/>
      <c r="F290" s="730"/>
      <c r="G290" s="730"/>
      <c r="H290" s="730"/>
      <c r="I290" s="730"/>
      <c r="J290" s="730"/>
      <c r="K290" s="777"/>
    </row>
    <row r="291" spans="1:11" x14ac:dyDescent="0.2">
      <c r="A291" s="730"/>
      <c r="B291" s="730"/>
      <c r="C291" s="730"/>
      <c r="D291" s="730"/>
      <c r="E291" s="730"/>
      <c r="F291" s="730"/>
      <c r="G291" s="730"/>
      <c r="H291" s="730"/>
      <c r="I291" s="730"/>
      <c r="J291" s="730"/>
      <c r="K291" s="777"/>
    </row>
    <row r="292" spans="1:11" x14ac:dyDescent="0.2">
      <c r="A292" s="730"/>
      <c r="B292" s="730"/>
      <c r="C292" s="730"/>
      <c r="D292" s="730"/>
      <c r="E292" s="730"/>
      <c r="F292" s="730"/>
      <c r="G292" s="730"/>
      <c r="H292" s="730"/>
      <c r="I292" s="730"/>
      <c r="J292" s="730"/>
      <c r="K292" s="777"/>
    </row>
    <row r="293" spans="1:11" x14ac:dyDescent="0.2">
      <c r="A293" s="730"/>
      <c r="B293" s="730"/>
      <c r="C293" s="730"/>
      <c r="D293" s="730"/>
      <c r="E293" s="730"/>
      <c r="F293" s="730"/>
      <c r="G293" s="730"/>
      <c r="H293" s="730"/>
      <c r="I293" s="730"/>
      <c r="J293" s="730"/>
      <c r="K293" s="777"/>
    </row>
    <row r="294" spans="1:11" x14ac:dyDescent="0.2">
      <c r="A294" s="730"/>
      <c r="B294" s="730"/>
      <c r="C294" s="730"/>
      <c r="D294" s="730"/>
      <c r="E294" s="730"/>
      <c r="F294" s="730"/>
      <c r="G294" s="730"/>
      <c r="H294" s="730"/>
      <c r="I294" s="730"/>
      <c r="J294" s="730"/>
      <c r="K294" s="777"/>
    </row>
    <row r="295" spans="1:11" x14ac:dyDescent="0.2">
      <c r="A295" s="730"/>
      <c r="B295" s="730"/>
      <c r="C295" s="730"/>
      <c r="D295" s="730"/>
      <c r="E295" s="730"/>
      <c r="F295" s="730"/>
      <c r="G295" s="730"/>
      <c r="H295" s="730"/>
      <c r="I295" s="730"/>
      <c r="J295" s="730"/>
      <c r="K295" s="777"/>
    </row>
    <row r="296" spans="1:11" x14ac:dyDescent="0.2">
      <c r="A296" s="730"/>
      <c r="B296" s="730"/>
      <c r="C296" s="730"/>
      <c r="D296" s="730"/>
      <c r="E296" s="730"/>
      <c r="F296" s="730"/>
      <c r="G296" s="730"/>
      <c r="H296" s="730"/>
      <c r="I296" s="730"/>
      <c r="J296" s="730"/>
      <c r="K296" s="777"/>
    </row>
    <row r="297" spans="1:11" x14ac:dyDescent="0.2">
      <c r="A297" s="730"/>
      <c r="B297" s="730"/>
      <c r="C297" s="730"/>
      <c r="D297" s="730"/>
      <c r="E297" s="730"/>
      <c r="F297" s="730"/>
      <c r="G297" s="730"/>
      <c r="H297" s="730"/>
      <c r="I297" s="730"/>
      <c r="J297" s="730"/>
      <c r="K297" s="777"/>
    </row>
    <row r="298" spans="1:11" x14ac:dyDescent="0.2">
      <c r="A298" s="730"/>
      <c r="B298" s="730"/>
      <c r="C298" s="730"/>
      <c r="D298" s="730"/>
      <c r="E298" s="730"/>
      <c r="F298" s="730"/>
      <c r="G298" s="730"/>
      <c r="H298" s="730"/>
      <c r="I298" s="730"/>
      <c r="J298" s="730"/>
      <c r="K298" s="777"/>
    </row>
    <row r="299" spans="1:11" x14ac:dyDescent="0.2">
      <c r="A299" s="730"/>
      <c r="B299" s="730"/>
      <c r="C299" s="730"/>
      <c r="D299" s="730"/>
      <c r="E299" s="730"/>
      <c r="F299" s="730"/>
      <c r="G299" s="730"/>
      <c r="H299" s="730"/>
      <c r="I299" s="730"/>
      <c r="J299" s="730"/>
      <c r="K299" s="777"/>
    </row>
    <row r="300" spans="1:11" x14ac:dyDescent="0.2">
      <c r="A300" s="730"/>
      <c r="B300" s="730"/>
      <c r="C300" s="730"/>
      <c r="D300" s="730"/>
      <c r="E300" s="730"/>
      <c r="F300" s="730"/>
      <c r="G300" s="730"/>
      <c r="H300" s="730"/>
      <c r="I300" s="730"/>
      <c r="J300" s="730"/>
      <c r="K300" s="777"/>
    </row>
    <row r="301" spans="1:11" x14ac:dyDescent="0.2">
      <c r="A301" s="730"/>
      <c r="B301" s="730"/>
      <c r="C301" s="730"/>
      <c r="D301" s="730"/>
      <c r="E301" s="730"/>
      <c r="F301" s="730"/>
      <c r="G301" s="730"/>
      <c r="H301" s="730"/>
      <c r="I301" s="730"/>
      <c r="J301" s="730"/>
      <c r="K301" s="777"/>
    </row>
    <row r="302" spans="1:11" x14ac:dyDescent="0.2">
      <c r="A302" s="730"/>
      <c r="B302" s="730"/>
      <c r="C302" s="730"/>
      <c r="D302" s="730"/>
      <c r="E302" s="730"/>
      <c r="F302" s="730"/>
      <c r="G302" s="730"/>
      <c r="H302" s="730"/>
      <c r="I302" s="730"/>
      <c r="J302" s="730"/>
      <c r="K302" s="777"/>
    </row>
    <row r="303" spans="1:11" x14ac:dyDescent="0.2">
      <c r="A303" s="730"/>
      <c r="B303" s="730"/>
      <c r="C303" s="730"/>
      <c r="D303" s="730"/>
      <c r="E303" s="730"/>
      <c r="F303" s="730"/>
      <c r="G303" s="730"/>
      <c r="H303" s="730"/>
      <c r="I303" s="730"/>
      <c r="J303" s="730"/>
      <c r="K303" s="777"/>
    </row>
    <row r="304" spans="1:11" x14ac:dyDescent="0.2">
      <c r="A304" s="730"/>
      <c r="B304" s="730"/>
      <c r="C304" s="730"/>
      <c r="D304" s="730"/>
      <c r="E304" s="730"/>
      <c r="F304" s="730"/>
      <c r="G304" s="730"/>
      <c r="H304" s="730"/>
      <c r="I304" s="730"/>
      <c r="J304" s="730"/>
      <c r="K304" s="777"/>
    </row>
    <row r="305" spans="1:11" x14ac:dyDescent="0.2">
      <c r="A305" s="730"/>
      <c r="B305" s="730"/>
      <c r="C305" s="730"/>
      <c r="D305" s="730"/>
      <c r="E305" s="730"/>
      <c r="F305" s="730"/>
      <c r="G305" s="730"/>
      <c r="H305" s="730"/>
      <c r="I305" s="730"/>
      <c r="J305" s="730"/>
      <c r="K305" s="777"/>
    </row>
    <row r="306" spans="1:11" x14ac:dyDescent="0.2">
      <c r="A306" s="730"/>
      <c r="B306" s="730"/>
      <c r="C306" s="730"/>
      <c r="D306" s="730"/>
      <c r="E306" s="730"/>
      <c r="F306" s="730"/>
      <c r="G306" s="730"/>
      <c r="H306" s="730"/>
      <c r="I306" s="730"/>
      <c r="J306" s="730"/>
      <c r="K306" s="777"/>
    </row>
    <row r="307" spans="1:11" x14ac:dyDescent="0.2">
      <c r="A307" s="730"/>
      <c r="B307" s="730"/>
      <c r="C307" s="730"/>
      <c r="D307" s="730"/>
      <c r="E307" s="730"/>
      <c r="F307" s="730"/>
      <c r="G307" s="730"/>
      <c r="H307" s="730"/>
      <c r="I307" s="730"/>
      <c r="J307" s="730"/>
      <c r="K307" s="777"/>
    </row>
    <row r="308" spans="1:11" x14ac:dyDescent="0.2">
      <c r="A308" s="730"/>
      <c r="B308" s="730"/>
      <c r="C308" s="730"/>
      <c r="D308" s="730"/>
      <c r="E308" s="730"/>
      <c r="F308" s="730"/>
      <c r="G308" s="730"/>
      <c r="H308" s="730"/>
      <c r="I308" s="730"/>
      <c r="J308" s="730"/>
      <c r="K308" s="777"/>
    </row>
    <row r="309" spans="1:11" x14ac:dyDescent="0.2">
      <c r="A309" s="730"/>
      <c r="B309" s="730"/>
      <c r="C309" s="730"/>
      <c r="D309" s="730"/>
      <c r="E309" s="730"/>
      <c r="F309" s="730"/>
      <c r="G309" s="730"/>
      <c r="H309" s="730"/>
      <c r="I309" s="730"/>
      <c r="J309" s="730"/>
      <c r="K309" s="777"/>
    </row>
    <row r="310" spans="1:11" x14ac:dyDescent="0.2">
      <c r="A310" s="730"/>
      <c r="B310" s="730"/>
      <c r="C310" s="730"/>
      <c r="D310" s="730"/>
      <c r="E310" s="730"/>
      <c r="F310" s="730"/>
      <c r="G310" s="730"/>
      <c r="H310" s="730"/>
      <c r="I310" s="730"/>
      <c r="J310" s="730"/>
      <c r="K310" s="777"/>
    </row>
    <row r="311" spans="1:11" x14ac:dyDescent="0.2">
      <c r="A311" s="730"/>
      <c r="B311" s="730"/>
      <c r="C311" s="730"/>
      <c r="D311" s="730"/>
      <c r="E311" s="730"/>
      <c r="F311" s="730"/>
      <c r="G311" s="730"/>
      <c r="H311" s="730"/>
      <c r="I311" s="730"/>
      <c r="J311" s="730"/>
      <c r="K311" s="777"/>
    </row>
    <row r="312" spans="1:11" x14ac:dyDescent="0.2">
      <c r="A312" s="730"/>
      <c r="B312" s="730"/>
      <c r="C312" s="730"/>
      <c r="D312" s="730"/>
      <c r="E312" s="730"/>
      <c r="F312" s="730"/>
      <c r="G312" s="730"/>
      <c r="H312" s="730"/>
      <c r="I312" s="730"/>
      <c r="J312" s="730"/>
      <c r="K312" s="777"/>
    </row>
    <row r="313" spans="1:11" x14ac:dyDescent="0.2">
      <c r="A313" s="730"/>
      <c r="B313" s="730"/>
      <c r="C313" s="730"/>
      <c r="D313" s="730"/>
      <c r="E313" s="730"/>
      <c r="F313" s="730"/>
      <c r="G313" s="730"/>
      <c r="H313" s="730"/>
      <c r="I313" s="730"/>
      <c r="J313" s="730"/>
      <c r="K313" s="777"/>
    </row>
    <row r="314" spans="1:11" x14ac:dyDescent="0.2">
      <c r="A314" s="730"/>
      <c r="B314" s="730"/>
      <c r="C314" s="730"/>
      <c r="D314" s="730"/>
      <c r="E314" s="730"/>
      <c r="F314" s="730"/>
      <c r="G314" s="730"/>
      <c r="H314" s="730"/>
      <c r="I314" s="730"/>
      <c r="J314" s="730"/>
      <c r="K314" s="777"/>
    </row>
    <row r="315" spans="1:11" x14ac:dyDescent="0.2">
      <c r="A315" s="730"/>
      <c r="B315" s="730"/>
      <c r="C315" s="730"/>
      <c r="D315" s="730"/>
      <c r="E315" s="730"/>
      <c r="F315" s="730"/>
      <c r="G315" s="730"/>
      <c r="H315" s="730"/>
      <c r="I315" s="730"/>
      <c r="J315" s="730"/>
      <c r="K315" s="777"/>
    </row>
    <row r="316" spans="1:11" x14ac:dyDescent="0.2">
      <c r="A316" s="730"/>
      <c r="B316" s="730"/>
      <c r="C316" s="730"/>
      <c r="D316" s="730"/>
      <c r="E316" s="730"/>
      <c r="F316" s="730"/>
      <c r="G316" s="730"/>
      <c r="H316" s="730"/>
      <c r="I316" s="730"/>
      <c r="J316" s="730"/>
      <c r="K316" s="777"/>
    </row>
    <row r="317" spans="1:11" x14ac:dyDescent="0.2">
      <c r="A317" s="730"/>
      <c r="B317" s="730"/>
      <c r="C317" s="730"/>
      <c r="D317" s="730"/>
      <c r="E317" s="730"/>
      <c r="F317" s="730"/>
      <c r="G317" s="730"/>
      <c r="H317" s="730"/>
      <c r="I317" s="730"/>
      <c r="J317" s="730"/>
      <c r="K317" s="777"/>
    </row>
    <row r="318" spans="1:11" x14ac:dyDescent="0.2">
      <c r="A318" s="730"/>
      <c r="B318" s="730"/>
      <c r="C318" s="730"/>
      <c r="D318" s="730"/>
      <c r="E318" s="730"/>
      <c r="F318" s="730"/>
      <c r="G318" s="730"/>
      <c r="H318" s="730"/>
      <c r="I318" s="730"/>
      <c r="J318" s="730"/>
      <c r="K318" s="777"/>
    </row>
    <row r="319" spans="1:11" x14ac:dyDescent="0.2">
      <c r="A319" s="730"/>
      <c r="B319" s="730"/>
      <c r="C319" s="730"/>
      <c r="D319" s="730"/>
      <c r="E319" s="730"/>
      <c r="F319" s="730"/>
      <c r="G319" s="730"/>
      <c r="H319" s="730"/>
      <c r="I319" s="730"/>
      <c r="J319" s="730"/>
      <c r="K319" s="777"/>
    </row>
    <row r="320" spans="1:11" x14ac:dyDescent="0.2">
      <c r="A320" s="730"/>
      <c r="B320" s="730"/>
      <c r="C320" s="730"/>
      <c r="D320" s="730"/>
      <c r="E320" s="730"/>
      <c r="F320" s="730"/>
      <c r="G320" s="730"/>
      <c r="H320" s="730"/>
      <c r="I320" s="730"/>
      <c r="J320" s="730"/>
      <c r="K320" s="777"/>
    </row>
    <row r="321" spans="1:11" x14ac:dyDescent="0.2">
      <c r="A321" s="730"/>
      <c r="B321" s="730"/>
      <c r="C321" s="730"/>
      <c r="D321" s="730"/>
      <c r="E321" s="730"/>
      <c r="F321" s="730"/>
      <c r="G321" s="730"/>
      <c r="H321" s="730"/>
      <c r="I321" s="730"/>
      <c r="J321" s="730"/>
      <c r="K321" s="777"/>
    </row>
    <row r="322" spans="1:11" x14ac:dyDescent="0.2">
      <c r="A322" s="730"/>
      <c r="B322" s="730"/>
      <c r="C322" s="730"/>
      <c r="D322" s="730"/>
      <c r="E322" s="730"/>
      <c r="F322" s="730"/>
      <c r="G322" s="730"/>
      <c r="H322" s="730"/>
      <c r="I322" s="730"/>
      <c r="J322" s="730"/>
      <c r="K322" s="777"/>
    </row>
    <row r="323" spans="1:11" x14ac:dyDescent="0.2">
      <c r="A323" s="730"/>
      <c r="B323" s="730"/>
      <c r="C323" s="730"/>
      <c r="D323" s="730"/>
      <c r="E323" s="730"/>
      <c r="F323" s="730"/>
      <c r="G323" s="730"/>
      <c r="H323" s="730"/>
      <c r="I323" s="730"/>
      <c r="J323" s="730"/>
      <c r="K323" s="777"/>
    </row>
    <row r="324" spans="1:11" x14ac:dyDescent="0.2">
      <c r="A324" s="730"/>
      <c r="B324" s="730"/>
      <c r="C324" s="730"/>
      <c r="D324" s="730"/>
      <c r="E324" s="730"/>
      <c r="F324" s="730"/>
      <c r="G324" s="730"/>
      <c r="H324" s="730"/>
      <c r="I324" s="730"/>
      <c r="J324" s="730"/>
      <c r="K324" s="777"/>
    </row>
    <row r="325" spans="1:11" x14ac:dyDescent="0.2">
      <c r="A325" s="730"/>
      <c r="B325" s="730"/>
      <c r="C325" s="730"/>
      <c r="D325" s="730"/>
      <c r="E325" s="730"/>
      <c r="F325" s="730"/>
      <c r="G325" s="730"/>
      <c r="H325" s="730"/>
      <c r="I325" s="730"/>
      <c r="J325" s="730"/>
      <c r="K325" s="777"/>
    </row>
    <row r="326" spans="1:11" x14ac:dyDescent="0.2">
      <c r="A326" s="730"/>
      <c r="B326" s="730"/>
      <c r="C326" s="730"/>
      <c r="D326" s="730"/>
      <c r="E326" s="730"/>
      <c r="F326" s="730"/>
      <c r="G326" s="730"/>
      <c r="H326" s="730"/>
      <c r="I326" s="730"/>
      <c r="J326" s="730"/>
      <c r="K326" s="777"/>
    </row>
    <row r="327" spans="1:11" x14ac:dyDescent="0.2">
      <c r="A327" s="730"/>
      <c r="B327" s="730"/>
      <c r="C327" s="730"/>
      <c r="D327" s="730"/>
      <c r="E327" s="730"/>
      <c r="F327" s="730"/>
      <c r="G327" s="730"/>
      <c r="H327" s="730"/>
      <c r="I327" s="730"/>
      <c r="J327" s="730"/>
      <c r="K327" s="777"/>
    </row>
    <row r="328" spans="1:11" x14ac:dyDescent="0.2">
      <c r="A328" s="730"/>
      <c r="B328" s="730"/>
      <c r="C328" s="730"/>
      <c r="D328" s="730"/>
      <c r="E328" s="730"/>
      <c r="F328" s="730"/>
      <c r="G328" s="730"/>
      <c r="H328" s="730"/>
      <c r="I328" s="730"/>
      <c r="J328" s="730"/>
      <c r="K328" s="777"/>
    </row>
    <row r="329" spans="1:11" x14ac:dyDescent="0.2">
      <c r="A329" s="730"/>
      <c r="B329" s="730"/>
      <c r="C329" s="730"/>
      <c r="D329" s="730"/>
      <c r="E329" s="730"/>
      <c r="F329" s="730"/>
      <c r="G329" s="730"/>
      <c r="H329" s="730"/>
      <c r="I329" s="730"/>
      <c r="J329" s="730"/>
      <c r="K329" s="777"/>
    </row>
    <row r="330" spans="1:11" x14ac:dyDescent="0.2">
      <c r="A330" s="730"/>
      <c r="B330" s="730"/>
      <c r="C330" s="730"/>
      <c r="D330" s="730"/>
      <c r="E330" s="730"/>
      <c r="F330" s="730"/>
      <c r="G330" s="730"/>
      <c r="H330" s="730"/>
      <c r="I330" s="730"/>
      <c r="J330" s="730"/>
      <c r="K330" s="777"/>
    </row>
    <row r="331" spans="1:11" x14ac:dyDescent="0.2">
      <c r="A331" s="730"/>
      <c r="B331" s="730"/>
      <c r="C331" s="730"/>
      <c r="D331" s="730"/>
      <c r="E331" s="730"/>
      <c r="F331" s="730"/>
      <c r="G331" s="730"/>
      <c r="H331" s="730"/>
      <c r="I331" s="730"/>
      <c r="J331" s="730"/>
      <c r="K331" s="777"/>
    </row>
    <row r="332" spans="1:11" x14ac:dyDescent="0.2">
      <c r="A332" s="730"/>
      <c r="B332" s="730"/>
      <c r="C332" s="730"/>
      <c r="D332" s="730"/>
      <c r="E332" s="730"/>
      <c r="F332" s="730"/>
      <c r="G332" s="730"/>
      <c r="H332" s="730"/>
      <c r="I332" s="730"/>
      <c r="J332" s="730"/>
      <c r="K332" s="777"/>
    </row>
    <row r="333" spans="1:11" x14ac:dyDescent="0.2">
      <c r="A333" s="730"/>
      <c r="B333" s="730"/>
      <c r="C333" s="730"/>
      <c r="D333" s="730"/>
      <c r="E333" s="730"/>
      <c r="F333" s="730"/>
      <c r="G333" s="730"/>
      <c r="H333" s="730"/>
      <c r="I333" s="730"/>
      <c r="J333" s="730"/>
      <c r="K333" s="777"/>
    </row>
    <row r="334" spans="1:11" x14ac:dyDescent="0.2">
      <c r="A334" s="730"/>
      <c r="B334" s="730"/>
      <c r="C334" s="730"/>
      <c r="D334" s="730"/>
      <c r="E334" s="730"/>
      <c r="F334" s="730"/>
      <c r="G334" s="730"/>
      <c r="H334" s="730"/>
      <c r="I334" s="730"/>
      <c r="J334" s="730"/>
      <c r="K334" s="777"/>
    </row>
    <row r="335" spans="1:11" x14ac:dyDescent="0.2">
      <c r="A335" s="730"/>
      <c r="B335" s="730"/>
      <c r="C335" s="730"/>
      <c r="D335" s="730"/>
      <c r="E335" s="730"/>
      <c r="F335" s="730"/>
      <c r="G335" s="730"/>
      <c r="H335" s="730"/>
      <c r="I335" s="730"/>
      <c r="J335" s="730"/>
      <c r="K335" s="777"/>
    </row>
    <row r="336" spans="1:11" x14ac:dyDescent="0.2">
      <c r="A336" s="730"/>
      <c r="B336" s="730"/>
      <c r="C336" s="730"/>
      <c r="D336" s="730"/>
      <c r="E336" s="730"/>
      <c r="F336" s="730"/>
      <c r="G336" s="730"/>
      <c r="H336" s="730"/>
      <c r="I336" s="730"/>
      <c r="J336" s="730"/>
      <c r="K336" s="777"/>
    </row>
    <row r="337" spans="1:11" x14ac:dyDescent="0.2">
      <c r="A337" s="730"/>
      <c r="B337" s="730"/>
      <c r="C337" s="730"/>
      <c r="D337" s="730"/>
      <c r="E337" s="730"/>
      <c r="F337" s="730"/>
      <c r="G337" s="730"/>
      <c r="H337" s="730"/>
      <c r="I337" s="730"/>
      <c r="J337" s="730"/>
      <c r="K337" s="777"/>
    </row>
    <row r="338" spans="1:11" x14ac:dyDescent="0.2">
      <c r="A338" s="730"/>
      <c r="B338" s="730"/>
      <c r="C338" s="730"/>
      <c r="D338" s="730"/>
      <c r="E338" s="730"/>
      <c r="F338" s="730"/>
      <c r="G338" s="730"/>
      <c r="H338" s="730"/>
      <c r="I338" s="730"/>
      <c r="J338" s="730"/>
      <c r="K338" s="777"/>
    </row>
    <row r="339" spans="1:11" x14ac:dyDescent="0.2">
      <c r="A339" s="730"/>
      <c r="B339" s="730"/>
      <c r="C339" s="730"/>
      <c r="D339" s="730"/>
      <c r="E339" s="730"/>
      <c r="F339" s="730"/>
      <c r="G339" s="730"/>
      <c r="H339" s="730"/>
      <c r="I339" s="730"/>
      <c r="J339" s="730"/>
      <c r="K339" s="777"/>
    </row>
    <row r="340" spans="1:11" x14ac:dyDescent="0.2">
      <c r="A340" s="730"/>
      <c r="B340" s="730"/>
      <c r="C340" s="730"/>
      <c r="D340" s="730"/>
      <c r="E340" s="730"/>
      <c r="F340" s="730"/>
      <c r="G340" s="730"/>
      <c r="H340" s="730"/>
      <c r="I340" s="730"/>
      <c r="J340" s="730"/>
      <c r="K340" s="777"/>
    </row>
    <row r="341" spans="1:11" x14ac:dyDescent="0.2">
      <c r="A341" s="730"/>
      <c r="B341" s="730"/>
      <c r="C341" s="730"/>
      <c r="D341" s="730"/>
      <c r="E341" s="730"/>
      <c r="F341" s="730"/>
      <c r="G341" s="730"/>
      <c r="H341" s="730"/>
      <c r="I341" s="730"/>
      <c r="J341" s="730"/>
      <c r="K341" s="777"/>
    </row>
    <row r="342" spans="1:11" x14ac:dyDescent="0.2">
      <c r="A342" s="730"/>
      <c r="B342" s="730"/>
      <c r="C342" s="730"/>
      <c r="D342" s="730"/>
      <c r="E342" s="730"/>
      <c r="F342" s="730"/>
      <c r="G342" s="730"/>
      <c r="H342" s="730"/>
      <c r="I342" s="730"/>
      <c r="J342" s="730"/>
      <c r="K342" s="777"/>
    </row>
    <row r="343" spans="1:11" x14ac:dyDescent="0.2">
      <c r="A343" s="730"/>
      <c r="B343" s="730"/>
      <c r="C343" s="730"/>
      <c r="D343" s="730"/>
      <c r="E343" s="730"/>
      <c r="F343" s="730"/>
      <c r="G343" s="730"/>
      <c r="H343" s="730"/>
      <c r="I343" s="730"/>
      <c r="J343" s="730"/>
      <c r="K343" s="777"/>
    </row>
    <row r="344" spans="1:11" x14ac:dyDescent="0.2">
      <c r="A344" s="730"/>
      <c r="B344" s="730"/>
      <c r="C344" s="730"/>
      <c r="D344" s="730"/>
      <c r="E344" s="730"/>
      <c r="F344" s="730"/>
      <c r="G344" s="730"/>
      <c r="H344" s="730"/>
      <c r="I344" s="730"/>
      <c r="J344" s="730"/>
      <c r="K344" s="777"/>
    </row>
    <row r="345" spans="1:11" x14ac:dyDescent="0.2">
      <c r="A345" s="730"/>
      <c r="B345" s="730"/>
      <c r="C345" s="730"/>
      <c r="D345" s="730"/>
      <c r="E345" s="730"/>
      <c r="F345" s="730"/>
      <c r="G345" s="730"/>
      <c r="H345" s="730"/>
      <c r="I345" s="730"/>
      <c r="J345" s="730"/>
      <c r="K345" s="777"/>
    </row>
    <row r="346" spans="1:11" x14ac:dyDescent="0.2">
      <c r="A346" s="730"/>
      <c r="B346" s="730"/>
      <c r="C346" s="730"/>
      <c r="D346" s="730"/>
      <c r="E346" s="730"/>
      <c r="F346" s="730"/>
      <c r="G346" s="730"/>
      <c r="H346" s="730"/>
      <c r="I346" s="730"/>
      <c r="J346" s="730"/>
      <c r="K346" s="777"/>
    </row>
    <row r="347" spans="1:11" x14ac:dyDescent="0.2">
      <c r="A347" s="730"/>
      <c r="B347" s="730"/>
      <c r="C347" s="730"/>
      <c r="D347" s="730"/>
      <c r="E347" s="730"/>
      <c r="F347" s="730"/>
      <c r="G347" s="730"/>
      <c r="H347" s="730"/>
      <c r="I347" s="730"/>
      <c r="J347" s="730"/>
      <c r="K347" s="777"/>
    </row>
    <row r="348" spans="1:11" x14ac:dyDescent="0.2">
      <c r="A348" s="730"/>
      <c r="B348" s="730"/>
      <c r="C348" s="730"/>
      <c r="D348" s="730"/>
      <c r="E348" s="730"/>
      <c r="F348" s="730"/>
      <c r="G348" s="730"/>
      <c r="H348" s="730"/>
      <c r="I348" s="730"/>
      <c r="J348" s="730"/>
      <c r="K348" s="777"/>
    </row>
    <row r="349" spans="1:11" x14ac:dyDescent="0.2">
      <c r="A349" s="730"/>
      <c r="B349" s="730"/>
      <c r="C349" s="730"/>
      <c r="D349" s="730"/>
      <c r="E349" s="730"/>
      <c r="F349" s="730"/>
      <c r="G349" s="730"/>
      <c r="H349" s="730"/>
      <c r="I349" s="730"/>
      <c r="J349" s="730"/>
      <c r="K349" s="777"/>
    </row>
    <row r="350" spans="1:11" x14ac:dyDescent="0.2">
      <c r="A350" s="730"/>
      <c r="B350" s="730"/>
      <c r="C350" s="730"/>
      <c r="D350" s="730"/>
      <c r="E350" s="730"/>
      <c r="F350" s="730"/>
      <c r="G350" s="730"/>
      <c r="H350" s="730"/>
      <c r="I350" s="730"/>
      <c r="J350" s="730"/>
      <c r="K350" s="777"/>
    </row>
    <row r="351" spans="1:11" x14ac:dyDescent="0.2">
      <c r="A351" s="730"/>
      <c r="B351" s="730"/>
      <c r="C351" s="730"/>
      <c r="D351" s="730"/>
      <c r="E351" s="730"/>
      <c r="F351" s="730"/>
      <c r="G351" s="730"/>
      <c r="H351" s="730"/>
      <c r="I351" s="730"/>
      <c r="J351" s="730"/>
      <c r="K351" s="777"/>
    </row>
    <row r="352" spans="1:11" x14ac:dyDescent="0.2">
      <c r="A352" s="730"/>
      <c r="B352" s="730"/>
      <c r="C352" s="730"/>
      <c r="D352" s="730"/>
      <c r="E352" s="730"/>
      <c r="F352" s="730"/>
      <c r="G352" s="730"/>
      <c r="H352" s="730"/>
      <c r="I352" s="730"/>
      <c r="J352" s="730"/>
      <c r="K352" s="777"/>
    </row>
    <row r="353" spans="1:11" x14ac:dyDescent="0.2">
      <c r="A353" s="730"/>
      <c r="B353" s="730"/>
      <c r="C353" s="730"/>
      <c r="D353" s="730"/>
      <c r="E353" s="730"/>
      <c r="F353" s="730"/>
      <c r="G353" s="730"/>
      <c r="H353" s="730"/>
      <c r="I353" s="730"/>
      <c r="J353" s="730"/>
      <c r="K353" s="777"/>
    </row>
    <row r="354" spans="1:11" x14ac:dyDescent="0.2">
      <c r="A354" s="730"/>
      <c r="B354" s="730"/>
      <c r="C354" s="730"/>
      <c r="D354" s="730"/>
      <c r="E354" s="730"/>
      <c r="F354" s="730"/>
      <c r="G354" s="730"/>
      <c r="H354" s="730"/>
      <c r="I354" s="730"/>
      <c r="J354" s="730"/>
      <c r="K354" s="777"/>
    </row>
    <row r="355" spans="1:11" x14ac:dyDescent="0.2">
      <c r="A355" s="730"/>
      <c r="B355" s="730"/>
      <c r="C355" s="730"/>
      <c r="D355" s="730"/>
      <c r="E355" s="730"/>
      <c r="F355" s="730"/>
      <c r="G355" s="730"/>
      <c r="H355" s="730"/>
      <c r="I355" s="730"/>
      <c r="J355" s="730"/>
      <c r="K355" s="777"/>
    </row>
    <row r="356" spans="1:11" x14ac:dyDescent="0.2">
      <c r="A356" s="730"/>
      <c r="B356" s="730"/>
      <c r="C356" s="730"/>
      <c r="D356" s="730"/>
      <c r="E356" s="730"/>
      <c r="F356" s="730"/>
      <c r="G356" s="730"/>
      <c r="H356" s="730"/>
      <c r="I356" s="730"/>
      <c r="J356" s="730"/>
      <c r="K356" s="777"/>
    </row>
    <row r="357" spans="1:11" x14ac:dyDescent="0.2">
      <c r="A357" s="730"/>
      <c r="B357" s="730"/>
      <c r="C357" s="730"/>
      <c r="D357" s="730"/>
      <c r="E357" s="730"/>
      <c r="F357" s="730"/>
      <c r="G357" s="730"/>
      <c r="H357" s="730"/>
      <c r="I357" s="730"/>
      <c r="J357" s="730"/>
      <c r="K357" s="777"/>
    </row>
    <row r="358" spans="1:11" x14ac:dyDescent="0.2">
      <c r="A358" s="730"/>
      <c r="B358" s="730"/>
      <c r="C358" s="730"/>
      <c r="D358" s="730"/>
      <c r="E358" s="730"/>
      <c r="F358" s="730"/>
      <c r="G358" s="730"/>
      <c r="H358" s="730"/>
      <c r="I358" s="730"/>
      <c r="J358" s="730"/>
      <c r="K358" s="777"/>
    </row>
    <row r="359" spans="1:11" x14ac:dyDescent="0.2">
      <c r="A359" s="730"/>
      <c r="B359" s="730"/>
      <c r="C359" s="730"/>
      <c r="D359" s="730"/>
      <c r="E359" s="730"/>
      <c r="F359" s="730"/>
      <c r="G359" s="730"/>
      <c r="H359" s="730"/>
      <c r="I359" s="730"/>
      <c r="J359" s="730"/>
      <c r="K359" s="777"/>
    </row>
    <row r="360" spans="1:11" x14ac:dyDescent="0.2">
      <c r="A360" s="730"/>
      <c r="B360" s="730"/>
      <c r="C360" s="730"/>
      <c r="D360" s="730"/>
      <c r="E360" s="730"/>
      <c r="F360" s="730"/>
      <c r="G360" s="730"/>
      <c r="H360" s="730"/>
      <c r="I360" s="730"/>
      <c r="J360" s="730"/>
      <c r="K360" s="777"/>
    </row>
    <row r="361" spans="1:11" x14ac:dyDescent="0.2">
      <c r="A361" s="730"/>
      <c r="B361" s="730"/>
      <c r="C361" s="730"/>
      <c r="D361" s="730"/>
      <c r="E361" s="730"/>
      <c r="F361" s="730"/>
      <c r="G361" s="730"/>
      <c r="H361" s="730"/>
      <c r="I361" s="730"/>
      <c r="J361" s="730"/>
      <c r="K361" s="777"/>
    </row>
    <row r="362" spans="1:11" x14ac:dyDescent="0.2">
      <c r="A362" s="730"/>
      <c r="B362" s="730"/>
      <c r="C362" s="730"/>
      <c r="D362" s="730"/>
      <c r="E362" s="730"/>
      <c r="F362" s="730"/>
      <c r="G362" s="730"/>
      <c r="H362" s="730"/>
      <c r="I362" s="730"/>
      <c r="J362" s="730"/>
      <c r="K362" s="777"/>
    </row>
    <row r="363" spans="1:11" x14ac:dyDescent="0.2">
      <c r="A363" s="730"/>
      <c r="B363" s="730"/>
      <c r="C363" s="730"/>
      <c r="D363" s="730"/>
      <c r="E363" s="730"/>
      <c r="F363" s="730"/>
      <c r="G363" s="730"/>
      <c r="H363" s="730"/>
      <c r="I363" s="730"/>
      <c r="J363" s="730"/>
      <c r="K363" s="777"/>
    </row>
    <row r="364" spans="1:11" x14ac:dyDescent="0.2">
      <c r="A364" s="730"/>
      <c r="B364" s="730"/>
      <c r="C364" s="730"/>
      <c r="D364" s="730"/>
      <c r="E364" s="730"/>
      <c r="F364" s="730"/>
      <c r="G364" s="730"/>
      <c r="H364" s="730"/>
      <c r="I364" s="730"/>
      <c r="J364" s="730"/>
      <c r="K364" s="777"/>
    </row>
    <row r="365" spans="1:11" x14ac:dyDescent="0.2">
      <c r="A365" s="730"/>
      <c r="B365" s="730"/>
      <c r="C365" s="730"/>
      <c r="D365" s="730"/>
      <c r="E365" s="730"/>
      <c r="F365" s="730"/>
      <c r="G365" s="730"/>
      <c r="H365" s="730"/>
      <c r="I365" s="730"/>
      <c r="J365" s="730"/>
      <c r="K365" s="777"/>
    </row>
    <row r="366" spans="1:11" x14ac:dyDescent="0.2">
      <c r="A366" s="730"/>
      <c r="B366" s="730"/>
      <c r="C366" s="730"/>
      <c r="D366" s="730"/>
      <c r="E366" s="730"/>
      <c r="F366" s="730"/>
      <c r="G366" s="730"/>
      <c r="H366" s="730"/>
      <c r="I366" s="730"/>
      <c r="J366" s="730"/>
      <c r="K366" s="777"/>
    </row>
    <row r="367" spans="1:11" x14ac:dyDescent="0.2">
      <c r="A367" s="730"/>
      <c r="B367" s="730"/>
      <c r="C367" s="730"/>
      <c r="D367" s="730"/>
      <c r="E367" s="730"/>
      <c r="F367" s="730"/>
      <c r="G367" s="730"/>
      <c r="H367" s="730"/>
      <c r="I367" s="730"/>
      <c r="J367" s="730"/>
      <c r="K367" s="777"/>
    </row>
    <row r="368" spans="1:11" x14ac:dyDescent="0.2">
      <c r="A368" s="730"/>
      <c r="B368" s="730"/>
      <c r="C368" s="730"/>
      <c r="D368" s="730"/>
      <c r="E368" s="730"/>
      <c r="F368" s="730"/>
      <c r="G368" s="730"/>
      <c r="H368" s="730"/>
      <c r="I368" s="730"/>
      <c r="J368" s="730"/>
      <c r="K368" s="777"/>
    </row>
    <row r="369" spans="1:11" x14ac:dyDescent="0.2">
      <c r="A369" s="730"/>
      <c r="B369" s="730"/>
      <c r="C369" s="730"/>
      <c r="D369" s="730"/>
      <c r="E369" s="730"/>
      <c r="F369" s="730"/>
      <c r="G369" s="730"/>
      <c r="H369" s="730"/>
      <c r="I369" s="730"/>
      <c r="J369" s="730"/>
      <c r="K369" s="777"/>
    </row>
    <row r="370" spans="1:11" x14ac:dyDescent="0.2">
      <c r="A370" s="730"/>
      <c r="B370" s="730"/>
      <c r="C370" s="730"/>
      <c r="D370" s="730"/>
      <c r="E370" s="730"/>
      <c r="F370" s="730"/>
      <c r="G370" s="730"/>
      <c r="H370" s="730"/>
      <c r="I370" s="730"/>
      <c r="J370" s="730"/>
      <c r="K370" s="777"/>
    </row>
    <row r="371" spans="1:11" x14ac:dyDescent="0.2">
      <c r="A371" s="730"/>
      <c r="B371" s="730"/>
      <c r="C371" s="730"/>
      <c r="D371" s="730"/>
      <c r="E371" s="730"/>
      <c r="F371" s="730"/>
      <c r="G371" s="730"/>
      <c r="H371" s="730"/>
      <c r="I371" s="730"/>
      <c r="J371" s="730"/>
      <c r="K371" s="777"/>
    </row>
    <row r="372" spans="1:11" x14ac:dyDescent="0.2">
      <c r="A372" s="730"/>
      <c r="B372" s="730"/>
      <c r="C372" s="730"/>
      <c r="D372" s="730"/>
      <c r="E372" s="730"/>
      <c r="F372" s="730"/>
      <c r="G372" s="730"/>
      <c r="H372" s="730"/>
      <c r="I372" s="730"/>
      <c r="J372" s="730"/>
      <c r="K372" s="777"/>
    </row>
    <row r="373" spans="1:11" x14ac:dyDescent="0.2">
      <c r="A373" s="730"/>
      <c r="B373" s="730"/>
      <c r="C373" s="730"/>
      <c r="D373" s="730"/>
      <c r="E373" s="730"/>
      <c r="F373" s="730"/>
      <c r="G373" s="730"/>
      <c r="H373" s="730"/>
      <c r="I373" s="730"/>
      <c r="J373" s="730"/>
      <c r="K373" s="777"/>
    </row>
    <row r="374" spans="1:11" x14ac:dyDescent="0.2">
      <c r="A374" s="730"/>
      <c r="B374" s="730"/>
      <c r="C374" s="730"/>
      <c r="D374" s="730"/>
      <c r="E374" s="730"/>
      <c r="F374" s="730"/>
      <c r="G374" s="730"/>
      <c r="H374" s="730"/>
      <c r="I374" s="730"/>
      <c r="J374" s="730"/>
      <c r="K374" s="777"/>
    </row>
    <row r="375" spans="1:11" x14ac:dyDescent="0.2">
      <c r="A375" s="730"/>
      <c r="B375" s="730"/>
      <c r="C375" s="730"/>
      <c r="D375" s="730"/>
      <c r="E375" s="730"/>
      <c r="F375" s="730"/>
      <c r="G375" s="730"/>
      <c r="H375" s="730"/>
      <c r="I375" s="730"/>
      <c r="J375" s="730"/>
      <c r="K375" s="777"/>
    </row>
    <row r="376" spans="1:11" x14ac:dyDescent="0.2">
      <c r="A376" s="730"/>
      <c r="B376" s="730"/>
      <c r="C376" s="730"/>
      <c r="D376" s="730"/>
      <c r="E376" s="730"/>
      <c r="F376" s="730"/>
      <c r="G376" s="730"/>
      <c r="H376" s="730"/>
      <c r="I376" s="730"/>
      <c r="J376" s="730"/>
      <c r="K376" s="777"/>
    </row>
    <row r="377" spans="1:11" x14ac:dyDescent="0.2">
      <c r="A377" s="730"/>
      <c r="B377" s="730"/>
      <c r="C377" s="730"/>
      <c r="D377" s="730"/>
      <c r="E377" s="730"/>
      <c r="F377" s="730"/>
      <c r="G377" s="730"/>
      <c r="H377" s="730"/>
      <c r="I377" s="730"/>
      <c r="J377" s="730"/>
      <c r="K377" s="777"/>
    </row>
    <row r="378" spans="1:11" x14ac:dyDescent="0.2">
      <c r="A378" s="730"/>
      <c r="B378" s="730"/>
      <c r="C378" s="730"/>
      <c r="D378" s="730"/>
      <c r="E378" s="730"/>
      <c r="F378" s="730"/>
      <c r="G378" s="730"/>
      <c r="H378" s="730"/>
      <c r="I378" s="730"/>
      <c r="J378" s="730"/>
      <c r="K378" s="777"/>
    </row>
    <row r="379" spans="1:11" x14ac:dyDescent="0.2">
      <c r="A379" s="730"/>
      <c r="B379" s="730"/>
      <c r="C379" s="730"/>
      <c r="D379" s="730"/>
      <c r="E379" s="730"/>
      <c r="F379" s="730"/>
      <c r="G379" s="730"/>
      <c r="H379" s="730"/>
      <c r="I379" s="730"/>
      <c r="J379" s="730"/>
      <c r="K379" s="777"/>
    </row>
    <row r="380" spans="1:11" x14ac:dyDescent="0.2">
      <c r="A380" s="730"/>
      <c r="B380" s="730"/>
      <c r="C380" s="730"/>
      <c r="D380" s="730"/>
      <c r="E380" s="730"/>
      <c r="F380" s="730"/>
      <c r="G380" s="730"/>
      <c r="H380" s="730"/>
      <c r="I380" s="730"/>
      <c r="J380" s="730"/>
      <c r="K380" s="777"/>
    </row>
    <row r="381" spans="1:11" x14ac:dyDescent="0.2">
      <c r="A381" s="730"/>
      <c r="B381" s="730"/>
      <c r="C381" s="730"/>
      <c r="D381" s="730"/>
      <c r="E381" s="730"/>
      <c r="F381" s="730"/>
      <c r="G381" s="730"/>
      <c r="H381" s="730"/>
      <c r="I381" s="730"/>
      <c r="J381" s="730"/>
      <c r="K381" s="777"/>
    </row>
    <row r="382" spans="1:11" x14ac:dyDescent="0.2">
      <c r="A382" s="730"/>
      <c r="B382" s="730"/>
      <c r="C382" s="730"/>
      <c r="D382" s="730"/>
      <c r="E382" s="730"/>
      <c r="F382" s="730"/>
      <c r="G382" s="730"/>
      <c r="H382" s="730"/>
      <c r="I382" s="730"/>
      <c r="J382" s="730"/>
      <c r="K382" s="777"/>
    </row>
    <row r="383" spans="1:11" x14ac:dyDescent="0.2">
      <c r="A383" s="730"/>
      <c r="B383" s="730"/>
      <c r="C383" s="730"/>
      <c r="D383" s="730"/>
      <c r="E383" s="730"/>
      <c r="F383" s="730"/>
      <c r="G383" s="730"/>
      <c r="H383" s="730"/>
      <c r="I383" s="730"/>
      <c r="J383" s="730"/>
      <c r="K383" s="777"/>
    </row>
    <row r="384" spans="1:11" x14ac:dyDescent="0.2">
      <c r="A384" s="730"/>
      <c r="B384" s="730"/>
      <c r="C384" s="730"/>
      <c r="D384" s="730"/>
      <c r="E384" s="730"/>
      <c r="F384" s="730"/>
      <c r="G384" s="730"/>
      <c r="H384" s="730"/>
      <c r="I384" s="730"/>
      <c r="J384" s="730"/>
      <c r="K384" s="777"/>
    </row>
    <row r="385" spans="1:11" x14ac:dyDescent="0.2">
      <c r="A385" s="730"/>
      <c r="B385" s="730"/>
      <c r="C385" s="730"/>
      <c r="D385" s="730"/>
      <c r="E385" s="730"/>
      <c r="F385" s="730"/>
      <c r="G385" s="730"/>
      <c r="H385" s="730"/>
      <c r="I385" s="730"/>
      <c r="J385" s="730"/>
      <c r="K385" s="777"/>
    </row>
    <row r="386" spans="1:11" x14ac:dyDescent="0.2">
      <c r="A386" s="730"/>
      <c r="B386" s="730"/>
      <c r="C386" s="730"/>
      <c r="D386" s="730"/>
      <c r="E386" s="730"/>
      <c r="F386" s="730"/>
      <c r="G386" s="730"/>
      <c r="H386" s="730"/>
      <c r="I386" s="730"/>
      <c r="J386" s="730"/>
      <c r="K386" s="777"/>
    </row>
    <row r="387" spans="1:11" x14ac:dyDescent="0.2">
      <c r="A387" s="730"/>
      <c r="B387" s="730"/>
      <c r="C387" s="730"/>
      <c r="D387" s="730"/>
      <c r="E387" s="730"/>
      <c r="F387" s="730"/>
      <c r="G387" s="730"/>
      <c r="H387" s="730"/>
      <c r="I387" s="730"/>
      <c r="J387" s="730"/>
      <c r="K387" s="777"/>
    </row>
    <row r="388" spans="1:11" x14ac:dyDescent="0.2">
      <c r="A388" s="730"/>
      <c r="B388" s="730"/>
      <c r="C388" s="730"/>
      <c r="D388" s="730"/>
      <c r="E388" s="730"/>
      <c r="F388" s="730"/>
      <c r="G388" s="730"/>
      <c r="H388" s="730"/>
      <c r="I388" s="730"/>
      <c r="J388" s="730"/>
      <c r="K388" s="777"/>
    </row>
    <row r="389" spans="1:11" x14ac:dyDescent="0.2">
      <c r="A389" s="730"/>
      <c r="B389" s="730"/>
      <c r="C389" s="730"/>
      <c r="D389" s="730"/>
      <c r="E389" s="730"/>
      <c r="F389" s="730"/>
      <c r="G389" s="730"/>
      <c r="H389" s="730"/>
      <c r="I389" s="730"/>
      <c r="J389" s="730"/>
      <c r="K389" s="777"/>
    </row>
    <row r="390" spans="1:11" x14ac:dyDescent="0.2">
      <c r="A390" s="730"/>
      <c r="B390" s="730"/>
      <c r="C390" s="730"/>
      <c r="D390" s="730"/>
      <c r="E390" s="730"/>
      <c r="F390" s="730"/>
      <c r="G390" s="730"/>
      <c r="H390" s="730"/>
      <c r="I390" s="730"/>
      <c r="J390" s="730"/>
      <c r="K390" s="777"/>
    </row>
    <row r="391" spans="1:11" x14ac:dyDescent="0.2">
      <c r="A391" s="730"/>
      <c r="B391" s="730"/>
      <c r="C391" s="730"/>
      <c r="D391" s="730"/>
      <c r="E391" s="730"/>
      <c r="F391" s="730"/>
      <c r="G391" s="730"/>
      <c r="H391" s="730"/>
      <c r="I391" s="730"/>
      <c r="J391" s="730"/>
      <c r="K391" s="777"/>
    </row>
    <row r="392" spans="1:11" x14ac:dyDescent="0.2">
      <c r="A392" s="730"/>
      <c r="B392" s="730"/>
      <c r="C392" s="730"/>
      <c r="D392" s="730"/>
      <c r="E392" s="730"/>
      <c r="F392" s="730"/>
      <c r="G392" s="730"/>
      <c r="H392" s="730"/>
      <c r="I392" s="730"/>
      <c r="J392" s="730"/>
      <c r="K392" s="777"/>
    </row>
    <row r="393" spans="1:11" x14ac:dyDescent="0.2">
      <c r="A393" s="730"/>
      <c r="B393" s="730"/>
      <c r="C393" s="730"/>
      <c r="D393" s="730"/>
      <c r="E393" s="730"/>
      <c r="F393" s="730"/>
      <c r="G393" s="730"/>
      <c r="H393" s="730"/>
      <c r="I393" s="730"/>
      <c r="J393" s="730"/>
      <c r="K393" s="777"/>
    </row>
    <row r="394" spans="1:11" x14ac:dyDescent="0.2">
      <c r="A394" s="730"/>
      <c r="B394" s="730"/>
      <c r="C394" s="730"/>
      <c r="D394" s="730"/>
      <c r="E394" s="730"/>
      <c r="F394" s="730"/>
      <c r="G394" s="730"/>
      <c r="H394" s="730"/>
      <c r="I394" s="730"/>
      <c r="J394" s="730"/>
      <c r="K394" s="777"/>
    </row>
    <row r="395" spans="1:11" x14ac:dyDescent="0.2">
      <c r="A395" s="730"/>
      <c r="B395" s="730"/>
      <c r="C395" s="730"/>
      <c r="D395" s="730"/>
      <c r="E395" s="730"/>
      <c r="F395" s="730"/>
      <c r="G395" s="730"/>
      <c r="H395" s="730"/>
      <c r="I395" s="730"/>
      <c r="J395" s="730"/>
      <c r="K395" s="777"/>
    </row>
    <row r="396" spans="1:11" x14ac:dyDescent="0.2">
      <c r="A396" s="730"/>
      <c r="B396" s="730"/>
      <c r="C396" s="730"/>
      <c r="D396" s="730"/>
      <c r="E396" s="730"/>
      <c r="F396" s="730"/>
      <c r="G396" s="730"/>
      <c r="H396" s="730"/>
      <c r="I396" s="730"/>
      <c r="J396" s="730"/>
      <c r="K396" s="777"/>
    </row>
    <row r="397" spans="1:11" x14ac:dyDescent="0.2">
      <c r="A397" s="730"/>
      <c r="B397" s="730"/>
      <c r="C397" s="730"/>
      <c r="D397" s="730"/>
      <c r="E397" s="730"/>
      <c r="F397" s="730"/>
      <c r="G397" s="730"/>
      <c r="H397" s="730"/>
      <c r="I397" s="730"/>
      <c r="J397" s="730"/>
      <c r="K397" s="777"/>
    </row>
    <row r="398" spans="1:11" x14ac:dyDescent="0.2">
      <c r="A398" s="730"/>
      <c r="B398" s="730"/>
      <c r="C398" s="730"/>
      <c r="D398" s="730"/>
      <c r="E398" s="730"/>
      <c r="F398" s="730"/>
      <c r="G398" s="730"/>
      <c r="H398" s="730"/>
      <c r="I398" s="730"/>
      <c r="J398" s="730"/>
      <c r="K398" s="777"/>
    </row>
    <row r="399" spans="1:11" x14ac:dyDescent="0.2">
      <c r="A399" s="730"/>
      <c r="B399" s="730"/>
      <c r="C399" s="730"/>
      <c r="D399" s="730"/>
      <c r="E399" s="730"/>
      <c r="F399" s="730"/>
      <c r="G399" s="730"/>
      <c r="H399" s="730"/>
      <c r="I399" s="730"/>
      <c r="J399" s="730"/>
      <c r="K399" s="777"/>
    </row>
    <row r="400" spans="1:11" x14ac:dyDescent="0.2">
      <c r="A400" s="730"/>
      <c r="B400" s="730"/>
      <c r="C400" s="730"/>
      <c r="D400" s="730"/>
      <c r="E400" s="730"/>
      <c r="F400" s="730"/>
      <c r="G400" s="730"/>
      <c r="H400" s="730"/>
      <c r="I400" s="730"/>
      <c r="J400" s="730"/>
      <c r="K400" s="777"/>
    </row>
    <row r="401" spans="1:11" x14ac:dyDescent="0.2">
      <c r="A401" s="730"/>
      <c r="B401" s="730"/>
      <c r="C401" s="730"/>
      <c r="D401" s="730"/>
      <c r="E401" s="730"/>
      <c r="F401" s="730"/>
      <c r="G401" s="730"/>
      <c r="H401" s="730"/>
      <c r="I401" s="730"/>
      <c r="J401" s="730"/>
      <c r="K401" s="777"/>
    </row>
    <row r="402" spans="1:11" x14ac:dyDescent="0.2">
      <c r="A402" s="730"/>
      <c r="B402" s="730"/>
      <c r="C402" s="730"/>
      <c r="D402" s="730"/>
      <c r="E402" s="730"/>
      <c r="F402" s="730"/>
      <c r="G402" s="730"/>
      <c r="H402" s="730"/>
      <c r="I402" s="730"/>
      <c r="J402" s="730"/>
      <c r="K402" s="777"/>
    </row>
    <row r="403" spans="1:11" x14ac:dyDescent="0.2">
      <c r="A403" s="730"/>
      <c r="B403" s="730"/>
      <c r="C403" s="730"/>
      <c r="D403" s="730"/>
      <c r="E403" s="730"/>
      <c r="F403" s="730"/>
      <c r="G403" s="730"/>
      <c r="H403" s="730"/>
      <c r="I403" s="730"/>
      <c r="J403" s="730"/>
      <c r="K403" s="777"/>
    </row>
    <row r="404" spans="1:11" x14ac:dyDescent="0.2">
      <c r="A404" s="730"/>
      <c r="B404" s="730"/>
      <c r="C404" s="730"/>
      <c r="D404" s="730"/>
      <c r="E404" s="730"/>
      <c r="F404" s="730"/>
      <c r="G404" s="730"/>
      <c r="H404" s="730"/>
      <c r="I404" s="730"/>
      <c r="J404" s="730"/>
      <c r="K404" s="777"/>
    </row>
    <row r="405" spans="1:11" x14ac:dyDescent="0.2">
      <c r="A405" s="730"/>
      <c r="B405" s="730"/>
      <c r="C405" s="730"/>
      <c r="D405" s="730"/>
      <c r="E405" s="730"/>
      <c r="F405" s="730"/>
      <c r="G405" s="730"/>
      <c r="H405" s="730"/>
      <c r="I405" s="730"/>
      <c r="J405" s="730"/>
      <c r="K405" s="777"/>
    </row>
    <row r="406" spans="1:11" x14ac:dyDescent="0.2">
      <c r="A406" s="730"/>
      <c r="B406" s="730"/>
      <c r="C406" s="730"/>
      <c r="D406" s="730"/>
      <c r="E406" s="730"/>
      <c r="F406" s="730"/>
      <c r="G406" s="730"/>
      <c r="H406" s="730"/>
      <c r="I406" s="730"/>
      <c r="J406" s="730"/>
      <c r="K406" s="777"/>
    </row>
    <row r="407" spans="1:11" x14ac:dyDescent="0.2">
      <c r="A407" s="730"/>
      <c r="B407" s="730"/>
      <c r="C407" s="730"/>
      <c r="D407" s="730"/>
      <c r="E407" s="730"/>
      <c r="F407" s="730"/>
      <c r="G407" s="730"/>
      <c r="H407" s="730"/>
      <c r="I407" s="730"/>
      <c r="J407" s="730"/>
      <c r="K407" s="777"/>
    </row>
    <row r="408" spans="1:11" x14ac:dyDescent="0.2">
      <c r="A408" s="730"/>
      <c r="B408" s="730"/>
      <c r="C408" s="730"/>
      <c r="D408" s="730"/>
      <c r="E408" s="730"/>
      <c r="F408" s="730"/>
      <c r="G408" s="730"/>
      <c r="H408" s="730"/>
      <c r="I408" s="730"/>
      <c r="J408" s="730"/>
      <c r="K408" s="777"/>
    </row>
    <row r="409" spans="1:11" x14ac:dyDescent="0.2">
      <c r="A409" s="730"/>
      <c r="B409" s="730"/>
      <c r="C409" s="730"/>
      <c r="D409" s="730"/>
      <c r="E409" s="730"/>
      <c r="F409" s="730"/>
      <c r="G409" s="730"/>
      <c r="H409" s="730"/>
      <c r="I409" s="730"/>
      <c r="J409" s="730"/>
      <c r="K409" s="777"/>
    </row>
    <row r="410" spans="1:11" x14ac:dyDescent="0.2">
      <c r="A410" s="730"/>
      <c r="B410" s="730"/>
      <c r="C410" s="730"/>
      <c r="D410" s="730"/>
      <c r="E410" s="730"/>
      <c r="F410" s="730"/>
      <c r="G410" s="730"/>
      <c r="H410" s="730"/>
      <c r="I410" s="730"/>
      <c r="J410" s="730"/>
      <c r="K410" s="777"/>
    </row>
    <row r="411" spans="1:11" x14ac:dyDescent="0.2">
      <c r="A411" s="730"/>
      <c r="B411" s="730"/>
      <c r="C411" s="730"/>
      <c r="D411" s="730"/>
      <c r="E411" s="730"/>
      <c r="F411" s="730"/>
      <c r="G411" s="730"/>
      <c r="H411" s="730"/>
      <c r="I411" s="730"/>
      <c r="J411" s="730"/>
      <c r="K411" s="777"/>
    </row>
    <row r="412" spans="1:11" x14ac:dyDescent="0.2">
      <c r="A412" s="730"/>
      <c r="B412" s="730"/>
      <c r="C412" s="730"/>
      <c r="D412" s="730"/>
      <c r="E412" s="730"/>
      <c r="F412" s="730"/>
      <c r="G412" s="730"/>
      <c r="H412" s="730"/>
      <c r="I412" s="730"/>
      <c r="J412" s="730"/>
      <c r="K412" s="777"/>
    </row>
    <row r="413" spans="1:11" x14ac:dyDescent="0.2">
      <c r="A413" s="730"/>
      <c r="B413" s="730"/>
      <c r="C413" s="730"/>
      <c r="D413" s="730"/>
      <c r="E413" s="730"/>
      <c r="F413" s="730"/>
      <c r="G413" s="730"/>
      <c r="H413" s="730"/>
      <c r="I413" s="730"/>
      <c r="J413" s="730"/>
      <c r="K413" s="777"/>
    </row>
    <row r="414" spans="1:11" x14ac:dyDescent="0.2">
      <c r="A414" s="730"/>
      <c r="B414" s="730"/>
      <c r="C414" s="730"/>
      <c r="D414" s="730"/>
      <c r="E414" s="730"/>
      <c r="F414" s="730"/>
      <c r="G414" s="730"/>
      <c r="H414" s="730"/>
      <c r="I414" s="730"/>
      <c r="J414" s="730"/>
      <c r="K414" s="777"/>
    </row>
    <row r="415" spans="1:11" x14ac:dyDescent="0.2">
      <c r="A415" s="730"/>
      <c r="B415" s="730"/>
      <c r="C415" s="730"/>
      <c r="D415" s="730"/>
      <c r="E415" s="730"/>
      <c r="F415" s="730"/>
      <c r="G415" s="730"/>
      <c r="H415" s="730"/>
      <c r="I415" s="730"/>
      <c r="J415" s="730"/>
      <c r="K415" s="777"/>
    </row>
    <row r="416" spans="1:11" x14ac:dyDescent="0.2">
      <c r="A416" s="730"/>
      <c r="B416" s="730"/>
      <c r="C416" s="730"/>
      <c r="D416" s="730"/>
      <c r="E416" s="730"/>
      <c r="F416" s="730"/>
      <c r="G416" s="730"/>
      <c r="H416" s="730"/>
      <c r="I416" s="730"/>
      <c r="J416" s="730"/>
      <c r="K416" s="777"/>
    </row>
    <row r="417" spans="1:11" x14ac:dyDescent="0.2">
      <c r="A417" s="730"/>
      <c r="B417" s="730"/>
      <c r="C417" s="730"/>
      <c r="D417" s="730"/>
      <c r="E417" s="730"/>
      <c r="F417" s="730"/>
      <c r="G417" s="730"/>
      <c r="H417" s="730"/>
      <c r="I417" s="730"/>
      <c r="J417" s="730"/>
      <c r="K417" s="777"/>
    </row>
    <row r="418" spans="1:11" x14ac:dyDescent="0.2">
      <c r="A418" s="730"/>
      <c r="B418" s="730"/>
      <c r="C418" s="730"/>
      <c r="D418" s="730"/>
      <c r="E418" s="730"/>
      <c r="F418" s="730"/>
      <c r="G418" s="730"/>
      <c r="H418" s="730"/>
      <c r="I418" s="730"/>
      <c r="J418" s="730"/>
      <c r="K418" s="777"/>
    </row>
    <row r="419" spans="1:11" x14ac:dyDescent="0.2">
      <c r="A419" s="730"/>
      <c r="B419" s="730"/>
      <c r="C419" s="730"/>
      <c r="D419" s="730"/>
      <c r="E419" s="730"/>
      <c r="F419" s="730"/>
      <c r="G419" s="730"/>
      <c r="H419" s="730"/>
      <c r="I419" s="730"/>
      <c r="J419" s="730"/>
      <c r="K419" s="777"/>
    </row>
    <row r="420" spans="1:11" x14ac:dyDescent="0.2">
      <c r="A420" s="730"/>
      <c r="B420" s="730"/>
      <c r="C420" s="730"/>
      <c r="D420" s="730"/>
      <c r="E420" s="730"/>
      <c r="F420" s="730"/>
      <c r="G420" s="730"/>
      <c r="H420" s="730"/>
      <c r="I420" s="730"/>
      <c r="J420" s="730"/>
      <c r="K420" s="777"/>
    </row>
    <row r="421" spans="1:11" x14ac:dyDescent="0.2">
      <c r="A421" s="730"/>
      <c r="B421" s="730"/>
      <c r="C421" s="730"/>
      <c r="D421" s="730"/>
      <c r="E421" s="730"/>
      <c r="F421" s="730"/>
      <c r="G421" s="730"/>
      <c r="H421" s="730"/>
      <c r="I421" s="730"/>
      <c r="J421" s="730"/>
      <c r="K421" s="777"/>
    </row>
    <row r="422" spans="1:11" x14ac:dyDescent="0.2">
      <c r="A422" s="730"/>
      <c r="B422" s="730"/>
      <c r="C422" s="730"/>
      <c r="D422" s="730"/>
      <c r="E422" s="730"/>
      <c r="F422" s="730"/>
      <c r="G422" s="730"/>
      <c r="H422" s="730"/>
      <c r="I422" s="730"/>
      <c r="J422" s="730"/>
      <c r="K422" s="777"/>
    </row>
    <row r="423" spans="1:11" x14ac:dyDescent="0.2">
      <c r="A423" s="730"/>
      <c r="B423" s="730"/>
      <c r="C423" s="730"/>
      <c r="D423" s="730"/>
      <c r="E423" s="730"/>
      <c r="F423" s="730"/>
      <c r="G423" s="730"/>
      <c r="H423" s="730"/>
      <c r="I423" s="730"/>
      <c r="J423" s="730"/>
      <c r="K423" s="777"/>
    </row>
    <row r="424" spans="1:11" x14ac:dyDescent="0.2">
      <c r="A424" s="730"/>
      <c r="B424" s="730"/>
      <c r="C424" s="730"/>
      <c r="D424" s="730"/>
      <c r="E424" s="730"/>
      <c r="F424" s="730"/>
      <c r="G424" s="730"/>
      <c r="H424" s="730"/>
      <c r="I424" s="730"/>
      <c r="J424" s="730"/>
      <c r="K424" s="777"/>
    </row>
    <row r="425" spans="1:11" x14ac:dyDescent="0.2">
      <c r="A425" s="730"/>
      <c r="B425" s="730"/>
      <c r="C425" s="730"/>
      <c r="D425" s="730"/>
      <c r="E425" s="730"/>
      <c r="F425" s="730"/>
      <c r="G425" s="730"/>
      <c r="H425" s="730"/>
      <c r="I425" s="730"/>
      <c r="J425" s="730"/>
      <c r="K425" s="777"/>
    </row>
    <row r="426" spans="1:11" x14ac:dyDescent="0.2">
      <c r="A426" s="730"/>
      <c r="B426" s="730"/>
      <c r="C426" s="730"/>
      <c r="D426" s="730"/>
      <c r="E426" s="730"/>
      <c r="F426" s="730"/>
      <c r="G426" s="730"/>
      <c r="H426" s="730"/>
      <c r="I426" s="730"/>
      <c r="J426" s="730"/>
      <c r="K426" s="777"/>
    </row>
    <row r="427" spans="1:11" x14ac:dyDescent="0.2">
      <c r="A427" s="730"/>
      <c r="B427" s="730"/>
      <c r="C427" s="730"/>
      <c r="D427" s="730"/>
      <c r="E427" s="730"/>
      <c r="F427" s="730"/>
      <c r="G427" s="730"/>
      <c r="H427" s="730"/>
      <c r="I427" s="730"/>
      <c r="J427" s="730"/>
      <c r="K427" s="777"/>
    </row>
    <row r="428" spans="1:11" x14ac:dyDescent="0.2">
      <c r="A428" s="730"/>
      <c r="B428" s="730"/>
      <c r="C428" s="730"/>
      <c r="D428" s="730"/>
      <c r="E428" s="730"/>
      <c r="F428" s="730"/>
      <c r="G428" s="730"/>
      <c r="H428" s="730"/>
      <c r="I428" s="730"/>
      <c r="J428" s="730"/>
      <c r="K428" s="777"/>
    </row>
    <row r="429" spans="1:11" x14ac:dyDescent="0.2">
      <c r="A429" s="730"/>
      <c r="B429" s="730"/>
      <c r="C429" s="730"/>
      <c r="D429" s="730"/>
      <c r="E429" s="730"/>
      <c r="F429" s="730"/>
      <c r="G429" s="730"/>
      <c r="H429" s="730"/>
      <c r="I429" s="730"/>
      <c r="J429" s="730"/>
      <c r="K429" s="777"/>
    </row>
    <row r="430" spans="1:11" x14ac:dyDescent="0.2">
      <c r="A430" s="730"/>
      <c r="B430" s="730"/>
      <c r="C430" s="730"/>
      <c r="D430" s="730"/>
      <c r="E430" s="730"/>
      <c r="F430" s="730"/>
      <c r="G430" s="730"/>
      <c r="H430" s="730"/>
      <c r="I430" s="730"/>
      <c r="J430" s="730"/>
      <c r="K430" s="777"/>
    </row>
    <row r="431" spans="1:11" x14ac:dyDescent="0.2">
      <c r="A431" s="730"/>
      <c r="B431" s="730"/>
      <c r="C431" s="730"/>
      <c r="D431" s="730"/>
      <c r="E431" s="730"/>
      <c r="F431" s="730"/>
      <c r="G431" s="730"/>
      <c r="H431" s="730"/>
      <c r="I431" s="730"/>
      <c r="J431" s="730"/>
      <c r="K431" s="777"/>
    </row>
    <row r="432" spans="1:11" x14ac:dyDescent="0.2">
      <c r="A432" s="730"/>
      <c r="B432" s="730"/>
      <c r="C432" s="730"/>
      <c r="D432" s="730"/>
      <c r="E432" s="730"/>
      <c r="F432" s="730"/>
      <c r="G432" s="730"/>
      <c r="H432" s="730"/>
      <c r="I432" s="730"/>
      <c r="J432" s="730"/>
      <c r="K432" s="777"/>
    </row>
    <row r="433" spans="1:11" x14ac:dyDescent="0.2">
      <c r="A433" s="730"/>
      <c r="B433" s="730"/>
      <c r="C433" s="730"/>
      <c r="D433" s="730"/>
      <c r="E433" s="730"/>
      <c r="F433" s="730"/>
      <c r="G433" s="730"/>
      <c r="H433" s="730"/>
      <c r="I433" s="730"/>
      <c r="J433" s="730"/>
      <c r="K433" s="777"/>
    </row>
    <row r="434" spans="1:11" x14ac:dyDescent="0.2">
      <c r="A434" s="730"/>
      <c r="B434" s="730"/>
      <c r="C434" s="730"/>
      <c r="D434" s="730"/>
      <c r="E434" s="730"/>
      <c r="F434" s="730"/>
      <c r="G434" s="730"/>
      <c r="H434" s="730"/>
      <c r="I434" s="730"/>
      <c r="J434" s="730"/>
      <c r="K434" s="777"/>
    </row>
    <row r="435" spans="1:11" x14ac:dyDescent="0.2">
      <c r="A435" s="730"/>
      <c r="B435" s="730"/>
      <c r="C435" s="730"/>
      <c r="D435" s="730"/>
      <c r="E435" s="730"/>
      <c r="F435" s="730"/>
      <c r="G435" s="730"/>
      <c r="H435" s="730"/>
      <c r="I435" s="730"/>
      <c r="J435" s="730"/>
      <c r="K435" s="777"/>
    </row>
    <row r="436" spans="1:11" x14ac:dyDescent="0.2">
      <c r="A436" s="730"/>
      <c r="B436" s="730"/>
      <c r="C436" s="730"/>
      <c r="D436" s="730"/>
      <c r="E436" s="730"/>
      <c r="F436" s="730"/>
      <c r="G436" s="730"/>
      <c r="H436" s="730"/>
      <c r="I436" s="730"/>
      <c r="J436" s="730"/>
      <c r="K436" s="777"/>
    </row>
    <row r="437" spans="1:11" x14ac:dyDescent="0.2">
      <c r="A437" s="730"/>
      <c r="B437" s="730"/>
      <c r="C437" s="730"/>
      <c r="D437" s="730"/>
      <c r="E437" s="730"/>
      <c r="F437" s="730"/>
      <c r="G437" s="730"/>
      <c r="H437" s="730"/>
      <c r="I437" s="730"/>
      <c r="J437" s="730"/>
      <c r="K437" s="777"/>
    </row>
    <row r="438" spans="1:11" x14ac:dyDescent="0.2">
      <c r="A438" s="730"/>
      <c r="B438" s="730"/>
      <c r="C438" s="730"/>
      <c r="D438" s="730"/>
      <c r="E438" s="730"/>
      <c r="F438" s="730"/>
      <c r="G438" s="730"/>
      <c r="H438" s="730"/>
      <c r="I438" s="730"/>
      <c r="J438" s="730"/>
      <c r="K438" s="777"/>
    </row>
    <row r="439" spans="1:11" x14ac:dyDescent="0.2">
      <c r="A439" s="730"/>
      <c r="B439" s="730"/>
      <c r="C439" s="730"/>
      <c r="D439" s="730"/>
      <c r="E439" s="730"/>
      <c r="F439" s="730"/>
      <c r="G439" s="730"/>
      <c r="H439" s="730"/>
      <c r="I439" s="730"/>
      <c r="J439" s="730"/>
      <c r="K439" s="777"/>
    </row>
    <row r="440" spans="1:11" x14ac:dyDescent="0.2">
      <c r="A440" s="730"/>
      <c r="B440" s="730"/>
      <c r="C440" s="730"/>
      <c r="D440" s="730"/>
      <c r="E440" s="730"/>
      <c r="F440" s="730"/>
      <c r="G440" s="730"/>
      <c r="H440" s="730"/>
      <c r="I440" s="730"/>
      <c r="J440" s="730"/>
      <c r="K440" s="777"/>
    </row>
    <row r="441" spans="1:11" x14ac:dyDescent="0.2">
      <c r="A441" s="730"/>
      <c r="B441" s="730"/>
      <c r="C441" s="730"/>
      <c r="D441" s="730"/>
      <c r="E441" s="730"/>
      <c r="F441" s="730"/>
      <c r="G441" s="730"/>
      <c r="H441" s="730"/>
      <c r="I441" s="730"/>
      <c r="J441" s="730"/>
      <c r="K441" s="777"/>
    </row>
    <row r="442" spans="1:11" x14ac:dyDescent="0.2">
      <c r="A442" s="730"/>
      <c r="B442" s="730"/>
      <c r="C442" s="730"/>
      <c r="D442" s="730"/>
      <c r="E442" s="730"/>
      <c r="F442" s="730"/>
      <c r="G442" s="730"/>
      <c r="H442" s="730"/>
      <c r="I442" s="730"/>
      <c r="J442" s="730"/>
      <c r="K442" s="777"/>
    </row>
    <row r="443" spans="1:11" x14ac:dyDescent="0.2">
      <c r="A443" s="730"/>
      <c r="B443" s="730"/>
      <c r="C443" s="730"/>
      <c r="D443" s="730"/>
      <c r="E443" s="730"/>
      <c r="F443" s="730"/>
      <c r="G443" s="730"/>
      <c r="H443" s="730"/>
      <c r="I443" s="730"/>
      <c r="J443" s="730"/>
      <c r="K443" s="777"/>
    </row>
    <row r="444" spans="1:11" x14ac:dyDescent="0.2">
      <c r="A444" s="730"/>
      <c r="B444" s="730"/>
      <c r="C444" s="730"/>
      <c r="D444" s="730"/>
      <c r="E444" s="730"/>
      <c r="F444" s="730"/>
      <c r="G444" s="730"/>
      <c r="H444" s="730"/>
      <c r="I444" s="730"/>
      <c r="J444" s="730"/>
      <c r="K444" s="777"/>
    </row>
    <row r="445" spans="1:11" x14ac:dyDescent="0.2">
      <c r="A445" s="730"/>
      <c r="B445" s="730"/>
      <c r="C445" s="730"/>
      <c r="D445" s="730"/>
      <c r="E445" s="730"/>
      <c r="F445" s="730"/>
      <c r="G445" s="730"/>
      <c r="H445" s="730"/>
      <c r="I445" s="730"/>
      <c r="J445" s="730"/>
      <c r="K445" s="777"/>
    </row>
    <row r="446" spans="1:11" x14ac:dyDescent="0.2">
      <c r="A446" s="730"/>
      <c r="B446" s="730"/>
      <c r="C446" s="730"/>
      <c r="D446" s="730"/>
      <c r="E446" s="730"/>
      <c r="F446" s="730"/>
      <c r="G446" s="730"/>
      <c r="H446" s="730"/>
      <c r="I446" s="730"/>
      <c r="J446" s="730"/>
      <c r="K446" s="777"/>
    </row>
    <row r="447" spans="1:11" x14ac:dyDescent="0.2">
      <c r="A447" s="730"/>
      <c r="B447" s="730"/>
      <c r="C447" s="730"/>
      <c r="D447" s="730"/>
      <c r="E447" s="730"/>
      <c r="F447" s="730"/>
      <c r="G447" s="730"/>
      <c r="H447" s="730"/>
      <c r="I447" s="730"/>
      <c r="J447" s="730"/>
      <c r="K447" s="777"/>
    </row>
    <row r="448" spans="1:11" x14ac:dyDescent="0.2">
      <c r="A448" s="730"/>
      <c r="B448" s="730"/>
      <c r="C448" s="730"/>
      <c r="D448" s="730"/>
      <c r="E448" s="730"/>
      <c r="F448" s="730"/>
      <c r="G448" s="730"/>
      <c r="H448" s="730"/>
      <c r="I448" s="730"/>
      <c r="J448" s="730"/>
      <c r="K448" s="777"/>
    </row>
    <row r="449" spans="1:11" x14ac:dyDescent="0.2">
      <c r="A449" s="730"/>
      <c r="B449" s="730"/>
      <c r="C449" s="730"/>
      <c r="D449" s="730"/>
      <c r="E449" s="730"/>
      <c r="F449" s="730"/>
      <c r="G449" s="730"/>
      <c r="H449" s="730"/>
      <c r="I449" s="730"/>
      <c r="J449" s="730"/>
      <c r="K449" s="777"/>
    </row>
    <row r="450" spans="1:11" x14ac:dyDescent="0.2">
      <c r="A450" s="730"/>
      <c r="B450" s="730"/>
      <c r="C450" s="730"/>
      <c r="D450" s="730"/>
      <c r="E450" s="730"/>
      <c r="F450" s="730"/>
      <c r="G450" s="730"/>
      <c r="H450" s="730"/>
      <c r="I450" s="730"/>
      <c r="J450" s="730"/>
      <c r="K450" s="777"/>
    </row>
    <row r="451" spans="1:11" x14ac:dyDescent="0.2">
      <c r="A451" s="730"/>
      <c r="B451" s="730"/>
      <c r="C451" s="730"/>
      <c r="D451" s="730"/>
      <c r="E451" s="730"/>
      <c r="F451" s="730"/>
      <c r="G451" s="730"/>
      <c r="H451" s="730"/>
      <c r="I451" s="730"/>
      <c r="J451" s="730"/>
      <c r="K451" s="777"/>
    </row>
    <row r="452" spans="1:11" x14ac:dyDescent="0.2">
      <c r="A452" s="730"/>
      <c r="B452" s="730"/>
      <c r="C452" s="730"/>
      <c r="D452" s="730"/>
      <c r="E452" s="730"/>
      <c r="F452" s="730"/>
      <c r="G452" s="730"/>
      <c r="H452" s="730"/>
      <c r="I452" s="730"/>
      <c r="J452" s="730"/>
      <c r="K452" s="777"/>
    </row>
    <row r="453" spans="1:11" x14ac:dyDescent="0.2">
      <c r="A453" s="730"/>
      <c r="B453" s="730"/>
      <c r="C453" s="730"/>
      <c r="D453" s="730"/>
      <c r="E453" s="730"/>
      <c r="F453" s="730"/>
      <c r="G453" s="730"/>
      <c r="H453" s="730"/>
      <c r="I453" s="730"/>
      <c r="J453" s="730"/>
      <c r="K453" s="777"/>
    </row>
    <row r="454" spans="1:11" x14ac:dyDescent="0.2">
      <c r="A454" s="730"/>
      <c r="B454" s="730"/>
      <c r="C454" s="730"/>
      <c r="D454" s="730"/>
      <c r="E454" s="730"/>
      <c r="F454" s="730"/>
      <c r="G454" s="730"/>
      <c r="H454" s="730"/>
      <c r="I454" s="730"/>
      <c r="J454" s="730"/>
      <c r="K454" s="777"/>
    </row>
    <row r="455" spans="1:11" x14ac:dyDescent="0.2">
      <c r="A455" s="730"/>
      <c r="B455" s="730"/>
      <c r="C455" s="730"/>
      <c r="D455" s="730"/>
      <c r="E455" s="730"/>
      <c r="F455" s="730"/>
      <c r="G455" s="730"/>
      <c r="H455" s="730"/>
      <c r="I455" s="730"/>
      <c r="J455" s="730"/>
      <c r="K455" s="777"/>
    </row>
    <row r="456" spans="1:11" x14ac:dyDescent="0.2">
      <c r="A456" s="730"/>
      <c r="B456" s="730"/>
      <c r="C456" s="730"/>
      <c r="D456" s="730"/>
      <c r="E456" s="730"/>
      <c r="F456" s="730"/>
      <c r="G456" s="730"/>
      <c r="H456" s="730"/>
      <c r="I456" s="730"/>
      <c r="J456" s="730"/>
      <c r="K456" s="777"/>
    </row>
    <row r="457" spans="1:11" x14ac:dyDescent="0.2">
      <c r="A457" s="730"/>
      <c r="B457" s="730"/>
      <c r="C457" s="730"/>
      <c r="D457" s="730"/>
      <c r="E457" s="730"/>
      <c r="F457" s="730"/>
      <c r="G457" s="730"/>
      <c r="H457" s="730"/>
      <c r="I457" s="730"/>
      <c r="J457" s="730"/>
      <c r="K457" s="777"/>
    </row>
    <row r="458" spans="1:11" x14ac:dyDescent="0.2">
      <c r="A458" s="730"/>
      <c r="B458" s="730"/>
      <c r="C458" s="730"/>
      <c r="D458" s="730"/>
      <c r="E458" s="730"/>
      <c r="F458" s="730"/>
      <c r="G458" s="730"/>
      <c r="H458" s="730"/>
      <c r="I458" s="730"/>
      <c r="J458" s="730"/>
      <c r="K458" s="777"/>
    </row>
    <row r="459" spans="1:11" x14ac:dyDescent="0.2">
      <c r="A459" s="730"/>
      <c r="B459" s="730"/>
      <c r="C459" s="730"/>
      <c r="D459" s="730"/>
      <c r="E459" s="730"/>
      <c r="F459" s="730"/>
      <c r="G459" s="730"/>
      <c r="H459" s="730"/>
      <c r="I459" s="730"/>
      <c r="J459" s="730"/>
      <c r="K459" s="777"/>
    </row>
    <row r="460" spans="1:11" x14ac:dyDescent="0.2">
      <c r="A460" s="730"/>
      <c r="B460" s="730"/>
      <c r="C460" s="730"/>
      <c r="D460" s="730"/>
      <c r="E460" s="730"/>
      <c r="F460" s="730"/>
      <c r="G460" s="730"/>
      <c r="H460" s="730"/>
      <c r="I460" s="730"/>
      <c r="J460" s="730"/>
      <c r="K460" s="777"/>
    </row>
    <row r="461" spans="1:11" x14ac:dyDescent="0.2">
      <c r="A461" s="730"/>
      <c r="B461" s="730"/>
      <c r="C461" s="730"/>
      <c r="D461" s="730"/>
      <c r="E461" s="730"/>
      <c r="F461" s="730"/>
      <c r="G461" s="730"/>
      <c r="H461" s="730"/>
      <c r="I461" s="730"/>
      <c r="J461" s="730"/>
      <c r="K461" s="777"/>
    </row>
    <row r="462" spans="1:11" x14ac:dyDescent="0.2">
      <c r="A462" s="730"/>
      <c r="B462" s="730"/>
      <c r="C462" s="730"/>
      <c r="D462" s="730"/>
      <c r="E462" s="730"/>
      <c r="F462" s="730"/>
      <c r="G462" s="730"/>
      <c r="H462" s="730"/>
      <c r="I462" s="730"/>
      <c r="J462" s="730"/>
      <c r="K462" s="777"/>
    </row>
    <row r="463" spans="1:11" x14ac:dyDescent="0.2">
      <c r="A463" s="730"/>
      <c r="B463" s="730"/>
      <c r="C463" s="730"/>
      <c r="D463" s="730"/>
      <c r="E463" s="730"/>
      <c r="F463" s="730"/>
      <c r="G463" s="730"/>
      <c r="H463" s="730"/>
      <c r="I463" s="730"/>
      <c r="J463" s="730"/>
      <c r="K463" s="777"/>
    </row>
    <row r="464" spans="1:11" x14ac:dyDescent="0.2">
      <c r="A464" s="730"/>
      <c r="B464" s="730"/>
      <c r="C464" s="730"/>
      <c r="D464" s="730"/>
      <c r="E464" s="730"/>
      <c r="F464" s="730"/>
      <c r="G464" s="730"/>
      <c r="H464" s="730"/>
      <c r="I464" s="730"/>
      <c r="J464" s="730"/>
      <c r="K464" s="777"/>
    </row>
    <row r="465" spans="1:11" x14ac:dyDescent="0.2">
      <c r="A465" s="730"/>
      <c r="B465" s="730"/>
      <c r="C465" s="730"/>
      <c r="D465" s="730"/>
      <c r="E465" s="730"/>
      <c r="F465" s="730"/>
      <c r="G465" s="730"/>
      <c r="H465" s="730"/>
      <c r="I465" s="730"/>
      <c r="J465" s="730"/>
      <c r="K465" s="777"/>
    </row>
    <row r="466" spans="1:11" x14ac:dyDescent="0.2">
      <c r="A466" s="730"/>
      <c r="B466" s="730"/>
      <c r="C466" s="730"/>
      <c r="D466" s="730"/>
      <c r="E466" s="730"/>
      <c r="F466" s="730"/>
      <c r="G466" s="730"/>
      <c r="H466" s="730"/>
      <c r="I466" s="730"/>
      <c r="J466" s="730"/>
      <c r="K466" s="777"/>
    </row>
    <row r="467" spans="1:11" x14ac:dyDescent="0.2">
      <c r="A467" s="730"/>
      <c r="B467" s="730"/>
      <c r="C467" s="730"/>
      <c r="D467" s="730"/>
      <c r="E467" s="730"/>
      <c r="F467" s="730"/>
      <c r="G467" s="730"/>
      <c r="H467" s="730"/>
      <c r="I467" s="730"/>
      <c r="J467" s="730"/>
      <c r="K467" s="777"/>
    </row>
    <row r="468" spans="1:11" x14ac:dyDescent="0.2">
      <c r="A468" s="730"/>
      <c r="B468" s="730"/>
      <c r="C468" s="730"/>
      <c r="D468" s="730"/>
      <c r="E468" s="730"/>
      <c r="F468" s="730"/>
      <c r="G468" s="730"/>
      <c r="H468" s="730"/>
      <c r="I468" s="730"/>
      <c r="J468" s="730"/>
      <c r="K468" s="777"/>
    </row>
    <row r="469" spans="1:11" x14ac:dyDescent="0.2">
      <c r="A469" s="730"/>
      <c r="B469" s="730"/>
      <c r="C469" s="730"/>
      <c r="D469" s="730"/>
      <c r="E469" s="730"/>
      <c r="F469" s="730"/>
      <c r="G469" s="730"/>
      <c r="H469" s="730"/>
      <c r="I469" s="730"/>
      <c r="J469" s="730"/>
      <c r="K469" s="777"/>
    </row>
    <row r="470" spans="1:11" x14ac:dyDescent="0.2">
      <c r="A470" s="730"/>
      <c r="B470" s="730"/>
      <c r="C470" s="730"/>
      <c r="D470" s="730"/>
      <c r="E470" s="730"/>
      <c r="F470" s="730"/>
      <c r="G470" s="730"/>
      <c r="H470" s="730"/>
      <c r="I470" s="730"/>
      <c r="J470" s="730"/>
      <c r="K470" s="777"/>
    </row>
    <row r="471" spans="1:11" x14ac:dyDescent="0.2">
      <c r="A471" s="730"/>
      <c r="B471" s="730"/>
      <c r="C471" s="730"/>
      <c r="D471" s="730"/>
      <c r="E471" s="730"/>
      <c r="F471" s="730"/>
      <c r="G471" s="730"/>
      <c r="H471" s="730"/>
      <c r="I471" s="730"/>
      <c r="J471" s="730"/>
      <c r="K471" s="777"/>
    </row>
    <row r="472" spans="1:11" x14ac:dyDescent="0.2">
      <c r="A472" s="730"/>
      <c r="B472" s="730"/>
      <c r="C472" s="730"/>
      <c r="D472" s="730"/>
      <c r="E472" s="730"/>
      <c r="F472" s="730"/>
      <c r="G472" s="730"/>
      <c r="H472" s="730"/>
      <c r="I472" s="730"/>
      <c r="J472" s="730"/>
      <c r="K472" s="777"/>
    </row>
    <row r="473" spans="1:11" x14ac:dyDescent="0.2">
      <c r="A473" s="730"/>
      <c r="B473" s="730"/>
      <c r="C473" s="730"/>
      <c r="D473" s="730"/>
      <c r="E473" s="730"/>
      <c r="F473" s="730"/>
      <c r="G473" s="730"/>
      <c r="H473" s="730"/>
      <c r="I473" s="730"/>
      <c r="J473" s="730"/>
      <c r="K473" s="777"/>
    </row>
    <row r="474" spans="1:11" x14ac:dyDescent="0.2">
      <c r="A474" s="730"/>
      <c r="B474" s="730"/>
      <c r="C474" s="730"/>
      <c r="D474" s="730"/>
      <c r="E474" s="730"/>
      <c r="F474" s="730"/>
      <c r="G474" s="730"/>
      <c r="H474" s="730"/>
      <c r="I474" s="730"/>
      <c r="J474" s="730"/>
      <c r="K474" s="777"/>
    </row>
    <row r="475" spans="1:11" x14ac:dyDescent="0.2">
      <c r="A475" s="730"/>
      <c r="B475" s="730"/>
      <c r="C475" s="730"/>
      <c r="D475" s="730"/>
      <c r="E475" s="730"/>
      <c r="F475" s="730"/>
      <c r="G475" s="730"/>
      <c r="H475" s="730"/>
      <c r="I475" s="730"/>
      <c r="J475" s="730"/>
      <c r="K475" s="777"/>
    </row>
    <row r="476" spans="1:11" x14ac:dyDescent="0.2">
      <c r="A476" s="730"/>
      <c r="B476" s="730"/>
      <c r="C476" s="730"/>
      <c r="D476" s="730"/>
      <c r="E476" s="730"/>
      <c r="F476" s="730"/>
      <c r="G476" s="730"/>
      <c r="H476" s="730"/>
      <c r="I476" s="730"/>
      <c r="J476" s="730"/>
      <c r="K476" s="777"/>
    </row>
    <row r="477" spans="1:11" x14ac:dyDescent="0.2">
      <c r="A477" s="730"/>
      <c r="B477" s="730"/>
      <c r="C477" s="730"/>
      <c r="D477" s="730"/>
      <c r="E477" s="730"/>
      <c r="F477" s="730"/>
      <c r="G477" s="730"/>
      <c r="H477" s="730"/>
      <c r="I477" s="730"/>
      <c r="J477" s="730"/>
      <c r="K477" s="777"/>
    </row>
    <row r="478" spans="1:11" x14ac:dyDescent="0.2">
      <c r="A478" s="730"/>
      <c r="B478" s="730"/>
      <c r="C478" s="730"/>
      <c r="D478" s="730"/>
      <c r="E478" s="730"/>
      <c r="F478" s="730"/>
      <c r="G478" s="730"/>
      <c r="H478" s="730"/>
      <c r="I478" s="730"/>
      <c r="J478" s="730"/>
      <c r="K478" s="777"/>
    </row>
    <row r="479" spans="1:11" x14ac:dyDescent="0.2">
      <c r="A479" s="730"/>
      <c r="B479" s="730"/>
      <c r="C479" s="730"/>
      <c r="D479" s="730"/>
      <c r="E479" s="730"/>
      <c r="F479" s="730"/>
      <c r="G479" s="730"/>
      <c r="H479" s="730"/>
      <c r="I479" s="730"/>
      <c r="J479" s="730"/>
      <c r="K479" s="777"/>
    </row>
    <row r="480" spans="1:11" x14ac:dyDescent="0.2">
      <c r="A480" s="730"/>
      <c r="B480" s="730"/>
      <c r="C480" s="730"/>
      <c r="D480" s="730"/>
      <c r="E480" s="730"/>
      <c r="F480" s="730"/>
      <c r="G480" s="730"/>
      <c r="H480" s="730"/>
      <c r="I480" s="730"/>
      <c r="J480" s="730"/>
      <c r="K480" s="777"/>
    </row>
    <row r="481" spans="1:11" x14ac:dyDescent="0.2">
      <c r="A481" s="730"/>
      <c r="B481" s="730"/>
      <c r="C481" s="730"/>
      <c r="D481" s="730"/>
      <c r="E481" s="730"/>
      <c r="F481" s="730"/>
      <c r="G481" s="730"/>
      <c r="H481" s="730"/>
      <c r="I481" s="730"/>
      <c r="J481" s="730"/>
      <c r="K481" s="777"/>
    </row>
    <row r="482" spans="1:11" x14ac:dyDescent="0.2">
      <c r="A482" s="730"/>
      <c r="B482" s="730"/>
      <c r="C482" s="730"/>
      <c r="D482" s="730"/>
      <c r="E482" s="730"/>
      <c r="F482" s="730"/>
      <c r="G482" s="730"/>
      <c r="H482" s="730"/>
      <c r="I482" s="730"/>
      <c r="J482" s="730"/>
      <c r="K482" s="777"/>
    </row>
    <row r="483" spans="1:11" x14ac:dyDescent="0.2">
      <c r="A483" s="730"/>
      <c r="B483" s="730"/>
      <c r="C483" s="730"/>
      <c r="D483" s="730"/>
      <c r="E483" s="730"/>
      <c r="F483" s="730"/>
      <c r="G483" s="730"/>
      <c r="H483" s="730"/>
      <c r="I483" s="730"/>
      <c r="J483" s="730"/>
      <c r="K483" s="777"/>
    </row>
    <row r="484" spans="1:11" x14ac:dyDescent="0.2">
      <c r="A484" s="730"/>
      <c r="B484" s="730"/>
      <c r="C484" s="730"/>
      <c r="D484" s="730"/>
      <c r="E484" s="730"/>
      <c r="F484" s="730"/>
      <c r="G484" s="730"/>
      <c r="H484" s="730"/>
      <c r="I484" s="730"/>
      <c r="J484" s="730"/>
      <c r="K484" s="777"/>
    </row>
    <row r="485" spans="1:11" x14ac:dyDescent="0.2">
      <c r="A485" s="730"/>
      <c r="B485" s="730"/>
      <c r="C485" s="730"/>
      <c r="D485" s="730"/>
      <c r="E485" s="730"/>
      <c r="F485" s="730"/>
      <c r="G485" s="730"/>
      <c r="H485" s="730"/>
      <c r="I485" s="730"/>
      <c r="J485" s="730"/>
      <c r="K485" s="777"/>
    </row>
    <row r="486" spans="1:11" x14ac:dyDescent="0.2">
      <c r="A486" s="730"/>
      <c r="B486" s="730"/>
      <c r="C486" s="730"/>
      <c r="D486" s="730"/>
      <c r="E486" s="730"/>
      <c r="F486" s="730"/>
      <c r="G486" s="730"/>
      <c r="H486" s="730"/>
      <c r="I486" s="730"/>
      <c r="J486" s="730"/>
      <c r="K486" s="777"/>
    </row>
    <row r="487" spans="1:11" x14ac:dyDescent="0.2">
      <c r="A487" s="730"/>
      <c r="B487" s="730"/>
      <c r="C487" s="730"/>
      <c r="D487" s="730"/>
      <c r="E487" s="730"/>
      <c r="F487" s="730"/>
      <c r="G487" s="730"/>
      <c r="H487" s="730"/>
      <c r="I487" s="730"/>
      <c r="J487" s="730"/>
      <c r="K487" s="777"/>
    </row>
    <row r="488" spans="1:11" x14ac:dyDescent="0.2">
      <c r="A488" s="730"/>
      <c r="B488" s="730"/>
      <c r="C488" s="730"/>
      <c r="D488" s="730"/>
      <c r="E488" s="730"/>
      <c r="F488" s="730"/>
      <c r="G488" s="730"/>
      <c r="H488" s="730"/>
      <c r="I488" s="730"/>
      <c r="J488" s="730"/>
      <c r="K488" s="777"/>
    </row>
    <row r="489" spans="1:11" x14ac:dyDescent="0.2">
      <c r="A489" s="730"/>
      <c r="B489" s="730"/>
      <c r="C489" s="730"/>
      <c r="D489" s="730"/>
      <c r="E489" s="730"/>
      <c r="F489" s="730"/>
      <c r="G489" s="730"/>
      <c r="H489" s="730"/>
      <c r="I489" s="730"/>
      <c r="J489" s="730"/>
      <c r="K489" s="777"/>
    </row>
    <row r="490" spans="1:11" x14ac:dyDescent="0.2">
      <c r="A490" s="730"/>
      <c r="B490" s="730"/>
      <c r="C490" s="730"/>
      <c r="D490" s="730"/>
      <c r="E490" s="730"/>
      <c r="F490" s="730"/>
      <c r="G490" s="730"/>
      <c r="H490" s="730"/>
      <c r="I490" s="730"/>
      <c r="J490" s="730"/>
      <c r="K490" s="777"/>
    </row>
    <row r="491" spans="1:11" x14ac:dyDescent="0.2">
      <c r="A491" s="730"/>
      <c r="B491" s="730"/>
      <c r="C491" s="730"/>
      <c r="D491" s="730"/>
      <c r="E491" s="730"/>
      <c r="F491" s="730"/>
      <c r="G491" s="730"/>
      <c r="H491" s="730"/>
      <c r="I491" s="730"/>
      <c r="J491" s="730"/>
      <c r="K491" s="777"/>
    </row>
    <row r="492" spans="1:11" x14ac:dyDescent="0.2">
      <c r="A492" s="730"/>
      <c r="B492" s="730"/>
      <c r="C492" s="730"/>
      <c r="D492" s="730"/>
      <c r="E492" s="730"/>
      <c r="F492" s="730"/>
      <c r="G492" s="730"/>
      <c r="H492" s="730"/>
      <c r="I492" s="730"/>
      <c r="J492" s="730"/>
      <c r="K492" s="777"/>
    </row>
    <row r="493" spans="1:11" x14ac:dyDescent="0.2">
      <c r="A493" s="730"/>
      <c r="B493" s="730"/>
      <c r="C493" s="730"/>
      <c r="D493" s="730"/>
      <c r="E493" s="730"/>
      <c r="F493" s="730"/>
      <c r="G493" s="730"/>
      <c r="H493" s="730"/>
      <c r="I493" s="730"/>
      <c r="J493" s="730"/>
      <c r="K493" s="777"/>
    </row>
    <row r="494" spans="1:11" x14ac:dyDescent="0.2">
      <c r="A494" s="730"/>
      <c r="B494" s="730"/>
      <c r="C494" s="730"/>
      <c r="D494" s="730"/>
      <c r="E494" s="730"/>
      <c r="F494" s="730"/>
      <c r="G494" s="730"/>
      <c r="H494" s="730"/>
      <c r="I494" s="730"/>
      <c r="J494" s="730"/>
      <c r="K494" s="777"/>
    </row>
    <row r="495" spans="1:11" x14ac:dyDescent="0.2">
      <c r="A495" s="730"/>
      <c r="B495" s="730"/>
      <c r="C495" s="730"/>
      <c r="D495" s="730"/>
      <c r="E495" s="730"/>
      <c r="F495" s="730"/>
      <c r="G495" s="730"/>
      <c r="H495" s="730"/>
      <c r="I495" s="730"/>
      <c r="J495" s="730"/>
      <c r="K495" s="777"/>
    </row>
    <row r="496" spans="1:11" x14ac:dyDescent="0.2">
      <c r="A496" s="730"/>
      <c r="B496" s="730"/>
      <c r="C496" s="730"/>
      <c r="D496" s="730"/>
      <c r="E496" s="730"/>
      <c r="F496" s="730"/>
      <c r="G496" s="730"/>
      <c r="H496" s="730"/>
      <c r="I496" s="730"/>
      <c r="J496" s="730"/>
      <c r="K496" s="777"/>
    </row>
    <row r="497" spans="1:11" x14ac:dyDescent="0.2">
      <c r="A497" s="730"/>
      <c r="B497" s="730"/>
      <c r="C497" s="730"/>
      <c r="D497" s="730"/>
      <c r="E497" s="730"/>
      <c r="F497" s="730"/>
      <c r="G497" s="730"/>
      <c r="H497" s="730"/>
      <c r="I497" s="730"/>
      <c r="J497" s="730"/>
      <c r="K497" s="777"/>
    </row>
    <row r="498" spans="1:11" x14ac:dyDescent="0.2">
      <c r="A498" s="730"/>
      <c r="B498" s="730"/>
      <c r="C498" s="730"/>
      <c r="D498" s="730"/>
      <c r="E498" s="730"/>
      <c r="F498" s="730"/>
      <c r="G498" s="730"/>
      <c r="H498" s="730"/>
      <c r="I498" s="730"/>
      <c r="J498" s="730"/>
      <c r="K498" s="777"/>
    </row>
    <row r="499" spans="1:11" x14ac:dyDescent="0.2">
      <c r="A499" s="730"/>
      <c r="B499" s="730"/>
      <c r="C499" s="730"/>
      <c r="D499" s="730"/>
      <c r="E499" s="730"/>
      <c r="F499" s="730"/>
      <c r="G499" s="730"/>
      <c r="H499" s="730"/>
      <c r="I499" s="730"/>
      <c r="J499" s="730"/>
      <c r="K499" s="777"/>
    </row>
    <row r="500" spans="1:11" x14ac:dyDescent="0.2">
      <c r="A500" s="730"/>
      <c r="B500" s="730"/>
      <c r="C500" s="730"/>
      <c r="D500" s="730"/>
      <c r="E500" s="730"/>
      <c r="F500" s="730"/>
      <c r="G500" s="730"/>
      <c r="H500" s="730"/>
      <c r="I500" s="730"/>
      <c r="J500" s="730"/>
      <c r="K500" s="777"/>
    </row>
    <row r="501" spans="1:11" x14ac:dyDescent="0.2">
      <c r="A501" s="730"/>
      <c r="B501" s="730"/>
      <c r="C501" s="730"/>
      <c r="D501" s="730"/>
      <c r="E501" s="730"/>
      <c r="F501" s="730"/>
      <c r="G501" s="730"/>
      <c r="H501" s="730"/>
      <c r="I501" s="730"/>
      <c r="J501" s="730"/>
      <c r="K501" s="777"/>
    </row>
    <row r="502" spans="1:11" x14ac:dyDescent="0.2">
      <c r="A502" s="730"/>
      <c r="B502" s="730"/>
      <c r="C502" s="730"/>
      <c r="D502" s="730"/>
      <c r="E502" s="730"/>
      <c r="F502" s="730"/>
      <c r="G502" s="730"/>
      <c r="H502" s="730"/>
      <c r="I502" s="730"/>
      <c r="J502" s="730"/>
      <c r="K502" s="777"/>
    </row>
    <row r="503" spans="1:11" x14ac:dyDescent="0.2">
      <c r="A503" s="730"/>
      <c r="B503" s="730"/>
      <c r="C503" s="730"/>
      <c r="D503" s="730"/>
      <c r="E503" s="730"/>
      <c r="F503" s="730"/>
      <c r="G503" s="730"/>
      <c r="H503" s="730"/>
      <c r="I503" s="730"/>
      <c r="J503" s="730"/>
      <c r="K503" s="777"/>
    </row>
    <row r="504" spans="1:11" x14ac:dyDescent="0.2">
      <c r="A504" s="730"/>
      <c r="B504" s="730"/>
      <c r="C504" s="730"/>
      <c r="D504" s="730"/>
      <c r="E504" s="730"/>
      <c r="F504" s="730"/>
      <c r="G504" s="730"/>
      <c r="H504" s="730"/>
      <c r="I504" s="730"/>
      <c r="J504" s="730"/>
      <c r="K504" s="777"/>
    </row>
    <row r="505" spans="1:11" x14ac:dyDescent="0.2">
      <c r="A505" s="730"/>
      <c r="B505" s="730"/>
      <c r="C505" s="730"/>
      <c r="D505" s="730"/>
      <c r="E505" s="730"/>
      <c r="F505" s="730"/>
      <c r="G505" s="730"/>
      <c r="H505" s="730"/>
      <c r="I505" s="730"/>
      <c r="J505" s="730"/>
      <c r="K505" s="777"/>
    </row>
    <row r="506" spans="1:11" x14ac:dyDescent="0.2">
      <c r="A506" s="730"/>
      <c r="B506" s="730"/>
      <c r="C506" s="730"/>
      <c r="D506" s="730"/>
      <c r="E506" s="730"/>
      <c r="F506" s="730"/>
      <c r="G506" s="730"/>
      <c r="H506" s="730"/>
      <c r="I506" s="730"/>
      <c r="J506" s="730"/>
      <c r="K506" s="777"/>
    </row>
    <row r="507" spans="1:11" x14ac:dyDescent="0.2">
      <c r="A507" s="730"/>
      <c r="B507" s="730"/>
      <c r="C507" s="730"/>
      <c r="D507" s="730"/>
      <c r="E507" s="730"/>
      <c r="F507" s="730"/>
      <c r="G507" s="730"/>
      <c r="H507" s="730"/>
      <c r="I507" s="730"/>
      <c r="J507" s="730"/>
      <c r="K507" s="777"/>
    </row>
    <row r="508" spans="1:11" x14ac:dyDescent="0.2">
      <c r="A508" s="730"/>
      <c r="B508" s="730"/>
      <c r="C508" s="730"/>
      <c r="D508" s="730"/>
      <c r="E508" s="730"/>
      <c r="F508" s="730"/>
      <c r="G508" s="730"/>
      <c r="H508" s="730"/>
      <c r="I508" s="730"/>
      <c r="J508" s="730"/>
      <c r="K508" s="777"/>
    </row>
    <row r="509" spans="1:11" x14ac:dyDescent="0.2">
      <c r="A509" s="730"/>
      <c r="B509" s="730"/>
      <c r="C509" s="730"/>
      <c r="D509" s="730"/>
      <c r="E509" s="730"/>
      <c r="F509" s="730"/>
      <c r="G509" s="730"/>
      <c r="H509" s="730"/>
      <c r="I509" s="730"/>
      <c r="J509" s="730"/>
      <c r="K509" s="777"/>
    </row>
    <row r="510" spans="1:11" x14ac:dyDescent="0.2">
      <c r="A510" s="730"/>
      <c r="B510" s="730"/>
      <c r="C510" s="730"/>
      <c r="D510" s="730"/>
      <c r="E510" s="730"/>
      <c r="F510" s="730"/>
      <c r="G510" s="730"/>
      <c r="H510" s="730"/>
      <c r="I510" s="730"/>
      <c r="J510" s="730"/>
      <c r="K510" s="777"/>
    </row>
    <row r="511" spans="1:11" x14ac:dyDescent="0.2">
      <c r="A511" s="730"/>
      <c r="B511" s="730"/>
      <c r="C511" s="730"/>
      <c r="D511" s="730"/>
      <c r="E511" s="730"/>
      <c r="F511" s="730"/>
      <c r="G511" s="730"/>
      <c r="H511" s="730"/>
      <c r="I511" s="730"/>
      <c r="J511" s="730"/>
      <c r="K511" s="777"/>
    </row>
    <row r="512" spans="1:11" x14ac:dyDescent="0.2">
      <c r="A512" s="730"/>
      <c r="B512" s="730"/>
      <c r="C512" s="730"/>
      <c r="D512" s="730"/>
      <c r="E512" s="730"/>
      <c r="F512" s="730"/>
      <c r="G512" s="730"/>
      <c r="H512" s="730"/>
      <c r="I512" s="730"/>
      <c r="J512" s="730"/>
      <c r="K512" s="777"/>
    </row>
    <row r="513" spans="1:11" x14ac:dyDescent="0.2">
      <c r="A513" s="730"/>
      <c r="B513" s="730"/>
      <c r="C513" s="730"/>
      <c r="D513" s="730"/>
      <c r="E513" s="730"/>
      <c r="F513" s="730"/>
      <c r="G513" s="730"/>
      <c r="H513" s="730"/>
      <c r="I513" s="730"/>
      <c r="J513" s="730"/>
      <c r="K513" s="777"/>
    </row>
    <row r="514" spans="1:11" x14ac:dyDescent="0.2">
      <c r="A514" s="730"/>
      <c r="B514" s="730"/>
      <c r="C514" s="730"/>
      <c r="D514" s="730"/>
      <c r="E514" s="730"/>
      <c r="F514" s="730"/>
      <c r="G514" s="730"/>
      <c r="H514" s="730"/>
      <c r="I514" s="730"/>
      <c r="J514" s="730"/>
      <c r="K514" s="777"/>
    </row>
    <row r="515" spans="1:11" x14ac:dyDescent="0.2">
      <c r="A515" s="730"/>
      <c r="B515" s="730"/>
      <c r="C515" s="730"/>
      <c r="D515" s="730"/>
      <c r="E515" s="730"/>
      <c r="F515" s="730"/>
      <c r="G515" s="730"/>
      <c r="H515" s="730"/>
      <c r="I515" s="730"/>
      <c r="J515" s="730"/>
      <c r="K515" s="777"/>
    </row>
    <row r="516" spans="1:11" x14ac:dyDescent="0.2">
      <c r="A516" s="730"/>
      <c r="B516" s="730"/>
      <c r="C516" s="730"/>
      <c r="D516" s="730"/>
      <c r="E516" s="730"/>
      <c r="F516" s="730"/>
      <c r="G516" s="730"/>
      <c r="H516" s="730"/>
      <c r="I516" s="730"/>
      <c r="J516" s="730"/>
      <c r="K516" s="777"/>
    </row>
    <row r="517" spans="1:11" x14ac:dyDescent="0.2">
      <c r="A517" s="730"/>
      <c r="B517" s="730"/>
      <c r="C517" s="730"/>
      <c r="D517" s="730"/>
      <c r="E517" s="730"/>
      <c r="F517" s="730"/>
      <c r="G517" s="730"/>
      <c r="H517" s="730"/>
      <c r="I517" s="730"/>
      <c r="J517" s="730"/>
      <c r="K517" s="777"/>
    </row>
    <row r="518" spans="1:11" x14ac:dyDescent="0.2">
      <c r="A518" s="730"/>
      <c r="B518" s="730"/>
      <c r="C518" s="730"/>
      <c r="D518" s="730"/>
      <c r="E518" s="730"/>
      <c r="F518" s="730"/>
      <c r="G518" s="730"/>
      <c r="H518" s="730"/>
      <c r="I518" s="730"/>
      <c r="J518" s="730"/>
      <c r="K518" s="777"/>
    </row>
    <row r="519" spans="1:11" x14ac:dyDescent="0.2">
      <c r="A519" s="730"/>
      <c r="B519" s="730"/>
      <c r="C519" s="730"/>
      <c r="D519" s="730"/>
      <c r="E519" s="730"/>
      <c r="F519" s="730"/>
      <c r="G519" s="730"/>
      <c r="H519" s="730"/>
      <c r="I519" s="730"/>
      <c r="J519" s="730"/>
      <c r="K519" s="777"/>
    </row>
    <row r="520" spans="1:11" x14ac:dyDescent="0.2">
      <c r="A520" s="730"/>
      <c r="B520" s="730"/>
      <c r="C520" s="730"/>
      <c r="D520" s="730"/>
      <c r="E520" s="730"/>
      <c r="F520" s="730"/>
      <c r="G520" s="730"/>
      <c r="H520" s="730"/>
      <c r="I520" s="730"/>
      <c r="J520" s="730"/>
      <c r="K520" s="777"/>
    </row>
    <row r="521" spans="1:11" x14ac:dyDescent="0.2">
      <c r="A521" s="730"/>
      <c r="B521" s="730"/>
      <c r="C521" s="730"/>
      <c r="D521" s="730"/>
      <c r="E521" s="730"/>
      <c r="F521" s="730"/>
      <c r="G521" s="730"/>
      <c r="H521" s="730"/>
      <c r="I521" s="730"/>
      <c r="J521" s="730"/>
      <c r="K521" s="777"/>
    </row>
    <row r="522" spans="1:11" x14ac:dyDescent="0.2">
      <c r="A522" s="730"/>
      <c r="B522" s="730"/>
      <c r="C522" s="730"/>
      <c r="D522" s="730"/>
      <c r="E522" s="730"/>
      <c r="F522" s="730"/>
      <c r="G522" s="730"/>
      <c r="H522" s="730"/>
      <c r="I522" s="730"/>
      <c r="J522" s="730"/>
      <c r="K522" s="777"/>
    </row>
    <row r="523" spans="1:11" x14ac:dyDescent="0.2">
      <c r="A523" s="730"/>
      <c r="B523" s="730"/>
      <c r="C523" s="730"/>
      <c r="D523" s="730"/>
      <c r="E523" s="730"/>
      <c r="F523" s="730"/>
      <c r="G523" s="730"/>
      <c r="H523" s="730"/>
      <c r="I523" s="730"/>
      <c r="J523" s="730"/>
      <c r="K523" s="777"/>
    </row>
    <row r="524" spans="1:11" x14ac:dyDescent="0.2">
      <c r="A524" s="730"/>
      <c r="B524" s="730"/>
      <c r="C524" s="730"/>
      <c r="D524" s="730"/>
      <c r="E524" s="730"/>
      <c r="F524" s="730"/>
      <c r="G524" s="730"/>
      <c r="H524" s="730"/>
      <c r="I524" s="730"/>
      <c r="J524" s="730"/>
      <c r="K524" s="777"/>
    </row>
    <row r="525" spans="1:11" x14ac:dyDescent="0.2">
      <c r="A525" s="730"/>
      <c r="B525" s="730"/>
      <c r="C525" s="730"/>
      <c r="D525" s="730"/>
      <c r="E525" s="730"/>
      <c r="F525" s="730"/>
      <c r="G525" s="730"/>
      <c r="H525" s="730"/>
      <c r="I525" s="730"/>
      <c r="J525" s="730"/>
      <c r="K525" s="777"/>
    </row>
    <row r="526" spans="1:11" x14ac:dyDescent="0.2">
      <c r="A526" s="730"/>
      <c r="B526" s="730"/>
      <c r="C526" s="730"/>
      <c r="D526" s="730"/>
      <c r="E526" s="730"/>
      <c r="F526" s="730"/>
      <c r="G526" s="730"/>
      <c r="H526" s="730"/>
      <c r="I526" s="730"/>
      <c r="J526" s="730"/>
      <c r="K526" s="777"/>
    </row>
    <row r="527" spans="1:11" x14ac:dyDescent="0.2">
      <c r="A527" s="730"/>
      <c r="B527" s="730"/>
      <c r="C527" s="730"/>
      <c r="D527" s="730"/>
      <c r="E527" s="730"/>
      <c r="F527" s="730"/>
      <c r="G527" s="730"/>
      <c r="H527" s="730"/>
      <c r="I527" s="730"/>
      <c r="J527" s="730"/>
      <c r="K527" s="777"/>
    </row>
    <row r="528" spans="1:11" x14ac:dyDescent="0.2">
      <c r="A528" s="730"/>
      <c r="B528" s="730"/>
      <c r="C528" s="730"/>
      <c r="D528" s="730"/>
      <c r="E528" s="730"/>
      <c r="F528" s="730"/>
      <c r="G528" s="730"/>
      <c r="H528" s="730"/>
      <c r="I528" s="730"/>
      <c r="J528" s="730"/>
      <c r="K528" s="777"/>
    </row>
    <row r="529" spans="1:11" x14ac:dyDescent="0.2">
      <c r="A529" s="730"/>
      <c r="B529" s="730"/>
      <c r="C529" s="730"/>
      <c r="D529" s="730"/>
      <c r="E529" s="730"/>
      <c r="F529" s="730"/>
      <c r="G529" s="730"/>
      <c r="H529" s="730"/>
      <c r="I529" s="730"/>
      <c r="J529" s="730"/>
      <c r="K529" s="777"/>
    </row>
    <row r="530" spans="1:11" x14ac:dyDescent="0.2">
      <c r="A530" s="730"/>
      <c r="B530" s="730"/>
      <c r="C530" s="730"/>
      <c r="D530" s="730"/>
      <c r="E530" s="730"/>
      <c r="F530" s="730"/>
      <c r="G530" s="730"/>
      <c r="H530" s="730"/>
      <c r="I530" s="730"/>
      <c r="J530" s="730"/>
      <c r="K530" s="777"/>
    </row>
    <row r="531" spans="1:11" x14ac:dyDescent="0.2">
      <c r="A531" s="730"/>
      <c r="B531" s="730"/>
      <c r="C531" s="730"/>
      <c r="D531" s="730"/>
      <c r="E531" s="730"/>
      <c r="F531" s="730"/>
      <c r="G531" s="730"/>
      <c r="H531" s="730"/>
      <c r="I531" s="730"/>
      <c r="J531" s="730"/>
      <c r="K531" s="777"/>
    </row>
    <row r="532" spans="1:11" x14ac:dyDescent="0.2">
      <c r="A532" s="730"/>
      <c r="B532" s="730"/>
      <c r="C532" s="730"/>
      <c r="D532" s="730"/>
      <c r="E532" s="730"/>
      <c r="F532" s="730"/>
      <c r="G532" s="730"/>
      <c r="H532" s="730"/>
      <c r="I532" s="730"/>
      <c r="J532" s="730"/>
      <c r="K532" s="777"/>
    </row>
    <row r="533" spans="1:11" x14ac:dyDescent="0.2">
      <c r="A533" s="730"/>
      <c r="B533" s="730"/>
      <c r="C533" s="730"/>
      <c r="D533" s="730"/>
      <c r="E533" s="730"/>
      <c r="F533" s="730"/>
      <c r="G533" s="730"/>
      <c r="H533" s="730"/>
      <c r="I533" s="730"/>
      <c r="J533" s="730"/>
      <c r="K533" s="777"/>
    </row>
    <row r="534" spans="1:11" x14ac:dyDescent="0.2">
      <c r="A534" s="730"/>
      <c r="B534" s="730"/>
      <c r="C534" s="730"/>
      <c r="D534" s="730"/>
      <c r="E534" s="730"/>
      <c r="F534" s="730"/>
      <c r="G534" s="730"/>
      <c r="H534" s="730"/>
      <c r="I534" s="730"/>
      <c r="J534" s="730"/>
      <c r="K534" s="777"/>
    </row>
    <row r="535" spans="1:11" x14ac:dyDescent="0.2">
      <c r="A535" s="730"/>
      <c r="B535" s="730"/>
      <c r="C535" s="730"/>
      <c r="D535" s="730"/>
      <c r="E535" s="730"/>
      <c r="F535" s="730"/>
      <c r="G535" s="730"/>
      <c r="H535" s="730"/>
      <c r="I535" s="730"/>
      <c r="J535" s="730"/>
      <c r="K535" s="777"/>
    </row>
    <row r="536" spans="1:11" x14ac:dyDescent="0.2">
      <c r="A536" s="730"/>
      <c r="B536" s="730"/>
      <c r="C536" s="730"/>
      <c r="D536" s="730"/>
      <c r="E536" s="730"/>
      <c r="F536" s="730"/>
      <c r="G536" s="730"/>
      <c r="H536" s="730"/>
      <c r="I536" s="730"/>
      <c r="J536" s="730"/>
      <c r="K536" s="777"/>
    </row>
    <row r="537" spans="1:11" x14ac:dyDescent="0.2">
      <c r="A537" s="730"/>
      <c r="B537" s="730"/>
      <c r="C537" s="730"/>
      <c r="D537" s="730"/>
      <c r="E537" s="730"/>
      <c r="F537" s="730"/>
      <c r="G537" s="730"/>
      <c r="H537" s="730"/>
      <c r="I537" s="730"/>
      <c r="J537" s="730"/>
      <c r="K537" s="777"/>
    </row>
    <row r="538" spans="1:11" x14ac:dyDescent="0.2">
      <c r="A538" s="730"/>
      <c r="B538" s="730"/>
      <c r="C538" s="730"/>
      <c r="D538" s="730"/>
      <c r="E538" s="730"/>
      <c r="F538" s="730"/>
      <c r="G538" s="730"/>
      <c r="H538" s="730"/>
      <c r="I538" s="730"/>
      <c r="J538" s="730"/>
      <c r="K538" s="777"/>
    </row>
    <row r="539" spans="1:11" x14ac:dyDescent="0.2">
      <c r="A539" s="730"/>
      <c r="B539" s="730"/>
      <c r="C539" s="730"/>
      <c r="D539" s="730"/>
      <c r="E539" s="730"/>
      <c r="F539" s="730"/>
      <c r="G539" s="730"/>
      <c r="H539" s="730"/>
      <c r="I539" s="730"/>
      <c r="J539" s="730"/>
      <c r="K539" s="777"/>
    </row>
    <row r="540" spans="1:11" x14ac:dyDescent="0.2">
      <c r="A540" s="730"/>
      <c r="B540" s="730"/>
      <c r="C540" s="730"/>
      <c r="D540" s="730"/>
      <c r="E540" s="730"/>
      <c r="F540" s="730"/>
      <c r="G540" s="730"/>
      <c r="H540" s="730"/>
      <c r="I540" s="730"/>
      <c r="J540" s="730"/>
      <c r="K540" s="777"/>
    </row>
    <row r="541" spans="1:11" x14ac:dyDescent="0.2">
      <c r="A541" s="730"/>
      <c r="B541" s="730"/>
      <c r="C541" s="730"/>
      <c r="D541" s="730"/>
      <c r="E541" s="730"/>
      <c r="F541" s="730"/>
      <c r="G541" s="730"/>
      <c r="H541" s="730"/>
      <c r="I541" s="730"/>
      <c r="J541" s="730"/>
      <c r="K541" s="777"/>
    </row>
    <row r="542" spans="1:11" x14ac:dyDescent="0.2">
      <c r="A542" s="730"/>
      <c r="B542" s="730"/>
      <c r="C542" s="730"/>
      <c r="D542" s="730"/>
      <c r="E542" s="730"/>
      <c r="F542" s="730"/>
      <c r="G542" s="730"/>
      <c r="H542" s="730"/>
      <c r="I542" s="730"/>
      <c r="J542" s="730"/>
      <c r="K542" s="777"/>
    </row>
    <row r="543" spans="1:11" x14ac:dyDescent="0.2">
      <c r="A543" s="730"/>
      <c r="B543" s="730"/>
      <c r="C543" s="730"/>
      <c r="D543" s="730"/>
      <c r="E543" s="730"/>
      <c r="F543" s="730"/>
      <c r="G543" s="730"/>
      <c r="H543" s="730"/>
      <c r="I543" s="730"/>
      <c r="J543" s="730"/>
      <c r="K543" s="777"/>
    </row>
    <row r="544" spans="1:11" x14ac:dyDescent="0.2">
      <c r="A544" s="730"/>
      <c r="B544" s="730"/>
      <c r="C544" s="730"/>
      <c r="D544" s="730"/>
      <c r="E544" s="730"/>
      <c r="F544" s="730"/>
      <c r="G544" s="730"/>
      <c r="H544" s="730"/>
      <c r="I544" s="730"/>
      <c r="J544" s="730"/>
      <c r="K544" s="777"/>
    </row>
    <row r="545" spans="1:11" x14ac:dyDescent="0.2">
      <c r="A545" s="730"/>
      <c r="B545" s="730"/>
      <c r="C545" s="730"/>
      <c r="D545" s="730"/>
      <c r="E545" s="730"/>
      <c r="F545" s="730"/>
      <c r="G545" s="730"/>
      <c r="H545" s="730"/>
      <c r="I545" s="730"/>
      <c r="J545" s="730"/>
      <c r="K545" s="777"/>
    </row>
    <row r="546" spans="1:11" x14ac:dyDescent="0.2">
      <c r="A546" s="730"/>
      <c r="B546" s="730"/>
      <c r="C546" s="730"/>
      <c r="D546" s="730"/>
      <c r="E546" s="730"/>
      <c r="F546" s="730"/>
      <c r="G546" s="730"/>
      <c r="H546" s="730"/>
      <c r="I546" s="730"/>
      <c r="J546" s="730"/>
      <c r="K546" s="777"/>
    </row>
    <row r="547" spans="1:11" x14ac:dyDescent="0.2">
      <c r="A547" s="730"/>
      <c r="B547" s="730"/>
      <c r="C547" s="730"/>
      <c r="D547" s="730"/>
      <c r="E547" s="730"/>
      <c r="F547" s="730"/>
      <c r="G547" s="730"/>
      <c r="H547" s="730"/>
      <c r="I547" s="730"/>
      <c r="J547" s="730"/>
      <c r="K547" s="777"/>
    </row>
    <row r="548" spans="1:11" x14ac:dyDescent="0.2">
      <c r="A548" s="730"/>
      <c r="B548" s="730"/>
      <c r="C548" s="730"/>
      <c r="D548" s="730"/>
      <c r="E548" s="730"/>
      <c r="F548" s="730"/>
      <c r="G548" s="730"/>
      <c r="H548" s="730"/>
      <c r="I548" s="730"/>
      <c r="J548" s="730"/>
      <c r="K548" s="777"/>
    </row>
    <row r="549" spans="1:11" x14ac:dyDescent="0.2">
      <c r="A549" s="730"/>
      <c r="B549" s="730"/>
      <c r="C549" s="730"/>
      <c r="D549" s="730"/>
      <c r="E549" s="730"/>
      <c r="F549" s="730"/>
      <c r="G549" s="730"/>
      <c r="H549" s="730"/>
      <c r="I549" s="730"/>
      <c r="J549" s="730"/>
      <c r="K549" s="777"/>
    </row>
    <row r="550" spans="1:11" x14ac:dyDescent="0.2">
      <c r="A550" s="730"/>
      <c r="B550" s="730"/>
      <c r="C550" s="730"/>
      <c r="D550" s="730"/>
      <c r="E550" s="730"/>
      <c r="F550" s="730"/>
      <c r="G550" s="730"/>
      <c r="H550" s="730"/>
      <c r="I550" s="730"/>
      <c r="J550" s="730"/>
      <c r="K550" s="777"/>
    </row>
    <row r="551" spans="1:11" x14ac:dyDescent="0.2">
      <c r="A551" s="730"/>
      <c r="B551" s="730"/>
      <c r="C551" s="730"/>
      <c r="D551" s="730"/>
      <c r="E551" s="730"/>
      <c r="F551" s="730"/>
      <c r="G551" s="730"/>
      <c r="H551" s="730"/>
      <c r="I551" s="730"/>
      <c r="J551" s="730"/>
      <c r="K551" s="777"/>
    </row>
    <row r="552" spans="1:11" x14ac:dyDescent="0.2">
      <c r="A552" s="730"/>
      <c r="B552" s="730"/>
      <c r="C552" s="730"/>
      <c r="D552" s="730"/>
      <c r="E552" s="730"/>
      <c r="F552" s="730"/>
      <c r="G552" s="730"/>
      <c r="H552" s="730"/>
      <c r="I552" s="730"/>
      <c r="J552" s="730"/>
      <c r="K552" s="777"/>
    </row>
    <row r="553" spans="1:11" x14ac:dyDescent="0.2">
      <c r="A553" s="730"/>
      <c r="B553" s="730"/>
      <c r="C553" s="730"/>
      <c r="D553" s="730"/>
      <c r="E553" s="730"/>
      <c r="F553" s="730"/>
      <c r="G553" s="730"/>
      <c r="H553" s="730"/>
      <c r="I553" s="730"/>
      <c r="J553" s="730"/>
      <c r="K553" s="777"/>
    </row>
    <row r="554" spans="1:11" x14ac:dyDescent="0.2">
      <c r="A554" s="730"/>
      <c r="B554" s="730"/>
      <c r="C554" s="730"/>
      <c r="D554" s="730"/>
      <c r="E554" s="730"/>
      <c r="F554" s="730"/>
      <c r="G554" s="730"/>
      <c r="H554" s="730"/>
      <c r="I554" s="730"/>
      <c r="J554" s="730"/>
      <c r="K554" s="777"/>
    </row>
    <row r="555" spans="1:11" x14ac:dyDescent="0.2">
      <c r="A555" s="730"/>
      <c r="B555" s="730"/>
      <c r="C555" s="730"/>
      <c r="D555" s="730"/>
      <c r="E555" s="730"/>
      <c r="F555" s="730"/>
      <c r="G555" s="730"/>
      <c r="H555" s="730"/>
      <c r="I555" s="730"/>
      <c r="J555" s="730"/>
      <c r="K555" s="777"/>
    </row>
    <row r="556" spans="1:11" x14ac:dyDescent="0.2">
      <c r="A556" s="730"/>
      <c r="B556" s="730"/>
      <c r="C556" s="730"/>
      <c r="D556" s="730"/>
      <c r="E556" s="730"/>
      <c r="F556" s="730"/>
      <c r="G556" s="730"/>
      <c r="H556" s="730"/>
      <c r="I556" s="730"/>
      <c r="J556" s="730"/>
      <c r="K556" s="777"/>
    </row>
    <row r="557" spans="1:11" x14ac:dyDescent="0.2">
      <c r="A557" s="730"/>
      <c r="B557" s="730"/>
      <c r="C557" s="730"/>
      <c r="D557" s="730"/>
      <c r="E557" s="730"/>
      <c r="F557" s="730"/>
      <c r="G557" s="730"/>
      <c r="H557" s="730"/>
      <c r="I557" s="730"/>
      <c r="J557" s="730"/>
      <c r="K557" s="777"/>
    </row>
    <row r="558" spans="1:11" x14ac:dyDescent="0.2">
      <c r="A558" s="730"/>
      <c r="B558" s="730"/>
      <c r="C558" s="730"/>
      <c r="D558" s="730"/>
      <c r="E558" s="730"/>
      <c r="F558" s="730"/>
      <c r="G558" s="730"/>
      <c r="H558" s="730"/>
      <c r="I558" s="730"/>
      <c r="J558" s="730"/>
      <c r="K558" s="777"/>
    </row>
    <row r="559" spans="1:11" x14ac:dyDescent="0.2">
      <c r="A559" s="730"/>
      <c r="B559" s="730"/>
      <c r="C559" s="730"/>
      <c r="D559" s="730"/>
      <c r="E559" s="730"/>
      <c r="F559" s="730"/>
      <c r="G559" s="730"/>
      <c r="H559" s="730"/>
      <c r="I559" s="730"/>
      <c r="J559" s="730"/>
      <c r="K559" s="777"/>
    </row>
    <row r="560" spans="1:11" x14ac:dyDescent="0.2">
      <c r="A560" s="730"/>
      <c r="B560" s="730"/>
      <c r="C560" s="730"/>
      <c r="D560" s="730"/>
      <c r="E560" s="730"/>
      <c r="F560" s="730"/>
      <c r="G560" s="730"/>
      <c r="H560" s="730"/>
      <c r="I560" s="730"/>
      <c r="J560" s="730"/>
      <c r="K560" s="777"/>
    </row>
    <row r="561" spans="1:11" x14ac:dyDescent="0.2">
      <c r="A561" s="730"/>
      <c r="B561" s="730"/>
      <c r="C561" s="730"/>
      <c r="D561" s="730"/>
      <c r="E561" s="730"/>
      <c r="F561" s="730"/>
      <c r="G561" s="730"/>
      <c r="H561" s="730"/>
      <c r="I561" s="730"/>
      <c r="J561" s="730"/>
      <c r="K561" s="777"/>
    </row>
    <row r="562" spans="1:11" x14ac:dyDescent="0.2">
      <c r="A562" s="730"/>
      <c r="B562" s="730"/>
      <c r="C562" s="730"/>
      <c r="D562" s="730"/>
      <c r="E562" s="730"/>
      <c r="F562" s="730"/>
      <c r="G562" s="730"/>
      <c r="H562" s="730"/>
      <c r="I562" s="730"/>
      <c r="J562" s="730"/>
      <c r="K562" s="777"/>
    </row>
    <row r="563" spans="1:11" x14ac:dyDescent="0.2">
      <c r="A563" s="730"/>
      <c r="B563" s="730"/>
      <c r="C563" s="730"/>
      <c r="D563" s="730"/>
      <c r="E563" s="730"/>
      <c r="F563" s="730"/>
      <c r="G563" s="730"/>
      <c r="H563" s="730"/>
      <c r="I563" s="730"/>
      <c r="J563" s="730"/>
      <c r="K563" s="777"/>
    </row>
    <row r="564" spans="1:11" x14ac:dyDescent="0.2">
      <c r="A564" s="730"/>
      <c r="B564" s="730"/>
      <c r="C564" s="730"/>
      <c r="D564" s="730"/>
      <c r="E564" s="730"/>
      <c r="F564" s="730"/>
      <c r="G564" s="730"/>
      <c r="H564" s="730"/>
      <c r="I564" s="730"/>
      <c r="J564" s="730"/>
      <c r="K564" s="777"/>
    </row>
    <row r="565" spans="1:11" x14ac:dyDescent="0.2">
      <c r="A565" s="730"/>
      <c r="B565" s="730"/>
      <c r="C565" s="730"/>
      <c r="D565" s="730"/>
      <c r="E565" s="730"/>
      <c r="F565" s="730"/>
      <c r="G565" s="730"/>
      <c r="H565" s="730"/>
      <c r="I565" s="730"/>
      <c r="J565" s="730"/>
      <c r="K565" s="777"/>
    </row>
    <row r="566" spans="1:11" x14ac:dyDescent="0.2">
      <c r="A566" s="730"/>
      <c r="B566" s="730"/>
      <c r="C566" s="730"/>
      <c r="D566" s="730"/>
      <c r="E566" s="730"/>
      <c r="F566" s="730"/>
      <c r="G566" s="730"/>
      <c r="H566" s="730"/>
      <c r="I566" s="730"/>
      <c r="J566" s="730"/>
      <c r="K566" s="777"/>
    </row>
    <row r="567" spans="1:11" x14ac:dyDescent="0.2">
      <c r="A567" s="730"/>
      <c r="B567" s="730"/>
      <c r="C567" s="730"/>
      <c r="D567" s="730"/>
      <c r="E567" s="730"/>
      <c r="F567" s="730"/>
      <c r="G567" s="730"/>
      <c r="H567" s="730"/>
      <c r="I567" s="730"/>
      <c r="J567" s="730"/>
      <c r="K567" s="777"/>
    </row>
    <row r="568" spans="1:11" x14ac:dyDescent="0.2">
      <c r="A568" s="730"/>
      <c r="B568" s="730"/>
      <c r="C568" s="730"/>
      <c r="D568" s="730"/>
      <c r="E568" s="730"/>
      <c r="F568" s="730"/>
      <c r="G568" s="730"/>
      <c r="H568" s="730"/>
      <c r="I568" s="730"/>
      <c r="J568" s="730"/>
      <c r="K568" s="777"/>
    </row>
    <row r="569" spans="1:11" x14ac:dyDescent="0.2">
      <c r="A569" s="730"/>
      <c r="B569" s="730"/>
      <c r="C569" s="730"/>
      <c r="D569" s="730"/>
      <c r="E569" s="730"/>
      <c r="F569" s="730"/>
      <c r="G569" s="730"/>
      <c r="H569" s="730"/>
      <c r="I569" s="730"/>
      <c r="J569" s="730"/>
      <c r="K569" s="777"/>
    </row>
    <row r="570" spans="1:11" x14ac:dyDescent="0.2">
      <c r="A570" s="730"/>
      <c r="B570" s="730"/>
      <c r="C570" s="730"/>
      <c r="D570" s="730"/>
      <c r="E570" s="730"/>
      <c r="F570" s="730"/>
      <c r="G570" s="730"/>
      <c r="H570" s="730"/>
      <c r="I570" s="730"/>
      <c r="J570" s="730"/>
      <c r="K570" s="777"/>
    </row>
    <row r="571" spans="1:11" x14ac:dyDescent="0.2">
      <c r="A571" s="730"/>
      <c r="B571" s="730"/>
      <c r="C571" s="730"/>
      <c r="D571" s="730"/>
      <c r="E571" s="730"/>
      <c r="F571" s="730"/>
      <c r="G571" s="730"/>
      <c r="H571" s="730"/>
      <c r="I571" s="730"/>
      <c r="J571" s="730"/>
      <c r="K571" s="777"/>
    </row>
    <row r="572" spans="1:11" x14ac:dyDescent="0.2">
      <c r="A572" s="730"/>
      <c r="B572" s="730"/>
      <c r="C572" s="730"/>
      <c r="D572" s="730"/>
      <c r="E572" s="730"/>
      <c r="F572" s="730"/>
      <c r="G572" s="730"/>
      <c r="H572" s="730"/>
      <c r="I572" s="730"/>
      <c r="J572" s="730"/>
      <c r="K572" s="777"/>
    </row>
    <row r="573" spans="1:11" x14ac:dyDescent="0.2">
      <c r="A573" s="730"/>
      <c r="B573" s="730"/>
      <c r="C573" s="730"/>
      <c r="D573" s="730"/>
      <c r="E573" s="730"/>
      <c r="F573" s="730"/>
      <c r="G573" s="730"/>
      <c r="H573" s="730"/>
      <c r="I573" s="730"/>
      <c r="J573" s="730"/>
      <c r="K573" s="777"/>
    </row>
    <row r="574" spans="1:11" x14ac:dyDescent="0.2">
      <c r="A574" s="730"/>
      <c r="B574" s="730"/>
      <c r="C574" s="730"/>
      <c r="D574" s="730"/>
      <c r="E574" s="730"/>
      <c r="F574" s="730"/>
      <c r="G574" s="730"/>
      <c r="H574" s="730"/>
      <c r="I574" s="730"/>
      <c r="J574" s="730"/>
      <c r="K574" s="777"/>
    </row>
    <row r="575" spans="1:11" x14ac:dyDescent="0.2">
      <c r="A575" s="730"/>
      <c r="B575" s="730"/>
      <c r="C575" s="730"/>
      <c r="D575" s="730"/>
      <c r="E575" s="730"/>
      <c r="F575" s="730"/>
      <c r="G575" s="730"/>
      <c r="H575" s="730"/>
      <c r="I575" s="730"/>
      <c r="J575" s="730"/>
      <c r="K575" s="777"/>
    </row>
    <row r="576" spans="1:11" x14ac:dyDescent="0.2">
      <c r="A576" s="730"/>
      <c r="B576" s="730"/>
      <c r="C576" s="730"/>
      <c r="D576" s="730"/>
      <c r="E576" s="730"/>
      <c r="F576" s="730"/>
      <c r="G576" s="730"/>
      <c r="H576" s="730"/>
      <c r="I576" s="730"/>
      <c r="J576" s="730"/>
      <c r="K576" s="777"/>
    </row>
    <row r="577" spans="1:11" x14ac:dyDescent="0.2">
      <c r="A577" s="730"/>
      <c r="B577" s="730"/>
      <c r="C577" s="730"/>
      <c r="D577" s="730"/>
      <c r="E577" s="730"/>
      <c r="F577" s="730"/>
      <c r="G577" s="730"/>
      <c r="H577" s="730"/>
      <c r="I577" s="730"/>
      <c r="J577" s="730"/>
      <c r="K577" s="777"/>
    </row>
    <row r="578" spans="1:11" x14ac:dyDescent="0.2">
      <c r="A578" s="730"/>
      <c r="B578" s="730"/>
      <c r="C578" s="730"/>
      <c r="D578" s="730"/>
      <c r="E578" s="730"/>
      <c r="F578" s="730"/>
      <c r="G578" s="730"/>
      <c r="H578" s="730"/>
      <c r="I578" s="730"/>
      <c r="J578" s="730"/>
      <c r="K578" s="777"/>
    </row>
    <row r="579" spans="1:11" x14ac:dyDescent="0.2">
      <c r="A579" s="730"/>
      <c r="B579" s="730"/>
      <c r="C579" s="730"/>
      <c r="D579" s="730"/>
      <c r="E579" s="730"/>
      <c r="F579" s="730"/>
      <c r="G579" s="730"/>
      <c r="H579" s="730"/>
      <c r="I579" s="730"/>
      <c r="J579" s="730"/>
      <c r="K579" s="777"/>
    </row>
    <row r="580" spans="1:11" x14ac:dyDescent="0.2">
      <c r="A580" s="730"/>
      <c r="B580" s="730"/>
      <c r="C580" s="730"/>
      <c r="D580" s="730"/>
      <c r="E580" s="730"/>
      <c r="F580" s="730"/>
      <c r="G580" s="730"/>
      <c r="H580" s="730"/>
      <c r="I580" s="730"/>
      <c r="J580" s="730"/>
      <c r="K580" s="777"/>
    </row>
    <row r="581" spans="1:11" x14ac:dyDescent="0.2">
      <c r="A581" s="730"/>
      <c r="B581" s="730"/>
      <c r="C581" s="730"/>
      <c r="D581" s="730"/>
      <c r="E581" s="730"/>
      <c r="F581" s="730"/>
      <c r="G581" s="730"/>
      <c r="H581" s="730"/>
      <c r="I581" s="730"/>
      <c r="J581" s="730"/>
      <c r="K581" s="777"/>
    </row>
    <row r="582" spans="1:11" x14ac:dyDescent="0.2">
      <c r="A582" s="730"/>
      <c r="B582" s="730"/>
      <c r="C582" s="730"/>
      <c r="D582" s="730"/>
      <c r="E582" s="730"/>
      <c r="F582" s="730"/>
      <c r="G582" s="730"/>
      <c r="H582" s="730"/>
      <c r="I582" s="730"/>
      <c r="J582" s="730"/>
      <c r="K582" s="777"/>
    </row>
    <row r="583" spans="1:11" x14ac:dyDescent="0.2">
      <c r="A583" s="730"/>
      <c r="B583" s="730"/>
      <c r="C583" s="730"/>
      <c r="D583" s="730"/>
      <c r="E583" s="730"/>
      <c r="F583" s="730"/>
      <c r="G583" s="730"/>
      <c r="H583" s="730"/>
      <c r="I583" s="730"/>
      <c r="J583" s="730"/>
      <c r="K583" s="777"/>
    </row>
    <row r="584" spans="1:11" x14ac:dyDescent="0.2">
      <c r="A584" s="730"/>
      <c r="B584" s="730"/>
      <c r="C584" s="730"/>
      <c r="D584" s="730"/>
      <c r="E584" s="730"/>
      <c r="F584" s="730"/>
      <c r="G584" s="730"/>
      <c r="H584" s="730"/>
      <c r="I584" s="730"/>
      <c r="J584" s="730"/>
      <c r="K584" s="777"/>
    </row>
    <row r="585" spans="1:11" x14ac:dyDescent="0.2">
      <c r="A585" s="730"/>
      <c r="B585" s="730"/>
      <c r="C585" s="730"/>
      <c r="D585" s="730"/>
      <c r="E585" s="730"/>
      <c r="F585" s="730"/>
      <c r="G585" s="730"/>
      <c r="H585" s="730"/>
      <c r="I585" s="730"/>
      <c r="J585" s="730"/>
      <c r="K585" s="777"/>
    </row>
    <row r="586" spans="1:11" x14ac:dyDescent="0.2">
      <c r="A586" s="730"/>
      <c r="B586" s="730"/>
      <c r="C586" s="730"/>
      <c r="D586" s="730"/>
      <c r="E586" s="730"/>
      <c r="F586" s="730"/>
      <c r="G586" s="730"/>
      <c r="H586" s="730"/>
      <c r="I586" s="730"/>
      <c r="J586" s="730"/>
      <c r="K586" s="777"/>
    </row>
    <row r="587" spans="1:11" x14ac:dyDescent="0.2">
      <c r="A587" s="730"/>
      <c r="B587" s="730"/>
      <c r="C587" s="730"/>
      <c r="D587" s="730"/>
      <c r="E587" s="730"/>
      <c r="F587" s="730"/>
      <c r="G587" s="730"/>
      <c r="H587" s="730"/>
      <c r="I587" s="730"/>
      <c r="J587" s="730"/>
      <c r="K587" s="777"/>
    </row>
    <row r="588" spans="1:11" x14ac:dyDescent="0.2">
      <c r="A588" s="730"/>
      <c r="B588" s="730"/>
      <c r="C588" s="730"/>
      <c r="D588" s="730"/>
      <c r="E588" s="730"/>
      <c r="F588" s="730"/>
      <c r="G588" s="730"/>
      <c r="H588" s="730"/>
      <c r="I588" s="730"/>
      <c r="J588" s="730"/>
      <c r="K588" s="777"/>
    </row>
    <row r="589" spans="1:11" x14ac:dyDescent="0.2">
      <c r="A589" s="730"/>
      <c r="B589" s="730"/>
      <c r="C589" s="730"/>
      <c r="D589" s="730"/>
      <c r="E589" s="730"/>
      <c r="F589" s="730"/>
      <c r="G589" s="730"/>
      <c r="H589" s="730"/>
      <c r="I589" s="730"/>
      <c r="J589" s="730"/>
      <c r="K589" s="777"/>
    </row>
    <row r="590" spans="1:11" x14ac:dyDescent="0.2">
      <c r="A590" s="730"/>
      <c r="B590" s="730"/>
      <c r="C590" s="730"/>
      <c r="D590" s="730"/>
      <c r="E590" s="730"/>
      <c r="F590" s="730"/>
      <c r="G590" s="730"/>
      <c r="H590" s="730"/>
      <c r="I590" s="730"/>
      <c r="J590" s="730"/>
      <c r="K590" s="777"/>
    </row>
    <row r="591" spans="1:11" x14ac:dyDescent="0.2">
      <c r="A591" s="730"/>
      <c r="B591" s="730"/>
      <c r="C591" s="730"/>
      <c r="D591" s="730"/>
      <c r="E591" s="730"/>
      <c r="F591" s="730"/>
      <c r="G591" s="730"/>
      <c r="H591" s="730"/>
      <c r="I591" s="730"/>
      <c r="J591" s="730"/>
      <c r="K591" s="777"/>
    </row>
    <row r="592" spans="1:11" x14ac:dyDescent="0.2">
      <c r="A592" s="730"/>
      <c r="B592" s="730"/>
      <c r="C592" s="730"/>
      <c r="D592" s="730"/>
      <c r="E592" s="730"/>
      <c r="F592" s="730"/>
      <c r="G592" s="730"/>
      <c r="H592" s="730"/>
      <c r="I592" s="730"/>
      <c r="J592" s="730"/>
      <c r="K592" s="777"/>
    </row>
    <row r="593" spans="1:11" x14ac:dyDescent="0.2">
      <c r="A593" s="730"/>
      <c r="B593" s="730"/>
      <c r="C593" s="730"/>
      <c r="D593" s="730"/>
      <c r="E593" s="730"/>
      <c r="F593" s="730"/>
      <c r="G593" s="730"/>
      <c r="H593" s="730"/>
      <c r="I593" s="730"/>
      <c r="J593" s="730"/>
      <c r="K593" s="777"/>
    </row>
    <row r="594" spans="1:11" x14ac:dyDescent="0.2">
      <c r="A594" s="730"/>
      <c r="B594" s="730"/>
      <c r="C594" s="730"/>
      <c r="D594" s="730"/>
      <c r="E594" s="730"/>
      <c r="F594" s="730"/>
      <c r="G594" s="730"/>
      <c r="H594" s="730"/>
      <c r="I594" s="730"/>
      <c r="J594" s="730"/>
      <c r="K594" s="777"/>
    </row>
    <row r="595" spans="1:11" x14ac:dyDescent="0.2">
      <c r="A595" s="730"/>
      <c r="B595" s="730"/>
      <c r="C595" s="730"/>
      <c r="D595" s="730"/>
      <c r="E595" s="730"/>
      <c r="F595" s="730"/>
      <c r="G595" s="730"/>
      <c r="H595" s="730"/>
      <c r="I595" s="730"/>
      <c r="J595" s="730"/>
      <c r="K595" s="777"/>
    </row>
    <row r="596" spans="1:11" x14ac:dyDescent="0.2">
      <c r="A596" s="730"/>
      <c r="B596" s="730"/>
      <c r="C596" s="730"/>
      <c r="D596" s="730"/>
      <c r="E596" s="730"/>
      <c r="F596" s="730"/>
      <c r="G596" s="730"/>
      <c r="H596" s="730"/>
      <c r="I596" s="730"/>
      <c r="J596" s="730"/>
      <c r="K596" s="777"/>
    </row>
    <row r="597" spans="1:11" x14ac:dyDescent="0.2">
      <c r="A597" s="730"/>
      <c r="B597" s="730"/>
      <c r="C597" s="730"/>
      <c r="D597" s="730"/>
      <c r="E597" s="730"/>
      <c r="F597" s="730"/>
      <c r="G597" s="730"/>
      <c r="H597" s="730"/>
      <c r="I597" s="730"/>
      <c r="J597" s="730"/>
      <c r="K597" s="777"/>
    </row>
    <row r="598" spans="1:11" x14ac:dyDescent="0.2">
      <c r="A598" s="730"/>
      <c r="B598" s="730"/>
      <c r="C598" s="730"/>
      <c r="D598" s="730"/>
      <c r="E598" s="730"/>
      <c r="F598" s="730"/>
      <c r="G598" s="730"/>
      <c r="H598" s="730"/>
      <c r="I598" s="730"/>
      <c r="J598" s="730"/>
      <c r="K598" s="777"/>
    </row>
    <row r="599" spans="1:11" x14ac:dyDescent="0.2">
      <c r="A599" s="730"/>
      <c r="B599" s="730"/>
      <c r="C599" s="730"/>
      <c r="D599" s="730"/>
      <c r="E599" s="730"/>
      <c r="F599" s="730"/>
      <c r="G599" s="730"/>
      <c r="H599" s="730"/>
      <c r="I599" s="730"/>
      <c r="J599" s="730"/>
      <c r="K599" s="777"/>
    </row>
    <row r="600" spans="1:11" x14ac:dyDescent="0.2">
      <c r="A600" s="730"/>
      <c r="B600" s="730"/>
      <c r="C600" s="730"/>
      <c r="D600" s="730"/>
      <c r="E600" s="730"/>
      <c r="F600" s="730"/>
      <c r="G600" s="730"/>
      <c r="H600" s="730"/>
      <c r="I600" s="730"/>
      <c r="J600" s="730"/>
      <c r="K600" s="777"/>
    </row>
    <row r="601" spans="1:11" x14ac:dyDescent="0.2">
      <c r="A601" s="730"/>
      <c r="B601" s="730"/>
      <c r="C601" s="730"/>
      <c r="D601" s="730"/>
      <c r="E601" s="730"/>
      <c r="F601" s="730"/>
      <c r="G601" s="730"/>
      <c r="H601" s="730"/>
      <c r="I601" s="730"/>
      <c r="J601" s="730"/>
      <c r="K601" s="777"/>
    </row>
    <row r="602" spans="1:11" x14ac:dyDescent="0.2">
      <c r="A602" s="730"/>
      <c r="B602" s="730"/>
      <c r="C602" s="730"/>
      <c r="D602" s="730"/>
      <c r="E602" s="730"/>
      <c r="F602" s="730"/>
      <c r="G602" s="730"/>
      <c r="H602" s="730"/>
      <c r="I602" s="730"/>
      <c r="J602" s="730"/>
      <c r="K602" s="777"/>
    </row>
    <row r="603" spans="1:11" x14ac:dyDescent="0.2">
      <c r="A603" s="730"/>
      <c r="B603" s="730"/>
      <c r="C603" s="730"/>
      <c r="D603" s="730"/>
      <c r="E603" s="730"/>
      <c r="F603" s="730"/>
      <c r="G603" s="730"/>
      <c r="H603" s="730"/>
      <c r="I603" s="730"/>
      <c r="J603" s="730"/>
      <c r="K603" s="777"/>
    </row>
    <row r="604" spans="1:11" x14ac:dyDescent="0.2">
      <c r="A604" s="730"/>
      <c r="B604" s="730"/>
      <c r="C604" s="730"/>
      <c r="D604" s="730"/>
      <c r="E604" s="730"/>
      <c r="F604" s="730"/>
      <c r="G604" s="730"/>
      <c r="H604" s="730"/>
      <c r="I604" s="730"/>
      <c r="J604" s="730"/>
      <c r="K604" s="777"/>
    </row>
    <row r="605" spans="1:11" x14ac:dyDescent="0.2">
      <c r="A605" s="730"/>
      <c r="B605" s="730"/>
      <c r="C605" s="730"/>
      <c r="D605" s="730"/>
      <c r="E605" s="730"/>
      <c r="F605" s="730"/>
      <c r="G605" s="730"/>
      <c r="H605" s="730"/>
      <c r="I605" s="730"/>
      <c r="J605" s="730"/>
      <c r="K605" s="777"/>
    </row>
    <row r="606" spans="1:11" x14ac:dyDescent="0.2">
      <c r="A606" s="730"/>
      <c r="B606" s="730"/>
      <c r="C606" s="730"/>
      <c r="D606" s="730"/>
      <c r="E606" s="730"/>
      <c r="F606" s="730"/>
      <c r="G606" s="730"/>
      <c r="H606" s="730"/>
      <c r="I606" s="730"/>
      <c r="J606" s="730"/>
      <c r="K606" s="777"/>
    </row>
    <row r="607" spans="1:11" x14ac:dyDescent="0.2">
      <c r="A607" s="730"/>
      <c r="B607" s="730"/>
      <c r="C607" s="730"/>
      <c r="D607" s="730"/>
      <c r="E607" s="730"/>
      <c r="F607" s="730"/>
      <c r="G607" s="730"/>
      <c r="H607" s="730"/>
      <c r="I607" s="730"/>
      <c r="J607" s="730"/>
      <c r="K607" s="777"/>
    </row>
    <row r="608" spans="1:11" x14ac:dyDescent="0.2">
      <c r="A608" s="730"/>
      <c r="B608" s="730"/>
      <c r="C608" s="730"/>
      <c r="D608" s="730"/>
      <c r="E608" s="730"/>
      <c r="F608" s="730"/>
      <c r="G608" s="730"/>
      <c r="H608" s="730"/>
      <c r="I608" s="730"/>
      <c r="J608" s="730"/>
      <c r="K608" s="777"/>
    </row>
    <row r="609" spans="1:11" x14ac:dyDescent="0.2">
      <c r="A609" s="730"/>
      <c r="B609" s="730"/>
      <c r="C609" s="730"/>
      <c r="D609" s="730"/>
      <c r="E609" s="730"/>
      <c r="F609" s="730"/>
      <c r="G609" s="730"/>
      <c r="H609" s="730"/>
      <c r="I609" s="730"/>
      <c r="J609" s="730"/>
      <c r="K609" s="777"/>
    </row>
    <row r="610" spans="1:11" x14ac:dyDescent="0.2">
      <c r="A610" s="730"/>
      <c r="B610" s="730"/>
      <c r="C610" s="730"/>
      <c r="D610" s="730"/>
      <c r="E610" s="730"/>
      <c r="F610" s="730"/>
      <c r="G610" s="730"/>
      <c r="H610" s="730"/>
      <c r="I610" s="730"/>
      <c r="J610" s="730"/>
      <c r="K610" s="777"/>
    </row>
    <row r="611" spans="1:11" x14ac:dyDescent="0.2">
      <c r="A611" s="730"/>
      <c r="B611" s="730"/>
      <c r="C611" s="730"/>
      <c r="D611" s="730"/>
      <c r="E611" s="730"/>
      <c r="F611" s="730"/>
      <c r="G611" s="730"/>
      <c r="H611" s="730"/>
      <c r="I611" s="730"/>
      <c r="J611" s="730"/>
      <c r="K611" s="777"/>
    </row>
    <row r="612" spans="1:11" x14ac:dyDescent="0.2">
      <c r="A612" s="730"/>
      <c r="B612" s="730"/>
      <c r="C612" s="730"/>
      <c r="D612" s="730"/>
      <c r="E612" s="730"/>
      <c r="F612" s="730"/>
      <c r="G612" s="730"/>
      <c r="H612" s="730"/>
      <c r="I612" s="730"/>
      <c r="J612" s="730"/>
      <c r="K612" s="777"/>
    </row>
    <row r="613" spans="1:11" x14ac:dyDescent="0.2">
      <c r="A613" s="730"/>
      <c r="B613" s="730"/>
      <c r="C613" s="730"/>
      <c r="D613" s="730"/>
      <c r="E613" s="730"/>
      <c r="F613" s="730"/>
      <c r="G613" s="730"/>
      <c r="H613" s="730"/>
      <c r="I613" s="730"/>
      <c r="J613" s="730"/>
      <c r="K613" s="777"/>
    </row>
    <row r="614" spans="1:11" x14ac:dyDescent="0.2">
      <c r="A614" s="730"/>
      <c r="B614" s="730"/>
      <c r="C614" s="730"/>
      <c r="D614" s="730"/>
      <c r="E614" s="730"/>
      <c r="F614" s="730"/>
      <c r="G614" s="730"/>
      <c r="H614" s="730"/>
      <c r="I614" s="730"/>
      <c r="J614" s="730"/>
      <c r="K614" s="777"/>
    </row>
    <row r="615" spans="1:11" x14ac:dyDescent="0.2">
      <c r="A615" s="730"/>
      <c r="B615" s="730"/>
      <c r="C615" s="730"/>
      <c r="D615" s="730"/>
      <c r="E615" s="730"/>
      <c r="F615" s="730"/>
      <c r="G615" s="730"/>
      <c r="H615" s="730"/>
      <c r="I615" s="730"/>
      <c r="J615" s="730"/>
      <c r="K615" s="777"/>
    </row>
    <row r="616" spans="1:11" x14ac:dyDescent="0.2">
      <c r="A616" s="730"/>
      <c r="B616" s="730"/>
      <c r="C616" s="730"/>
      <c r="D616" s="730"/>
      <c r="E616" s="730"/>
      <c r="F616" s="730"/>
      <c r="G616" s="730"/>
      <c r="H616" s="730"/>
      <c r="I616" s="730"/>
      <c r="J616" s="730"/>
      <c r="K616" s="777"/>
    </row>
    <row r="617" spans="1:11" x14ac:dyDescent="0.2">
      <c r="A617" s="730"/>
      <c r="B617" s="730"/>
      <c r="C617" s="730"/>
      <c r="D617" s="730"/>
      <c r="E617" s="730"/>
      <c r="F617" s="730"/>
      <c r="G617" s="730"/>
      <c r="H617" s="730"/>
      <c r="I617" s="730"/>
      <c r="J617" s="730"/>
      <c r="K617" s="777"/>
    </row>
    <row r="618" spans="1:11" x14ac:dyDescent="0.2">
      <c r="A618" s="730"/>
      <c r="B618" s="730"/>
      <c r="C618" s="730"/>
      <c r="D618" s="730"/>
      <c r="E618" s="730"/>
      <c r="F618" s="730"/>
      <c r="G618" s="730"/>
      <c r="H618" s="730"/>
      <c r="I618" s="730"/>
      <c r="J618" s="730"/>
      <c r="K618" s="777"/>
    </row>
    <row r="619" spans="1:11" x14ac:dyDescent="0.2">
      <c r="A619" s="730"/>
      <c r="B619" s="730"/>
      <c r="C619" s="730"/>
      <c r="D619" s="730"/>
      <c r="E619" s="730"/>
      <c r="F619" s="730"/>
      <c r="G619" s="730"/>
      <c r="H619" s="730"/>
      <c r="I619" s="730"/>
      <c r="J619" s="730"/>
      <c r="K619" s="777"/>
    </row>
    <row r="620" spans="1:11" x14ac:dyDescent="0.2">
      <c r="A620" s="730"/>
      <c r="B620" s="730"/>
      <c r="C620" s="730"/>
      <c r="D620" s="730"/>
      <c r="E620" s="730"/>
      <c r="F620" s="730"/>
      <c r="G620" s="730"/>
      <c r="H620" s="730"/>
      <c r="I620" s="730"/>
      <c r="J620" s="730"/>
      <c r="K620" s="777"/>
    </row>
    <row r="621" spans="1:11" x14ac:dyDescent="0.2">
      <c r="A621" s="730"/>
      <c r="B621" s="730"/>
      <c r="C621" s="730"/>
      <c r="D621" s="730"/>
      <c r="E621" s="730"/>
      <c r="F621" s="730"/>
      <c r="G621" s="730"/>
      <c r="H621" s="730"/>
      <c r="I621" s="730"/>
      <c r="J621" s="730"/>
      <c r="K621" s="777"/>
    </row>
    <row r="622" spans="1:11" x14ac:dyDescent="0.2">
      <c r="A622" s="730"/>
      <c r="B622" s="730"/>
      <c r="C622" s="730"/>
      <c r="D622" s="730"/>
      <c r="E622" s="730"/>
      <c r="F622" s="730"/>
      <c r="G622" s="730"/>
      <c r="H622" s="730"/>
      <c r="I622" s="730"/>
      <c r="J622" s="730"/>
      <c r="K622" s="777"/>
    </row>
    <row r="623" spans="1:11" x14ac:dyDescent="0.2">
      <c r="A623" s="730"/>
      <c r="B623" s="730"/>
      <c r="C623" s="730"/>
      <c r="D623" s="730"/>
      <c r="E623" s="730"/>
      <c r="F623" s="730"/>
      <c r="G623" s="730"/>
      <c r="H623" s="730"/>
      <c r="I623" s="730"/>
      <c r="J623" s="730"/>
      <c r="K623" s="777"/>
    </row>
    <row r="624" spans="1:11" x14ac:dyDescent="0.2">
      <c r="A624" s="730"/>
      <c r="B624" s="730"/>
      <c r="C624" s="730"/>
      <c r="D624" s="730"/>
      <c r="E624" s="730"/>
      <c r="F624" s="730"/>
      <c r="G624" s="730"/>
      <c r="H624" s="730"/>
      <c r="I624" s="730"/>
      <c r="J624" s="730"/>
      <c r="K624" s="777"/>
    </row>
    <row r="625" spans="1:11" x14ac:dyDescent="0.2">
      <c r="A625" s="730"/>
      <c r="B625" s="730"/>
      <c r="C625" s="730"/>
      <c r="D625" s="730"/>
      <c r="E625" s="730"/>
      <c r="F625" s="730"/>
      <c r="G625" s="730"/>
      <c r="H625" s="730"/>
      <c r="I625" s="730"/>
      <c r="J625" s="730"/>
      <c r="K625" s="777"/>
    </row>
    <row r="626" spans="1:11" x14ac:dyDescent="0.2">
      <c r="A626" s="730"/>
      <c r="B626" s="730"/>
      <c r="C626" s="730"/>
      <c r="D626" s="730"/>
      <c r="E626" s="730"/>
      <c r="F626" s="730"/>
      <c r="G626" s="730"/>
      <c r="H626" s="730"/>
      <c r="I626" s="730"/>
      <c r="J626" s="730"/>
      <c r="K626" s="777"/>
    </row>
    <row r="627" spans="1:11" x14ac:dyDescent="0.2">
      <c r="A627" s="730"/>
      <c r="B627" s="730"/>
      <c r="C627" s="730"/>
      <c r="D627" s="730"/>
      <c r="E627" s="730"/>
      <c r="F627" s="730"/>
      <c r="G627" s="730"/>
      <c r="H627" s="730"/>
      <c r="I627" s="730"/>
      <c r="J627" s="730"/>
      <c r="K627" s="777"/>
    </row>
    <row r="628" spans="1:11" x14ac:dyDescent="0.2">
      <c r="A628" s="730"/>
      <c r="B628" s="730"/>
      <c r="C628" s="730"/>
      <c r="D628" s="730"/>
      <c r="E628" s="730"/>
      <c r="F628" s="730"/>
      <c r="G628" s="730"/>
      <c r="H628" s="730"/>
      <c r="I628" s="730"/>
      <c r="J628" s="730"/>
      <c r="K628" s="777"/>
    </row>
    <row r="629" spans="1:11" x14ac:dyDescent="0.2">
      <c r="A629" s="730"/>
      <c r="B629" s="730"/>
      <c r="C629" s="730"/>
      <c r="D629" s="730"/>
      <c r="E629" s="730"/>
      <c r="F629" s="730"/>
      <c r="G629" s="730"/>
      <c r="H629" s="730"/>
      <c r="I629" s="730"/>
      <c r="J629" s="730"/>
      <c r="K629" s="777"/>
    </row>
    <row r="630" spans="1:11" x14ac:dyDescent="0.2">
      <c r="A630" s="730"/>
      <c r="B630" s="730"/>
      <c r="C630" s="730"/>
      <c r="D630" s="730"/>
      <c r="E630" s="730"/>
      <c r="F630" s="730"/>
      <c r="G630" s="730"/>
      <c r="H630" s="730"/>
      <c r="I630" s="730"/>
      <c r="J630" s="730"/>
      <c r="K630" s="777"/>
    </row>
    <row r="631" spans="1:11" x14ac:dyDescent="0.2">
      <c r="A631" s="730"/>
      <c r="B631" s="730"/>
      <c r="C631" s="730"/>
      <c r="D631" s="730"/>
      <c r="E631" s="730"/>
      <c r="F631" s="730"/>
      <c r="G631" s="730"/>
      <c r="H631" s="730"/>
      <c r="I631" s="730"/>
      <c r="J631" s="730"/>
      <c r="K631" s="777"/>
    </row>
    <row r="632" spans="1:11" x14ac:dyDescent="0.2">
      <c r="A632" s="730"/>
      <c r="B632" s="730"/>
      <c r="C632" s="730"/>
      <c r="D632" s="730"/>
      <c r="E632" s="730"/>
      <c r="F632" s="730"/>
      <c r="G632" s="730"/>
      <c r="H632" s="730"/>
      <c r="I632" s="730"/>
      <c r="J632" s="730"/>
      <c r="K632" s="777"/>
    </row>
    <row r="633" spans="1:11" x14ac:dyDescent="0.2">
      <c r="A633" s="730"/>
      <c r="B633" s="730"/>
      <c r="C633" s="730"/>
      <c r="D633" s="730"/>
      <c r="E633" s="730"/>
      <c r="F633" s="730"/>
      <c r="G633" s="730"/>
      <c r="H633" s="730"/>
      <c r="I633" s="730"/>
      <c r="J633" s="730"/>
      <c r="K633" s="777"/>
    </row>
    <row r="634" spans="1:11" x14ac:dyDescent="0.2">
      <c r="A634" s="730"/>
      <c r="B634" s="730"/>
      <c r="C634" s="730"/>
      <c r="D634" s="730"/>
      <c r="E634" s="730"/>
      <c r="F634" s="730"/>
      <c r="G634" s="730"/>
      <c r="H634" s="730"/>
      <c r="I634" s="730"/>
      <c r="J634" s="730"/>
      <c r="K634" s="777"/>
    </row>
    <row r="635" spans="1:11" x14ac:dyDescent="0.2">
      <c r="A635" s="730"/>
      <c r="B635" s="730"/>
      <c r="C635" s="730"/>
      <c r="D635" s="730"/>
      <c r="E635" s="730"/>
      <c r="F635" s="730"/>
      <c r="G635" s="730"/>
      <c r="H635" s="730"/>
      <c r="I635" s="730"/>
      <c r="J635" s="730"/>
      <c r="K635" s="777"/>
    </row>
    <row r="636" spans="1:11" x14ac:dyDescent="0.2">
      <c r="A636" s="730"/>
      <c r="B636" s="730"/>
      <c r="C636" s="730"/>
      <c r="D636" s="730"/>
      <c r="E636" s="730"/>
      <c r="F636" s="730"/>
      <c r="G636" s="730"/>
      <c r="H636" s="730"/>
      <c r="I636" s="730"/>
      <c r="J636" s="730"/>
      <c r="K636" s="777"/>
    </row>
    <row r="637" spans="1:11" x14ac:dyDescent="0.2">
      <c r="A637" s="730"/>
      <c r="B637" s="730"/>
      <c r="C637" s="730"/>
      <c r="D637" s="730"/>
      <c r="E637" s="730"/>
      <c r="F637" s="730"/>
      <c r="G637" s="730"/>
      <c r="H637" s="730"/>
      <c r="I637" s="730"/>
      <c r="J637" s="730"/>
      <c r="K637" s="777"/>
    </row>
    <row r="638" spans="1:11" x14ac:dyDescent="0.2">
      <c r="A638" s="730"/>
      <c r="B638" s="730"/>
      <c r="C638" s="730"/>
      <c r="D638" s="730"/>
      <c r="E638" s="730"/>
      <c r="F638" s="730"/>
      <c r="G638" s="730"/>
      <c r="H638" s="730"/>
      <c r="I638" s="730"/>
      <c r="J638" s="730"/>
      <c r="K638" s="777"/>
    </row>
    <row r="639" spans="1:11" x14ac:dyDescent="0.2">
      <c r="A639" s="730"/>
      <c r="B639" s="730"/>
      <c r="C639" s="730"/>
      <c r="D639" s="730"/>
      <c r="E639" s="730"/>
      <c r="F639" s="730"/>
      <c r="G639" s="730"/>
      <c r="H639" s="730"/>
      <c r="I639" s="730"/>
      <c r="J639" s="730"/>
      <c r="K639" s="777"/>
    </row>
    <row r="640" spans="1:11" x14ac:dyDescent="0.2">
      <c r="A640" s="730"/>
      <c r="B640" s="730"/>
      <c r="C640" s="730"/>
      <c r="D640" s="730"/>
      <c r="E640" s="730"/>
      <c r="F640" s="730"/>
      <c r="G640" s="730"/>
      <c r="H640" s="730"/>
      <c r="I640" s="730"/>
      <c r="J640" s="730"/>
      <c r="K640" s="777"/>
    </row>
    <row r="641" spans="1:11" x14ac:dyDescent="0.2">
      <c r="A641" s="730"/>
      <c r="B641" s="730"/>
      <c r="C641" s="730"/>
      <c r="D641" s="730"/>
      <c r="E641" s="730"/>
      <c r="F641" s="730"/>
      <c r="G641" s="730"/>
      <c r="H641" s="730"/>
      <c r="I641" s="730"/>
      <c r="J641" s="730"/>
      <c r="K641" s="777"/>
    </row>
    <row r="642" spans="1:11" x14ac:dyDescent="0.2">
      <c r="A642" s="730"/>
      <c r="B642" s="730"/>
      <c r="C642" s="730"/>
      <c r="D642" s="730"/>
      <c r="E642" s="730"/>
      <c r="F642" s="730"/>
      <c r="G642" s="730"/>
      <c r="H642" s="730"/>
      <c r="I642" s="730"/>
      <c r="J642" s="730"/>
      <c r="K642" s="777"/>
    </row>
    <row r="643" spans="1:11" x14ac:dyDescent="0.2">
      <c r="A643" s="730"/>
      <c r="B643" s="730"/>
      <c r="C643" s="730"/>
      <c r="D643" s="730"/>
      <c r="E643" s="730"/>
      <c r="F643" s="730"/>
      <c r="G643" s="730"/>
      <c r="H643" s="730"/>
      <c r="I643" s="730"/>
      <c r="J643" s="730"/>
      <c r="K643" s="777"/>
    </row>
    <row r="644" spans="1:11" x14ac:dyDescent="0.2">
      <c r="A644" s="730"/>
      <c r="B644" s="730"/>
      <c r="C644" s="730"/>
      <c r="D644" s="730"/>
      <c r="E644" s="730"/>
      <c r="F644" s="730"/>
      <c r="G644" s="730"/>
      <c r="H644" s="730"/>
      <c r="I644" s="730"/>
      <c r="J644" s="730"/>
      <c r="K644" s="777"/>
    </row>
    <row r="645" spans="1:11" x14ac:dyDescent="0.2">
      <c r="A645" s="730"/>
      <c r="B645" s="730"/>
      <c r="C645" s="730"/>
      <c r="D645" s="730"/>
      <c r="E645" s="730"/>
      <c r="F645" s="730"/>
      <c r="G645" s="730"/>
      <c r="H645" s="730"/>
      <c r="I645" s="730"/>
      <c r="J645" s="730"/>
      <c r="K645" s="777"/>
    </row>
    <row r="646" spans="1:11" x14ac:dyDescent="0.2">
      <c r="A646" s="730"/>
      <c r="B646" s="730"/>
      <c r="C646" s="730"/>
      <c r="D646" s="730"/>
      <c r="E646" s="730"/>
      <c r="F646" s="730"/>
      <c r="G646" s="730"/>
      <c r="H646" s="730"/>
      <c r="I646" s="730"/>
      <c r="J646" s="730"/>
      <c r="K646" s="777"/>
    </row>
    <row r="647" spans="1:11" x14ac:dyDescent="0.2">
      <c r="A647" s="730"/>
      <c r="B647" s="730"/>
      <c r="C647" s="730"/>
      <c r="D647" s="730"/>
      <c r="E647" s="730"/>
      <c r="F647" s="730"/>
      <c r="G647" s="730"/>
      <c r="H647" s="730"/>
      <c r="I647" s="730"/>
      <c r="J647" s="730"/>
      <c r="K647" s="777"/>
    </row>
    <row r="648" spans="1:11" x14ac:dyDescent="0.2">
      <c r="A648" s="730"/>
      <c r="B648" s="730"/>
      <c r="C648" s="730"/>
      <c r="D648" s="730"/>
      <c r="E648" s="730"/>
      <c r="F648" s="730"/>
      <c r="G648" s="730"/>
      <c r="H648" s="730"/>
      <c r="I648" s="730"/>
      <c r="J648" s="730"/>
      <c r="K648" s="777"/>
    </row>
    <row r="649" spans="1:11" x14ac:dyDescent="0.2">
      <c r="A649" s="730"/>
      <c r="B649" s="730"/>
      <c r="C649" s="730"/>
      <c r="D649" s="730"/>
      <c r="E649" s="730"/>
      <c r="F649" s="730"/>
      <c r="G649" s="730"/>
      <c r="H649" s="730"/>
      <c r="I649" s="730"/>
      <c r="J649" s="730"/>
      <c r="K649" s="777"/>
    </row>
    <row r="650" spans="1:11" x14ac:dyDescent="0.2">
      <c r="A650" s="730"/>
      <c r="B650" s="730"/>
      <c r="C650" s="730"/>
      <c r="D650" s="730"/>
      <c r="E650" s="730"/>
      <c r="F650" s="730"/>
      <c r="G650" s="730"/>
      <c r="H650" s="730"/>
      <c r="I650" s="730"/>
      <c r="J650" s="730"/>
      <c r="K650" s="777"/>
    </row>
    <row r="651" spans="1:11" x14ac:dyDescent="0.2">
      <c r="A651" s="730"/>
      <c r="B651" s="730"/>
      <c r="C651" s="730"/>
      <c r="D651" s="730"/>
      <c r="E651" s="730"/>
      <c r="F651" s="730"/>
      <c r="G651" s="730"/>
      <c r="H651" s="730"/>
      <c r="I651" s="730"/>
      <c r="J651" s="730"/>
      <c r="K651" s="777"/>
    </row>
    <row r="652" spans="1:11" x14ac:dyDescent="0.2">
      <c r="A652" s="730"/>
      <c r="B652" s="730"/>
      <c r="C652" s="730"/>
      <c r="D652" s="730"/>
      <c r="E652" s="730"/>
      <c r="F652" s="730"/>
      <c r="G652" s="730"/>
      <c r="H652" s="730"/>
      <c r="I652" s="730"/>
      <c r="J652" s="730"/>
      <c r="K652" s="777"/>
    </row>
    <row r="653" spans="1:11" x14ac:dyDescent="0.2">
      <c r="A653" s="730"/>
      <c r="B653" s="730"/>
      <c r="C653" s="730"/>
      <c r="D653" s="730"/>
      <c r="E653" s="730"/>
      <c r="F653" s="730"/>
      <c r="G653" s="730"/>
      <c r="H653" s="730"/>
      <c r="I653" s="730"/>
      <c r="J653" s="730"/>
      <c r="K653" s="777"/>
    </row>
    <row r="654" spans="1:11" x14ac:dyDescent="0.2">
      <c r="A654" s="730"/>
      <c r="B654" s="730"/>
      <c r="C654" s="730"/>
      <c r="D654" s="730"/>
      <c r="E654" s="730"/>
      <c r="F654" s="730"/>
      <c r="G654" s="730"/>
      <c r="H654" s="730"/>
      <c r="I654" s="730"/>
      <c r="J654" s="730"/>
      <c r="K654" s="777"/>
    </row>
    <row r="655" spans="1:11" x14ac:dyDescent="0.2">
      <c r="A655" s="730"/>
      <c r="B655" s="730"/>
      <c r="C655" s="730"/>
      <c r="D655" s="730"/>
      <c r="E655" s="730"/>
      <c r="F655" s="730"/>
      <c r="G655" s="730"/>
      <c r="H655" s="730"/>
      <c r="I655" s="730"/>
      <c r="J655" s="730"/>
      <c r="K655" s="777"/>
    </row>
    <row r="656" spans="1:11" x14ac:dyDescent="0.2">
      <c r="A656" s="730"/>
      <c r="B656" s="730"/>
      <c r="C656" s="730"/>
      <c r="D656" s="730"/>
      <c r="E656" s="730"/>
      <c r="F656" s="730"/>
      <c r="G656" s="730"/>
      <c r="H656" s="730"/>
      <c r="I656" s="730"/>
      <c r="J656" s="730"/>
      <c r="K656" s="777"/>
    </row>
    <row r="657" spans="1:11" x14ac:dyDescent="0.2">
      <c r="A657" s="730"/>
      <c r="B657" s="730"/>
      <c r="C657" s="730"/>
      <c r="D657" s="730"/>
      <c r="E657" s="730"/>
      <c r="F657" s="730"/>
      <c r="G657" s="730"/>
      <c r="H657" s="730"/>
      <c r="I657" s="730"/>
      <c r="J657" s="730"/>
      <c r="K657" s="777"/>
    </row>
    <row r="658" spans="1:11" x14ac:dyDescent="0.2">
      <c r="A658" s="730"/>
      <c r="B658" s="730"/>
      <c r="C658" s="730"/>
      <c r="D658" s="730"/>
      <c r="E658" s="730"/>
      <c r="F658" s="730"/>
      <c r="G658" s="730"/>
      <c r="H658" s="730"/>
      <c r="I658" s="730"/>
      <c r="J658" s="730"/>
      <c r="K658" s="777"/>
    </row>
    <row r="659" spans="1:11" x14ac:dyDescent="0.2">
      <c r="A659" s="730"/>
      <c r="B659" s="730"/>
      <c r="C659" s="730"/>
      <c r="D659" s="730"/>
      <c r="E659" s="730"/>
      <c r="F659" s="730"/>
      <c r="G659" s="730"/>
      <c r="H659" s="730"/>
      <c r="I659" s="730"/>
      <c r="J659" s="730"/>
      <c r="K659" s="777"/>
    </row>
    <row r="660" spans="1:11" x14ac:dyDescent="0.2">
      <c r="A660" s="730"/>
      <c r="B660" s="730"/>
      <c r="C660" s="730"/>
      <c r="D660" s="730"/>
      <c r="E660" s="730"/>
      <c r="F660" s="730"/>
      <c r="G660" s="730"/>
      <c r="H660" s="730"/>
      <c r="I660" s="730"/>
      <c r="J660" s="730"/>
      <c r="K660" s="777"/>
    </row>
    <row r="661" spans="1:11" x14ac:dyDescent="0.2">
      <c r="A661" s="730"/>
      <c r="B661" s="730"/>
      <c r="C661" s="730"/>
      <c r="D661" s="730"/>
      <c r="E661" s="730"/>
      <c r="F661" s="730"/>
      <c r="G661" s="730"/>
      <c r="H661" s="730"/>
      <c r="I661" s="730"/>
      <c r="J661" s="730"/>
      <c r="K661" s="777"/>
    </row>
    <row r="662" spans="1:11" x14ac:dyDescent="0.2">
      <c r="A662" s="730"/>
      <c r="B662" s="730"/>
      <c r="C662" s="730"/>
      <c r="D662" s="730"/>
      <c r="E662" s="730"/>
      <c r="F662" s="730"/>
      <c r="G662" s="730"/>
      <c r="H662" s="730"/>
      <c r="I662" s="730"/>
      <c r="J662" s="730"/>
      <c r="K662" s="777"/>
    </row>
    <row r="663" spans="1:11" x14ac:dyDescent="0.2">
      <c r="A663" s="730"/>
      <c r="B663" s="730"/>
      <c r="C663" s="730"/>
      <c r="D663" s="730"/>
      <c r="E663" s="730"/>
      <c r="F663" s="730"/>
      <c r="G663" s="730"/>
      <c r="H663" s="730"/>
      <c r="I663" s="730"/>
      <c r="J663" s="730"/>
      <c r="K663" s="777"/>
    </row>
    <row r="664" spans="1:11" x14ac:dyDescent="0.2">
      <c r="A664" s="730"/>
      <c r="B664" s="730"/>
      <c r="C664" s="730"/>
      <c r="D664" s="730"/>
      <c r="E664" s="730"/>
      <c r="F664" s="730"/>
      <c r="G664" s="730"/>
      <c r="H664" s="730"/>
      <c r="I664" s="730"/>
      <c r="J664" s="730"/>
      <c r="K664" s="777"/>
    </row>
    <row r="665" spans="1:11" x14ac:dyDescent="0.2">
      <c r="A665" s="730"/>
      <c r="B665" s="730"/>
      <c r="C665" s="730"/>
      <c r="D665" s="730"/>
      <c r="E665" s="730"/>
      <c r="F665" s="730"/>
      <c r="G665" s="730"/>
      <c r="H665" s="730"/>
      <c r="I665" s="730"/>
      <c r="J665" s="730"/>
      <c r="K665" s="777"/>
    </row>
    <row r="666" spans="1:11" x14ac:dyDescent="0.2">
      <c r="A666" s="730"/>
      <c r="B666" s="730"/>
      <c r="C666" s="730"/>
      <c r="D666" s="730"/>
      <c r="E666" s="730"/>
      <c r="F666" s="730"/>
      <c r="G666" s="730"/>
      <c r="H666" s="730"/>
      <c r="I666" s="730"/>
      <c r="J666" s="730"/>
      <c r="K666" s="777"/>
    </row>
    <row r="667" spans="1:11" x14ac:dyDescent="0.2">
      <c r="A667" s="730"/>
      <c r="B667" s="730"/>
      <c r="C667" s="730"/>
      <c r="D667" s="730"/>
      <c r="E667" s="730"/>
      <c r="F667" s="730"/>
      <c r="G667" s="730"/>
      <c r="H667" s="730"/>
      <c r="I667" s="730"/>
      <c r="J667" s="730"/>
      <c r="K667" s="777"/>
    </row>
    <row r="668" spans="1:11" x14ac:dyDescent="0.2">
      <c r="A668" s="730"/>
      <c r="B668" s="730"/>
      <c r="C668" s="730"/>
      <c r="D668" s="730"/>
      <c r="E668" s="730"/>
      <c r="F668" s="730"/>
      <c r="G668" s="730"/>
      <c r="H668" s="730"/>
      <c r="I668" s="730"/>
      <c r="J668" s="730"/>
      <c r="K668" s="777"/>
    </row>
    <row r="669" spans="1:11" x14ac:dyDescent="0.2">
      <c r="A669" s="730"/>
      <c r="B669" s="730"/>
      <c r="C669" s="730"/>
      <c r="D669" s="730"/>
      <c r="E669" s="730"/>
      <c r="F669" s="730"/>
      <c r="G669" s="730"/>
      <c r="H669" s="730"/>
      <c r="I669" s="730"/>
      <c r="J669" s="730"/>
      <c r="K669" s="777"/>
    </row>
    <row r="670" spans="1:11" x14ac:dyDescent="0.2">
      <c r="A670" s="730"/>
      <c r="B670" s="730"/>
      <c r="C670" s="730"/>
      <c r="D670" s="730"/>
      <c r="E670" s="730"/>
      <c r="F670" s="730"/>
      <c r="G670" s="730"/>
      <c r="H670" s="730"/>
      <c r="I670" s="730"/>
      <c r="J670" s="730"/>
      <c r="K670" s="777"/>
    </row>
    <row r="671" spans="1:11" x14ac:dyDescent="0.2">
      <c r="A671" s="730"/>
      <c r="B671" s="730"/>
      <c r="C671" s="730"/>
      <c r="D671" s="730"/>
      <c r="E671" s="730"/>
      <c r="F671" s="730"/>
      <c r="G671" s="730"/>
      <c r="H671" s="730"/>
      <c r="I671" s="730"/>
      <c r="J671" s="730"/>
      <c r="K671" s="777"/>
    </row>
    <row r="672" spans="1:11" x14ac:dyDescent="0.2">
      <c r="A672" s="730"/>
      <c r="B672" s="730"/>
      <c r="C672" s="730"/>
      <c r="D672" s="730"/>
      <c r="E672" s="730"/>
      <c r="F672" s="730"/>
      <c r="G672" s="730"/>
      <c r="H672" s="730"/>
      <c r="I672" s="730"/>
      <c r="J672" s="730"/>
      <c r="K672" s="777"/>
    </row>
    <row r="673" spans="1:11" x14ac:dyDescent="0.2">
      <c r="A673" s="730"/>
      <c r="B673" s="730"/>
      <c r="C673" s="730"/>
      <c r="D673" s="730"/>
      <c r="E673" s="730"/>
      <c r="F673" s="730"/>
      <c r="G673" s="730"/>
      <c r="H673" s="730"/>
      <c r="I673" s="730"/>
      <c r="J673" s="730"/>
      <c r="K673" s="777"/>
    </row>
    <row r="674" spans="1:11" x14ac:dyDescent="0.2">
      <c r="A674" s="730"/>
      <c r="B674" s="730"/>
      <c r="C674" s="730"/>
      <c r="D674" s="730"/>
      <c r="E674" s="730"/>
      <c r="F674" s="730"/>
      <c r="G674" s="730"/>
      <c r="H674" s="730"/>
      <c r="I674" s="730"/>
      <c r="J674" s="730"/>
      <c r="K674" s="777"/>
    </row>
    <row r="675" spans="1:11" x14ac:dyDescent="0.2">
      <c r="A675" s="730"/>
      <c r="B675" s="730"/>
      <c r="C675" s="730"/>
      <c r="D675" s="730"/>
      <c r="E675" s="730"/>
      <c r="F675" s="730"/>
      <c r="G675" s="730"/>
      <c r="H675" s="730"/>
      <c r="I675" s="730"/>
      <c r="J675" s="730"/>
      <c r="K675" s="777"/>
    </row>
    <row r="676" spans="1:11" x14ac:dyDescent="0.2">
      <c r="A676" s="730"/>
      <c r="B676" s="730"/>
      <c r="C676" s="730"/>
      <c r="D676" s="730"/>
      <c r="E676" s="730"/>
      <c r="F676" s="730"/>
      <c r="G676" s="730"/>
      <c r="H676" s="730"/>
      <c r="I676" s="730"/>
      <c r="J676" s="730"/>
      <c r="K676" s="777"/>
    </row>
    <row r="677" spans="1:11" x14ac:dyDescent="0.2">
      <c r="A677" s="730"/>
      <c r="B677" s="730"/>
      <c r="C677" s="730"/>
      <c r="D677" s="730"/>
      <c r="E677" s="730"/>
      <c r="F677" s="730"/>
      <c r="G677" s="730"/>
      <c r="H677" s="730"/>
      <c r="I677" s="730"/>
      <c r="J677" s="730"/>
      <c r="K677" s="777"/>
    </row>
    <row r="678" spans="1:11" x14ac:dyDescent="0.2">
      <c r="A678" s="730"/>
      <c r="B678" s="730"/>
      <c r="C678" s="730"/>
      <c r="D678" s="730"/>
      <c r="E678" s="730"/>
      <c r="F678" s="730"/>
      <c r="G678" s="730"/>
      <c r="H678" s="730"/>
      <c r="I678" s="730"/>
      <c r="J678" s="730"/>
      <c r="K678" s="777"/>
    </row>
    <row r="679" spans="1:11" x14ac:dyDescent="0.2">
      <c r="A679" s="730"/>
      <c r="B679" s="730"/>
      <c r="F679" s="730"/>
      <c r="G679" s="730"/>
      <c r="H679" s="730"/>
      <c r="I679" s="730"/>
      <c r="J679" s="730"/>
      <c r="K679" s="777"/>
    </row>
    <row r="680" spans="1:11" x14ac:dyDescent="0.2">
      <c r="A680" s="730"/>
      <c r="B680" s="730"/>
      <c r="F680" s="730"/>
      <c r="G680" s="730"/>
      <c r="H680" s="730"/>
      <c r="I680" s="730"/>
      <c r="J680" s="730"/>
      <c r="K680" s="777"/>
    </row>
    <row r="681" spans="1:11" x14ac:dyDescent="0.2">
      <c r="A681" s="730"/>
      <c r="B681" s="730"/>
      <c r="F681" s="730"/>
      <c r="G681" s="730"/>
      <c r="H681" s="730"/>
      <c r="I681" s="730"/>
      <c r="J681" s="730"/>
      <c r="K681" s="777"/>
    </row>
    <row r="682" spans="1:11" x14ac:dyDescent="0.2">
      <c r="A682" s="730"/>
      <c r="B682" s="730"/>
      <c r="F682" s="730"/>
      <c r="G682" s="730"/>
      <c r="H682" s="730"/>
      <c r="I682" s="730"/>
      <c r="J682" s="730"/>
      <c r="K682" s="777"/>
    </row>
    <row r="683" spans="1:11" x14ac:dyDescent="0.2">
      <c r="A683" s="730"/>
      <c r="B683" s="730"/>
      <c r="F683" s="730"/>
      <c r="G683" s="730"/>
      <c r="H683" s="730"/>
      <c r="I683" s="730"/>
      <c r="J683" s="730"/>
      <c r="K683" s="777"/>
    </row>
    <row r="684" spans="1:11" x14ac:dyDescent="0.2">
      <c r="A684" s="730"/>
      <c r="B684" s="730"/>
      <c r="F684" s="730"/>
      <c r="G684" s="730"/>
      <c r="H684" s="730"/>
      <c r="I684" s="730"/>
      <c r="J684" s="730"/>
      <c r="K684" s="777"/>
    </row>
    <row r="685" spans="1:11" x14ac:dyDescent="0.2">
      <c r="A685" s="730"/>
      <c r="B685" s="730"/>
      <c r="F685" s="730"/>
      <c r="G685" s="730"/>
      <c r="H685" s="730"/>
      <c r="I685" s="730"/>
      <c r="J685" s="730"/>
      <c r="K685" s="777"/>
    </row>
    <row r="686" spans="1:11" x14ac:dyDescent="0.2">
      <c r="A686" s="730"/>
      <c r="B686" s="730"/>
      <c r="F686" s="730"/>
      <c r="G686" s="730"/>
      <c r="H686" s="730"/>
      <c r="I686" s="730"/>
      <c r="J686" s="730"/>
      <c r="K686" s="777"/>
    </row>
    <row r="687" spans="1:11" x14ac:dyDescent="0.2">
      <c r="A687" s="730"/>
      <c r="B687" s="730"/>
      <c r="F687" s="730"/>
      <c r="G687" s="730"/>
      <c r="H687" s="730"/>
      <c r="I687" s="730"/>
      <c r="J687" s="730"/>
      <c r="K687" s="777"/>
    </row>
  </sheetData>
  <mergeCells count="7">
    <mergeCell ref="A46:B46"/>
    <mergeCell ref="A1:E1"/>
    <mergeCell ref="A2:F2"/>
    <mergeCell ref="A5:A7"/>
    <mergeCell ref="B5:D5"/>
    <mergeCell ref="E5:E6"/>
    <mergeCell ref="E7:E14"/>
  </mergeCells>
  <printOptions horizontalCentered="1" verticalCentered="1"/>
  <pageMargins left="0.39370078740157483" right="0.39370078740157483" top="0" bottom="0.27559055118110237" header="0" footer="0.15748031496062992"/>
  <pageSetup paperSize="9" scale="75" firstPageNumber="0" orientation="portrait" horizontalDpi="300" verticalDpi="300" r:id="rId1"/>
  <headerFooter alignWithMargins="0">
    <oddHeader>&amp;C2021. évi költségvetés
&amp;R&amp;A</oddHeader>
    <oddFooter>&amp;C&amp;9&amp;P/&amp;N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view="pageBreakPreview" zoomScaleNormal="100" zoomScaleSheetLayoutView="100" workbookViewId="0">
      <pane xSplit="2" ySplit="2" topLeftCell="C13" activePane="bottomRight" state="frozen"/>
      <selection activeCell="G30" sqref="G30"/>
      <selection pane="topRight" activeCell="G30" sqref="G30"/>
      <selection pane="bottomLeft" activeCell="G30" sqref="G30"/>
      <selection pane="bottomRight" activeCell="C1" sqref="C1:K1"/>
    </sheetView>
  </sheetViews>
  <sheetFormatPr defaultRowHeight="12.75" x14ac:dyDescent="0.2"/>
  <cols>
    <col min="1" max="1" width="5.5703125" customWidth="1"/>
    <col min="2" max="2" width="66.140625" customWidth="1"/>
    <col min="3" max="3" width="15.7109375" bestFit="1" customWidth="1"/>
    <col min="4" max="23" width="14.85546875" customWidth="1"/>
    <col min="24" max="24" width="15" customWidth="1"/>
    <col min="25" max="25" width="12.28515625" bestFit="1" customWidth="1"/>
  </cols>
  <sheetData>
    <row r="1" spans="1:23" ht="36.6" customHeight="1" x14ac:dyDescent="0.2">
      <c r="A1" s="779"/>
      <c r="B1" s="780"/>
      <c r="C1" s="1314" t="s">
        <v>1521</v>
      </c>
      <c r="D1" s="1314"/>
      <c r="E1" s="1314"/>
      <c r="F1" s="1314"/>
      <c r="G1" s="1314"/>
      <c r="H1" s="1314"/>
      <c r="I1" s="1314"/>
      <c r="J1" s="1314"/>
      <c r="K1" s="1314"/>
      <c r="L1" s="1314" t="s">
        <v>1521</v>
      </c>
      <c r="M1" s="1314"/>
      <c r="N1" s="1314"/>
      <c r="O1" s="1314"/>
      <c r="P1" s="1314"/>
      <c r="Q1" s="1314"/>
      <c r="R1" s="1314"/>
      <c r="S1" s="1314"/>
      <c r="T1" s="1314"/>
      <c r="U1" s="1314"/>
      <c r="V1" s="781"/>
    </row>
    <row r="2" spans="1:23" s="163" customFormat="1" ht="35.25" customHeight="1" x14ac:dyDescent="0.2">
      <c r="A2" s="782" t="s">
        <v>37</v>
      </c>
      <c r="B2" s="783" t="s">
        <v>2</v>
      </c>
      <c r="C2" s="782" t="s">
        <v>1191</v>
      </c>
      <c r="D2" s="782" t="s">
        <v>1192</v>
      </c>
      <c r="E2" s="782" t="s">
        <v>1193</v>
      </c>
      <c r="F2" s="782" t="s">
        <v>1218</v>
      </c>
      <c r="G2" s="782" t="s">
        <v>1296</v>
      </c>
      <c r="H2" s="782" t="s">
        <v>1297</v>
      </c>
      <c r="I2" s="782" t="s">
        <v>1298</v>
      </c>
      <c r="J2" s="782" t="s">
        <v>1299</v>
      </c>
      <c r="K2" s="782" t="s">
        <v>1300</v>
      </c>
      <c r="L2" s="782" t="s">
        <v>1301</v>
      </c>
      <c r="M2" s="782" t="s">
        <v>1302</v>
      </c>
      <c r="N2" s="782" t="s">
        <v>1303</v>
      </c>
      <c r="O2" s="782" t="s">
        <v>1304</v>
      </c>
      <c r="P2" s="782" t="s">
        <v>1305</v>
      </c>
      <c r="Q2" s="782" t="s">
        <v>1306</v>
      </c>
      <c r="R2" s="782" t="s">
        <v>1307</v>
      </c>
      <c r="S2" s="782" t="s">
        <v>1308</v>
      </c>
      <c r="T2" s="782" t="s">
        <v>1309</v>
      </c>
      <c r="U2" s="782" t="s">
        <v>126</v>
      </c>
    </row>
    <row r="3" spans="1:23" s="713" customFormat="1" ht="21" customHeight="1" x14ac:dyDescent="0.2">
      <c r="A3" s="900" t="s">
        <v>203</v>
      </c>
      <c r="B3" s="900" t="s">
        <v>1310</v>
      </c>
      <c r="C3" s="899">
        <f>+C56</f>
        <v>3820624585</v>
      </c>
      <c r="D3" s="899">
        <f t="shared" ref="D3:S3" si="0">+C3*1.001</f>
        <v>3824445209.5849996</v>
      </c>
      <c r="E3" s="899">
        <f t="shared" si="0"/>
        <v>3828269654.7945843</v>
      </c>
      <c r="F3" s="899">
        <f t="shared" si="0"/>
        <v>3832097924.4493785</v>
      </c>
      <c r="G3" s="899">
        <f t="shared" si="0"/>
        <v>3835930022.3738275</v>
      </c>
      <c r="H3" s="899">
        <f t="shared" si="0"/>
        <v>3839765952.3962007</v>
      </c>
      <c r="I3" s="899">
        <f t="shared" si="0"/>
        <v>3843605718.3485966</v>
      </c>
      <c r="J3" s="899">
        <f t="shared" si="0"/>
        <v>3847449324.0669446</v>
      </c>
      <c r="K3" s="899">
        <f t="shared" si="0"/>
        <v>3851296773.3910112</v>
      </c>
      <c r="L3" s="899">
        <f t="shared" si="0"/>
        <v>3855148070.164402</v>
      </c>
      <c r="M3" s="899">
        <f t="shared" si="0"/>
        <v>3859003218.2345662</v>
      </c>
      <c r="N3" s="899">
        <f t="shared" si="0"/>
        <v>3862862221.4528003</v>
      </c>
      <c r="O3" s="899">
        <f t="shared" si="0"/>
        <v>3866725083.6742525</v>
      </c>
      <c r="P3" s="899">
        <f t="shared" si="0"/>
        <v>3870591808.7579265</v>
      </c>
      <c r="Q3" s="899">
        <f t="shared" si="0"/>
        <v>3874462400.5666838</v>
      </c>
      <c r="R3" s="899">
        <f t="shared" si="0"/>
        <v>3878336862.9672499</v>
      </c>
      <c r="S3" s="899">
        <f t="shared" si="0"/>
        <v>3882215199.8302169</v>
      </c>
      <c r="T3" s="899">
        <f>+S3*1.001</f>
        <v>3886097415.0300465</v>
      </c>
      <c r="U3" s="901">
        <f t="shared" ref="U3:U17" si="1">SUM(C3:T3)</f>
        <v>69358927445.083679</v>
      </c>
    </row>
    <row r="4" spans="1:23" s="713" customFormat="1" ht="21" customHeight="1" x14ac:dyDescent="0.2">
      <c r="A4" s="900" t="s">
        <v>204</v>
      </c>
      <c r="B4" s="900" t="s">
        <v>1311</v>
      </c>
      <c r="C4" s="899">
        <v>0</v>
      </c>
      <c r="D4" s="899">
        <v>0</v>
      </c>
      <c r="E4" s="899">
        <v>0</v>
      </c>
      <c r="F4" s="899">
        <v>0</v>
      </c>
      <c r="G4" s="899">
        <v>0</v>
      </c>
      <c r="H4" s="899">
        <v>0</v>
      </c>
      <c r="I4" s="899">
        <v>0</v>
      </c>
      <c r="J4" s="899">
        <v>0</v>
      </c>
      <c r="K4" s="899">
        <v>0</v>
      </c>
      <c r="L4" s="899">
        <v>0</v>
      </c>
      <c r="M4" s="899">
        <v>0</v>
      </c>
      <c r="N4" s="899">
        <v>0</v>
      </c>
      <c r="O4" s="899">
        <v>0</v>
      </c>
      <c r="P4" s="899">
        <v>0</v>
      </c>
      <c r="Q4" s="899">
        <v>0</v>
      </c>
      <c r="R4" s="899">
        <v>0</v>
      </c>
      <c r="S4" s="899">
        <v>0</v>
      </c>
      <c r="T4" s="899">
        <v>0</v>
      </c>
      <c r="U4" s="901">
        <f t="shared" si="1"/>
        <v>0</v>
      </c>
    </row>
    <row r="5" spans="1:23" s="713" customFormat="1" ht="21" customHeight="1" x14ac:dyDescent="0.2">
      <c r="A5" s="900" t="s">
        <v>205</v>
      </c>
      <c r="B5" s="900" t="s">
        <v>1312</v>
      </c>
      <c r="C5" s="899">
        <f>+C63</f>
        <v>3000000</v>
      </c>
      <c r="D5" s="899">
        <v>3000000</v>
      </c>
      <c r="E5" s="899">
        <v>3000000</v>
      </c>
      <c r="F5" s="899">
        <v>3000000</v>
      </c>
      <c r="G5" s="899">
        <v>3000000</v>
      </c>
      <c r="H5" s="899">
        <v>3000000</v>
      </c>
      <c r="I5" s="899">
        <v>3000000</v>
      </c>
      <c r="J5" s="899">
        <v>3000000</v>
      </c>
      <c r="K5" s="899">
        <v>3000000</v>
      </c>
      <c r="L5" s="899">
        <v>3000000</v>
      </c>
      <c r="M5" s="899">
        <v>3000000</v>
      </c>
      <c r="N5" s="899">
        <v>3000000</v>
      </c>
      <c r="O5" s="899">
        <v>3000000</v>
      </c>
      <c r="P5" s="899">
        <v>3000000</v>
      </c>
      <c r="Q5" s="899">
        <v>3000000</v>
      </c>
      <c r="R5" s="899">
        <v>3000000</v>
      </c>
      <c r="S5" s="899">
        <v>3000000</v>
      </c>
      <c r="T5" s="899">
        <v>3000000</v>
      </c>
      <c r="U5" s="901">
        <f t="shared" si="1"/>
        <v>54000000</v>
      </c>
    </row>
    <row r="6" spans="1:23" s="713" customFormat="1" ht="33.75" customHeight="1" x14ac:dyDescent="0.2">
      <c r="A6" s="900" t="s">
        <v>206</v>
      </c>
      <c r="B6" s="900" t="s">
        <v>1313</v>
      </c>
      <c r="C6" s="899">
        <f>+C81</f>
        <v>255077471</v>
      </c>
      <c r="D6" s="899">
        <f t="shared" ref="D6:T6" si="2">+C6*1.005</f>
        <v>256352858.35499996</v>
      </c>
      <c r="E6" s="899">
        <f t="shared" si="2"/>
        <v>257634622.64677492</v>
      </c>
      <c r="F6" s="899">
        <f t="shared" si="2"/>
        <v>258922795.76000875</v>
      </c>
      <c r="G6" s="899">
        <f t="shared" si="2"/>
        <v>260217409.73880878</v>
      </c>
      <c r="H6" s="899">
        <f t="shared" si="2"/>
        <v>261518496.7875028</v>
      </c>
      <c r="I6" s="899">
        <f t="shared" si="2"/>
        <v>262826089.27144027</v>
      </c>
      <c r="J6" s="899">
        <f t="shared" si="2"/>
        <v>264140219.71779743</v>
      </c>
      <c r="K6" s="899">
        <f t="shared" si="2"/>
        <v>265460920.8163864</v>
      </c>
      <c r="L6" s="899">
        <f t="shared" si="2"/>
        <v>266788225.4204683</v>
      </c>
      <c r="M6" s="899">
        <f t="shared" si="2"/>
        <v>268122166.54757062</v>
      </c>
      <c r="N6" s="899">
        <f t="shared" si="2"/>
        <v>269462777.38030845</v>
      </c>
      <c r="O6" s="899">
        <f t="shared" si="2"/>
        <v>270810091.26720995</v>
      </c>
      <c r="P6" s="899">
        <f t="shared" si="2"/>
        <v>272164141.72354597</v>
      </c>
      <c r="Q6" s="899">
        <f t="shared" si="2"/>
        <v>273524962.43216366</v>
      </c>
      <c r="R6" s="899">
        <f t="shared" si="2"/>
        <v>274892587.24432445</v>
      </c>
      <c r="S6" s="899">
        <f t="shared" si="2"/>
        <v>276267050.18054605</v>
      </c>
      <c r="T6" s="899">
        <f t="shared" si="2"/>
        <v>277648385.43144876</v>
      </c>
      <c r="U6" s="901">
        <f t="shared" si="1"/>
        <v>4791831271.7213058</v>
      </c>
    </row>
    <row r="7" spans="1:23" s="713" customFormat="1" ht="21" customHeight="1" x14ac:dyDescent="0.2">
      <c r="A7" s="900" t="s">
        <v>207</v>
      </c>
      <c r="B7" s="900" t="s">
        <v>1314</v>
      </c>
      <c r="C7" s="899">
        <v>0</v>
      </c>
      <c r="D7" s="899">
        <v>0</v>
      </c>
      <c r="E7" s="899">
        <v>0</v>
      </c>
      <c r="F7" s="899">
        <v>0</v>
      </c>
      <c r="G7" s="899">
        <v>0</v>
      </c>
      <c r="H7" s="899">
        <v>0</v>
      </c>
      <c r="I7" s="899">
        <v>0</v>
      </c>
      <c r="J7" s="899">
        <v>0</v>
      </c>
      <c r="K7" s="899">
        <v>0</v>
      </c>
      <c r="L7" s="899">
        <v>0</v>
      </c>
      <c r="M7" s="899">
        <v>0</v>
      </c>
      <c r="N7" s="899">
        <v>0</v>
      </c>
      <c r="O7" s="899">
        <v>0</v>
      </c>
      <c r="P7" s="899">
        <v>0</v>
      </c>
      <c r="Q7" s="899">
        <v>0</v>
      </c>
      <c r="R7" s="899">
        <v>0</v>
      </c>
      <c r="S7" s="899">
        <v>0</v>
      </c>
      <c r="T7" s="899">
        <v>0</v>
      </c>
      <c r="U7" s="901">
        <f t="shared" si="1"/>
        <v>0</v>
      </c>
    </row>
    <row r="8" spans="1:23" s="713" customFormat="1" ht="21" customHeight="1" x14ac:dyDescent="0.2">
      <c r="A8" s="900" t="s">
        <v>208</v>
      </c>
      <c r="B8" s="900" t="s">
        <v>1315</v>
      </c>
      <c r="C8" s="899">
        <v>0</v>
      </c>
      <c r="D8" s="899">
        <v>0</v>
      </c>
      <c r="E8" s="899">
        <v>0</v>
      </c>
      <c r="F8" s="899">
        <v>0</v>
      </c>
      <c r="G8" s="899">
        <v>0</v>
      </c>
      <c r="H8" s="899">
        <v>0</v>
      </c>
      <c r="I8" s="899">
        <v>0</v>
      </c>
      <c r="J8" s="899">
        <v>0</v>
      </c>
      <c r="K8" s="899">
        <v>0</v>
      </c>
      <c r="L8" s="899">
        <v>0</v>
      </c>
      <c r="M8" s="899">
        <v>0</v>
      </c>
      <c r="N8" s="899">
        <v>0</v>
      </c>
      <c r="O8" s="899">
        <v>0</v>
      </c>
      <c r="P8" s="899">
        <v>0</v>
      </c>
      <c r="Q8" s="899">
        <v>0</v>
      </c>
      <c r="R8" s="899">
        <v>0</v>
      </c>
      <c r="S8" s="899">
        <v>0</v>
      </c>
      <c r="T8" s="899">
        <v>0</v>
      </c>
      <c r="U8" s="901">
        <f t="shared" si="1"/>
        <v>0</v>
      </c>
    </row>
    <row r="9" spans="1:23" s="713" customFormat="1" ht="21" customHeight="1" x14ac:dyDescent="0.2">
      <c r="A9" s="900" t="s">
        <v>209</v>
      </c>
      <c r="B9" s="900" t="s">
        <v>1316</v>
      </c>
      <c r="C9" s="899">
        <v>0</v>
      </c>
      <c r="D9" s="899">
        <v>0</v>
      </c>
      <c r="E9" s="899">
        <v>0</v>
      </c>
      <c r="F9" s="899">
        <v>0</v>
      </c>
      <c r="G9" s="899">
        <v>0</v>
      </c>
      <c r="H9" s="899">
        <v>0</v>
      </c>
      <c r="I9" s="899">
        <v>0</v>
      </c>
      <c r="J9" s="899">
        <v>0</v>
      </c>
      <c r="K9" s="899">
        <v>0</v>
      </c>
      <c r="L9" s="899">
        <v>0</v>
      </c>
      <c r="M9" s="899">
        <v>0</v>
      </c>
      <c r="N9" s="899">
        <v>0</v>
      </c>
      <c r="O9" s="899">
        <v>0</v>
      </c>
      <c r="P9" s="899">
        <v>0</v>
      </c>
      <c r="Q9" s="899">
        <v>0</v>
      </c>
      <c r="R9" s="899">
        <v>0</v>
      </c>
      <c r="S9" s="899">
        <v>0</v>
      </c>
      <c r="T9" s="899">
        <v>0</v>
      </c>
      <c r="U9" s="901">
        <f t="shared" si="1"/>
        <v>0</v>
      </c>
    </row>
    <row r="10" spans="1:23" s="713" customFormat="1" ht="21" customHeight="1" x14ac:dyDescent="0.2">
      <c r="A10" s="784" t="s">
        <v>210</v>
      </c>
      <c r="B10" s="783" t="s">
        <v>1317</v>
      </c>
      <c r="C10" s="786">
        <f t="shared" ref="C10:T10" si="3">SUM(C3:C9)</f>
        <v>4078702056</v>
      </c>
      <c r="D10" s="786">
        <f t="shared" si="3"/>
        <v>4083798067.9399996</v>
      </c>
      <c r="E10" s="786">
        <f t="shared" si="3"/>
        <v>4088904277.441359</v>
      </c>
      <c r="F10" s="786">
        <f t="shared" si="3"/>
        <v>4094020720.2093873</v>
      </c>
      <c r="G10" s="786">
        <f t="shared" si="3"/>
        <v>4099147432.1126361</v>
      </c>
      <c r="H10" s="786">
        <f t="shared" si="3"/>
        <v>4104284449.1837034</v>
      </c>
      <c r="I10" s="786">
        <f t="shared" si="3"/>
        <v>4109431807.6200371</v>
      </c>
      <c r="J10" s="786">
        <f t="shared" si="3"/>
        <v>4114589543.7847419</v>
      </c>
      <c r="K10" s="786">
        <f t="shared" si="3"/>
        <v>4119757694.2073975</v>
      </c>
      <c r="L10" s="786">
        <f t="shared" si="3"/>
        <v>4124936295.5848703</v>
      </c>
      <c r="M10" s="786">
        <f t="shared" si="3"/>
        <v>4130125384.7821369</v>
      </c>
      <c r="N10" s="786">
        <f t="shared" si="3"/>
        <v>4135324998.8331089</v>
      </c>
      <c r="O10" s="786">
        <f t="shared" si="3"/>
        <v>4140535174.9414625</v>
      </c>
      <c r="P10" s="786">
        <f t="shared" si="3"/>
        <v>4145755950.4814725</v>
      </c>
      <c r="Q10" s="786">
        <f t="shared" si="3"/>
        <v>4150987362.9988475</v>
      </c>
      <c r="R10" s="786">
        <f t="shared" si="3"/>
        <v>4156229450.2115746</v>
      </c>
      <c r="S10" s="786">
        <f t="shared" si="3"/>
        <v>4161482250.0107632</v>
      </c>
      <c r="T10" s="786">
        <f t="shared" si="3"/>
        <v>4166745800.4614954</v>
      </c>
      <c r="U10" s="786">
        <f t="shared" si="1"/>
        <v>74204758716.804993</v>
      </c>
    </row>
    <row r="11" spans="1:23" s="713" customFormat="1" ht="21" customHeight="1" x14ac:dyDescent="0.2">
      <c r="A11" s="784" t="s">
        <v>211</v>
      </c>
      <c r="B11" s="783" t="s">
        <v>1318</v>
      </c>
      <c r="C11" s="786">
        <f t="shared" ref="C11:T11" si="4">C10*0.5</f>
        <v>2039351028</v>
      </c>
      <c r="D11" s="786">
        <f t="shared" si="4"/>
        <v>2041899033.9699998</v>
      </c>
      <c r="E11" s="786">
        <f t="shared" si="4"/>
        <v>2044452138.7206795</v>
      </c>
      <c r="F11" s="786">
        <f t="shared" si="4"/>
        <v>2047010360.1046937</v>
      </c>
      <c r="G11" s="786">
        <f t="shared" si="4"/>
        <v>2049573716.056318</v>
      </c>
      <c r="H11" s="786">
        <f t="shared" si="4"/>
        <v>2052142224.5918517</v>
      </c>
      <c r="I11" s="786">
        <f t="shared" si="4"/>
        <v>2054715903.8100185</v>
      </c>
      <c r="J11" s="786">
        <f t="shared" si="4"/>
        <v>2057294771.8923709</v>
      </c>
      <c r="K11" s="786">
        <f t="shared" si="4"/>
        <v>2059878847.1036987</v>
      </c>
      <c r="L11" s="786">
        <f t="shared" si="4"/>
        <v>2062468147.7924352</v>
      </c>
      <c r="M11" s="786">
        <f t="shared" si="4"/>
        <v>2065062692.3910685</v>
      </c>
      <c r="N11" s="786">
        <f t="shared" si="4"/>
        <v>2067662499.4165545</v>
      </c>
      <c r="O11" s="786">
        <f t="shared" si="4"/>
        <v>2070267587.4707313</v>
      </c>
      <c r="P11" s="786">
        <f t="shared" si="4"/>
        <v>2072877975.2407362</v>
      </c>
      <c r="Q11" s="786">
        <f t="shared" si="4"/>
        <v>2075493681.4994237</v>
      </c>
      <c r="R11" s="786">
        <f t="shared" si="4"/>
        <v>2078114725.1057873</v>
      </c>
      <c r="S11" s="786">
        <f t="shared" si="4"/>
        <v>2080741125.0053816</v>
      </c>
      <c r="T11" s="786">
        <f t="shared" si="4"/>
        <v>2083372900.2307477</v>
      </c>
      <c r="U11" s="786">
        <f t="shared" si="1"/>
        <v>37102379358.402496</v>
      </c>
    </row>
    <row r="12" spans="1:23" s="713" customFormat="1" ht="30" x14ac:dyDescent="0.2">
      <c r="A12" s="784" t="s">
        <v>212</v>
      </c>
      <c r="B12" s="783" t="s">
        <v>1319</v>
      </c>
      <c r="C12" s="786">
        <f t="shared" ref="C12:T12" si="5">C13+C22+C23+C24+C25+C26+C27+C28</f>
        <v>52664921</v>
      </c>
      <c r="D12" s="786">
        <f t="shared" si="5"/>
        <v>51255790</v>
      </c>
      <c r="E12" s="786">
        <f t="shared" si="5"/>
        <v>49846659</v>
      </c>
      <c r="F12" s="786">
        <f t="shared" si="5"/>
        <v>48437528</v>
      </c>
      <c r="G12" s="786">
        <f t="shared" si="5"/>
        <v>47028396</v>
      </c>
      <c r="H12" s="786">
        <f>H13+H22+H23+H24+H25+H26+H27+H28</f>
        <v>45619265</v>
      </c>
      <c r="I12" s="786">
        <f t="shared" si="5"/>
        <v>44210134</v>
      </c>
      <c r="J12" s="786">
        <f t="shared" si="5"/>
        <v>42801003</v>
      </c>
      <c r="K12" s="786">
        <f t="shared" si="5"/>
        <v>41391872</v>
      </c>
      <c r="L12" s="786">
        <f t="shared" si="5"/>
        <v>39982740</v>
      </c>
      <c r="M12" s="786">
        <f t="shared" si="5"/>
        <v>38573609</v>
      </c>
      <c r="N12" s="786">
        <f t="shared" si="5"/>
        <v>37164478</v>
      </c>
      <c r="O12" s="786">
        <f t="shared" si="5"/>
        <v>35755347</v>
      </c>
      <c r="P12" s="786">
        <f t="shared" si="5"/>
        <v>34346216</v>
      </c>
      <c r="Q12" s="786">
        <f t="shared" si="5"/>
        <v>32937084</v>
      </c>
      <c r="R12" s="786">
        <f t="shared" si="5"/>
        <v>31527953</v>
      </c>
      <c r="S12" s="786">
        <f t="shared" si="5"/>
        <v>30118821</v>
      </c>
      <c r="T12" s="786">
        <f t="shared" si="5"/>
        <v>21680822</v>
      </c>
      <c r="U12" s="786">
        <f t="shared" si="1"/>
        <v>725342638</v>
      </c>
    </row>
    <row r="13" spans="1:23" ht="21" customHeight="1" x14ac:dyDescent="0.2">
      <c r="A13" s="784" t="s">
        <v>213</v>
      </c>
      <c r="B13" s="784" t="s">
        <v>1320</v>
      </c>
      <c r="C13" s="785">
        <f t="shared" ref="C13:T13" si="6">+C14+C18</f>
        <v>52664921</v>
      </c>
      <c r="D13" s="785">
        <f t="shared" si="6"/>
        <v>51255790</v>
      </c>
      <c r="E13" s="785">
        <f t="shared" si="6"/>
        <v>49846659</v>
      </c>
      <c r="F13" s="785">
        <f t="shared" si="6"/>
        <v>48437528</v>
      </c>
      <c r="G13" s="785">
        <f t="shared" si="6"/>
        <v>47028396</v>
      </c>
      <c r="H13" s="785">
        <f t="shared" si="6"/>
        <v>45619265</v>
      </c>
      <c r="I13" s="785">
        <f t="shared" si="6"/>
        <v>44210134</v>
      </c>
      <c r="J13" s="785">
        <f t="shared" si="6"/>
        <v>42801003</v>
      </c>
      <c r="K13" s="785">
        <f t="shared" si="6"/>
        <v>41391872</v>
      </c>
      <c r="L13" s="785">
        <f t="shared" si="6"/>
        <v>39982740</v>
      </c>
      <c r="M13" s="785">
        <f t="shared" si="6"/>
        <v>38573609</v>
      </c>
      <c r="N13" s="785">
        <f t="shared" si="6"/>
        <v>37164478</v>
      </c>
      <c r="O13" s="785">
        <f t="shared" si="6"/>
        <v>35755347</v>
      </c>
      <c r="P13" s="785">
        <f t="shared" si="6"/>
        <v>34346216</v>
      </c>
      <c r="Q13" s="785">
        <f t="shared" si="6"/>
        <v>32937084</v>
      </c>
      <c r="R13" s="785">
        <f t="shared" si="6"/>
        <v>31527953</v>
      </c>
      <c r="S13" s="785">
        <f t="shared" si="6"/>
        <v>30118821</v>
      </c>
      <c r="T13" s="785">
        <f t="shared" si="6"/>
        <v>21680822</v>
      </c>
      <c r="U13" s="786">
        <f t="shared" si="1"/>
        <v>725342638</v>
      </c>
    </row>
    <row r="14" spans="1:23" ht="21" customHeight="1" x14ac:dyDescent="0.2">
      <c r="A14" s="784" t="s">
        <v>240</v>
      </c>
      <c r="B14" s="784" t="s">
        <v>1321</v>
      </c>
      <c r="C14" s="785">
        <f>+C15+C16+C17</f>
        <v>28182624</v>
      </c>
      <c r="D14" s="785">
        <f t="shared" ref="D14:T14" si="7">+D15+D16+D17</f>
        <v>28182624</v>
      </c>
      <c r="E14" s="785">
        <f t="shared" si="7"/>
        <v>28182624</v>
      </c>
      <c r="F14" s="785">
        <f t="shared" si="7"/>
        <v>28182624</v>
      </c>
      <c r="G14" s="785">
        <f t="shared" si="7"/>
        <v>28182624</v>
      </c>
      <c r="H14" s="785">
        <f t="shared" si="7"/>
        <v>28182624</v>
      </c>
      <c r="I14" s="785">
        <f t="shared" si="7"/>
        <v>28182624</v>
      </c>
      <c r="J14" s="785">
        <f t="shared" si="7"/>
        <v>28182624</v>
      </c>
      <c r="K14" s="785">
        <f t="shared" si="7"/>
        <v>28182624</v>
      </c>
      <c r="L14" s="785">
        <f t="shared" si="7"/>
        <v>28182624</v>
      </c>
      <c r="M14" s="785">
        <f t="shared" si="7"/>
        <v>28182624</v>
      </c>
      <c r="N14" s="785">
        <f t="shared" si="7"/>
        <v>28182624</v>
      </c>
      <c r="O14" s="785">
        <f t="shared" si="7"/>
        <v>28182624</v>
      </c>
      <c r="P14" s="785">
        <f t="shared" si="7"/>
        <v>28182624</v>
      </c>
      <c r="Q14" s="785">
        <f t="shared" si="7"/>
        <v>28182624</v>
      </c>
      <c r="R14" s="785">
        <f t="shared" si="7"/>
        <v>28182624</v>
      </c>
      <c r="S14" s="785">
        <f t="shared" si="7"/>
        <v>28182624</v>
      </c>
      <c r="T14" s="785">
        <f t="shared" si="7"/>
        <v>21109809</v>
      </c>
      <c r="U14" s="786">
        <f t="shared" si="1"/>
        <v>500214417</v>
      </c>
    </row>
    <row r="15" spans="1:23" ht="15.75" customHeight="1" x14ac:dyDescent="0.2">
      <c r="A15" s="784" t="s">
        <v>1322</v>
      </c>
      <c r="B15" s="784" t="s">
        <v>1323</v>
      </c>
      <c r="C15" s="785">
        <v>9743592</v>
      </c>
      <c r="D15" s="785">
        <v>9743592</v>
      </c>
      <c r="E15" s="785">
        <v>9743592</v>
      </c>
      <c r="F15" s="785">
        <v>9743592</v>
      </c>
      <c r="G15" s="785">
        <v>9743592</v>
      </c>
      <c r="H15" s="785">
        <v>9743592</v>
      </c>
      <c r="I15" s="785">
        <v>9743592</v>
      </c>
      <c r="J15" s="785">
        <v>9743592</v>
      </c>
      <c r="K15" s="785">
        <v>9743592</v>
      </c>
      <c r="L15" s="785">
        <v>9743592</v>
      </c>
      <c r="M15" s="785">
        <v>9743592</v>
      </c>
      <c r="N15" s="785">
        <v>9743592</v>
      </c>
      <c r="O15" s="785">
        <v>9743592</v>
      </c>
      <c r="P15" s="785">
        <v>9743592</v>
      </c>
      <c r="Q15" s="785">
        <v>9743592</v>
      </c>
      <c r="R15" s="785">
        <v>9743592</v>
      </c>
      <c r="S15" s="785">
        <v>9743592</v>
      </c>
      <c r="T15" s="785">
        <v>9743629</v>
      </c>
      <c r="U15" s="786">
        <f t="shared" si="1"/>
        <v>175384693</v>
      </c>
      <c r="V15" s="898">
        <f>+'5.sz.tájék.táb Adósságszolgálat'!C24+'5.sz.tájék.táb Adósságszolgálat'!C25+'5.sz.tájék.táb Adósságszolgálat'!C26+'5.sz.tájék.táb Adósságszolgálat'!C27+'5.sz.tájék.táb Adósságszolgálat'!C28+'5.sz.tájék.táb Adósságszolgálat'!C29+'5.sz.tájék.táb Adósságszolgálat'!C30+'5.sz.tájék.táb Adósságszolgálat'!C31+'5.sz.tájék.táb Adósságszolgálat'!C32+'5.sz.tájék.táb Adósságszolgálat'!C33+'5.sz.tájék.táb Adósságszolgálat'!C34+'5.sz.tájék.táb Adósságszolgálat'!C35+'5.sz.tájék.táb Adósságszolgálat'!C36+'5.sz.tájék.táb Adósságszolgálat'!C37+'5.sz.tájék.táb Adósságszolgálat'!C38+'5.sz.tájék.táb Adósságszolgálat'!C39+'5.sz.tájék.táb Adósságszolgálat'!C40+'5.sz.tájék.táb Adósságszolgálat'!C41</f>
        <v>175384693</v>
      </c>
      <c r="W15" s="787">
        <f t="shared" ref="W15:W21" si="8">SUM(C15:T15)</f>
        <v>175384693</v>
      </c>
    </row>
    <row r="16" spans="1:23" ht="30" x14ac:dyDescent="0.2">
      <c r="A16" s="784" t="s">
        <v>1324</v>
      </c>
      <c r="B16" s="784" t="s">
        <v>1325</v>
      </c>
      <c r="C16" s="785">
        <v>4376000</v>
      </c>
      <c r="D16" s="785">
        <v>4376000</v>
      </c>
      <c r="E16" s="785">
        <v>4376000</v>
      </c>
      <c r="F16" s="785">
        <v>4376000</v>
      </c>
      <c r="G16" s="785">
        <v>4376000</v>
      </c>
      <c r="H16" s="785">
        <v>4376000</v>
      </c>
      <c r="I16" s="785">
        <v>4376000</v>
      </c>
      <c r="J16" s="785">
        <v>4376000</v>
      </c>
      <c r="K16" s="785">
        <v>4376000</v>
      </c>
      <c r="L16" s="785">
        <v>4376000</v>
      </c>
      <c r="M16" s="785">
        <v>4376000</v>
      </c>
      <c r="N16" s="785">
        <v>4376000</v>
      </c>
      <c r="O16" s="785">
        <v>4376000</v>
      </c>
      <c r="P16" s="785">
        <v>4376000</v>
      </c>
      <c r="Q16" s="785">
        <v>4376000</v>
      </c>
      <c r="R16" s="785">
        <v>4376000</v>
      </c>
      <c r="S16" s="785">
        <v>4376000</v>
      </c>
      <c r="T16" s="785">
        <v>4334633</v>
      </c>
      <c r="U16" s="786">
        <f t="shared" si="1"/>
        <v>78726633</v>
      </c>
      <c r="V16" s="898">
        <f>+'5.sz.tájék.táb Adósságszolgálat'!D24+'5.sz.tájék.táb Adósságszolgálat'!D25+'5.sz.tájék.táb Adósságszolgálat'!D26+'5.sz.tájék.táb Adósságszolgálat'!D27+'5.sz.tájék.táb Adósságszolgálat'!D28+'5.sz.tájék.táb Adósságszolgálat'!D29+'5.sz.tájék.táb Adósságszolgálat'!D30+'5.sz.tájék.táb Adósságszolgálat'!D31+'5.sz.tájék.táb Adósságszolgálat'!D32+'5.sz.tájék.táb Adósságszolgálat'!D33+'5.sz.tájék.táb Adósságszolgálat'!D34+'5.sz.tájék.táb Adósságszolgálat'!D35+'5.sz.tájék.táb Adósságszolgálat'!D36+'5.sz.tájék.táb Adósságszolgálat'!D37+'5.sz.tájék.táb Adósságszolgálat'!D38+'5.sz.tájék.táb Adósságszolgálat'!D39+'5.sz.tájék.táb Adósságszolgálat'!D40+'5.sz.tájék.táb Adósságszolgálat'!D41</f>
        <v>78726633</v>
      </c>
      <c r="W16" s="787">
        <f t="shared" si="8"/>
        <v>78726633</v>
      </c>
    </row>
    <row r="17" spans="1:23" ht="17.25" customHeight="1" x14ac:dyDescent="0.2">
      <c r="A17" s="784" t="s">
        <v>1326</v>
      </c>
      <c r="B17" s="784" t="s">
        <v>1327</v>
      </c>
      <c r="C17" s="785">
        <v>14063032</v>
      </c>
      <c r="D17" s="785">
        <v>14063032</v>
      </c>
      <c r="E17" s="785">
        <v>14063032</v>
      </c>
      <c r="F17" s="785">
        <v>14063032</v>
      </c>
      <c r="G17" s="785">
        <v>14063032</v>
      </c>
      <c r="H17" s="785">
        <v>14063032</v>
      </c>
      <c r="I17" s="785">
        <v>14063032</v>
      </c>
      <c r="J17" s="785">
        <v>14063032</v>
      </c>
      <c r="K17" s="785">
        <v>14063032</v>
      </c>
      <c r="L17" s="785">
        <v>14063032</v>
      </c>
      <c r="M17" s="785">
        <v>14063032</v>
      </c>
      <c r="N17" s="785">
        <v>14063032</v>
      </c>
      <c r="O17" s="785">
        <v>14063032</v>
      </c>
      <c r="P17" s="785">
        <v>14063032</v>
      </c>
      <c r="Q17" s="785">
        <v>14063032</v>
      </c>
      <c r="R17" s="785">
        <v>14063032</v>
      </c>
      <c r="S17" s="785">
        <v>14063032</v>
      </c>
      <c r="T17" s="785">
        <v>7031547</v>
      </c>
      <c r="U17" s="786">
        <f t="shared" si="1"/>
        <v>246103091</v>
      </c>
      <c r="V17" s="898">
        <f>+'5.sz.tájék.táb Adósságszolgálat'!B24+'5.sz.tájék.táb Adósságszolgálat'!B25+'5.sz.tájék.táb Adósságszolgálat'!B26+'5.sz.tájék.táb Adósságszolgálat'!B27+'5.sz.tájék.táb Adósságszolgálat'!B28+'5.sz.tájék.táb Adósságszolgálat'!B29+'5.sz.tájék.táb Adósságszolgálat'!B30+'5.sz.tájék.táb Adósságszolgálat'!B31+'5.sz.tájék.táb Adósságszolgálat'!B32+'5.sz.tájék.táb Adósságszolgálat'!B33+'5.sz.tájék.táb Adósságszolgálat'!B34+'5.sz.tájék.táb Adósságszolgálat'!B35+'5.sz.tájék.táb Adósságszolgálat'!B36+'5.sz.tájék.táb Adósságszolgálat'!B37+'5.sz.tájék.táb Adósságszolgálat'!B38+'5.sz.tájék.táb Adósságszolgálat'!B39+'5.sz.tájék.táb Adósságszolgálat'!B40+'5.sz.tájék.táb Adósságszolgálat'!B41</f>
        <v>246103091</v>
      </c>
      <c r="W17" s="787">
        <f t="shared" si="8"/>
        <v>246103091</v>
      </c>
    </row>
    <row r="18" spans="1:23" s="597" customFormat="1" ht="15.75" customHeight="1" x14ac:dyDescent="0.2">
      <c r="A18" s="900" t="s">
        <v>241</v>
      </c>
      <c r="B18" s="900" t="s">
        <v>1328</v>
      </c>
      <c r="C18" s="899">
        <f t="shared" ref="C18:U18" si="9">SUM(C19:C21)</f>
        <v>24482297</v>
      </c>
      <c r="D18" s="899">
        <f t="shared" si="9"/>
        <v>23073166</v>
      </c>
      <c r="E18" s="899">
        <f t="shared" si="9"/>
        <v>21664035</v>
      </c>
      <c r="F18" s="899">
        <f t="shared" si="9"/>
        <v>20254904</v>
      </c>
      <c r="G18" s="899">
        <f t="shared" si="9"/>
        <v>18845772</v>
      </c>
      <c r="H18" s="899">
        <f t="shared" si="9"/>
        <v>17436641</v>
      </c>
      <c r="I18" s="899">
        <f t="shared" si="9"/>
        <v>16027510</v>
      </c>
      <c r="J18" s="899">
        <f t="shared" si="9"/>
        <v>14618379</v>
      </c>
      <c r="K18" s="899">
        <f>SUM(K19:K21)</f>
        <v>13209248</v>
      </c>
      <c r="L18" s="899">
        <f t="shared" si="9"/>
        <v>11800116</v>
      </c>
      <c r="M18" s="899">
        <f t="shared" si="9"/>
        <v>10390985</v>
      </c>
      <c r="N18" s="899">
        <f t="shared" si="9"/>
        <v>8981854</v>
      </c>
      <c r="O18" s="899">
        <f t="shared" si="9"/>
        <v>7572723</v>
      </c>
      <c r="P18" s="899">
        <f t="shared" si="9"/>
        <v>6163592</v>
      </c>
      <c r="Q18" s="899">
        <f t="shared" si="9"/>
        <v>4754460</v>
      </c>
      <c r="R18" s="899">
        <f t="shared" si="9"/>
        <v>3345329</v>
      </c>
      <c r="S18" s="899">
        <f t="shared" si="9"/>
        <v>1936197</v>
      </c>
      <c r="T18" s="899">
        <f t="shared" si="9"/>
        <v>571013</v>
      </c>
      <c r="U18" s="901">
        <f t="shared" si="9"/>
        <v>225128221</v>
      </c>
      <c r="W18" s="927">
        <f t="shared" si="8"/>
        <v>225128221</v>
      </c>
    </row>
    <row r="19" spans="1:23" s="597" customFormat="1" ht="17.25" customHeight="1" x14ac:dyDescent="0.2">
      <c r="A19" s="900" t="s">
        <v>1329</v>
      </c>
      <c r="B19" s="900" t="s">
        <v>1323</v>
      </c>
      <c r="C19" s="899">
        <v>8586542</v>
      </c>
      <c r="D19" s="899">
        <v>8099363</v>
      </c>
      <c r="E19" s="899">
        <v>7612183</v>
      </c>
      <c r="F19" s="899">
        <v>7125004</v>
      </c>
      <c r="G19" s="899">
        <v>6637824</v>
      </c>
      <c r="H19" s="899">
        <v>6150644</v>
      </c>
      <c r="I19" s="899">
        <v>5663465</v>
      </c>
      <c r="J19" s="899">
        <v>5176285</v>
      </c>
      <c r="K19" s="899">
        <v>4689106</v>
      </c>
      <c r="L19" s="899">
        <v>4201926</v>
      </c>
      <c r="M19" s="899">
        <v>3714746</v>
      </c>
      <c r="N19" s="899">
        <v>3227567</v>
      </c>
      <c r="O19" s="899">
        <v>2740387</v>
      </c>
      <c r="P19" s="899">
        <v>2253208</v>
      </c>
      <c r="Q19" s="899">
        <v>1766028</v>
      </c>
      <c r="R19" s="899">
        <v>1278848</v>
      </c>
      <c r="S19" s="899">
        <v>791669</v>
      </c>
      <c r="T19" s="899">
        <v>304489</v>
      </c>
      <c r="U19" s="901">
        <f t="shared" ref="U19:U31" si="10">SUM(C19:T19)</f>
        <v>80019284</v>
      </c>
      <c r="W19" s="927">
        <f t="shared" si="8"/>
        <v>80019284</v>
      </c>
    </row>
    <row r="20" spans="1:23" s="597" customFormat="1" ht="30" x14ac:dyDescent="0.2">
      <c r="A20" s="900" t="s">
        <v>1330</v>
      </c>
      <c r="B20" s="900" t="s">
        <v>1325</v>
      </c>
      <c r="C20" s="899">
        <v>3854282</v>
      </c>
      <c r="D20" s="899">
        <v>3635482</v>
      </c>
      <c r="E20" s="899">
        <v>3416682</v>
      </c>
      <c r="F20" s="899">
        <v>3197882</v>
      </c>
      <c r="G20" s="899">
        <v>2979082</v>
      </c>
      <c r="H20" s="899">
        <v>2760282</v>
      </c>
      <c r="I20" s="899">
        <v>2541482</v>
      </c>
      <c r="J20" s="899">
        <v>2322682</v>
      </c>
      <c r="K20" s="899">
        <v>2103882</v>
      </c>
      <c r="L20" s="899">
        <v>1885082</v>
      </c>
      <c r="M20" s="899">
        <v>1666282</v>
      </c>
      <c r="N20" s="899">
        <v>1447482</v>
      </c>
      <c r="O20" s="899">
        <v>1228682</v>
      </c>
      <c r="P20" s="899">
        <v>1009882</v>
      </c>
      <c r="Q20" s="899">
        <v>791082</v>
      </c>
      <c r="R20" s="899">
        <v>572282</v>
      </c>
      <c r="S20" s="899">
        <v>353482</v>
      </c>
      <c r="T20" s="597">
        <v>134682</v>
      </c>
      <c r="U20" s="901">
        <f>SUM(C20:T20)</f>
        <v>35900676</v>
      </c>
      <c r="W20" s="927">
        <f>SUM(C20:T20)</f>
        <v>35900676</v>
      </c>
    </row>
    <row r="21" spans="1:23" s="597" customFormat="1" ht="15" x14ac:dyDescent="0.2">
      <c r="A21" s="900" t="s">
        <v>1331</v>
      </c>
      <c r="B21" s="900" t="s">
        <v>1327</v>
      </c>
      <c r="C21" s="899">
        <v>12041473</v>
      </c>
      <c r="D21" s="899">
        <v>11338321</v>
      </c>
      <c r="E21" s="899">
        <v>10635170</v>
      </c>
      <c r="F21" s="899">
        <v>9932018</v>
      </c>
      <c r="G21" s="899">
        <v>9228866</v>
      </c>
      <c r="H21" s="899">
        <v>8525715</v>
      </c>
      <c r="I21" s="899">
        <v>7822563</v>
      </c>
      <c r="J21" s="899">
        <v>7119412</v>
      </c>
      <c r="K21" s="899">
        <v>6416260</v>
      </c>
      <c r="L21" s="899">
        <v>5713108</v>
      </c>
      <c r="M21" s="899">
        <v>5009957</v>
      </c>
      <c r="N21" s="899">
        <v>4306805</v>
      </c>
      <c r="O21" s="899">
        <v>3603654</v>
      </c>
      <c r="P21" s="899">
        <v>2900502</v>
      </c>
      <c r="Q21" s="899">
        <v>2197350</v>
      </c>
      <c r="R21" s="899">
        <v>1494199</v>
      </c>
      <c r="S21" s="899">
        <v>791046</v>
      </c>
      <c r="T21" s="899">
        <v>131842</v>
      </c>
      <c r="U21" s="901">
        <f t="shared" si="10"/>
        <v>109208261</v>
      </c>
      <c r="W21" s="927">
        <f t="shared" si="8"/>
        <v>109208261</v>
      </c>
    </row>
    <row r="22" spans="1:23" s="597" customFormat="1" ht="20.25" customHeight="1" x14ac:dyDescent="0.2">
      <c r="A22" s="900" t="s">
        <v>242</v>
      </c>
      <c r="B22" s="900" t="s">
        <v>1332</v>
      </c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901">
        <f t="shared" si="10"/>
        <v>0</v>
      </c>
    </row>
    <row r="23" spans="1:23" ht="21" customHeight="1" x14ac:dyDescent="0.2">
      <c r="A23" s="784" t="s">
        <v>243</v>
      </c>
      <c r="B23" s="784" t="s">
        <v>1333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6">
        <f t="shared" si="10"/>
        <v>0</v>
      </c>
    </row>
    <row r="24" spans="1:23" ht="21" customHeight="1" x14ac:dyDescent="0.2">
      <c r="A24" s="784" t="s">
        <v>244</v>
      </c>
      <c r="B24" s="784" t="s">
        <v>1334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6">
        <f t="shared" si="10"/>
        <v>0</v>
      </c>
    </row>
    <row r="25" spans="1:23" ht="20.25" customHeight="1" x14ac:dyDescent="0.2">
      <c r="A25" s="784" t="s">
        <v>245</v>
      </c>
      <c r="B25" s="784" t="s">
        <v>1335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6">
        <f t="shared" si="10"/>
        <v>0</v>
      </c>
    </row>
    <row r="26" spans="1:23" ht="20.25" customHeight="1" x14ac:dyDescent="0.2">
      <c r="A26" s="784" t="s">
        <v>246</v>
      </c>
      <c r="B26" s="784" t="s">
        <v>1336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>
        <f t="shared" si="10"/>
        <v>0</v>
      </c>
    </row>
    <row r="27" spans="1:23" ht="22.5" customHeight="1" x14ac:dyDescent="0.2">
      <c r="A27" s="784" t="s">
        <v>247</v>
      </c>
      <c r="B27" s="784" t="s">
        <v>1337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6">
        <f t="shared" si="10"/>
        <v>0</v>
      </c>
    </row>
    <row r="28" spans="1:23" ht="22.5" customHeight="1" x14ac:dyDescent="0.2">
      <c r="A28" s="784" t="s">
        <v>248</v>
      </c>
      <c r="B28" s="784" t="s">
        <v>1338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6">
        <f t="shared" si="10"/>
        <v>0</v>
      </c>
    </row>
    <row r="29" spans="1:23" ht="30" x14ac:dyDescent="0.2">
      <c r="A29" s="784" t="s">
        <v>276</v>
      </c>
      <c r="B29" s="783" t="s">
        <v>1339</v>
      </c>
      <c r="C29" s="786">
        <f t="shared" ref="C29:T29" si="11">C30+C39+C40+C41+C42+C43+C44+C45</f>
        <v>0</v>
      </c>
      <c r="D29" s="786">
        <f t="shared" si="11"/>
        <v>0</v>
      </c>
      <c r="E29" s="786">
        <f t="shared" si="11"/>
        <v>0</v>
      </c>
      <c r="F29" s="786">
        <f t="shared" si="11"/>
        <v>0</v>
      </c>
      <c r="G29" s="786">
        <f t="shared" si="11"/>
        <v>0</v>
      </c>
      <c r="H29" s="786">
        <f t="shared" si="11"/>
        <v>0</v>
      </c>
      <c r="I29" s="786">
        <f t="shared" si="11"/>
        <v>0</v>
      </c>
      <c r="J29" s="786">
        <f t="shared" si="11"/>
        <v>0</v>
      </c>
      <c r="K29" s="786">
        <f t="shared" si="11"/>
        <v>0</v>
      </c>
      <c r="L29" s="786">
        <f t="shared" si="11"/>
        <v>0</v>
      </c>
      <c r="M29" s="786">
        <f t="shared" si="11"/>
        <v>0</v>
      </c>
      <c r="N29" s="786">
        <f t="shared" si="11"/>
        <v>0</v>
      </c>
      <c r="O29" s="786">
        <f t="shared" si="11"/>
        <v>0</v>
      </c>
      <c r="P29" s="786">
        <f t="shared" si="11"/>
        <v>0</v>
      </c>
      <c r="Q29" s="786">
        <f t="shared" si="11"/>
        <v>0</v>
      </c>
      <c r="R29" s="786">
        <f t="shared" si="11"/>
        <v>0</v>
      </c>
      <c r="S29" s="786">
        <f t="shared" si="11"/>
        <v>0</v>
      </c>
      <c r="T29" s="786">
        <f t="shared" si="11"/>
        <v>0</v>
      </c>
      <c r="U29" s="786">
        <f t="shared" si="10"/>
        <v>0</v>
      </c>
    </row>
    <row r="30" spans="1:23" ht="18.75" customHeight="1" x14ac:dyDescent="0.2">
      <c r="A30" s="784" t="s">
        <v>277</v>
      </c>
      <c r="B30" s="784" t="s">
        <v>1340</v>
      </c>
      <c r="C30" s="785">
        <f t="shared" ref="C30:T30" si="12">SUM(C31:C35)</f>
        <v>0</v>
      </c>
      <c r="D30" s="785">
        <f t="shared" si="12"/>
        <v>0</v>
      </c>
      <c r="E30" s="785">
        <f t="shared" si="12"/>
        <v>0</v>
      </c>
      <c r="F30" s="785">
        <f t="shared" si="12"/>
        <v>0</v>
      </c>
      <c r="G30" s="785">
        <f t="shared" si="12"/>
        <v>0</v>
      </c>
      <c r="H30" s="785">
        <f t="shared" si="12"/>
        <v>0</v>
      </c>
      <c r="I30" s="785">
        <f t="shared" si="12"/>
        <v>0</v>
      </c>
      <c r="J30" s="785">
        <f t="shared" si="12"/>
        <v>0</v>
      </c>
      <c r="K30" s="785">
        <f t="shared" si="12"/>
        <v>0</v>
      </c>
      <c r="L30" s="785">
        <f t="shared" si="12"/>
        <v>0</v>
      </c>
      <c r="M30" s="785">
        <f t="shared" si="12"/>
        <v>0</v>
      </c>
      <c r="N30" s="785">
        <f t="shared" si="12"/>
        <v>0</v>
      </c>
      <c r="O30" s="785">
        <f t="shared" si="12"/>
        <v>0</v>
      </c>
      <c r="P30" s="785">
        <f t="shared" si="12"/>
        <v>0</v>
      </c>
      <c r="Q30" s="785">
        <f t="shared" si="12"/>
        <v>0</v>
      </c>
      <c r="R30" s="785">
        <f t="shared" si="12"/>
        <v>0</v>
      </c>
      <c r="S30" s="785">
        <f t="shared" si="12"/>
        <v>0</v>
      </c>
      <c r="T30" s="785">
        <f t="shared" si="12"/>
        <v>0</v>
      </c>
      <c r="U30" s="786">
        <f t="shared" si="10"/>
        <v>0</v>
      </c>
    </row>
    <row r="31" spans="1:23" ht="18.75" customHeight="1" x14ac:dyDescent="0.2">
      <c r="A31" s="784" t="s">
        <v>278</v>
      </c>
      <c r="B31" s="784" t="s">
        <v>1341</v>
      </c>
      <c r="C31" s="785">
        <f t="shared" ref="C31:T31" si="13">+C32+C33+C34</f>
        <v>0</v>
      </c>
      <c r="D31" s="785">
        <f t="shared" si="13"/>
        <v>0</v>
      </c>
      <c r="E31" s="785">
        <f t="shared" si="13"/>
        <v>0</v>
      </c>
      <c r="F31" s="785">
        <f t="shared" si="13"/>
        <v>0</v>
      </c>
      <c r="G31" s="785">
        <f t="shared" si="13"/>
        <v>0</v>
      </c>
      <c r="H31" s="785">
        <f t="shared" si="13"/>
        <v>0</v>
      </c>
      <c r="I31" s="785">
        <f t="shared" si="13"/>
        <v>0</v>
      </c>
      <c r="J31" s="785">
        <f t="shared" si="13"/>
        <v>0</v>
      </c>
      <c r="K31" s="785">
        <f t="shared" si="13"/>
        <v>0</v>
      </c>
      <c r="L31" s="785">
        <f t="shared" si="13"/>
        <v>0</v>
      </c>
      <c r="M31" s="785">
        <f t="shared" si="13"/>
        <v>0</v>
      </c>
      <c r="N31" s="785">
        <f t="shared" si="13"/>
        <v>0</v>
      </c>
      <c r="O31" s="785">
        <f t="shared" si="13"/>
        <v>0</v>
      </c>
      <c r="P31" s="785">
        <f t="shared" si="13"/>
        <v>0</v>
      </c>
      <c r="Q31" s="785">
        <f t="shared" si="13"/>
        <v>0</v>
      </c>
      <c r="R31" s="785">
        <f t="shared" si="13"/>
        <v>0</v>
      </c>
      <c r="S31" s="785">
        <f t="shared" si="13"/>
        <v>0</v>
      </c>
      <c r="T31" s="785">
        <f t="shared" si="13"/>
        <v>0</v>
      </c>
      <c r="U31" s="786">
        <f t="shared" si="10"/>
        <v>0</v>
      </c>
    </row>
    <row r="32" spans="1:23" ht="19.5" customHeight="1" x14ac:dyDescent="0.2">
      <c r="A32" s="784" t="s">
        <v>1342</v>
      </c>
      <c r="B32" s="784" t="s">
        <v>1323</v>
      </c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6"/>
    </row>
    <row r="33" spans="1:24" ht="30" x14ac:dyDescent="0.2">
      <c r="A33" s="784" t="s">
        <v>1343</v>
      </c>
      <c r="B33" s="784" t="s">
        <v>1325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6"/>
    </row>
    <row r="34" spans="1:24" ht="18" customHeight="1" x14ac:dyDescent="0.2">
      <c r="A34" s="784" t="s">
        <v>1344</v>
      </c>
      <c r="B34" s="784" t="s">
        <v>1327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6"/>
    </row>
    <row r="35" spans="1:24" ht="18" customHeight="1" x14ac:dyDescent="0.2">
      <c r="A35" s="784" t="s">
        <v>279</v>
      </c>
      <c r="B35" s="784" t="s">
        <v>1345</v>
      </c>
      <c r="C35" s="785">
        <f t="shared" ref="C35:T35" si="14">+C36+C37+C38</f>
        <v>0</v>
      </c>
      <c r="D35" s="785">
        <f t="shared" si="14"/>
        <v>0</v>
      </c>
      <c r="E35" s="785">
        <f t="shared" si="14"/>
        <v>0</v>
      </c>
      <c r="F35" s="785">
        <f t="shared" si="14"/>
        <v>0</v>
      </c>
      <c r="G35" s="785">
        <f t="shared" si="14"/>
        <v>0</v>
      </c>
      <c r="H35" s="785">
        <f t="shared" si="14"/>
        <v>0</v>
      </c>
      <c r="I35" s="785">
        <f t="shared" si="14"/>
        <v>0</v>
      </c>
      <c r="J35" s="785">
        <f t="shared" si="14"/>
        <v>0</v>
      </c>
      <c r="K35" s="785">
        <f t="shared" si="14"/>
        <v>0</v>
      </c>
      <c r="L35" s="785">
        <f t="shared" si="14"/>
        <v>0</v>
      </c>
      <c r="M35" s="785">
        <f t="shared" si="14"/>
        <v>0</v>
      </c>
      <c r="N35" s="785">
        <f t="shared" si="14"/>
        <v>0</v>
      </c>
      <c r="O35" s="785">
        <f t="shared" si="14"/>
        <v>0</v>
      </c>
      <c r="P35" s="785">
        <f t="shared" si="14"/>
        <v>0</v>
      </c>
      <c r="Q35" s="785">
        <f t="shared" si="14"/>
        <v>0</v>
      </c>
      <c r="R35" s="785">
        <f t="shared" si="14"/>
        <v>0</v>
      </c>
      <c r="S35" s="785">
        <f t="shared" si="14"/>
        <v>0</v>
      </c>
      <c r="T35" s="785">
        <f t="shared" si="14"/>
        <v>0</v>
      </c>
      <c r="U35" s="786">
        <f>SUM(C35:T35)</f>
        <v>0</v>
      </c>
    </row>
    <row r="36" spans="1:24" ht="18" customHeight="1" x14ac:dyDescent="0.2">
      <c r="A36" s="784" t="s">
        <v>1346</v>
      </c>
      <c r="B36" s="784" t="s">
        <v>1323</v>
      </c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6"/>
    </row>
    <row r="37" spans="1:24" ht="30" x14ac:dyDescent="0.2">
      <c r="A37" s="784" t="s">
        <v>1347</v>
      </c>
      <c r="B37" s="784" t="s">
        <v>1325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6"/>
    </row>
    <row r="38" spans="1:24" ht="17.25" customHeight="1" x14ac:dyDescent="0.2">
      <c r="A38" s="784" t="s">
        <v>1348</v>
      </c>
      <c r="B38" s="784" t="s">
        <v>1327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6"/>
    </row>
    <row r="39" spans="1:24" ht="17.25" customHeight="1" x14ac:dyDescent="0.2">
      <c r="A39" s="784" t="s">
        <v>280</v>
      </c>
      <c r="B39" s="784" t="s">
        <v>1332</v>
      </c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6">
        <f t="shared" ref="U39:U47" si="15">SUM(C39:T39)</f>
        <v>0</v>
      </c>
    </row>
    <row r="40" spans="1:24" ht="17.25" customHeight="1" x14ac:dyDescent="0.2">
      <c r="A40" s="784" t="s">
        <v>281</v>
      </c>
      <c r="B40" s="784" t="s">
        <v>1333</v>
      </c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6">
        <f t="shared" si="15"/>
        <v>0</v>
      </c>
    </row>
    <row r="41" spans="1:24" ht="20.25" customHeight="1" x14ac:dyDescent="0.2">
      <c r="A41" s="784" t="s">
        <v>282</v>
      </c>
      <c r="B41" s="784" t="s">
        <v>1334</v>
      </c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6">
        <f t="shared" si="15"/>
        <v>0</v>
      </c>
    </row>
    <row r="42" spans="1:24" ht="20.25" customHeight="1" x14ac:dyDescent="0.2">
      <c r="A42" s="784" t="s">
        <v>283</v>
      </c>
      <c r="B42" s="784" t="s">
        <v>1335</v>
      </c>
      <c r="C42" s="785"/>
      <c r="D42" s="785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6">
        <f t="shared" si="15"/>
        <v>0</v>
      </c>
    </row>
    <row r="43" spans="1:24" ht="20.25" customHeight="1" x14ac:dyDescent="0.2">
      <c r="A43" s="784" t="s">
        <v>284</v>
      </c>
      <c r="B43" s="784" t="s">
        <v>1336</v>
      </c>
      <c r="C43" s="785"/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6">
        <f t="shared" si="15"/>
        <v>0</v>
      </c>
    </row>
    <row r="44" spans="1:24" ht="20.25" customHeight="1" x14ac:dyDescent="0.2">
      <c r="A44" s="784" t="s">
        <v>285</v>
      </c>
      <c r="B44" s="784" t="s">
        <v>1337</v>
      </c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6">
        <f t="shared" si="15"/>
        <v>0</v>
      </c>
    </row>
    <row r="45" spans="1:24" ht="20.25" customHeight="1" x14ac:dyDescent="0.2">
      <c r="A45" s="784" t="s">
        <v>286</v>
      </c>
      <c r="B45" s="784" t="s">
        <v>1338</v>
      </c>
      <c r="C45" s="785"/>
      <c r="D45" s="785"/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6">
        <f t="shared" si="15"/>
        <v>0</v>
      </c>
    </row>
    <row r="46" spans="1:24" ht="20.25" customHeight="1" x14ac:dyDescent="0.2">
      <c r="A46" s="784" t="s">
        <v>287</v>
      </c>
      <c r="B46" s="783" t="s">
        <v>1349</v>
      </c>
      <c r="C46" s="786">
        <f t="shared" ref="C46:T46" si="16">SUM(C12+C29)</f>
        <v>52664921</v>
      </c>
      <c r="D46" s="786">
        <f t="shared" si="16"/>
        <v>51255790</v>
      </c>
      <c r="E46" s="786">
        <f t="shared" si="16"/>
        <v>49846659</v>
      </c>
      <c r="F46" s="786">
        <f t="shared" si="16"/>
        <v>48437528</v>
      </c>
      <c r="G46" s="786">
        <f t="shared" si="16"/>
        <v>47028396</v>
      </c>
      <c r="H46" s="786">
        <f t="shared" si="16"/>
        <v>45619265</v>
      </c>
      <c r="I46" s="786">
        <f t="shared" si="16"/>
        <v>44210134</v>
      </c>
      <c r="J46" s="786">
        <f t="shared" si="16"/>
        <v>42801003</v>
      </c>
      <c r="K46" s="786">
        <f t="shared" si="16"/>
        <v>41391872</v>
      </c>
      <c r="L46" s="786">
        <f t="shared" si="16"/>
        <v>39982740</v>
      </c>
      <c r="M46" s="786">
        <f t="shared" si="16"/>
        <v>38573609</v>
      </c>
      <c r="N46" s="786">
        <f t="shared" si="16"/>
        <v>37164478</v>
      </c>
      <c r="O46" s="786">
        <f t="shared" si="16"/>
        <v>35755347</v>
      </c>
      <c r="P46" s="786">
        <f t="shared" si="16"/>
        <v>34346216</v>
      </c>
      <c r="Q46" s="786">
        <f t="shared" si="16"/>
        <v>32937084</v>
      </c>
      <c r="R46" s="786">
        <f t="shared" si="16"/>
        <v>31527953</v>
      </c>
      <c r="S46" s="786">
        <f t="shared" si="16"/>
        <v>30118821</v>
      </c>
      <c r="T46" s="786">
        <f t="shared" si="16"/>
        <v>21680822</v>
      </c>
      <c r="U46" s="786">
        <f t="shared" si="15"/>
        <v>725342638</v>
      </c>
    </row>
    <row r="47" spans="1:24" ht="21" customHeight="1" x14ac:dyDescent="0.2">
      <c r="A47" s="784" t="s">
        <v>288</v>
      </c>
      <c r="B47" s="783" t="s">
        <v>1350</v>
      </c>
      <c r="C47" s="786">
        <f t="shared" ref="C47:T47" si="17">C11-C46</f>
        <v>1986686107</v>
      </c>
      <c r="D47" s="786">
        <f t="shared" si="17"/>
        <v>1990643243.9699998</v>
      </c>
      <c r="E47" s="786">
        <f t="shared" si="17"/>
        <v>1994605479.7206795</v>
      </c>
      <c r="F47" s="786">
        <f t="shared" si="17"/>
        <v>1998572832.1046937</v>
      </c>
      <c r="G47" s="786">
        <f t="shared" si="17"/>
        <v>2002545320.056318</v>
      </c>
      <c r="H47" s="786">
        <f t="shared" si="17"/>
        <v>2006522959.5918517</v>
      </c>
      <c r="I47" s="786">
        <f t="shared" si="17"/>
        <v>2010505769.8100185</v>
      </c>
      <c r="J47" s="786">
        <f t="shared" si="17"/>
        <v>2014493768.8923709</v>
      </c>
      <c r="K47" s="786">
        <f t="shared" si="17"/>
        <v>2018486975.1036987</v>
      </c>
      <c r="L47" s="786">
        <f t="shared" si="17"/>
        <v>2022485407.7924352</v>
      </c>
      <c r="M47" s="786">
        <f t="shared" si="17"/>
        <v>2026489083.3910685</v>
      </c>
      <c r="N47" s="786">
        <f t="shared" si="17"/>
        <v>2030498021.4165545</v>
      </c>
      <c r="O47" s="786">
        <f t="shared" si="17"/>
        <v>2034512240.4707313</v>
      </c>
      <c r="P47" s="786">
        <f t="shared" si="17"/>
        <v>2038531759.2407362</v>
      </c>
      <c r="Q47" s="786">
        <f t="shared" si="17"/>
        <v>2042556597.4994237</v>
      </c>
      <c r="R47" s="786">
        <f t="shared" si="17"/>
        <v>2046586772.1057873</v>
      </c>
      <c r="S47" s="786">
        <f t="shared" si="17"/>
        <v>2050622304.0053816</v>
      </c>
      <c r="T47" s="786">
        <f t="shared" si="17"/>
        <v>2061692078.2307477</v>
      </c>
      <c r="U47" s="786">
        <f t="shared" si="15"/>
        <v>36377036720.402496</v>
      </c>
    </row>
    <row r="48" spans="1:24" ht="15" x14ac:dyDescent="0.2">
      <c r="A48" s="788"/>
      <c r="B48" s="788" t="s">
        <v>1351</v>
      </c>
      <c r="C48" s="788"/>
      <c r="D48" s="789"/>
      <c r="E48" s="789"/>
      <c r="F48" s="789"/>
      <c r="G48" s="789"/>
      <c r="H48" s="789"/>
      <c r="I48" s="789"/>
      <c r="J48" s="789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90"/>
    </row>
    <row r="49" spans="1:26" ht="30" x14ac:dyDescent="0.2">
      <c r="A49" s="1315"/>
      <c r="B49" s="784" t="s">
        <v>762</v>
      </c>
      <c r="C49" s="791">
        <f>+'1.a sz. Önkormányzat 2021. '!DX32</f>
        <v>572000000</v>
      </c>
      <c r="D49" s="785" t="s">
        <v>1352</v>
      </c>
      <c r="E49" s="785"/>
      <c r="F49" s="784"/>
      <c r="G49" s="788"/>
      <c r="H49" s="789"/>
      <c r="I49" s="789"/>
      <c r="J49" s="792" t="s">
        <v>1353</v>
      </c>
      <c r="K49" s="793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90"/>
    </row>
    <row r="50" spans="1:26" ht="43.15" customHeight="1" x14ac:dyDescent="0.2">
      <c r="A50" s="1316"/>
      <c r="B50" s="784" t="s">
        <v>1354</v>
      </c>
      <c r="C50" s="791">
        <f>+'1.a sz. Önkormányzat 2021. '!DY32</f>
        <v>162000000</v>
      </c>
      <c r="D50" s="785" t="s">
        <v>1355</v>
      </c>
      <c r="E50" s="785"/>
      <c r="F50" s="785"/>
      <c r="G50" s="789"/>
      <c r="H50" s="789"/>
      <c r="I50" s="789"/>
      <c r="J50" s="794" t="s">
        <v>1356</v>
      </c>
      <c r="K50" s="795"/>
      <c r="L50" s="788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90"/>
      <c r="Y50" s="789"/>
      <c r="Z50" s="789"/>
    </row>
    <row r="51" spans="1:26" ht="15" x14ac:dyDescent="0.2">
      <c r="A51" s="1316"/>
      <c r="B51" s="784" t="s">
        <v>1357</v>
      </c>
      <c r="C51" s="791">
        <f>+'1.a sz. Önkormányzat 2021. '!DZ32</f>
        <v>22200000</v>
      </c>
      <c r="D51" s="785" t="s">
        <v>1358</v>
      </c>
      <c r="E51" s="785"/>
      <c r="F51" s="785"/>
      <c r="G51" s="789"/>
      <c r="H51" s="789"/>
      <c r="I51" s="789"/>
      <c r="J51" s="794" t="s">
        <v>1359</v>
      </c>
      <c r="K51" s="795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90"/>
      <c r="Y51" s="789"/>
      <c r="Z51" s="789"/>
    </row>
    <row r="52" spans="1:26" ht="15" x14ac:dyDescent="0.2">
      <c r="A52" s="1316"/>
      <c r="B52" s="784" t="s">
        <v>1360</v>
      </c>
      <c r="C52" s="791">
        <f>+'1.a sz. Önkormányzat 2021. '!EA32</f>
        <v>160000</v>
      </c>
      <c r="D52" s="785" t="s">
        <v>1361</v>
      </c>
      <c r="E52" s="785"/>
      <c r="F52" s="785"/>
      <c r="G52" s="789"/>
      <c r="H52" s="789"/>
      <c r="I52" s="789"/>
      <c r="J52" s="794"/>
      <c r="K52" s="795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90"/>
      <c r="Y52" s="789"/>
      <c r="Z52" s="789"/>
    </row>
    <row r="53" spans="1:26" ht="45" x14ac:dyDescent="0.2">
      <c r="A53" s="1316"/>
      <c r="B53" s="784" t="s">
        <v>765</v>
      </c>
      <c r="C53" s="791">
        <f>+'1.a sz. Önkormányzat 2021. '!EB32</f>
        <v>2950000000</v>
      </c>
      <c r="D53" s="785" t="s">
        <v>1362</v>
      </c>
      <c r="E53" s="785"/>
      <c r="F53" s="785" t="s">
        <v>1363</v>
      </c>
      <c r="G53" s="789" t="s">
        <v>1364</v>
      </c>
      <c r="H53" s="789">
        <v>112472000</v>
      </c>
      <c r="I53" s="789"/>
      <c r="J53" s="794"/>
      <c r="K53" s="795"/>
      <c r="L53" s="789"/>
      <c r="M53" s="789"/>
      <c r="N53" s="789"/>
      <c r="O53" s="789"/>
      <c r="P53" s="789"/>
      <c r="Q53" s="789"/>
      <c r="R53" s="789"/>
      <c r="S53" s="789"/>
      <c r="T53" s="789"/>
      <c r="U53" s="789"/>
      <c r="V53" s="789"/>
      <c r="W53" s="789"/>
      <c r="X53" s="790"/>
    </row>
    <row r="54" spans="1:26" ht="30" x14ac:dyDescent="0.2">
      <c r="A54" s="1316"/>
      <c r="B54" s="784" t="s">
        <v>1365</v>
      </c>
      <c r="C54" s="791">
        <f>+'1.a sz. Önkormányzat 2021. '!EF32</f>
        <v>114264585</v>
      </c>
      <c r="D54" s="785" t="s">
        <v>1366</v>
      </c>
      <c r="E54" s="785"/>
      <c r="F54" s="785"/>
      <c r="G54" s="789"/>
      <c r="H54" s="789"/>
      <c r="I54" s="789"/>
      <c r="J54" s="794" t="s">
        <v>1367</v>
      </c>
      <c r="K54" s="795"/>
      <c r="L54" s="789"/>
      <c r="M54" s="789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90"/>
    </row>
    <row r="55" spans="1:26" ht="15" x14ac:dyDescent="0.2">
      <c r="A55" s="1316"/>
      <c r="B55" s="784"/>
      <c r="C55" s="791"/>
      <c r="D55" s="785"/>
      <c r="E55" s="785"/>
      <c r="F55" s="785"/>
      <c r="G55" s="789"/>
      <c r="H55" s="789"/>
      <c r="I55" s="789"/>
      <c r="J55" s="794"/>
      <c r="K55" s="795"/>
      <c r="L55" s="789"/>
      <c r="M55" s="789"/>
      <c r="N55" s="789"/>
      <c r="O55" s="789"/>
      <c r="P55" s="789"/>
      <c r="Q55" s="789"/>
      <c r="R55" s="789"/>
      <c r="S55" s="789"/>
      <c r="T55" s="789"/>
      <c r="U55" s="789"/>
      <c r="V55" s="789"/>
      <c r="W55" s="789"/>
      <c r="X55" s="790"/>
    </row>
    <row r="56" spans="1:26" ht="30" x14ac:dyDescent="0.2">
      <c r="A56" s="1316"/>
      <c r="B56" s="783" t="s">
        <v>126</v>
      </c>
      <c r="C56" s="796">
        <f>SUM(C49:C55)</f>
        <v>3820624585</v>
      </c>
      <c r="D56" s="785" t="s">
        <v>1368</v>
      </c>
      <c r="E56" s="785"/>
      <c r="F56" s="785"/>
      <c r="G56" s="789"/>
      <c r="H56" s="789"/>
      <c r="I56" s="789"/>
      <c r="J56" s="794" t="s">
        <v>1369</v>
      </c>
      <c r="K56" s="795"/>
      <c r="L56" s="789"/>
      <c r="M56" s="789"/>
      <c r="N56" s="789"/>
      <c r="O56" s="789"/>
      <c r="P56" s="789"/>
      <c r="Q56" s="789"/>
      <c r="R56" s="789"/>
      <c r="S56" s="789"/>
      <c r="T56" s="789"/>
      <c r="U56" s="789"/>
      <c r="V56" s="789"/>
      <c r="W56" s="789"/>
      <c r="X56" s="790"/>
    </row>
    <row r="57" spans="1:26" ht="15" x14ac:dyDescent="0.2">
      <c r="A57" s="797"/>
      <c r="B57" s="784" t="s">
        <v>1370</v>
      </c>
      <c r="C57" s="791"/>
      <c r="D57" s="785" t="s">
        <v>1371</v>
      </c>
      <c r="E57" s="785"/>
      <c r="F57" s="785"/>
      <c r="G57" s="789"/>
      <c r="H57" s="789"/>
      <c r="I57" s="789"/>
      <c r="J57" s="794" t="s">
        <v>1372</v>
      </c>
      <c r="K57" s="795"/>
      <c r="L57" s="789"/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90"/>
    </row>
    <row r="58" spans="1:26" ht="15" x14ac:dyDescent="0.2">
      <c r="A58" s="797"/>
      <c r="B58" s="784" t="s">
        <v>1373</v>
      </c>
      <c r="C58" s="791"/>
      <c r="D58" s="785" t="s">
        <v>1374</v>
      </c>
      <c r="E58" s="785"/>
      <c r="F58" s="785"/>
      <c r="G58" s="789"/>
      <c r="H58" s="789"/>
      <c r="I58" s="789"/>
      <c r="J58" s="794"/>
      <c r="K58" s="795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90"/>
    </row>
    <row r="59" spans="1:26" ht="15" x14ac:dyDescent="0.2">
      <c r="A59" s="797"/>
      <c r="B59" s="784" t="s">
        <v>1375</v>
      </c>
      <c r="C59" s="791"/>
      <c r="D59" s="785"/>
      <c r="E59" s="785"/>
      <c r="F59" s="785"/>
      <c r="G59" s="789"/>
      <c r="H59" s="789"/>
      <c r="I59" s="789"/>
      <c r="J59" s="794"/>
      <c r="K59" s="795"/>
      <c r="L59" s="789"/>
      <c r="M59" s="789"/>
      <c r="N59" s="789"/>
      <c r="O59" s="789"/>
      <c r="P59" s="789"/>
      <c r="Q59" s="789"/>
      <c r="R59" s="789"/>
      <c r="S59" s="789"/>
      <c r="T59" s="789"/>
      <c r="U59" s="789"/>
      <c r="V59" s="789"/>
      <c r="W59" s="789"/>
      <c r="X59" s="790"/>
    </row>
    <row r="60" spans="1:26" ht="15" x14ac:dyDescent="0.2">
      <c r="A60" s="797"/>
      <c r="B60" s="784" t="s">
        <v>1376</v>
      </c>
      <c r="C60" s="791">
        <f>+'2.1. sz. PMH'!G32</f>
        <v>3000000</v>
      </c>
      <c r="D60" s="785" t="s">
        <v>126</v>
      </c>
      <c r="E60" s="785"/>
      <c r="F60" s="785"/>
      <c r="G60" s="789"/>
      <c r="H60" s="789"/>
      <c r="I60" s="789"/>
      <c r="J60" s="798" t="s">
        <v>1377</v>
      </c>
      <c r="K60" s="79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90"/>
    </row>
    <row r="61" spans="1:26" ht="15" x14ac:dyDescent="0.2">
      <c r="A61" s="797"/>
      <c r="B61" s="784" t="s">
        <v>1378</v>
      </c>
      <c r="C61" s="791"/>
      <c r="D61" s="785"/>
      <c r="E61" s="785"/>
      <c r="F61" s="785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90"/>
    </row>
    <row r="62" spans="1:26" ht="15" x14ac:dyDescent="0.2">
      <c r="A62" s="797"/>
      <c r="B62" s="784"/>
      <c r="C62" s="791"/>
      <c r="D62" s="785"/>
      <c r="E62" s="785"/>
      <c r="F62" s="785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90"/>
    </row>
    <row r="63" spans="1:26" ht="15" x14ac:dyDescent="0.2">
      <c r="A63" s="800"/>
      <c r="B63" s="783" t="s">
        <v>126</v>
      </c>
      <c r="C63" s="796">
        <f>SUM(C58:C62)</f>
        <v>3000000</v>
      </c>
      <c r="D63" s="785"/>
      <c r="E63" s="785"/>
      <c r="F63" s="785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90"/>
    </row>
    <row r="64" spans="1:26" ht="30" x14ac:dyDescent="0.2">
      <c r="A64" s="797"/>
      <c r="B64" s="784" t="s">
        <v>1379</v>
      </c>
      <c r="C64" s="791"/>
      <c r="D64" s="785" t="s">
        <v>1365</v>
      </c>
      <c r="E64" s="785"/>
      <c r="F64" s="785" t="s">
        <v>1380</v>
      </c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90"/>
    </row>
    <row r="65" spans="1:24" ht="15" x14ac:dyDescent="0.2">
      <c r="A65" s="797"/>
      <c r="B65" s="784" t="s">
        <v>1381</v>
      </c>
      <c r="C65" s="791">
        <f>+'1.a sz. Önkormányzat 2021. '!M34</f>
        <v>62752000</v>
      </c>
      <c r="D65" s="785"/>
      <c r="E65" s="785"/>
      <c r="F65" s="785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90"/>
    </row>
    <row r="66" spans="1:24" ht="15" x14ac:dyDescent="0.2">
      <c r="A66" s="797"/>
      <c r="B66" s="784" t="s">
        <v>1382</v>
      </c>
      <c r="C66" s="791"/>
      <c r="D66" s="785"/>
      <c r="E66" s="785"/>
      <c r="F66" s="785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790"/>
    </row>
    <row r="67" spans="1:24" ht="15" x14ac:dyDescent="0.2">
      <c r="A67" s="797"/>
      <c r="B67" s="784" t="s">
        <v>1492</v>
      </c>
      <c r="C67" s="791">
        <f>+'1.a sz. Önkormányzat 2021. '!EF33</f>
        <v>6530391</v>
      </c>
      <c r="D67" s="785"/>
      <c r="E67" s="785"/>
      <c r="F67" s="785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90"/>
    </row>
    <row r="68" spans="1:24" ht="15" x14ac:dyDescent="0.2">
      <c r="A68" s="797"/>
      <c r="B68" s="784" t="s">
        <v>1383</v>
      </c>
      <c r="C68" s="791">
        <f>+'1.a sz. Önkormányzat 2021. '!AS33</f>
        <v>11054776</v>
      </c>
      <c r="D68" s="785"/>
      <c r="E68" s="785"/>
      <c r="F68" s="785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90"/>
    </row>
    <row r="69" spans="1:24" ht="15" x14ac:dyDescent="0.2">
      <c r="A69" s="797"/>
      <c r="B69" s="784" t="s">
        <v>1384</v>
      </c>
      <c r="C69" s="791">
        <f>+'1.a sz. Önkormányzat 2021. '!AT33</f>
        <v>979800</v>
      </c>
      <c r="D69" s="785"/>
      <c r="E69" s="785"/>
      <c r="F69" s="785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90"/>
    </row>
    <row r="70" spans="1:24" ht="15" x14ac:dyDescent="0.2">
      <c r="A70" s="797"/>
      <c r="B70" s="784" t="s">
        <v>1385</v>
      </c>
      <c r="C70" s="791"/>
      <c r="D70" s="785"/>
      <c r="E70" s="785"/>
      <c r="F70" s="785"/>
      <c r="G70" s="789"/>
      <c r="H70" s="789"/>
      <c r="I70" s="789"/>
      <c r="J70" s="789"/>
      <c r="K70" s="789"/>
      <c r="L70" s="789"/>
      <c r="M70" s="789"/>
      <c r="N70" s="789"/>
      <c r="O70" s="789"/>
      <c r="P70" s="789"/>
      <c r="Q70" s="789"/>
      <c r="R70" s="789"/>
      <c r="S70" s="789"/>
      <c r="T70" s="789"/>
      <c r="U70" s="789"/>
      <c r="V70" s="789"/>
      <c r="W70" s="789"/>
      <c r="X70" s="790"/>
    </row>
    <row r="71" spans="1:24" ht="15" x14ac:dyDescent="0.2">
      <c r="A71" s="797"/>
      <c r="B71" s="784" t="s">
        <v>1361</v>
      </c>
      <c r="C71" s="791">
        <f>+'1.a sz. Önkormányzat 2021. '!AU33</f>
        <v>5280000</v>
      </c>
      <c r="D71" s="785"/>
      <c r="E71" s="785"/>
      <c r="F71" s="785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90"/>
    </row>
    <row r="72" spans="1:24" ht="15" x14ac:dyDescent="0.2">
      <c r="A72" s="797"/>
      <c r="B72" s="784" t="s">
        <v>1386</v>
      </c>
      <c r="C72" s="791">
        <f>+'1.a sz. Önkormányzat 2021. '!BI33+'1.a sz. Önkormányzat 2021. '!BK33</f>
        <v>130000000</v>
      </c>
      <c r="D72" s="785"/>
      <c r="E72" s="785"/>
      <c r="F72" s="785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89"/>
      <c r="X72" s="790"/>
    </row>
    <row r="73" spans="1:24" ht="15" x14ac:dyDescent="0.2">
      <c r="A73" s="797"/>
      <c r="B73" s="784" t="s">
        <v>1387</v>
      </c>
      <c r="C73" s="791"/>
      <c r="D73" s="785"/>
      <c r="E73" s="785"/>
      <c r="F73" s="785"/>
      <c r="G73" s="789"/>
      <c r="H73" s="789"/>
      <c r="I73" s="789"/>
      <c r="J73" s="789"/>
      <c r="K73" s="789"/>
      <c r="L73" s="789"/>
      <c r="M73" s="789"/>
      <c r="N73" s="789"/>
      <c r="O73" s="789"/>
      <c r="P73" s="789"/>
      <c r="Q73" s="789"/>
      <c r="R73" s="789"/>
      <c r="S73" s="789"/>
      <c r="T73" s="789"/>
      <c r="U73" s="789"/>
      <c r="V73" s="789"/>
      <c r="W73" s="789"/>
      <c r="X73" s="790"/>
    </row>
    <row r="74" spans="1:24" ht="15" x14ac:dyDescent="0.2">
      <c r="A74" s="797"/>
      <c r="B74" s="784" t="s">
        <v>1388</v>
      </c>
      <c r="C74" s="791">
        <f>+'1.a sz. Önkormányzat 2021. '!BA33</f>
        <v>10000000</v>
      </c>
      <c r="D74" s="785"/>
      <c r="E74" s="785"/>
      <c r="F74" s="785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90"/>
    </row>
    <row r="75" spans="1:24" ht="15" x14ac:dyDescent="0.2">
      <c r="A75" s="797"/>
      <c r="B75" s="784" t="s">
        <v>1493</v>
      </c>
      <c r="C75" s="791">
        <f>+'1.a sz. Önkormányzat 2021. '!AL33</f>
        <v>1045000</v>
      </c>
      <c r="D75" s="785" t="s">
        <v>126</v>
      </c>
      <c r="E75" s="785"/>
      <c r="F75" s="785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90"/>
    </row>
    <row r="76" spans="1:24" ht="15" x14ac:dyDescent="0.2">
      <c r="A76" s="797"/>
      <c r="B76" s="784" t="s">
        <v>1494</v>
      </c>
      <c r="C76" s="791">
        <f>+'1.a sz. Önkormányzat 2021. '!AK33</f>
        <v>21400000</v>
      </c>
      <c r="D76" s="785"/>
      <c r="E76" s="785"/>
      <c r="F76" s="785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90"/>
    </row>
    <row r="77" spans="1:24" ht="15" x14ac:dyDescent="0.2">
      <c r="A77" s="797"/>
      <c r="B77" s="784" t="s">
        <v>1389</v>
      </c>
      <c r="C77" s="791"/>
      <c r="D77" s="785"/>
      <c r="E77" s="785"/>
      <c r="F77" s="785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90"/>
    </row>
    <row r="78" spans="1:24" ht="15" x14ac:dyDescent="0.2">
      <c r="A78" s="797"/>
      <c r="B78" s="784" t="s">
        <v>1390</v>
      </c>
      <c r="C78" s="791">
        <f>+'2.2. sz. Hétszínvirág Óvoda'!L33</f>
        <v>371394</v>
      </c>
      <c r="D78" s="785"/>
      <c r="E78" s="785"/>
      <c r="F78" s="785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789"/>
      <c r="R78" s="789"/>
      <c r="S78" s="789"/>
      <c r="T78" s="789"/>
      <c r="U78" s="789"/>
      <c r="V78" s="789"/>
      <c r="W78" s="789"/>
      <c r="X78" s="790"/>
    </row>
    <row r="79" spans="1:24" ht="15" x14ac:dyDescent="0.2">
      <c r="A79" s="797"/>
      <c r="B79" s="784" t="s">
        <v>1391</v>
      </c>
      <c r="C79" s="791">
        <f>+'2.3. sz. Mese Óvoda'!J33</f>
        <v>471010</v>
      </c>
      <c r="D79" s="785"/>
      <c r="E79" s="785"/>
      <c r="F79" s="785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89"/>
      <c r="X79" s="790"/>
    </row>
    <row r="80" spans="1:24" ht="15" x14ac:dyDescent="0.2">
      <c r="A80" s="797"/>
      <c r="B80" s="784" t="s">
        <v>1392</v>
      </c>
      <c r="C80" s="791">
        <f>+'2.8. sz. Műv.Ház'!F33+'2.8. sz. Műv.Ház'!H33</f>
        <v>5193100</v>
      </c>
      <c r="D80" s="785"/>
      <c r="E80" s="785"/>
      <c r="F80" s="785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90"/>
    </row>
    <row r="81" spans="1:24" ht="15" x14ac:dyDescent="0.2">
      <c r="A81" s="788"/>
      <c r="B81" s="784" t="s">
        <v>126</v>
      </c>
      <c r="C81" s="796">
        <f>SUM(C65:C80)</f>
        <v>255077471</v>
      </c>
      <c r="D81" s="785"/>
      <c r="E81" s="785"/>
      <c r="F81" s="785"/>
      <c r="G81" s="789"/>
      <c r="H81" s="789"/>
      <c r="I81" s="789"/>
      <c r="J81" s="789"/>
      <c r="K81" s="789"/>
      <c r="L81" s="789"/>
      <c r="M81" s="789"/>
      <c r="N81" s="789"/>
      <c r="O81" s="789"/>
      <c r="P81" s="789"/>
      <c r="Q81" s="789"/>
      <c r="R81" s="789"/>
      <c r="S81" s="789"/>
      <c r="T81" s="789"/>
      <c r="U81" s="789"/>
      <c r="V81" s="789"/>
      <c r="W81" s="789"/>
      <c r="X81" s="790"/>
    </row>
    <row r="82" spans="1:24" ht="15" x14ac:dyDescent="0.2">
      <c r="A82" s="788"/>
      <c r="B82" s="784"/>
      <c r="C82" s="791"/>
      <c r="D82" s="785"/>
      <c r="E82" s="785"/>
      <c r="F82" s="785"/>
      <c r="G82" s="789"/>
      <c r="H82" s="789"/>
      <c r="I82" s="789"/>
      <c r="J82" s="789"/>
      <c r="K82" s="789"/>
      <c r="L82" s="789"/>
      <c r="M82" s="789"/>
      <c r="N82" s="789"/>
      <c r="O82" s="789"/>
      <c r="P82" s="789"/>
      <c r="Q82" s="789"/>
      <c r="R82" s="789"/>
      <c r="S82" s="789"/>
      <c r="T82" s="789"/>
      <c r="U82" s="789"/>
      <c r="V82" s="789"/>
      <c r="W82" s="789"/>
      <c r="X82" s="790"/>
    </row>
    <row r="83" spans="1:24" ht="15" x14ac:dyDescent="0.2">
      <c r="A83" s="788"/>
      <c r="B83" s="784" t="s">
        <v>1393</v>
      </c>
      <c r="C83" s="791"/>
      <c r="D83" s="785"/>
      <c r="E83" s="785"/>
      <c r="F83" s="785"/>
      <c r="G83" s="789"/>
      <c r="H83" s="789"/>
      <c r="I83" s="789"/>
      <c r="J83" s="789"/>
      <c r="K83" s="789"/>
      <c r="L83" s="789"/>
      <c r="M83" s="789"/>
      <c r="N83" s="789"/>
      <c r="O83" s="789"/>
      <c r="P83" s="789"/>
      <c r="Q83" s="789"/>
      <c r="R83" s="789"/>
      <c r="S83" s="789"/>
      <c r="T83" s="789"/>
      <c r="U83" s="789"/>
      <c r="V83" s="789"/>
      <c r="W83" s="789"/>
      <c r="X83" s="790"/>
    </row>
    <row r="84" spans="1:24" ht="15" x14ac:dyDescent="0.2">
      <c r="A84" s="779"/>
      <c r="B84" s="783" t="s">
        <v>1394</v>
      </c>
      <c r="C84" s="796"/>
      <c r="D84" s="785"/>
      <c r="E84" s="785"/>
      <c r="F84" s="785"/>
      <c r="G84" s="789"/>
      <c r="H84" s="789"/>
      <c r="I84" s="789"/>
      <c r="J84" s="789"/>
      <c r="K84" s="789"/>
      <c r="L84" s="789"/>
      <c r="M84" s="789"/>
      <c r="N84" s="789"/>
      <c r="O84" s="789"/>
      <c r="P84" s="789"/>
      <c r="Q84" s="789"/>
      <c r="R84" s="789"/>
      <c r="S84" s="789"/>
      <c r="T84" s="789"/>
      <c r="U84" s="789"/>
      <c r="V84" s="789"/>
      <c r="W84" s="789"/>
      <c r="X84" s="790"/>
    </row>
    <row r="85" spans="1:24" ht="15" x14ac:dyDescent="0.2">
      <c r="A85" s="788"/>
      <c r="B85" s="784"/>
      <c r="C85" s="791"/>
      <c r="D85" s="785"/>
      <c r="E85" s="785"/>
      <c r="F85" s="785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789"/>
      <c r="R85" s="789"/>
      <c r="S85" s="789"/>
      <c r="T85" s="789"/>
      <c r="U85" s="789"/>
      <c r="V85" s="789"/>
      <c r="W85" s="789"/>
      <c r="X85" s="790"/>
    </row>
    <row r="86" spans="1:24" ht="15" x14ac:dyDescent="0.2">
      <c r="A86" s="788"/>
      <c r="B86" s="784" t="s">
        <v>1395</v>
      </c>
      <c r="C86" s="791"/>
      <c r="D86" s="785"/>
      <c r="E86" s="785"/>
      <c r="F86" s="785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789"/>
      <c r="R86" s="789"/>
      <c r="S86" s="789"/>
      <c r="T86" s="789"/>
      <c r="U86" s="789"/>
      <c r="V86" s="789"/>
      <c r="W86" s="789"/>
      <c r="X86" s="790"/>
    </row>
    <row r="87" spans="1:24" ht="15" x14ac:dyDescent="0.2">
      <c r="A87" s="788"/>
      <c r="B87" s="784"/>
      <c r="C87" s="791"/>
      <c r="D87" s="785"/>
      <c r="E87" s="785"/>
      <c r="F87" s="785"/>
      <c r="G87" s="789"/>
      <c r="H87" s="789"/>
      <c r="I87" s="789"/>
      <c r="J87" s="789"/>
      <c r="K87" s="789"/>
      <c r="L87" s="789"/>
      <c r="M87" s="789"/>
      <c r="N87" s="789"/>
      <c r="O87" s="789"/>
      <c r="P87" s="789"/>
      <c r="Q87" s="789"/>
      <c r="R87" s="789"/>
      <c r="S87" s="789"/>
      <c r="T87" s="789"/>
      <c r="U87" s="789"/>
      <c r="V87" s="789"/>
      <c r="W87" s="790"/>
    </row>
    <row r="88" spans="1:24" ht="15" x14ac:dyDescent="0.2">
      <c r="A88" s="788"/>
      <c r="B88" s="788"/>
      <c r="C88" s="801"/>
      <c r="D88" s="789"/>
      <c r="E88" s="789"/>
      <c r="F88" s="789"/>
      <c r="G88" s="789"/>
      <c r="H88" s="789"/>
      <c r="I88" s="789"/>
      <c r="J88" s="789"/>
      <c r="K88" s="789"/>
      <c r="L88" s="789"/>
      <c r="M88" s="789"/>
      <c r="N88" s="789"/>
      <c r="O88" s="789"/>
      <c r="P88" s="789"/>
      <c r="Q88" s="789"/>
      <c r="R88" s="789"/>
      <c r="S88" s="789"/>
      <c r="T88" s="789"/>
      <c r="U88" s="789"/>
      <c r="V88" s="789"/>
      <c r="W88" s="790"/>
    </row>
    <row r="89" spans="1:24" ht="15" x14ac:dyDescent="0.2">
      <c r="A89" s="788"/>
      <c r="B89" s="788"/>
      <c r="C89" s="789"/>
      <c r="D89" s="789"/>
      <c r="E89" s="789"/>
      <c r="F89" s="789"/>
      <c r="G89" s="789"/>
      <c r="H89" s="789"/>
      <c r="I89" s="789"/>
      <c r="J89" s="789"/>
      <c r="K89" s="789"/>
      <c r="L89" s="789"/>
      <c r="M89" s="789"/>
      <c r="N89" s="789"/>
      <c r="O89" s="789"/>
      <c r="P89" s="789"/>
      <c r="Q89" s="789"/>
      <c r="R89" s="789"/>
      <c r="S89" s="789"/>
      <c r="T89" s="789"/>
      <c r="U89" s="789"/>
      <c r="V89" s="789"/>
      <c r="W89" s="790"/>
    </row>
    <row r="90" spans="1:24" ht="15" x14ac:dyDescent="0.2">
      <c r="A90" s="788"/>
      <c r="B90" s="788"/>
      <c r="C90" s="789"/>
      <c r="D90" s="789"/>
      <c r="E90" s="789"/>
      <c r="F90" s="789"/>
      <c r="G90" s="789"/>
      <c r="H90" s="789"/>
      <c r="I90" s="789"/>
      <c r="J90" s="789"/>
      <c r="K90" s="789"/>
      <c r="L90" s="789"/>
      <c r="M90" s="789"/>
      <c r="N90" s="789"/>
      <c r="O90" s="789"/>
      <c r="P90" s="789"/>
      <c r="Q90" s="789"/>
      <c r="R90" s="789"/>
      <c r="S90" s="789"/>
      <c r="T90" s="789"/>
      <c r="U90" s="789"/>
      <c r="V90" s="789"/>
      <c r="W90" s="790"/>
    </row>
    <row r="91" spans="1:24" ht="15" x14ac:dyDescent="0.2">
      <c r="A91" s="788"/>
      <c r="B91" s="788"/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89"/>
      <c r="Q91" s="789"/>
      <c r="R91" s="789"/>
      <c r="S91" s="789"/>
      <c r="T91" s="789"/>
      <c r="U91" s="789"/>
      <c r="V91" s="789"/>
      <c r="W91" s="790"/>
    </row>
    <row r="92" spans="1:24" ht="15" x14ac:dyDescent="0.2">
      <c r="A92" s="788"/>
      <c r="B92" s="788"/>
      <c r="C92" s="789"/>
      <c r="D92" s="789"/>
      <c r="E92" s="789"/>
      <c r="F92" s="789"/>
      <c r="G92" s="789"/>
      <c r="H92" s="789"/>
      <c r="I92" s="789"/>
      <c r="J92" s="789"/>
      <c r="K92" s="789"/>
      <c r="L92" s="789"/>
      <c r="M92" s="789"/>
      <c r="N92" s="789"/>
      <c r="O92" s="789"/>
      <c r="P92" s="789"/>
      <c r="Q92" s="789"/>
      <c r="R92" s="789"/>
      <c r="S92" s="789"/>
      <c r="T92" s="789"/>
      <c r="U92" s="789"/>
      <c r="V92" s="789"/>
      <c r="W92" s="790"/>
    </row>
    <row r="93" spans="1:24" ht="15" x14ac:dyDescent="0.2">
      <c r="A93" s="788"/>
      <c r="B93" s="788"/>
      <c r="C93" s="789"/>
      <c r="D93" s="789"/>
      <c r="E93" s="789"/>
      <c r="F93" s="789"/>
      <c r="G93" s="789"/>
      <c r="H93" s="789"/>
      <c r="I93" s="789"/>
      <c r="J93" s="789"/>
      <c r="K93" s="789"/>
      <c r="L93" s="789"/>
      <c r="M93" s="789"/>
      <c r="N93" s="789"/>
      <c r="O93" s="789"/>
      <c r="P93" s="789"/>
      <c r="Q93" s="789"/>
      <c r="R93" s="789"/>
      <c r="S93" s="789"/>
      <c r="T93" s="789"/>
      <c r="U93" s="789"/>
      <c r="V93" s="789"/>
      <c r="W93" s="790"/>
    </row>
    <row r="94" spans="1:24" ht="15" x14ac:dyDescent="0.2">
      <c r="A94" s="788"/>
      <c r="B94" s="788"/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90"/>
    </row>
    <row r="95" spans="1:24" ht="15" x14ac:dyDescent="0.2">
      <c r="A95" s="788"/>
      <c r="B95" s="788"/>
      <c r="C95" s="789"/>
      <c r="D95" s="789"/>
      <c r="E95" s="789"/>
      <c r="F95" s="789"/>
      <c r="G95" s="789"/>
      <c r="H95" s="789"/>
      <c r="I95" s="789"/>
      <c r="J95" s="789"/>
      <c r="K95" s="789"/>
      <c r="L95" s="789"/>
      <c r="M95" s="789"/>
      <c r="N95" s="789"/>
      <c r="O95" s="789"/>
      <c r="P95" s="789"/>
      <c r="Q95" s="789"/>
      <c r="R95" s="789"/>
      <c r="S95" s="789"/>
      <c r="T95" s="789"/>
      <c r="U95" s="789"/>
      <c r="V95" s="789"/>
      <c r="W95" s="790"/>
    </row>
    <row r="96" spans="1:24" ht="15" x14ac:dyDescent="0.2">
      <c r="A96" s="788"/>
      <c r="B96" s="788"/>
      <c r="C96" s="789"/>
      <c r="D96" s="789"/>
      <c r="E96" s="789"/>
      <c r="F96" s="789"/>
      <c r="G96" s="789"/>
      <c r="H96" s="789"/>
      <c r="I96" s="789"/>
      <c r="J96" s="789"/>
      <c r="K96" s="789"/>
      <c r="L96" s="789"/>
      <c r="M96" s="789"/>
      <c r="N96" s="789"/>
      <c r="O96" s="789"/>
      <c r="P96" s="789"/>
      <c r="Q96" s="789"/>
      <c r="R96" s="789"/>
      <c r="S96" s="789"/>
      <c r="T96" s="789"/>
      <c r="U96" s="789"/>
      <c r="V96" s="789"/>
      <c r="W96" s="790"/>
    </row>
  </sheetData>
  <mergeCells count="3">
    <mergeCell ref="C1:K1"/>
    <mergeCell ref="L1:U1"/>
    <mergeCell ref="A49:A56"/>
  </mergeCells>
  <phoneticPr fontId="41" type="noConversion"/>
  <printOptions horizontalCentered="1" verticalCentered="1"/>
  <pageMargins left="0.19685039370078741" right="0.19685039370078741" top="0" bottom="0" header="0.31496062992125984" footer="0.31496062992125984"/>
  <pageSetup paperSize="9" scale="53" orientation="landscape" r:id="rId1"/>
  <headerFooter>
    <oddHeader>&amp;C2021. évi költségvetés &amp;R&amp;A</oddHeader>
    <oddFooter xml:space="preserve">&amp;C&amp;P/&amp;N
</oddFooter>
  </headerFooter>
  <rowBreaks count="1" manualBreakCount="1">
    <brk id="47" max="16383" man="1"/>
  </rowBreaks>
  <colBreaks count="1" manualBreakCount="1">
    <brk id="11" max="4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topLeftCell="C1" zoomScale="80" zoomScaleNormal="80" zoomScaleSheetLayoutView="80" workbookViewId="0">
      <selection activeCell="G28" sqref="G28"/>
    </sheetView>
  </sheetViews>
  <sheetFormatPr defaultRowHeight="12.75" x14ac:dyDescent="0.2"/>
  <cols>
    <col min="1" max="1" width="6" customWidth="1"/>
    <col min="2" max="2" width="40.140625" customWidth="1"/>
    <col min="3" max="3" width="6.140625" customWidth="1"/>
    <col min="4" max="4" width="14.140625" style="449" customWidth="1"/>
    <col min="5" max="5" width="14.85546875" style="449" customWidth="1"/>
    <col min="6" max="6" width="15.140625" style="449" customWidth="1"/>
    <col min="7" max="7" width="15.85546875" customWidth="1"/>
    <col min="8" max="8" width="15.140625" bestFit="1" customWidth="1"/>
    <col min="9" max="9" width="14.7109375" customWidth="1"/>
    <col min="10" max="10" width="14.42578125" customWidth="1"/>
    <col min="11" max="11" width="14.5703125" customWidth="1"/>
    <col min="12" max="13" width="15.140625" customWidth="1"/>
    <col min="14" max="14" width="14.5703125" customWidth="1"/>
    <col min="15" max="15" width="15.140625" bestFit="1" customWidth="1"/>
    <col min="16" max="16" width="16.42578125" bestFit="1" customWidth="1"/>
    <col min="17" max="17" width="13.28515625" style="11" customWidth="1"/>
    <col min="18" max="18" width="20.7109375" customWidth="1"/>
    <col min="19" max="19" width="12" bestFit="1" customWidth="1"/>
    <col min="20" max="20" width="13.5703125" bestFit="1" customWidth="1"/>
    <col min="22" max="22" width="17.28515625" style="803" bestFit="1" customWidth="1"/>
  </cols>
  <sheetData>
    <row r="1" spans="1:22" ht="15.75" x14ac:dyDescent="0.2">
      <c r="A1" s="1317" t="s">
        <v>1417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22" ht="20.25" customHeight="1" x14ac:dyDescent="0.2">
      <c r="A2" s="804"/>
      <c r="B2" s="804"/>
      <c r="C2" s="802"/>
      <c r="D2" s="805"/>
      <c r="E2" s="805"/>
      <c r="F2" s="805"/>
      <c r="G2" s="804"/>
      <c r="H2" s="804"/>
      <c r="I2" s="804"/>
      <c r="J2" s="804"/>
      <c r="K2" s="804"/>
      <c r="L2" s="804"/>
      <c r="M2" s="804"/>
      <c r="N2" s="804"/>
      <c r="O2" s="804"/>
      <c r="P2" s="804"/>
    </row>
    <row r="3" spans="1:22" ht="30" customHeight="1" x14ac:dyDescent="0.2">
      <c r="A3" s="806" t="s">
        <v>37</v>
      </c>
      <c r="B3" s="783" t="s">
        <v>2</v>
      </c>
      <c r="C3" s="807" t="s">
        <v>1396</v>
      </c>
      <c r="D3" s="808" t="s">
        <v>101</v>
      </c>
      <c r="E3" s="808" t="s">
        <v>102</v>
      </c>
      <c r="F3" s="808" t="s">
        <v>105</v>
      </c>
      <c r="G3" s="809" t="s">
        <v>1397</v>
      </c>
      <c r="H3" s="809" t="s">
        <v>1398</v>
      </c>
      <c r="I3" s="809" t="s">
        <v>1399</v>
      </c>
      <c r="J3" s="809" t="s">
        <v>1400</v>
      </c>
      <c r="K3" s="809" t="s">
        <v>1401</v>
      </c>
      <c r="L3" s="809" t="s">
        <v>1402</v>
      </c>
      <c r="M3" s="809" t="s">
        <v>1403</v>
      </c>
      <c r="N3" s="809" t="s">
        <v>1404</v>
      </c>
      <c r="O3" s="809" t="s">
        <v>1405</v>
      </c>
      <c r="P3" s="782" t="s">
        <v>126</v>
      </c>
    </row>
    <row r="4" spans="1:22" ht="22.5" customHeight="1" x14ac:dyDescent="0.2">
      <c r="A4" s="810"/>
      <c r="B4" s="811" t="s">
        <v>1162</v>
      </c>
      <c r="C4" s="807"/>
      <c r="D4" s="808"/>
      <c r="E4" s="808"/>
      <c r="F4" s="808"/>
      <c r="G4" s="809"/>
      <c r="H4" s="809"/>
      <c r="I4" s="809"/>
      <c r="J4" s="809"/>
      <c r="K4" s="809"/>
      <c r="L4" s="809"/>
      <c r="M4" s="809"/>
      <c r="N4" s="809"/>
      <c r="O4" s="809"/>
      <c r="P4" s="782"/>
    </row>
    <row r="5" spans="1:22" ht="22.5" customHeight="1" x14ac:dyDescent="0.2">
      <c r="A5" s="810" t="s">
        <v>203</v>
      </c>
      <c r="B5" s="811" t="s">
        <v>1406</v>
      </c>
      <c r="C5" s="807"/>
      <c r="D5" s="921">
        <v>2343155986</v>
      </c>
      <c r="E5" s="812">
        <f>+D29</f>
        <v>2233658255</v>
      </c>
      <c r="F5" s="812">
        <f t="shared" ref="F5:O5" si="0">+E29</f>
        <v>2099408525</v>
      </c>
      <c r="G5" s="813">
        <f t="shared" si="0"/>
        <v>3484658794</v>
      </c>
      <c r="H5" s="813">
        <f t="shared" si="0"/>
        <v>3131409063</v>
      </c>
      <c r="I5" s="813">
        <f t="shared" si="0"/>
        <v>3137159332</v>
      </c>
      <c r="J5" s="813">
        <f t="shared" si="0"/>
        <v>2819909601</v>
      </c>
      <c r="K5" s="813">
        <f t="shared" si="0"/>
        <v>2460659870</v>
      </c>
      <c r="L5" s="813">
        <f t="shared" si="0"/>
        <v>1996984945</v>
      </c>
      <c r="M5" s="813">
        <f t="shared" si="0"/>
        <v>3284035215</v>
      </c>
      <c r="N5" s="813">
        <f t="shared" si="0"/>
        <v>2960285485</v>
      </c>
      <c r="O5" s="813">
        <f t="shared" si="0"/>
        <v>2622535758</v>
      </c>
      <c r="P5" s="814" t="s">
        <v>654</v>
      </c>
    </row>
    <row r="6" spans="1:22" ht="27.75" customHeight="1" x14ac:dyDescent="0.2">
      <c r="A6" s="810" t="s">
        <v>204</v>
      </c>
      <c r="B6" s="815" t="s">
        <v>52</v>
      </c>
      <c r="C6" s="816" t="s">
        <v>224</v>
      </c>
      <c r="D6" s="817">
        <v>138058246</v>
      </c>
      <c r="E6" s="817">
        <v>138058246</v>
      </c>
      <c r="F6" s="817">
        <v>138058246</v>
      </c>
      <c r="G6" s="817">
        <v>138058246</v>
      </c>
      <c r="H6" s="817">
        <v>138058246</v>
      </c>
      <c r="I6" s="817">
        <v>138058246</v>
      </c>
      <c r="J6" s="817">
        <v>138058246</v>
      </c>
      <c r="K6" s="817">
        <v>138058246</v>
      </c>
      <c r="L6" s="817">
        <v>138058246</v>
      </c>
      <c r="M6" s="817">
        <v>138058246</v>
      </c>
      <c r="N6" s="817">
        <v>138058246</v>
      </c>
      <c r="O6" s="817">
        <f>138058246+1</f>
        <v>138058247</v>
      </c>
      <c r="P6" s="818">
        <f>SUM(D6:O6)</f>
        <v>1656698953</v>
      </c>
      <c r="Q6" s="819">
        <f>+'3. sz.Városi szintű összesen'!G30</f>
        <v>1656698953</v>
      </c>
      <c r="R6" s="787">
        <f t="shared" ref="R6:R27" si="1">+P6-Q6</f>
        <v>0</v>
      </c>
      <c r="S6">
        <f>+R6/12</f>
        <v>0</v>
      </c>
      <c r="V6" s="803">
        <f>+Q6/12</f>
        <v>138058246.08333334</v>
      </c>
    </row>
    <row r="7" spans="1:22" ht="31.5" customHeight="1" x14ac:dyDescent="0.2">
      <c r="A7" s="810" t="s">
        <v>205</v>
      </c>
      <c r="B7" s="815" t="s">
        <v>235</v>
      </c>
      <c r="C7" s="816" t="s">
        <v>225</v>
      </c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8">
        <f t="shared" ref="P7:P14" si="2">SUM(D7:O7)</f>
        <v>0</v>
      </c>
      <c r="Q7" s="819">
        <f>+'3. sz.Városi szintű összesen'!G31</f>
        <v>0</v>
      </c>
      <c r="R7" s="787">
        <f t="shared" si="1"/>
        <v>0</v>
      </c>
      <c r="S7">
        <f t="shared" ref="S7:S29" si="3">+R7/12</f>
        <v>0</v>
      </c>
    </row>
    <row r="8" spans="1:22" ht="21" customHeight="1" x14ac:dyDescent="0.2">
      <c r="A8" s="810" t="s">
        <v>206</v>
      </c>
      <c r="B8" s="815" t="s">
        <v>234</v>
      </c>
      <c r="C8" s="816" t="s">
        <v>226</v>
      </c>
      <c r="D8" s="817">
        <v>10000000</v>
      </c>
      <c r="E8" s="817">
        <v>20000000</v>
      </c>
      <c r="F8" s="817">
        <v>1700000000</v>
      </c>
      <c r="G8" s="817">
        <v>30000000</v>
      </c>
      <c r="H8" s="817">
        <v>300000000</v>
      </c>
      <c r="I8" s="817">
        <v>10000000</v>
      </c>
      <c r="J8" s="817">
        <v>10000000</v>
      </c>
      <c r="K8" s="817">
        <v>10000000</v>
      </c>
      <c r="L8" s="817">
        <v>1700000000</v>
      </c>
      <c r="M8" s="817">
        <v>10000000</v>
      </c>
      <c r="N8" s="817">
        <v>5000000</v>
      </c>
      <c r="O8" s="817">
        <v>18624585</v>
      </c>
      <c r="P8" s="818">
        <f t="shared" si="2"/>
        <v>3823624585</v>
      </c>
      <c r="Q8" s="819">
        <f>+'3. sz.Városi szintű összesen'!G32</f>
        <v>3823624585</v>
      </c>
      <c r="R8" s="787">
        <f t="shared" si="1"/>
        <v>0</v>
      </c>
      <c r="S8">
        <f t="shared" si="3"/>
        <v>0</v>
      </c>
    </row>
    <row r="9" spans="1:22" ht="21" customHeight="1" x14ac:dyDescent="0.2">
      <c r="A9" s="810" t="s">
        <v>207</v>
      </c>
      <c r="B9" s="815" t="s">
        <v>1163</v>
      </c>
      <c r="C9" s="816" t="s">
        <v>227</v>
      </c>
      <c r="D9" s="817">
        <v>26436143</v>
      </c>
      <c r="E9" s="817">
        <v>26436143</v>
      </c>
      <c r="F9" s="817">
        <v>26436143</v>
      </c>
      <c r="G9" s="817">
        <v>26436143</v>
      </c>
      <c r="H9" s="817">
        <v>26436143</v>
      </c>
      <c r="I9" s="817">
        <v>26436143</v>
      </c>
      <c r="J9" s="817">
        <v>26436143</v>
      </c>
      <c r="K9" s="817">
        <v>26436143</v>
      </c>
      <c r="L9" s="817">
        <v>26436143</v>
      </c>
      <c r="M9" s="817">
        <v>26436143</v>
      </c>
      <c r="N9" s="817">
        <f>26436143+3</f>
        <v>26436146</v>
      </c>
      <c r="O9" s="817">
        <v>130000000</v>
      </c>
      <c r="P9" s="818">
        <f t="shared" si="2"/>
        <v>420797576</v>
      </c>
      <c r="Q9" s="819">
        <f>+'3. sz.Városi szintű összesen'!G33</f>
        <v>420797576</v>
      </c>
      <c r="R9" s="787">
        <f t="shared" si="1"/>
        <v>0</v>
      </c>
      <c r="S9">
        <f t="shared" si="3"/>
        <v>0</v>
      </c>
    </row>
    <row r="10" spans="1:22" ht="21" customHeight="1" x14ac:dyDescent="0.2">
      <c r="A10" s="810" t="s">
        <v>208</v>
      </c>
      <c r="B10" s="815" t="s">
        <v>257</v>
      </c>
      <c r="C10" s="816" t="s">
        <v>228</v>
      </c>
      <c r="D10" s="817">
        <v>32752000</v>
      </c>
      <c r="E10" s="817"/>
      <c r="F10" s="817">
        <v>0</v>
      </c>
      <c r="G10" s="817"/>
      <c r="H10" s="817"/>
      <c r="I10" s="817"/>
      <c r="J10" s="817"/>
      <c r="K10" s="817"/>
      <c r="L10" s="817"/>
      <c r="M10" s="817">
        <v>30000000</v>
      </c>
      <c r="N10" s="817"/>
      <c r="O10" s="817"/>
      <c r="P10" s="818">
        <f t="shared" si="2"/>
        <v>62752000</v>
      </c>
      <c r="Q10" s="819">
        <f>+'3. sz.Városi szintű összesen'!G34</f>
        <v>62752000</v>
      </c>
      <c r="R10" s="787">
        <f t="shared" si="1"/>
        <v>0</v>
      </c>
      <c r="S10">
        <f t="shared" si="3"/>
        <v>0</v>
      </c>
    </row>
    <row r="11" spans="1:22" ht="21" customHeight="1" x14ac:dyDescent="0.2">
      <c r="A11" s="810" t="s">
        <v>209</v>
      </c>
      <c r="B11" s="815" t="s">
        <v>252</v>
      </c>
      <c r="C11" s="816" t="s">
        <v>229</v>
      </c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8">
        <f t="shared" si="2"/>
        <v>0</v>
      </c>
      <c r="Q11" s="819">
        <f>+'3. sz.Városi szintű összesen'!G35</f>
        <v>0</v>
      </c>
      <c r="R11" s="787">
        <f t="shared" si="1"/>
        <v>0</v>
      </c>
      <c r="S11">
        <f t="shared" si="3"/>
        <v>0</v>
      </c>
    </row>
    <row r="12" spans="1:22" ht="21" customHeight="1" x14ac:dyDescent="0.2">
      <c r="A12" s="810" t="s">
        <v>210</v>
      </c>
      <c r="B12" s="815" t="s">
        <v>253</v>
      </c>
      <c r="C12" s="816" t="s">
        <v>230</v>
      </c>
      <c r="D12" s="817">
        <v>414533</v>
      </c>
      <c r="E12" s="817">
        <v>414534</v>
      </c>
      <c r="F12" s="817">
        <v>414533</v>
      </c>
      <c r="G12" s="817">
        <v>414533</v>
      </c>
      <c r="H12" s="817">
        <v>414533</v>
      </c>
      <c r="I12" s="817">
        <v>414533</v>
      </c>
      <c r="J12" s="817">
        <v>414533</v>
      </c>
      <c r="K12" s="817">
        <v>414534</v>
      </c>
      <c r="L12" s="817">
        <v>414534</v>
      </c>
      <c r="M12" s="817">
        <v>414534</v>
      </c>
      <c r="N12" s="817">
        <v>414534</v>
      </c>
      <c r="O12" s="817">
        <f>414534-2</f>
        <v>414532</v>
      </c>
      <c r="P12" s="818">
        <f t="shared" si="2"/>
        <v>4974400</v>
      </c>
      <c r="Q12" s="819">
        <f>+'3. sz.Városi szintű összesen'!G36</f>
        <v>4974400</v>
      </c>
      <c r="R12" s="787">
        <f t="shared" si="1"/>
        <v>0</v>
      </c>
      <c r="S12">
        <f t="shared" si="3"/>
        <v>0</v>
      </c>
    </row>
    <row r="13" spans="1:22" ht="21" customHeight="1" x14ac:dyDescent="0.2">
      <c r="A13" s="810" t="s">
        <v>211</v>
      </c>
      <c r="B13" s="820" t="s">
        <v>254</v>
      </c>
      <c r="C13" s="821" t="s">
        <v>231</v>
      </c>
      <c r="D13" s="822">
        <f>SUM(D6:D12)</f>
        <v>207660922</v>
      </c>
      <c r="E13" s="822">
        <f t="shared" ref="E13:P13" si="4">SUM(E6:E12)</f>
        <v>184908923</v>
      </c>
      <c r="F13" s="822">
        <f t="shared" si="4"/>
        <v>1864908922</v>
      </c>
      <c r="G13" s="822">
        <f t="shared" si="4"/>
        <v>194908922</v>
      </c>
      <c r="H13" s="822">
        <f t="shared" si="4"/>
        <v>464908922</v>
      </c>
      <c r="I13" s="822">
        <f t="shared" si="4"/>
        <v>174908922</v>
      </c>
      <c r="J13" s="822">
        <f t="shared" si="4"/>
        <v>174908922</v>
      </c>
      <c r="K13" s="822">
        <f t="shared" si="4"/>
        <v>174908923</v>
      </c>
      <c r="L13" s="822">
        <f t="shared" si="4"/>
        <v>1864908923</v>
      </c>
      <c r="M13" s="822">
        <f t="shared" si="4"/>
        <v>204908923</v>
      </c>
      <c r="N13" s="822">
        <f t="shared" si="4"/>
        <v>169908926</v>
      </c>
      <c r="O13" s="822">
        <f t="shared" si="4"/>
        <v>287097364</v>
      </c>
      <c r="P13" s="822">
        <f t="shared" si="4"/>
        <v>5968847514</v>
      </c>
      <c r="Q13" s="819">
        <f>SUM(Q6:Q12)</f>
        <v>5968847514</v>
      </c>
      <c r="R13" s="787">
        <f t="shared" si="1"/>
        <v>0</v>
      </c>
      <c r="S13">
        <f t="shared" si="3"/>
        <v>0</v>
      </c>
      <c r="T13" s="787"/>
      <c r="U13" s="787"/>
    </row>
    <row r="14" spans="1:22" s="597" customFormat="1" ht="21" customHeight="1" x14ac:dyDescent="0.2">
      <c r="A14" s="922" t="s">
        <v>212</v>
      </c>
      <c r="B14" s="923" t="s">
        <v>1407</v>
      </c>
      <c r="C14" s="924" t="s">
        <v>233</v>
      </c>
      <c r="D14" s="925">
        <v>442965787</v>
      </c>
      <c r="E14" s="925">
        <v>442965787</v>
      </c>
      <c r="F14" s="925">
        <v>442965787</v>
      </c>
      <c r="G14" s="925">
        <v>442965787</v>
      </c>
      <c r="H14" s="925">
        <v>442965787</v>
      </c>
      <c r="I14" s="925">
        <v>442965787</v>
      </c>
      <c r="J14" s="925">
        <v>442965787</v>
      </c>
      <c r="K14" s="925">
        <v>442965787</v>
      </c>
      <c r="L14" s="925">
        <v>442965787</v>
      </c>
      <c r="M14" s="925">
        <v>442965787</v>
      </c>
      <c r="N14" s="925">
        <v>442965787</v>
      </c>
      <c r="O14" s="925">
        <f>442965787+3-3771317</f>
        <v>439194473</v>
      </c>
      <c r="P14" s="925">
        <f t="shared" si="2"/>
        <v>5311818130</v>
      </c>
      <c r="Q14" s="926">
        <f>+'3. sz.Városi szintű összesen'!G38</f>
        <v>5311818130</v>
      </c>
      <c r="R14" s="927">
        <f>+P14-Q14</f>
        <v>0</v>
      </c>
      <c r="S14" s="597">
        <f t="shared" si="3"/>
        <v>0</v>
      </c>
      <c r="V14" s="928"/>
    </row>
    <row r="15" spans="1:22" ht="33" customHeight="1" x14ac:dyDescent="0.2">
      <c r="A15" s="810" t="s">
        <v>213</v>
      </c>
      <c r="B15" s="825" t="s">
        <v>1408</v>
      </c>
      <c r="C15" s="826"/>
      <c r="D15" s="822">
        <f>+D13+D14</f>
        <v>650626709</v>
      </c>
      <c r="E15" s="822">
        <f t="shared" ref="E15:P15" si="5">+E13+E14</f>
        <v>627874710</v>
      </c>
      <c r="F15" s="822">
        <f t="shared" si="5"/>
        <v>2307874709</v>
      </c>
      <c r="G15" s="822">
        <f t="shared" si="5"/>
        <v>637874709</v>
      </c>
      <c r="H15" s="822">
        <f t="shared" si="5"/>
        <v>907874709</v>
      </c>
      <c r="I15" s="822">
        <f t="shared" si="5"/>
        <v>617874709</v>
      </c>
      <c r="J15" s="822">
        <f t="shared" si="5"/>
        <v>617874709</v>
      </c>
      <c r="K15" s="822">
        <f t="shared" si="5"/>
        <v>617874710</v>
      </c>
      <c r="L15" s="822">
        <f t="shared" si="5"/>
        <v>2307874710</v>
      </c>
      <c r="M15" s="822">
        <f t="shared" si="5"/>
        <v>647874710</v>
      </c>
      <c r="N15" s="822">
        <f t="shared" si="5"/>
        <v>612874713</v>
      </c>
      <c r="O15" s="822">
        <f t="shared" si="5"/>
        <v>726291837</v>
      </c>
      <c r="P15" s="822">
        <f t="shared" si="5"/>
        <v>11280665644</v>
      </c>
      <c r="Q15" s="819">
        <f>Q13+Q14</f>
        <v>11280665644</v>
      </c>
      <c r="R15" s="787">
        <f t="shared" si="1"/>
        <v>0</v>
      </c>
      <c r="S15">
        <f t="shared" si="3"/>
        <v>0</v>
      </c>
      <c r="T15" s="787"/>
      <c r="U15" s="787"/>
    </row>
    <row r="16" spans="1:22" ht="22.5" customHeight="1" x14ac:dyDescent="0.2">
      <c r="A16" s="810"/>
      <c r="B16" s="811" t="s">
        <v>267</v>
      </c>
      <c r="C16" s="807"/>
      <c r="D16" s="812"/>
      <c r="E16" s="812"/>
      <c r="F16" s="812"/>
      <c r="G16" s="813"/>
      <c r="H16" s="813"/>
      <c r="I16" s="813"/>
      <c r="J16" s="813"/>
      <c r="K16" s="813"/>
      <c r="L16" s="813"/>
      <c r="M16" s="812"/>
      <c r="N16" s="812"/>
      <c r="O16" s="812"/>
      <c r="P16" s="814"/>
      <c r="Q16" s="819"/>
      <c r="R16" s="787">
        <f t="shared" si="1"/>
        <v>0</v>
      </c>
      <c r="S16">
        <f t="shared" si="3"/>
        <v>0</v>
      </c>
    </row>
    <row r="17" spans="1:22" ht="20.25" customHeight="1" x14ac:dyDescent="0.2">
      <c r="A17" s="810" t="s">
        <v>240</v>
      </c>
      <c r="B17" s="827" t="s">
        <v>1409</v>
      </c>
      <c r="C17" s="816" t="s">
        <v>214</v>
      </c>
      <c r="D17" s="817">
        <v>179724831</v>
      </c>
      <c r="E17" s="817">
        <v>179724831</v>
      </c>
      <c r="F17" s="817">
        <v>179724831</v>
      </c>
      <c r="G17" s="817">
        <v>179724831</v>
      </c>
      <c r="H17" s="817">
        <v>179724831</v>
      </c>
      <c r="I17" s="817">
        <v>179724831</v>
      </c>
      <c r="J17" s="817">
        <v>179724831</v>
      </c>
      <c r="K17" s="817">
        <v>179724831</v>
      </c>
      <c r="L17" s="817">
        <v>179724831</v>
      </c>
      <c r="M17" s="817">
        <v>179724831</v>
      </c>
      <c r="N17" s="817">
        <v>179724831</v>
      </c>
      <c r="O17" s="817">
        <f>179724831-3</f>
        <v>179724828</v>
      </c>
      <c r="P17" s="818">
        <f>SUM(D17:O17)</f>
        <v>2156697969</v>
      </c>
      <c r="Q17" s="819">
        <f>+'3. sz.Városi szintű összesen'!G8</f>
        <v>2156697969</v>
      </c>
      <c r="R17" s="787">
        <f t="shared" si="1"/>
        <v>0</v>
      </c>
      <c r="S17">
        <f t="shared" si="3"/>
        <v>0</v>
      </c>
    </row>
    <row r="18" spans="1:22" ht="29.25" customHeight="1" x14ac:dyDescent="0.2">
      <c r="A18" s="810" t="s">
        <v>241</v>
      </c>
      <c r="B18" s="815" t="s">
        <v>215</v>
      </c>
      <c r="C18" s="816" t="s">
        <v>216</v>
      </c>
      <c r="D18" s="817">
        <v>31201672</v>
      </c>
      <c r="E18" s="817">
        <v>31201672</v>
      </c>
      <c r="F18" s="817">
        <v>31201672</v>
      </c>
      <c r="G18" s="817">
        <v>31201672</v>
      </c>
      <c r="H18" s="817">
        <v>31201672</v>
      </c>
      <c r="I18" s="817">
        <v>31201672</v>
      </c>
      <c r="J18" s="817">
        <v>31201672</v>
      </c>
      <c r="K18" s="817">
        <v>31201672</v>
      </c>
      <c r="L18" s="817">
        <v>31201672</v>
      </c>
      <c r="M18" s="817">
        <v>31201672</v>
      </c>
      <c r="N18" s="817">
        <v>31201672</v>
      </c>
      <c r="O18" s="817">
        <f>31201672-1</f>
        <v>31201671</v>
      </c>
      <c r="P18" s="818">
        <f t="shared" ref="P18:P24" si="6">SUM(D18:O18)</f>
        <v>374420063</v>
      </c>
      <c r="Q18" s="819">
        <f>+'3. sz.Városi szintű összesen'!G9</f>
        <v>374420063</v>
      </c>
      <c r="R18" s="787">
        <f t="shared" si="1"/>
        <v>0</v>
      </c>
      <c r="S18">
        <f t="shared" si="3"/>
        <v>0</v>
      </c>
    </row>
    <row r="19" spans="1:22" ht="21.75" customHeight="1" x14ac:dyDescent="0.2">
      <c r="A19" s="810" t="s">
        <v>242</v>
      </c>
      <c r="B19" s="815" t="s">
        <v>346</v>
      </c>
      <c r="C19" s="816" t="s">
        <v>217</v>
      </c>
      <c r="D19" s="817">
        <v>190738087</v>
      </c>
      <c r="E19" s="817">
        <v>190738087</v>
      </c>
      <c r="F19" s="817">
        <v>190738087</v>
      </c>
      <c r="G19" s="817">
        <v>190738087</v>
      </c>
      <c r="H19" s="817">
        <v>190738087</v>
      </c>
      <c r="I19" s="817">
        <v>190738087</v>
      </c>
      <c r="J19" s="817">
        <v>190738087</v>
      </c>
      <c r="K19" s="817">
        <v>190738087</v>
      </c>
      <c r="L19" s="817">
        <v>190738087</v>
      </c>
      <c r="M19" s="817">
        <v>190738087</v>
      </c>
      <c r="N19" s="817">
        <v>190738087</v>
      </c>
      <c r="O19" s="817">
        <f>190738087+6</f>
        <v>190738093</v>
      </c>
      <c r="P19" s="818">
        <f t="shared" si="6"/>
        <v>2288857050</v>
      </c>
      <c r="Q19" s="819">
        <f>+'3. sz.Városi szintű összesen'!G10</f>
        <v>2288857050</v>
      </c>
      <c r="R19" s="787">
        <f t="shared" si="1"/>
        <v>0</v>
      </c>
      <c r="S19">
        <f t="shared" si="3"/>
        <v>0</v>
      </c>
    </row>
    <row r="20" spans="1:22" ht="21.75" customHeight="1" x14ac:dyDescent="0.2">
      <c r="A20" s="810" t="s">
        <v>243</v>
      </c>
      <c r="B20" s="828" t="s">
        <v>1410</v>
      </c>
      <c r="C20" s="816" t="s">
        <v>218</v>
      </c>
      <c r="D20" s="817">
        <v>3416666</v>
      </c>
      <c r="E20" s="817">
        <v>3416666</v>
      </c>
      <c r="F20" s="817">
        <v>3416666</v>
      </c>
      <c r="G20" s="817">
        <v>3416666</v>
      </c>
      <c r="H20" s="817">
        <v>3416666</v>
      </c>
      <c r="I20" s="817">
        <v>3416666</v>
      </c>
      <c r="J20" s="817">
        <v>3416666</v>
      </c>
      <c r="K20" s="817">
        <v>3416666</v>
      </c>
      <c r="L20" s="817">
        <v>3416666</v>
      </c>
      <c r="M20" s="817">
        <v>3416666</v>
      </c>
      <c r="N20" s="817">
        <v>3416666</v>
      </c>
      <c r="O20" s="817">
        <f>3416666+8</f>
        <v>3416674</v>
      </c>
      <c r="P20" s="818">
        <f t="shared" si="6"/>
        <v>41000000</v>
      </c>
      <c r="Q20" s="819">
        <f>+'3. sz.Városi szintű összesen'!G11</f>
        <v>41000000</v>
      </c>
      <c r="R20" s="787">
        <f t="shared" si="1"/>
        <v>0</v>
      </c>
      <c r="S20">
        <f t="shared" si="3"/>
        <v>0</v>
      </c>
    </row>
    <row r="21" spans="1:22" ht="21.75" customHeight="1" x14ac:dyDescent="0.2">
      <c r="A21" s="810" t="s">
        <v>244</v>
      </c>
      <c r="B21" s="828" t="s">
        <v>249</v>
      </c>
      <c r="C21" s="816" t="s">
        <v>219</v>
      </c>
      <c r="D21" s="817">
        <v>90000000</v>
      </c>
      <c r="E21" s="817">
        <v>90000000</v>
      </c>
      <c r="F21" s="817">
        <v>200000000</v>
      </c>
      <c r="G21" s="817">
        <v>200000000</v>
      </c>
      <c r="H21" s="817">
        <v>200000000</v>
      </c>
      <c r="I21" s="817">
        <v>160000000</v>
      </c>
      <c r="J21" s="817">
        <v>200000000</v>
      </c>
      <c r="K21" s="817">
        <v>200000000</v>
      </c>
      <c r="L21" s="817">
        <v>200000000</v>
      </c>
      <c r="M21" s="817">
        <v>200000000</v>
      </c>
      <c r="N21" s="817">
        <v>200000000</v>
      </c>
      <c r="O21" s="817">
        <f>188598779+28500000</f>
        <v>217098779</v>
      </c>
      <c r="P21" s="818">
        <f t="shared" si="6"/>
        <v>2157098779</v>
      </c>
      <c r="Q21" s="819">
        <f>+'3. sz.Városi szintű összesen'!G12</f>
        <v>2157098779</v>
      </c>
      <c r="R21" s="787">
        <f t="shared" si="1"/>
        <v>0</v>
      </c>
      <c r="S21">
        <f t="shared" si="3"/>
        <v>0</v>
      </c>
    </row>
    <row r="22" spans="1:22" ht="21.75" customHeight="1" x14ac:dyDescent="0.2">
      <c r="A22" s="810" t="s">
        <v>245</v>
      </c>
      <c r="B22" s="815" t="s">
        <v>256</v>
      </c>
      <c r="C22" s="816" t="s">
        <v>220</v>
      </c>
      <c r="D22" s="817">
        <v>500000</v>
      </c>
      <c r="E22" s="817">
        <v>1000000</v>
      </c>
      <c r="F22" s="817">
        <v>50000000</v>
      </c>
      <c r="G22" s="817">
        <v>100000000</v>
      </c>
      <c r="H22" s="817">
        <v>10000000</v>
      </c>
      <c r="I22" s="817">
        <v>100000000</v>
      </c>
      <c r="J22" s="817">
        <v>100000000</v>
      </c>
      <c r="K22" s="817">
        <v>200000000</v>
      </c>
      <c r="L22" s="829">
        <v>150000000</v>
      </c>
      <c r="M22" s="817">
        <v>100000000</v>
      </c>
      <c r="N22" s="817">
        <v>80000000</v>
      </c>
      <c r="O22" s="817">
        <v>21599698</v>
      </c>
      <c r="P22" s="818">
        <f t="shared" si="6"/>
        <v>913099698</v>
      </c>
      <c r="Q22" s="819">
        <f>+'3. sz.Városi szintű összesen'!G16</f>
        <v>913099698</v>
      </c>
      <c r="R22" s="787">
        <f t="shared" si="1"/>
        <v>0</v>
      </c>
      <c r="S22">
        <f t="shared" si="3"/>
        <v>0</v>
      </c>
    </row>
    <row r="23" spans="1:22" ht="21.75" customHeight="1" x14ac:dyDescent="0.2">
      <c r="A23" s="810" t="s">
        <v>246</v>
      </c>
      <c r="B23" s="828" t="s">
        <v>1411</v>
      </c>
      <c r="C23" s="816" t="s">
        <v>221</v>
      </c>
      <c r="D23" s="817">
        <v>500000</v>
      </c>
      <c r="E23" s="817">
        <v>2000000</v>
      </c>
      <c r="F23" s="817">
        <v>2500000</v>
      </c>
      <c r="G23" s="817">
        <v>20000000</v>
      </c>
      <c r="H23" s="817">
        <v>20000000</v>
      </c>
      <c r="I23" s="817">
        <v>3000000</v>
      </c>
      <c r="J23" s="817">
        <v>5000000</v>
      </c>
      <c r="K23" s="817">
        <v>9425195</v>
      </c>
      <c r="L23" s="817"/>
      <c r="M23" s="817"/>
      <c r="N23" s="817"/>
      <c r="O23" s="817">
        <v>130000000</v>
      </c>
      <c r="P23" s="818">
        <f t="shared" si="6"/>
        <v>192425195</v>
      </c>
      <c r="Q23" s="819">
        <f>+'3. sz.Városi szintű összesen'!G17</f>
        <v>192425195</v>
      </c>
      <c r="R23" s="787">
        <f t="shared" si="1"/>
        <v>0</v>
      </c>
      <c r="S23">
        <f t="shared" si="3"/>
        <v>0</v>
      </c>
    </row>
    <row r="24" spans="1:22" ht="21.75" customHeight="1" x14ac:dyDescent="0.2">
      <c r="A24" s="810" t="s">
        <v>247</v>
      </c>
      <c r="B24" s="828" t="s">
        <v>250</v>
      </c>
      <c r="C24" s="816" t="s">
        <v>222</v>
      </c>
      <c r="D24" s="817">
        <v>0</v>
      </c>
      <c r="E24" s="817">
        <v>0</v>
      </c>
      <c r="F24" s="817">
        <v>1000000</v>
      </c>
      <c r="G24" s="817">
        <v>2000000</v>
      </c>
      <c r="H24" s="817">
        <v>3000000</v>
      </c>
      <c r="I24" s="817">
        <v>3000000</v>
      </c>
      <c r="J24" s="817">
        <v>3000000</v>
      </c>
      <c r="K24" s="817">
        <v>3000000</v>
      </c>
      <c r="L24" s="817">
        <v>1700000</v>
      </c>
      <c r="M24" s="817">
        <v>2500000</v>
      </c>
      <c r="N24" s="817">
        <v>1500000</v>
      </c>
      <c r="O24" s="817">
        <v>1620000</v>
      </c>
      <c r="P24" s="818">
        <f t="shared" si="6"/>
        <v>22320000</v>
      </c>
      <c r="Q24" s="819">
        <f>+'3. sz.Városi szintű összesen'!G18</f>
        <v>22320000</v>
      </c>
      <c r="R24" s="787">
        <f t="shared" si="1"/>
        <v>0</v>
      </c>
      <c r="S24">
        <f t="shared" si="3"/>
        <v>0</v>
      </c>
    </row>
    <row r="25" spans="1:22" ht="21.75" customHeight="1" x14ac:dyDescent="0.2">
      <c r="A25" s="810" t="s">
        <v>248</v>
      </c>
      <c r="B25" s="820" t="s">
        <v>1412</v>
      </c>
      <c r="C25" s="821" t="s">
        <v>223</v>
      </c>
      <c r="D25" s="822">
        <f>SUM(D17:D24)</f>
        <v>496081256</v>
      </c>
      <c r="E25" s="822">
        <f t="shared" ref="E25:P25" si="7">SUM(E17:E24)</f>
        <v>498081256</v>
      </c>
      <c r="F25" s="822">
        <f t="shared" si="7"/>
        <v>658581256</v>
      </c>
      <c r="G25" s="822">
        <f t="shared" si="7"/>
        <v>727081256</v>
      </c>
      <c r="H25" s="822">
        <f t="shared" si="7"/>
        <v>638081256</v>
      </c>
      <c r="I25" s="822">
        <f t="shared" si="7"/>
        <v>671081256</v>
      </c>
      <c r="J25" s="822">
        <f t="shared" si="7"/>
        <v>713081256</v>
      </c>
      <c r="K25" s="822">
        <f t="shared" si="7"/>
        <v>817506451</v>
      </c>
      <c r="L25" s="822">
        <f t="shared" si="7"/>
        <v>756781256</v>
      </c>
      <c r="M25" s="822">
        <f t="shared" si="7"/>
        <v>707581256</v>
      </c>
      <c r="N25" s="822">
        <f t="shared" si="7"/>
        <v>686581256</v>
      </c>
      <c r="O25" s="822">
        <f t="shared" si="7"/>
        <v>775399743</v>
      </c>
      <c r="P25" s="822">
        <f t="shared" si="7"/>
        <v>8145918754</v>
      </c>
      <c r="Q25" s="819">
        <f>SUM(Q17:Q24)</f>
        <v>8145918754</v>
      </c>
      <c r="R25" s="787">
        <f t="shared" si="1"/>
        <v>0</v>
      </c>
      <c r="S25">
        <f t="shared" si="3"/>
        <v>0</v>
      </c>
      <c r="T25" s="787"/>
      <c r="U25" s="787"/>
    </row>
    <row r="26" spans="1:22" ht="21.75" customHeight="1" x14ac:dyDescent="0.2">
      <c r="A26" s="810" t="s">
        <v>276</v>
      </c>
      <c r="B26" s="823" t="s">
        <v>1413</v>
      </c>
      <c r="C26" s="824" t="s">
        <v>232</v>
      </c>
      <c r="D26" s="817">
        <v>264043184</v>
      </c>
      <c r="E26" s="817">
        <v>264043184</v>
      </c>
      <c r="F26" s="817">
        <v>264043184</v>
      </c>
      <c r="G26" s="817">
        <v>264043184</v>
      </c>
      <c r="H26" s="817">
        <v>264043184</v>
      </c>
      <c r="I26" s="817">
        <v>264043184</v>
      </c>
      <c r="J26" s="817">
        <v>264043184</v>
      </c>
      <c r="K26" s="817">
        <v>264043184</v>
      </c>
      <c r="L26" s="817">
        <v>264043184</v>
      </c>
      <c r="M26" s="817">
        <v>264043184</v>
      </c>
      <c r="N26" s="817">
        <v>264043184</v>
      </c>
      <c r="O26" s="817">
        <f>264043184-1-33771317</f>
        <v>230271866</v>
      </c>
      <c r="P26" s="822">
        <f>SUM(D26:O26)</f>
        <v>3134746890</v>
      </c>
      <c r="Q26" s="819">
        <f>+'3. sz.Városi szintű összesen'!G21</f>
        <v>3134746890</v>
      </c>
      <c r="R26" s="787">
        <f t="shared" si="1"/>
        <v>0</v>
      </c>
      <c r="S26">
        <f t="shared" si="3"/>
        <v>0</v>
      </c>
    </row>
    <row r="27" spans="1:22" ht="35.25" customHeight="1" x14ac:dyDescent="0.2">
      <c r="A27" s="810" t="s">
        <v>277</v>
      </c>
      <c r="B27" s="825" t="s">
        <v>1414</v>
      </c>
      <c r="C27" s="826"/>
      <c r="D27" s="822">
        <f>+D25+D26</f>
        <v>760124440</v>
      </c>
      <c r="E27" s="822">
        <f t="shared" ref="E27:O27" si="8">+E25+E26</f>
        <v>762124440</v>
      </c>
      <c r="F27" s="822">
        <f t="shared" si="8"/>
        <v>922624440</v>
      </c>
      <c r="G27" s="822">
        <f t="shared" si="8"/>
        <v>991124440</v>
      </c>
      <c r="H27" s="822">
        <f t="shared" si="8"/>
        <v>902124440</v>
      </c>
      <c r="I27" s="822">
        <f t="shared" si="8"/>
        <v>935124440</v>
      </c>
      <c r="J27" s="822">
        <f t="shared" si="8"/>
        <v>977124440</v>
      </c>
      <c r="K27" s="822">
        <f t="shared" si="8"/>
        <v>1081549635</v>
      </c>
      <c r="L27" s="822">
        <f t="shared" si="8"/>
        <v>1020824440</v>
      </c>
      <c r="M27" s="822">
        <f t="shared" si="8"/>
        <v>971624440</v>
      </c>
      <c r="N27" s="822">
        <f t="shared" si="8"/>
        <v>950624440</v>
      </c>
      <c r="O27" s="822">
        <f t="shared" si="8"/>
        <v>1005671609</v>
      </c>
      <c r="P27" s="822">
        <f>P25+P26</f>
        <v>11280665644</v>
      </c>
      <c r="Q27" s="819">
        <f>Q25+Q26</f>
        <v>11280665644</v>
      </c>
      <c r="R27" s="787">
        <f t="shared" si="1"/>
        <v>0</v>
      </c>
      <c r="S27">
        <f t="shared" si="3"/>
        <v>0</v>
      </c>
      <c r="T27" s="787"/>
      <c r="U27" s="787"/>
    </row>
    <row r="28" spans="1:22" ht="20.25" customHeight="1" x14ac:dyDescent="0.2">
      <c r="A28" s="810" t="s">
        <v>278</v>
      </c>
      <c r="B28" s="825" t="s">
        <v>1415</v>
      </c>
      <c r="C28" s="826"/>
      <c r="D28" s="822">
        <f>+D15-D27</f>
        <v>-109497731</v>
      </c>
      <c r="E28" s="822">
        <f t="shared" ref="E28:P28" si="9">+E15-E27</f>
        <v>-134249730</v>
      </c>
      <c r="F28" s="822">
        <f t="shared" si="9"/>
        <v>1385250269</v>
      </c>
      <c r="G28" s="822">
        <f t="shared" si="9"/>
        <v>-353249731</v>
      </c>
      <c r="H28" s="822">
        <f t="shared" si="9"/>
        <v>5750269</v>
      </c>
      <c r="I28" s="822">
        <f t="shared" si="9"/>
        <v>-317249731</v>
      </c>
      <c r="J28" s="822">
        <f t="shared" si="9"/>
        <v>-359249731</v>
      </c>
      <c r="K28" s="822">
        <f t="shared" si="9"/>
        <v>-463674925</v>
      </c>
      <c r="L28" s="822">
        <f t="shared" si="9"/>
        <v>1287050270</v>
      </c>
      <c r="M28" s="822">
        <f t="shared" si="9"/>
        <v>-323749730</v>
      </c>
      <c r="N28" s="822">
        <f t="shared" si="9"/>
        <v>-337749727</v>
      </c>
      <c r="O28" s="822">
        <f t="shared" si="9"/>
        <v>-279379772</v>
      </c>
      <c r="P28" s="822">
        <f t="shared" si="9"/>
        <v>0</v>
      </c>
      <c r="Q28" s="819"/>
      <c r="R28" s="787"/>
      <c r="S28">
        <f t="shared" si="3"/>
        <v>0</v>
      </c>
    </row>
    <row r="29" spans="1:22" s="11" customFormat="1" ht="21" customHeight="1" x14ac:dyDescent="0.25">
      <c r="A29" s="806" t="s">
        <v>279</v>
      </c>
      <c r="B29" s="830" t="s">
        <v>1416</v>
      </c>
      <c r="C29" s="831"/>
      <c r="D29" s="822">
        <f>+D5+D15-D27</f>
        <v>2233658255</v>
      </c>
      <c r="E29" s="822">
        <f>+E5+E15-E27</f>
        <v>2099408525</v>
      </c>
      <c r="F29" s="822">
        <f t="shared" ref="F29:O29" si="10">+F5+F15-F27</f>
        <v>3484658794</v>
      </c>
      <c r="G29" s="822">
        <f t="shared" si="10"/>
        <v>3131409063</v>
      </c>
      <c r="H29" s="822">
        <f t="shared" si="10"/>
        <v>3137159332</v>
      </c>
      <c r="I29" s="822">
        <f t="shared" si="10"/>
        <v>2819909601</v>
      </c>
      <c r="J29" s="822">
        <f t="shared" si="10"/>
        <v>2460659870</v>
      </c>
      <c r="K29" s="822">
        <f t="shared" si="10"/>
        <v>1996984945</v>
      </c>
      <c r="L29" s="822">
        <f t="shared" si="10"/>
        <v>3284035215</v>
      </c>
      <c r="M29" s="822">
        <f t="shared" si="10"/>
        <v>2960285485</v>
      </c>
      <c r="N29" s="822">
        <f t="shared" si="10"/>
        <v>2622535758</v>
      </c>
      <c r="O29" s="822">
        <f t="shared" si="10"/>
        <v>2343155986</v>
      </c>
      <c r="P29" s="822"/>
      <c r="Q29" s="819">
        <f>+'[4]3. sz.Városi szintű összesen'!G29</f>
        <v>10344621437</v>
      </c>
      <c r="R29" s="819"/>
      <c r="S29">
        <f t="shared" si="3"/>
        <v>0</v>
      </c>
      <c r="V29" s="832"/>
    </row>
    <row r="32" spans="1:22" x14ac:dyDescent="0.2">
      <c r="K32" s="304">
        <f>+K26+K25</f>
        <v>1081549635</v>
      </c>
    </row>
  </sheetData>
  <mergeCells count="1">
    <mergeCell ref="A1:P1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8" orientation="landscape" r:id="rId1"/>
  <headerFooter>
    <oddHeader>&amp;C2021. évi költségvetés&amp;R&amp;A</oddHeader>
    <oddFooter>&amp;C&amp;P/&amp;N</oddFooter>
  </headerFooter>
  <colBreaks count="1" manualBreakCount="1">
    <brk id="1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topLeftCell="F19" zoomScale="80" zoomScaleNormal="100" zoomScaleSheetLayoutView="80" workbookViewId="0">
      <selection activeCell="O32" sqref="O32:O33"/>
    </sheetView>
  </sheetViews>
  <sheetFormatPr defaultRowHeight="12.75" x14ac:dyDescent="0.2"/>
  <cols>
    <col min="1" max="1" width="4.85546875" customWidth="1"/>
    <col min="2" max="2" width="43.42578125" customWidth="1"/>
    <col min="3" max="3" width="6.42578125" bestFit="1" customWidth="1"/>
    <col min="4" max="4" width="13.140625" customWidth="1"/>
    <col min="5" max="5" width="12.7109375" customWidth="1"/>
    <col min="6" max="6" width="14.7109375" customWidth="1"/>
    <col min="7" max="7" width="14.28515625" bestFit="1" customWidth="1"/>
    <col min="8" max="8" width="14.7109375" customWidth="1"/>
    <col min="9" max="9" width="15.140625" customWidth="1"/>
    <col min="10" max="10" width="14.5703125" customWidth="1"/>
    <col min="11" max="11" width="14.7109375" customWidth="1"/>
    <col min="12" max="12" width="14.140625" customWidth="1"/>
    <col min="13" max="13" width="14.28515625" bestFit="1" customWidth="1"/>
    <col min="14" max="15" width="14.28515625" customWidth="1"/>
    <col min="16" max="16" width="15.5703125" customWidth="1"/>
    <col min="17" max="17" width="18.140625" customWidth="1"/>
    <col min="18" max="18" width="13.85546875" customWidth="1"/>
  </cols>
  <sheetData>
    <row r="1" spans="1:18" ht="30" customHeight="1" x14ac:dyDescent="0.25">
      <c r="A1" s="1317" t="s">
        <v>1419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690"/>
    </row>
    <row r="2" spans="1:18" ht="30" customHeight="1" x14ac:dyDescent="0.25">
      <c r="A2" s="802"/>
      <c r="B2" s="802"/>
      <c r="C2" s="802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690"/>
    </row>
    <row r="3" spans="1:18" ht="15" x14ac:dyDescent="0.25">
      <c r="A3" s="1318" t="s">
        <v>1418</v>
      </c>
      <c r="B3" s="1319"/>
      <c r="C3" s="1324" t="s">
        <v>1396</v>
      </c>
      <c r="D3" s="1327" t="s">
        <v>101</v>
      </c>
      <c r="E3" s="1327" t="s">
        <v>102</v>
      </c>
      <c r="F3" s="1327" t="s">
        <v>105</v>
      </c>
      <c r="G3" s="1327" t="s">
        <v>1397</v>
      </c>
      <c r="H3" s="1327" t="s">
        <v>1398</v>
      </c>
      <c r="I3" s="1327" t="s">
        <v>1399</v>
      </c>
      <c r="J3" s="1327" t="s">
        <v>1400</v>
      </c>
      <c r="K3" s="1327" t="s">
        <v>1401</v>
      </c>
      <c r="L3" s="1327" t="s">
        <v>1402</v>
      </c>
      <c r="M3" s="1327" t="s">
        <v>1403</v>
      </c>
      <c r="N3" s="1327" t="s">
        <v>1404</v>
      </c>
      <c r="O3" s="1327" t="s">
        <v>1405</v>
      </c>
      <c r="P3" s="1328" t="s">
        <v>1500</v>
      </c>
      <c r="Q3" s="833"/>
    </row>
    <row r="4" spans="1:18" ht="15" x14ac:dyDescent="0.25">
      <c r="A4" s="1320"/>
      <c r="B4" s="1321"/>
      <c r="C4" s="1325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8"/>
      <c r="Q4" s="833"/>
    </row>
    <row r="5" spans="1:18" ht="15" x14ac:dyDescent="0.25">
      <c r="A5" s="1322"/>
      <c r="B5" s="1323"/>
      <c r="C5" s="1326"/>
      <c r="D5" s="1327"/>
      <c r="E5" s="1327"/>
      <c r="F5" s="1327"/>
      <c r="G5" s="1327"/>
      <c r="H5" s="1327"/>
      <c r="I5" s="1327"/>
      <c r="J5" s="1327"/>
      <c r="K5" s="1327"/>
      <c r="L5" s="1327"/>
      <c r="M5" s="1327"/>
      <c r="N5" s="1327"/>
      <c r="O5" s="1327"/>
      <c r="P5" s="1328"/>
      <c r="Q5" s="833"/>
    </row>
    <row r="6" spans="1:18" ht="21" customHeight="1" x14ac:dyDescent="0.2">
      <c r="A6" s="810"/>
      <c r="B6" s="811" t="s">
        <v>1162</v>
      </c>
      <c r="C6" s="807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782"/>
      <c r="Q6" s="11"/>
      <c r="R6" s="787">
        <f>+Q6-P6</f>
        <v>0</v>
      </c>
    </row>
    <row r="7" spans="1:18" ht="21" customHeight="1" x14ac:dyDescent="0.2">
      <c r="A7" s="810" t="s">
        <v>204</v>
      </c>
      <c r="B7" s="815" t="s">
        <v>52</v>
      </c>
      <c r="C7" s="816" t="s">
        <v>224</v>
      </c>
      <c r="D7" s="817">
        <v>138058246</v>
      </c>
      <c r="E7" s="817">
        <v>138058246</v>
      </c>
      <c r="F7" s="817">
        <v>138058246</v>
      </c>
      <c r="G7" s="817">
        <v>138058246</v>
      </c>
      <c r="H7" s="817">
        <v>138058246</v>
      </c>
      <c r="I7" s="817">
        <v>138058246</v>
      </c>
      <c r="J7" s="817">
        <v>138058246</v>
      </c>
      <c r="K7" s="817">
        <v>138058246</v>
      </c>
      <c r="L7" s="817">
        <v>138058246</v>
      </c>
      <c r="M7" s="817">
        <v>138058246</v>
      </c>
      <c r="N7" s="817">
        <v>138058246</v>
      </c>
      <c r="O7" s="817">
        <f>138058246+1</f>
        <v>138058247</v>
      </c>
      <c r="P7" s="818">
        <f>SUM(D7:O7)</f>
        <v>1656698953</v>
      </c>
      <c r="Q7" s="819"/>
      <c r="R7" s="787"/>
    </row>
    <row r="8" spans="1:18" ht="27" customHeight="1" x14ac:dyDescent="0.2">
      <c r="A8" s="810" t="s">
        <v>205</v>
      </c>
      <c r="B8" s="815" t="s">
        <v>235</v>
      </c>
      <c r="C8" s="816" t="s">
        <v>225</v>
      </c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8">
        <f t="shared" ref="P8:P15" si="0">SUM(D8:O8)</f>
        <v>0</v>
      </c>
      <c r="Q8" s="819"/>
      <c r="R8" s="787"/>
    </row>
    <row r="9" spans="1:18" ht="21" customHeight="1" x14ac:dyDescent="0.2">
      <c r="A9" s="810" t="s">
        <v>206</v>
      </c>
      <c r="B9" s="815" t="s">
        <v>234</v>
      </c>
      <c r="C9" s="816" t="s">
        <v>226</v>
      </c>
      <c r="D9" s="817">
        <v>10000000</v>
      </c>
      <c r="E9" s="817">
        <v>20000000</v>
      </c>
      <c r="F9" s="817">
        <v>1700000000</v>
      </c>
      <c r="G9" s="817">
        <v>30000000</v>
      </c>
      <c r="H9" s="817">
        <v>300000000</v>
      </c>
      <c r="I9" s="817">
        <v>10000000</v>
      </c>
      <c r="J9" s="817">
        <v>10000000</v>
      </c>
      <c r="K9" s="817">
        <v>10000000</v>
      </c>
      <c r="L9" s="817">
        <v>1700000000</v>
      </c>
      <c r="M9" s="817">
        <v>10000000</v>
      </c>
      <c r="N9" s="817">
        <v>5000000</v>
      </c>
      <c r="O9" s="817">
        <v>18624585</v>
      </c>
      <c r="P9" s="818">
        <f t="shared" si="0"/>
        <v>3823624585</v>
      </c>
      <c r="Q9" s="819"/>
      <c r="R9" s="787"/>
    </row>
    <row r="10" spans="1:18" ht="21" customHeight="1" x14ac:dyDescent="0.2">
      <c r="A10" s="810" t="s">
        <v>207</v>
      </c>
      <c r="B10" s="815" t="s">
        <v>1163</v>
      </c>
      <c r="C10" s="816" t="s">
        <v>227</v>
      </c>
      <c r="D10" s="817">
        <v>26436143</v>
      </c>
      <c r="E10" s="817">
        <v>26436143</v>
      </c>
      <c r="F10" s="817">
        <v>26436143</v>
      </c>
      <c r="G10" s="817">
        <v>26436143</v>
      </c>
      <c r="H10" s="817">
        <v>26436143</v>
      </c>
      <c r="I10" s="817">
        <v>26436143</v>
      </c>
      <c r="J10" s="817">
        <v>26436143</v>
      </c>
      <c r="K10" s="817">
        <v>26436143</v>
      </c>
      <c r="L10" s="817">
        <v>26436143</v>
      </c>
      <c r="M10" s="817">
        <v>26436143</v>
      </c>
      <c r="N10" s="817">
        <f>26436143+3</f>
        <v>26436146</v>
      </c>
      <c r="O10" s="817">
        <v>130000000</v>
      </c>
      <c r="P10" s="818">
        <f t="shared" si="0"/>
        <v>420797576</v>
      </c>
      <c r="Q10" s="819"/>
      <c r="R10" s="787"/>
    </row>
    <row r="11" spans="1:18" ht="21" customHeight="1" x14ac:dyDescent="0.2">
      <c r="A11" s="810" t="s">
        <v>208</v>
      </c>
      <c r="B11" s="815" t="s">
        <v>257</v>
      </c>
      <c r="C11" s="816" t="s">
        <v>228</v>
      </c>
      <c r="D11" s="817">
        <v>32752000</v>
      </c>
      <c r="E11" s="817"/>
      <c r="F11" s="817">
        <v>0</v>
      </c>
      <c r="G11" s="817"/>
      <c r="H11" s="817"/>
      <c r="I11" s="817"/>
      <c r="J11" s="817"/>
      <c r="K11" s="817"/>
      <c r="L11" s="817"/>
      <c r="M11" s="817">
        <v>30000000</v>
      </c>
      <c r="N11" s="817"/>
      <c r="O11" s="817"/>
      <c r="P11" s="818">
        <f t="shared" si="0"/>
        <v>62752000</v>
      </c>
      <c r="Q11" s="819"/>
      <c r="R11" s="787"/>
    </row>
    <row r="12" spans="1:18" ht="21" customHeight="1" x14ac:dyDescent="0.2">
      <c r="A12" s="810" t="s">
        <v>209</v>
      </c>
      <c r="B12" s="815" t="s">
        <v>252</v>
      </c>
      <c r="C12" s="816" t="s">
        <v>229</v>
      </c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8">
        <f t="shared" si="0"/>
        <v>0</v>
      </c>
      <c r="Q12" s="819"/>
      <c r="R12" s="787"/>
    </row>
    <row r="13" spans="1:18" ht="21" customHeight="1" x14ac:dyDescent="0.2">
      <c r="A13" s="810" t="s">
        <v>210</v>
      </c>
      <c r="B13" s="815" t="s">
        <v>253</v>
      </c>
      <c r="C13" s="816" t="s">
        <v>230</v>
      </c>
      <c r="D13" s="817">
        <v>414533</v>
      </c>
      <c r="E13" s="817">
        <v>414534</v>
      </c>
      <c r="F13" s="817">
        <v>414533</v>
      </c>
      <c r="G13" s="817">
        <v>414533</v>
      </c>
      <c r="H13" s="817">
        <v>414533</v>
      </c>
      <c r="I13" s="817">
        <v>414533</v>
      </c>
      <c r="J13" s="817">
        <v>414533</v>
      </c>
      <c r="K13" s="817">
        <v>414534</v>
      </c>
      <c r="L13" s="817">
        <v>414534</v>
      </c>
      <c r="M13" s="817">
        <v>414534</v>
      </c>
      <c r="N13" s="817">
        <v>414534</v>
      </c>
      <c r="O13" s="817">
        <f>414534-2</f>
        <v>414532</v>
      </c>
      <c r="P13" s="818">
        <f t="shared" si="0"/>
        <v>4974400</v>
      </c>
      <c r="Q13" s="819"/>
      <c r="R13" s="787"/>
    </row>
    <row r="14" spans="1:18" ht="21" customHeight="1" x14ac:dyDescent="0.2">
      <c r="A14" s="810" t="s">
        <v>211</v>
      </c>
      <c r="B14" s="820" t="s">
        <v>254</v>
      </c>
      <c r="C14" s="821" t="s">
        <v>231</v>
      </c>
      <c r="D14" s="822">
        <f>SUM(D7:D13)</f>
        <v>207660922</v>
      </c>
      <c r="E14" s="822">
        <f t="shared" ref="E14:O14" si="1">SUM(E7:E13)</f>
        <v>184908923</v>
      </c>
      <c r="F14" s="822">
        <f t="shared" si="1"/>
        <v>1864908922</v>
      </c>
      <c r="G14" s="822">
        <f t="shared" si="1"/>
        <v>194908922</v>
      </c>
      <c r="H14" s="822">
        <f t="shared" si="1"/>
        <v>464908922</v>
      </c>
      <c r="I14" s="822">
        <f t="shared" si="1"/>
        <v>174908922</v>
      </c>
      <c r="J14" s="822">
        <f t="shared" si="1"/>
        <v>174908922</v>
      </c>
      <c r="K14" s="822">
        <f t="shared" si="1"/>
        <v>174908923</v>
      </c>
      <c r="L14" s="822">
        <f t="shared" si="1"/>
        <v>1864908923</v>
      </c>
      <c r="M14" s="822">
        <f t="shared" si="1"/>
        <v>204908923</v>
      </c>
      <c r="N14" s="822">
        <f t="shared" si="1"/>
        <v>169908926</v>
      </c>
      <c r="O14" s="822">
        <f t="shared" si="1"/>
        <v>287097364</v>
      </c>
      <c r="P14" s="822">
        <f>SUM(P7:P13)</f>
        <v>5968847514</v>
      </c>
      <c r="Q14" s="819"/>
      <c r="R14" s="787"/>
    </row>
    <row r="15" spans="1:18" ht="28.5" customHeight="1" x14ac:dyDescent="0.2">
      <c r="A15" s="810" t="s">
        <v>212</v>
      </c>
      <c r="B15" s="823" t="s">
        <v>1407</v>
      </c>
      <c r="C15" s="824" t="s">
        <v>233</v>
      </c>
      <c r="D15" s="925">
        <v>442965787</v>
      </c>
      <c r="E15" s="925">
        <v>442965787</v>
      </c>
      <c r="F15" s="925">
        <v>442965787</v>
      </c>
      <c r="G15" s="925">
        <v>442965787</v>
      </c>
      <c r="H15" s="925">
        <v>442965787</v>
      </c>
      <c r="I15" s="925">
        <v>442965787</v>
      </c>
      <c r="J15" s="925">
        <v>442965787</v>
      </c>
      <c r="K15" s="925">
        <v>442965787</v>
      </c>
      <c r="L15" s="925">
        <v>442965787</v>
      </c>
      <c r="M15" s="925">
        <v>442965787</v>
      </c>
      <c r="N15" s="925">
        <v>442965787</v>
      </c>
      <c r="O15" s="925">
        <f>442965787+3-3771317</f>
        <v>439194473</v>
      </c>
      <c r="P15" s="818">
        <f t="shared" si="0"/>
        <v>5311818130</v>
      </c>
      <c r="Q15" s="819"/>
      <c r="R15" s="787"/>
    </row>
    <row r="16" spans="1:18" ht="27.75" customHeight="1" x14ac:dyDescent="0.2">
      <c r="A16" s="810" t="s">
        <v>213</v>
      </c>
      <c r="B16" s="825" t="s">
        <v>1408</v>
      </c>
      <c r="C16" s="826"/>
      <c r="D16" s="822">
        <f>+D14+D15</f>
        <v>650626709</v>
      </c>
      <c r="E16" s="822">
        <f t="shared" ref="E16:O16" si="2">+E14+E15</f>
        <v>627874710</v>
      </c>
      <c r="F16" s="822">
        <f t="shared" si="2"/>
        <v>2307874709</v>
      </c>
      <c r="G16" s="822">
        <f t="shared" si="2"/>
        <v>637874709</v>
      </c>
      <c r="H16" s="822">
        <f t="shared" si="2"/>
        <v>907874709</v>
      </c>
      <c r="I16" s="822">
        <f t="shared" si="2"/>
        <v>617874709</v>
      </c>
      <c r="J16" s="822">
        <f t="shared" si="2"/>
        <v>617874709</v>
      </c>
      <c r="K16" s="822">
        <f t="shared" si="2"/>
        <v>617874710</v>
      </c>
      <c r="L16" s="822">
        <f t="shared" si="2"/>
        <v>2307874710</v>
      </c>
      <c r="M16" s="822">
        <f t="shared" si="2"/>
        <v>647874710</v>
      </c>
      <c r="N16" s="822">
        <f t="shared" si="2"/>
        <v>612874713</v>
      </c>
      <c r="O16" s="822">
        <f t="shared" si="2"/>
        <v>726291837</v>
      </c>
      <c r="P16" s="822">
        <f>+P14+P15</f>
        <v>11280665644</v>
      </c>
      <c r="Q16" s="819"/>
      <c r="R16" s="787"/>
    </row>
    <row r="17" spans="1:18" ht="21" customHeight="1" x14ac:dyDescent="0.2">
      <c r="A17" s="810"/>
      <c r="B17" s="811" t="s">
        <v>267</v>
      </c>
      <c r="C17" s="807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4"/>
      <c r="Q17" s="819"/>
      <c r="R17" s="787"/>
    </row>
    <row r="18" spans="1:18" ht="21" customHeight="1" x14ac:dyDescent="0.2">
      <c r="A18" s="810" t="s">
        <v>240</v>
      </c>
      <c r="B18" s="827" t="s">
        <v>1409</v>
      </c>
      <c r="C18" s="816" t="s">
        <v>214</v>
      </c>
      <c r="D18" s="817">
        <v>179724831</v>
      </c>
      <c r="E18" s="817">
        <v>179724831</v>
      </c>
      <c r="F18" s="817">
        <v>179724831</v>
      </c>
      <c r="G18" s="817">
        <v>179724831</v>
      </c>
      <c r="H18" s="817">
        <v>179724831</v>
      </c>
      <c r="I18" s="817">
        <v>179724831</v>
      </c>
      <c r="J18" s="817">
        <v>179724831</v>
      </c>
      <c r="K18" s="817">
        <v>179724831</v>
      </c>
      <c r="L18" s="817">
        <v>179724831</v>
      </c>
      <c r="M18" s="817">
        <v>179724831</v>
      </c>
      <c r="N18" s="817">
        <v>179724831</v>
      </c>
      <c r="O18" s="817">
        <f>179724831-3</f>
        <v>179724828</v>
      </c>
      <c r="P18" s="818">
        <f>SUM(D18:O18)</f>
        <v>2156697969</v>
      </c>
      <c r="Q18" s="819"/>
      <c r="R18" s="787"/>
    </row>
    <row r="19" spans="1:18" ht="31.5" customHeight="1" x14ac:dyDescent="0.2">
      <c r="A19" s="810" t="s">
        <v>241</v>
      </c>
      <c r="B19" s="815" t="s">
        <v>215</v>
      </c>
      <c r="C19" s="816" t="s">
        <v>216</v>
      </c>
      <c r="D19" s="817">
        <v>31201672</v>
      </c>
      <c r="E19" s="817">
        <v>31201672</v>
      </c>
      <c r="F19" s="817">
        <v>31201672</v>
      </c>
      <c r="G19" s="817">
        <v>31201672</v>
      </c>
      <c r="H19" s="817">
        <v>31201672</v>
      </c>
      <c r="I19" s="817">
        <v>31201672</v>
      </c>
      <c r="J19" s="817">
        <v>31201672</v>
      </c>
      <c r="K19" s="817">
        <v>31201672</v>
      </c>
      <c r="L19" s="817">
        <v>31201672</v>
      </c>
      <c r="M19" s="817">
        <v>31201672</v>
      </c>
      <c r="N19" s="817">
        <v>31201672</v>
      </c>
      <c r="O19" s="817">
        <f>31201672-1</f>
        <v>31201671</v>
      </c>
      <c r="P19" s="818">
        <f t="shared" ref="P19:P25" si="3">SUM(D19:O19)</f>
        <v>374420063</v>
      </c>
      <c r="Q19" s="819"/>
      <c r="R19" s="787"/>
    </row>
    <row r="20" spans="1:18" ht="21" customHeight="1" x14ac:dyDescent="0.2">
      <c r="A20" s="810" t="s">
        <v>242</v>
      </c>
      <c r="B20" s="815" t="s">
        <v>346</v>
      </c>
      <c r="C20" s="816" t="s">
        <v>217</v>
      </c>
      <c r="D20" s="817">
        <v>190738087</v>
      </c>
      <c r="E20" s="817">
        <v>190738087</v>
      </c>
      <c r="F20" s="817">
        <v>190738087</v>
      </c>
      <c r="G20" s="817">
        <v>190738087</v>
      </c>
      <c r="H20" s="817">
        <v>190738087</v>
      </c>
      <c r="I20" s="817">
        <v>190738087</v>
      </c>
      <c r="J20" s="817">
        <v>190738087</v>
      </c>
      <c r="K20" s="817">
        <v>190738087</v>
      </c>
      <c r="L20" s="817">
        <v>190738087</v>
      </c>
      <c r="M20" s="817">
        <v>190738087</v>
      </c>
      <c r="N20" s="817">
        <v>190738087</v>
      </c>
      <c r="O20" s="817">
        <f>190738087+6</f>
        <v>190738093</v>
      </c>
      <c r="P20" s="818">
        <f t="shared" si="3"/>
        <v>2288857050</v>
      </c>
      <c r="Q20" s="819"/>
      <c r="R20" s="787"/>
    </row>
    <row r="21" spans="1:18" ht="21" customHeight="1" x14ac:dyDescent="0.2">
      <c r="A21" s="810" t="s">
        <v>243</v>
      </c>
      <c r="B21" s="828" t="s">
        <v>1410</v>
      </c>
      <c r="C21" s="816" t="s">
        <v>218</v>
      </c>
      <c r="D21" s="817">
        <v>3416666</v>
      </c>
      <c r="E21" s="817">
        <v>3416666</v>
      </c>
      <c r="F21" s="817">
        <v>3416666</v>
      </c>
      <c r="G21" s="817">
        <v>3416666</v>
      </c>
      <c r="H21" s="817">
        <v>3416666</v>
      </c>
      <c r="I21" s="817">
        <v>3416666</v>
      </c>
      <c r="J21" s="817">
        <v>3416666</v>
      </c>
      <c r="K21" s="817">
        <v>3416666</v>
      </c>
      <c r="L21" s="817">
        <v>3416666</v>
      </c>
      <c r="M21" s="817">
        <v>3416666</v>
      </c>
      <c r="N21" s="817">
        <v>3416666</v>
      </c>
      <c r="O21" s="817">
        <f>3416666+8</f>
        <v>3416674</v>
      </c>
      <c r="P21" s="818">
        <f t="shared" si="3"/>
        <v>41000000</v>
      </c>
      <c r="Q21" s="819"/>
      <c r="R21" s="787"/>
    </row>
    <row r="22" spans="1:18" ht="21" customHeight="1" x14ac:dyDescent="0.2">
      <c r="A22" s="810" t="s">
        <v>244</v>
      </c>
      <c r="B22" s="828" t="s">
        <v>249</v>
      </c>
      <c r="C22" s="816" t="s">
        <v>219</v>
      </c>
      <c r="D22" s="817">
        <v>90000000</v>
      </c>
      <c r="E22" s="817">
        <v>90000000</v>
      </c>
      <c r="F22" s="817">
        <v>200000000</v>
      </c>
      <c r="G22" s="817">
        <v>200000000</v>
      </c>
      <c r="H22" s="817">
        <v>200000000</v>
      </c>
      <c r="I22" s="817">
        <v>160000000</v>
      </c>
      <c r="J22" s="817">
        <v>200000000</v>
      </c>
      <c r="K22" s="817">
        <v>200000000</v>
      </c>
      <c r="L22" s="817">
        <v>200000000</v>
      </c>
      <c r="M22" s="817">
        <v>200000000</v>
      </c>
      <c r="N22" s="817">
        <v>200000000</v>
      </c>
      <c r="O22" s="817">
        <f>188598779+28500000</f>
        <v>217098779</v>
      </c>
      <c r="P22" s="818">
        <f t="shared" si="3"/>
        <v>2157098779</v>
      </c>
      <c r="Q22" s="819"/>
      <c r="R22" s="787"/>
    </row>
    <row r="23" spans="1:18" ht="21" customHeight="1" x14ac:dyDescent="0.2">
      <c r="A23" s="810" t="s">
        <v>245</v>
      </c>
      <c r="B23" s="815" t="s">
        <v>256</v>
      </c>
      <c r="C23" s="816" t="s">
        <v>220</v>
      </c>
      <c r="D23" s="817">
        <v>500000</v>
      </c>
      <c r="E23" s="817">
        <v>1000000</v>
      </c>
      <c r="F23" s="817">
        <v>50000000</v>
      </c>
      <c r="G23" s="817">
        <v>100000000</v>
      </c>
      <c r="H23" s="817">
        <v>10000000</v>
      </c>
      <c r="I23" s="817">
        <v>100000000</v>
      </c>
      <c r="J23" s="817">
        <v>100000000</v>
      </c>
      <c r="K23" s="817">
        <v>200000000</v>
      </c>
      <c r="L23" s="829">
        <v>150000000</v>
      </c>
      <c r="M23" s="817">
        <v>100000000</v>
      </c>
      <c r="N23" s="817">
        <v>80000000</v>
      </c>
      <c r="O23" s="817">
        <v>21599698</v>
      </c>
      <c r="P23" s="818">
        <f t="shared" si="3"/>
        <v>913099698</v>
      </c>
      <c r="Q23" s="819"/>
      <c r="R23" s="787"/>
    </row>
    <row r="24" spans="1:18" ht="21" customHeight="1" x14ac:dyDescent="0.2">
      <c r="A24" s="810" t="s">
        <v>246</v>
      </c>
      <c r="B24" s="828" t="s">
        <v>1411</v>
      </c>
      <c r="C24" s="816" t="s">
        <v>221</v>
      </c>
      <c r="D24" s="817">
        <v>500000</v>
      </c>
      <c r="E24" s="817">
        <v>2000000</v>
      </c>
      <c r="F24" s="817">
        <v>2500000</v>
      </c>
      <c r="G24" s="817">
        <v>20000000</v>
      </c>
      <c r="H24" s="817">
        <v>20000000</v>
      </c>
      <c r="I24" s="817">
        <v>3000000</v>
      </c>
      <c r="J24" s="817">
        <v>5000000</v>
      </c>
      <c r="K24" s="817">
        <v>9425195</v>
      </c>
      <c r="L24" s="817"/>
      <c r="M24" s="817"/>
      <c r="N24" s="817"/>
      <c r="O24" s="817">
        <v>130000000</v>
      </c>
      <c r="P24" s="818">
        <f t="shared" si="3"/>
        <v>192425195</v>
      </c>
      <c r="Q24" s="819"/>
      <c r="R24" s="787"/>
    </row>
    <row r="25" spans="1:18" ht="21" customHeight="1" x14ac:dyDescent="0.2">
      <c r="A25" s="810" t="s">
        <v>247</v>
      </c>
      <c r="B25" s="828" t="s">
        <v>250</v>
      </c>
      <c r="C25" s="816" t="s">
        <v>222</v>
      </c>
      <c r="D25" s="817">
        <v>0</v>
      </c>
      <c r="E25" s="817">
        <v>0</v>
      </c>
      <c r="F25" s="817">
        <v>1000000</v>
      </c>
      <c r="G25" s="817">
        <v>2000000</v>
      </c>
      <c r="H25" s="817">
        <v>3000000</v>
      </c>
      <c r="I25" s="817">
        <v>3000000</v>
      </c>
      <c r="J25" s="817">
        <v>3000000</v>
      </c>
      <c r="K25" s="817">
        <v>3000000</v>
      </c>
      <c r="L25" s="817">
        <v>1700000</v>
      </c>
      <c r="M25" s="817">
        <v>2500000</v>
      </c>
      <c r="N25" s="817">
        <v>1500000</v>
      </c>
      <c r="O25" s="817">
        <v>1620000</v>
      </c>
      <c r="P25" s="818">
        <f t="shared" si="3"/>
        <v>22320000</v>
      </c>
      <c r="Q25" s="819"/>
      <c r="R25" s="787"/>
    </row>
    <row r="26" spans="1:18" ht="21" customHeight="1" x14ac:dyDescent="0.2">
      <c r="A26" s="810" t="s">
        <v>248</v>
      </c>
      <c r="B26" s="820" t="s">
        <v>1412</v>
      </c>
      <c r="C26" s="821" t="s">
        <v>223</v>
      </c>
      <c r="D26" s="822">
        <f>SUM(D18:D25)</f>
        <v>496081256</v>
      </c>
      <c r="E26" s="822">
        <f t="shared" ref="E26:O26" si="4">SUM(E18:E25)</f>
        <v>498081256</v>
      </c>
      <c r="F26" s="822">
        <f t="shared" si="4"/>
        <v>658581256</v>
      </c>
      <c r="G26" s="822">
        <f t="shared" si="4"/>
        <v>727081256</v>
      </c>
      <c r="H26" s="822">
        <f t="shared" si="4"/>
        <v>638081256</v>
      </c>
      <c r="I26" s="822">
        <f t="shared" si="4"/>
        <v>671081256</v>
      </c>
      <c r="J26" s="822">
        <f t="shared" si="4"/>
        <v>713081256</v>
      </c>
      <c r="K26" s="822">
        <f t="shared" si="4"/>
        <v>817506451</v>
      </c>
      <c r="L26" s="822">
        <f t="shared" si="4"/>
        <v>756781256</v>
      </c>
      <c r="M26" s="822">
        <f t="shared" si="4"/>
        <v>707581256</v>
      </c>
      <c r="N26" s="822">
        <f t="shared" si="4"/>
        <v>686581256</v>
      </c>
      <c r="O26" s="822">
        <f t="shared" si="4"/>
        <v>775399743</v>
      </c>
      <c r="P26" s="822">
        <f>SUM(P18:P25)</f>
        <v>8145918754</v>
      </c>
      <c r="Q26" s="819"/>
      <c r="R26" s="787"/>
    </row>
    <row r="27" spans="1:18" ht="19.5" customHeight="1" x14ac:dyDescent="0.2">
      <c r="A27" s="810" t="s">
        <v>276</v>
      </c>
      <c r="B27" s="823" t="s">
        <v>1413</v>
      </c>
      <c r="C27" s="824" t="s">
        <v>232</v>
      </c>
      <c r="D27" s="817">
        <v>264043184</v>
      </c>
      <c r="E27" s="817">
        <v>264043184</v>
      </c>
      <c r="F27" s="817">
        <v>264043184</v>
      </c>
      <c r="G27" s="817">
        <v>264043184</v>
      </c>
      <c r="H27" s="817">
        <v>264043184</v>
      </c>
      <c r="I27" s="817">
        <v>264043184</v>
      </c>
      <c r="J27" s="817">
        <v>264043184</v>
      </c>
      <c r="K27" s="817">
        <v>264043184</v>
      </c>
      <c r="L27" s="817">
        <v>264043184</v>
      </c>
      <c r="M27" s="817">
        <v>264043184</v>
      </c>
      <c r="N27" s="817">
        <v>264043184</v>
      </c>
      <c r="O27" s="817">
        <f>264043184-1-33771317</f>
        <v>230271866</v>
      </c>
      <c r="P27" s="822">
        <f>SUM(D27:O27)</f>
        <v>3134746890</v>
      </c>
      <c r="Q27" s="819"/>
      <c r="R27" s="787"/>
    </row>
    <row r="28" spans="1:18" ht="27" customHeight="1" x14ac:dyDescent="0.2">
      <c r="A28" s="810" t="s">
        <v>277</v>
      </c>
      <c r="B28" s="825" t="s">
        <v>1414</v>
      </c>
      <c r="C28" s="826"/>
      <c r="D28" s="822">
        <f>+D26+D27</f>
        <v>760124440</v>
      </c>
      <c r="E28" s="822">
        <f t="shared" ref="E28:O28" si="5">+E26+E27</f>
        <v>762124440</v>
      </c>
      <c r="F28" s="822">
        <f t="shared" si="5"/>
        <v>922624440</v>
      </c>
      <c r="G28" s="822">
        <f t="shared" si="5"/>
        <v>991124440</v>
      </c>
      <c r="H28" s="822">
        <f t="shared" si="5"/>
        <v>902124440</v>
      </c>
      <c r="I28" s="822">
        <f t="shared" si="5"/>
        <v>935124440</v>
      </c>
      <c r="J28" s="822">
        <f t="shared" si="5"/>
        <v>977124440</v>
      </c>
      <c r="K28" s="822">
        <f t="shared" si="5"/>
        <v>1081549635</v>
      </c>
      <c r="L28" s="822">
        <f t="shared" si="5"/>
        <v>1020824440</v>
      </c>
      <c r="M28" s="822">
        <f t="shared" si="5"/>
        <v>971624440</v>
      </c>
      <c r="N28" s="822">
        <f t="shared" si="5"/>
        <v>950624440</v>
      </c>
      <c r="O28" s="822">
        <f t="shared" si="5"/>
        <v>1005671609</v>
      </c>
      <c r="P28" s="822">
        <f>P26+P27</f>
        <v>11280665644</v>
      </c>
      <c r="Q28" s="819"/>
      <c r="R28" s="787"/>
    </row>
    <row r="29" spans="1:18" ht="31.5" customHeight="1" x14ac:dyDescent="0.2">
      <c r="A29" s="810" t="s">
        <v>278</v>
      </c>
      <c r="B29" s="825" t="s">
        <v>1415</v>
      </c>
      <c r="C29" s="826"/>
      <c r="D29" s="822">
        <f>+D16-D28</f>
        <v>-109497731</v>
      </c>
      <c r="E29" s="822">
        <f t="shared" ref="E29:O29" si="6">+E16-E28</f>
        <v>-134249730</v>
      </c>
      <c r="F29" s="822">
        <f t="shared" si="6"/>
        <v>1385250269</v>
      </c>
      <c r="G29" s="822">
        <f t="shared" si="6"/>
        <v>-353249731</v>
      </c>
      <c r="H29" s="822">
        <f t="shared" si="6"/>
        <v>5750269</v>
      </c>
      <c r="I29" s="822">
        <f t="shared" si="6"/>
        <v>-317249731</v>
      </c>
      <c r="J29" s="822">
        <f t="shared" si="6"/>
        <v>-359249731</v>
      </c>
      <c r="K29" s="822">
        <f t="shared" si="6"/>
        <v>-463674925</v>
      </c>
      <c r="L29" s="822">
        <f t="shared" si="6"/>
        <v>1287050270</v>
      </c>
      <c r="M29" s="822">
        <f t="shared" si="6"/>
        <v>-323749730</v>
      </c>
      <c r="N29" s="822">
        <f t="shared" si="6"/>
        <v>-337749727</v>
      </c>
      <c r="O29" s="822">
        <f t="shared" si="6"/>
        <v>-279379772</v>
      </c>
      <c r="P29" s="822" t="s">
        <v>654</v>
      </c>
      <c r="Q29" s="819"/>
    </row>
  </sheetData>
  <mergeCells count="16">
    <mergeCell ref="K3:K5"/>
    <mergeCell ref="L3:L5"/>
    <mergeCell ref="M3:M5"/>
    <mergeCell ref="N3:N5"/>
    <mergeCell ref="O3:O5"/>
    <mergeCell ref="P3:P5"/>
    <mergeCell ref="A1:P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landscape" r:id="rId1"/>
  <headerFooter>
    <oddHeader>&amp;C2021. évi költségvetés
&amp;R&amp;A</oddHeader>
    <oddFooter>&amp;C&amp;P/&amp;N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"/>
  <sheetViews>
    <sheetView zoomScale="71" zoomScaleNormal="100" zoomScaleSheetLayoutView="71" workbookViewId="0">
      <pane xSplit="3" ySplit="7" topLeftCell="D32" activePane="bottomRight" state="frozen"/>
      <selection pane="topRight" activeCell="D1" sqref="D1"/>
      <selection pane="bottomLeft" activeCell="A8" sqref="A8"/>
      <selection pane="bottomRight" activeCell="F5" sqref="F5:F6"/>
    </sheetView>
  </sheetViews>
  <sheetFormatPr defaultRowHeight="12.75" x14ac:dyDescent="0.2"/>
  <cols>
    <col min="1" max="1" width="7.140625" style="24" customWidth="1"/>
    <col min="2" max="2" width="68.42578125" style="24" customWidth="1"/>
    <col min="3" max="3" width="7.42578125" style="186" customWidth="1"/>
    <col min="4" max="4" width="16.85546875" style="25" customWidth="1"/>
    <col min="5" max="5" width="17.85546875" style="25" bestFit="1" customWidth="1"/>
    <col min="6" max="10" width="21.7109375" style="25" customWidth="1"/>
    <col min="11" max="11" width="19" style="25" customWidth="1"/>
    <col min="12" max="12" width="15.85546875" style="25" customWidth="1"/>
    <col min="13" max="13" width="16.7109375" style="24" customWidth="1"/>
    <col min="14" max="14" width="11.7109375" style="24" bestFit="1" customWidth="1"/>
    <col min="15" max="16384" width="9.140625" style="24"/>
  </cols>
  <sheetData>
    <row r="1" spans="1:14" ht="15.75" x14ac:dyDescent="0.25">
      <c r="A1" s="254"/>
      <c r="B1" s="254"/>
      <c r="C1" s="255"/>
      <c r="D1" s="256"/>
      <c r="E1" s="256"/>
      <c r="F1" s="257"/>
      <c r="G1" s="257" t="s">
        <v>458</v>
      </c>
      <c r="H1" s="257"/>
      <c r="I1" s="257"/>
      <c r="J1" s="257"/>
      <c r="K1" s="256"/>
      <c r="L1" s="257" t="s">
        <v>458</v>
      </c>
    </row>
    <row r="2" spans="1:14" ht="36.75" customHeight="1" x14ac:dyDescent="0.2">
      <c r="A2" s="1098" t="s">
        <v>144</v>
      </c>
      <c r="B2" s="1099"/>
      <c r="C2" s="1100"/>
      <c r="D2" s="1086" t="s">
        <v>1048</v>
      </c>
      <c r="E2" s="1086"/>
      <c r="F2" s="1086"/>
      <c r="G2" s="1086"/>
      <c r="H2" s="1086" t="s">
        <v>1048</v>
      </c>
      <c r="I2" s="1086"/>
      <c r="J2" s="1086"/>
      <c r="K2" s="1086"/>
      <c r="L2" s="1086"/>
    </row>
    <row r="3" spans="1:14" s="27" customFormat="1" ht="104.25" customHeight="1" x14ac:dyDescent="0.2">
      <c r="A3" s="1097" t="s">
        <v>201</v>
      </c>
      <c r="B3" s="1096" t="s">
        <v>259</v>
      </c>
      <c r="C3" s="1096"/>
      <c r="D3" s="258" t="s">
        <v>516</v>
      </c>
      <c r="E3" s="258" t="s">
        <v>351</v>
      </c>
      <c r="F3" s="259" t="s">
        <v>352</v>
      </c>
      <c r="G3" s="258" t="s">
        <v>351</v>
      </c>
      <c r="H3" s="258" t="s">
        <v>351</v>
      </c>
      <c r="I3" s="258" t="s">
        <v>193</v>
      </c>
      <c r="J3" s="258" t="s">
        <v>351</v>
      </c>
      <c r="K3" s="258" t="s">
        <v>351</v>
      </c>
      <c r="L3" s="1088" t="s">
        <v>146</v>
      </c>
    </row>
    <row r="4" spans="1:14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9" t="s">
        <v>237</v>
      </c>
      <c r="H4" s="259" t="s">
        <v>237</v>
      </c>
      <c r="I4" s="259" t="s">
        <v>237</v>
      </c>
      <c r="J4" s="259" t="s">
        <v>237</v>
      </c>
      <c r="K4" s="259" t="s">
        <v>237</v>
      </c>
      <c r="L4" s="1088"/>
    </row>
    <row r="5" spans="1:14" s="27" customFormat="1" ht="15.75" customHeight="1" x14ac:dyDescent="0.2">
      <c r="A5" s="1097"/>
      <c r="B5" s="1082" t="s">
        <v>776</v>
      </c>
      <c r="C5" s="1082"/>
      <c r="D5" s="1086" t="s">
        <v>422</v>
      </c>
      <c r="E5" s="1086" t="s">
        <v>423</v>
      </c>
      <c r="F5" s="1086" t="s">
        <v>821</v>
      </c>
      <c r="G5" s="1086" t="s">
        <v>915</v>
      </c>
      <c r="H5" s="1086" t="s">
        <v>914</v>
      </c>
      <c r="I5" s="1086" t="s">
        <v>953</v>
      </c>
      <c r="J5" s="1101" t="s">
        <v>1450</v>
      </c>
      <c r="K5" s="1087" t="s">
        <v>530</v>
      </c>
      <c r="L5" s="1088"/>
    </row>
    <row r="6" spans="1:14" ht="116.2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086"/>
      <c r="I6" s="1086"/>
      <c r="J6" s="1102"/>
      <c r="K6" s="1087"/>
      <c r="L6" s="1088"/>
    </row>
    <row r="7" spans="1:14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  <c r="K7" s="595" t="s">
        <v>213</v>
      </c>
      <c r="L7" s="595" t="s">
        <v>240</v>
      </c>
    </row>
    <row r="8" spans="1:14" ht="21.75" customHeight="1" x14ac:dyDescent="0.25">
      <c r="A8" s="32" t="s">
        <v>203</v>
      </c>
      <c r="B8" s="29" t="s">
        <v>345</v>
      </c>
      <c r="C8" s="187" t="s">
        <v>214</v>
      </c>
      <c r="D8" s="261"/>
      <c r="E8" s="261">
        <v>205041849</v>
      </c>
      <c r="F8" s="261">
        <v>17834396</v>
      </c>
      <c r="G8" s="261"/>
      <c r="H8" s="261"/>
      <c r="I8" s="261"/>
      <c r="J8" s="261">
        <v>3636360</v>
      </c>
      <c r="K8" s="261"/>
      <c r="L8" s="261">
        <f>D8+E8+F8+K8+G8+H8+J8+I8</f>
        <v>226512605</v>
      </c>
      <c r="M8" s="120"/>
      <c r="N8" s="120"/>
    </row>
    <row r="9" spans="1:14" ht="21.75" customHeight="1" x14ac:dyDescent="0.25">
      <c r="A9" s="32" t="s">
        <v>204</v>
      </c>
      <c r="B9" s="34" t="s">
        <v>215</v>
      </c>
      <c r="C9" s="187" t="s">
        <v>216</v>
      </c>
      <c r="D9" s="261"/>
      <c r="E9" s="261">
        <f>33500219+2700000</f>
        <v>36200219</v>
      </c>
      <c r="F9" s="261">
        <v>2900331</v>
      </c>
      <c r="G9" s="261"/>
      <c r="H9" s="261"/>
      <c r="I9" s="261"/>
      <c r="J9" s="261">
        <v>545454</v>
      </c>
      <c r="K9" s="261"/>
      <c r="L9" s="261">
        <f t="shared" ref="L9:L50" si="0">D9+E9+F9+K9+G9+H9+J9+I9</f>
        <v>39646004</v>
      </c>
      <c r="M9" s="120"/>
      <c r="N9" s="120"/>
    </row>
    <row r="10" spans="1:14" ht="21.75" customHeight="1" x14ac:dyDescent="0.25">
      <c r="A10" s="32" t="s">
        <v>205</v>
      </c>
      <c r="B10" s="34" t="s">
        <v>346</v>
      </c>
      <c r="C10" s="187" t="s">
        <v>217</v>
      </c>
      <c r="D10" s="261">
        <v>171374</v>
      </c>
      <c r="E10" s="261">
        <f>28010171+1425305</f>
        <v>29435476</v>
      </c>
      <c r="F10" s="261">
        <v>1516380</v>
      </c>
      <c r="G10" s="261">
        <v>500000</v>
      </c>
      <c r="H10" s="261"/>
      <c r="I10" s="261"/>
      <c r="J10" s="261"/>
      <c r="K10" s="261"/>
      <c r="L10" s="261">
        <f t="shared" si="0"/>
        <v>31623230</v>
      </c>
      <c r="N10" s="120"/>
    </row>
    <row r="11" spans="1:14" ht="21.75" customHeight="1" x14ac:dyDescent="0.25">
      <c r="A11" s="32" t="s">
        <v>206</v>
      </c>
      <c r="B11" s="35" t="s">
        <v>347</v>
      </c>
      <c r="C11" s="187" t="s">
        <v>218</v>
      </c>
      <c r="D11" s="261"/>
      <c r="E11" s="261"/>
      <c r="F11" s="261"/>
      <c r="G11" s="261"/>
      <c r="H11" s="261"/>
      <c r="I11" s="261"/>
      <c r="J11" s="261"/>
      <c r="K11" s="261"/>
      <c r="L11" s="261">
        <f t="shared" si="0"/>
        <v>0</v>
      </c>
    </row>
    <row r="12" spans="1:14" ht="21.75" customHeight="1" x14ac:dyDescent="0.25">
      <c r="A12" s="32" t="s">
        <v>207</v>
      </c>
      <c r="B12" s="35" t="s">
        <v>249</v>
      </c>
      <c r="C12" s="187" t="s">
        <v>219</v>
      </c>
      <c r="D12" s="261">
        <f t="shared" ref="D12:K12" si="1">SUM(D13:D15)</f>
        <v>0</v>
      </c>
      <c r="E12" s="261">
        <f t="shared" si="1"/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>
        <f t="shared" si="1"/>
        <v>0</v>
      </c>
      <c r="J12" s="261">
        <f t="shared" si="1"/>
        <v>0</v>
      </c>
      <c r="K12" s="261">
        <f t="shared" si="1"/>
        <v>0</v>
      </c>
      <c r="L12" s="261">
        <f t="shared" si="0"/>
        <v>0</v>
      </c>
    </row>
    <row r="13" spans="1:14" ht="21.75" customHeight="1" x14ac:dyDescent="0.25">
      <c r="A13" s="32" t="s">
        <v>208</v>
      </c>
      <c r="B13" s="36" t="s">
        <v>604</v>
      </c>
      <c r="C13" s="187"/>
      <c r="D13" s="261"/>
      <c r="E13" s="261"/>
      <c r="F13" s="261"/>
      <c r="G13" s="261"/>
      <c r="H13" s="261"/>
      <c r="I13" s="261"/>
      <c r="J13" s="261"/>
      <c r="K13" s="261"/>
      <c r="L13" s="261">
        <f t="shared" si="0"/>
        <v>0</v>
      </c>
    </row>
    <row r="14" spans="1:14" ht="21.75" customHeight="1" x14ac:dyDescent="0.25">
      <c r="A14" s="32" t="s">
        <v>209</v>
      </c>
      <c r="B14" s="36" t="s">
        <v>606</v>
      </c>
      <c r="C14" s="188"/>
      <c r="D14" s="261"/>
      <c r="E14" s="261"/>
      <c r="F14" s="261"/>
      <c r="G14" s="261"/>
      <c r="H14" s="261"/>
      <c r="I14" s="261"/>
      <c r="J14" s="261"/>
      <c r="K14" s="261"/>
      <c r="L14" s="261">
        <f t="shared" si="0"/>
        <v>0</v>
      </c>
    </row>
    <row r="15" spans="1:14" ht="21.75" customHeight="1" x14ac:dyDescent="0.25">
      <c r="A15" s="32" t="s">
        <v>210</v>
      </c>
      <c r="B15" s="130" t="s">
        <v>605</v>
      </c>
      <c r="C15" s="188"/>
      <c r="D15" s="261"/>
      <c r="E15" s="261"/>
      <c r="F15" s="261"/>
      <c r="G15" s="261"/>
      <c r="H15" s="261"/>
      <c r="I15" s="261"/>
      <c r="J15" s="261"/>
      <c r="K15" s="261"/>
      <c r="L15" s="261">
        <f t="shared" si="0"/>
        <v>0</v>
      </c>
    </row>
    <row r="16" spans="1:14" ht="21.75" customHeight="1" x14ac:dyDescent="0.25">
      <c r="A16" s="32" t="s">
        <v>211</v>
      </c>
      <c r="B16" s="38" t="s">
        <v>256</v>
      </c>
      <c r="C16" s="187" t="s">
        <v>220</v>
      </c>
      <c r="D16" s="261"/>
      <c r="E16" s="263">
        <f>+'6.sz. Beruházások'!E94</f>
        <v>317500</v>
      </c>
      <c r="F16" s="261">
        <f>+'6.sz. Beruházások'!E95</f>
        <v>127000</v>
      </c>
      <c r="G16" s="261"/>
      <c r="H16" s="261"/>
      <c r="I16" s="261"/>
      <c r="J16" s="261"/>
      <c r="K16" s="261"/>
      <c r="L16" s="261">
        <f t="shared" si="0"/>
        <v>444500</v>
      </c>
    </row>
    <row r="17" spans="1:13" ht="21.75" customHeight="1" x14ac:dyDescent="0.25">
      <c r="A17" s="32" t="s">
        <v>212</v>
      </c>
      <c r="B17" s="35" t="s">
        <v>348</v>
      </c>
      <c r="C17" s="187" t="s">
        <v>221</v>
      </c>
      <c r="D17" s="261"/>
      <c r="E17" s="261"/>
      <c r="F17" s="261"/>
      <c r="G17" s="261"/>
      <c r="H17" s="261"/>
      <c r="I17" s="261"/>
      <c r="J17" s="261"/>
      <c r="K17" s="261"/>
      <c r="L17" s="261">
        <f t="shared" si="0"/>
        <v>0</v>
      </c>
    </row>
    <row r="18" spans="1:13" ht="21.75" customHeight="1" x14ac:dyDescent="0.25">
      <c r="A18" s="32" t="s">
        <v>213</v>
      </c>
      <c r="B18" s="35" t="s">
        <v>250</v>
      </c>
      <c r="C18" s="187" t="s">
        <v>222</v>
      </c>
      <c r="D18" s="261"/>
      <c r="E18" s="261"/>
      <c r="F18" s="261"/>
      <c r="G18" s="261"/>
      <c r="H18" s="261"/>
      <c r="I18" s="261"/>
      <c r="J18" s="261"/>
      <c r="K18" s="261"/>
      <c r="L18" s="261">
        <f t="shared" si="0"/>
        <v>0</v>
      </c>
    </row>
    <row r="19" spans="1:13" ht="21.75" customHeight="1" x14ac:dyDescent="0.25">
      <c r="A19" s="32" t="s">
        <v>240</v>
      </c>
      <c r="B19" s="36" t="s">
        <v>607</v>
      </c>
      <c r="C19" s="187"/>
      <c r="D19" s="261"/>
      <c r="E19" s="261"/>
      <c r="F19" s="261"/>
      <c r="G19" s="261"/>
      <c r="H19" s="261"/>
      <c r="I19" s="261"/>
      <c r="J19" s="261"/>
      <c r="K19" s="261"/>
      <c r="L19" s="261">
        <f t="shared" si="0"/>
        <v>0</v>
      </c>
    </row>
    <row r="20" spans="1:13" ht="21.75" customHeight="1" x14ac:dyDescent="0.25">
      <c r="A20" s="32" t="s">
        <v>241</v>
      </c>
      <c r="B20" s="38" t="s">
        <v>251</v>
      </c>
      <c r="C20" s="187" t="s">
        <v>223</v>
      </c>
      <c r="D20" s="261">
        <f>+D8+D9+D10+D11+D12+D16+D17+D18</f>
        <v>171374</v>
      </c>
      <c r="E20" s="261">
        <f t="shared" ref="E20:K20" si="2">+E8+E9+E10+E11+E12+E16+E17+E18</f>
        <v>270995044</v>
      </c>
      <c r="F20" s="261">
        <f t="shared" si="2"/>
        <v>22378107</v>
      </c>
      <c r="G20" s="261">
        <f t="shared" si="2"/>
        <v>500000</v>
      </c>
      <c r="H20" s="261">
        <f t="shared" si="2"/>
        <v>0</v>
      </c>
      <c r="I20" s="261">
        <f t="shared" si="2"/>
        <v>0</v>
      </c>
      <c r="J20" s="261">
        <f t="shared" si="2"/>
        <v>4181814</v>
      </c>
      <c r="K20" s="261">
        <f t="shared" si="2"/>
        <v>0</v>
      </c>
      <c r="L20" s="261">
        <f t="shared" si="0"/>
        <v>298226339</v>
      </c>
      <c r="M20" s="120"/>
    </row>
    <row r="21" spans="1:13" ht="21.75" customHeight="1" x14ac:dyDescent="0.25">
      <c r="A21" s="32" t="s">
        <v>242</v>
      </c>
      <c r="B21" s="38" t="s">
        <v>236</v>
      </c>
      <c r="C21" s="187" t="s">
        <v>232</v>
      </c>
      <c r="D21" s="261">
        <f t="shared" ref="D21:K21" si="3">SUM(D22:D25)</f>
        <v>0</v>
      </c>
      <c r="E21" s="261">
        <f t="shared" si="3"/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261">
        <f t="shared" si="3"/>
        <v>0</v>
      </c>
      <c r="J21" s="261">
        <f>SUM(J22:J25)</f>
        <v>0</v>
      </c>
      <c r="K21" s="261">
        <f t="shared" si="3"/>
        <v>0</v>
      </c>
      <c r="L21" s="261">
        <f t="shared" si="0"/>
        <v>0</v>
      </c>
    </row>
    <row r="22" spans="1:13" ht="21.75" customHeight="1" x14ac:dyDescent="0.25">
      <c r="A22" s="32" t="s">
        <v>243</v>
      </c>
      <c r="B22" s="132" t="s">
        <v>191</v>
      </c>
      <c r="C22" s="188"/>
      <c r="D22" s="261"/>
      <c r="E22" s="261"/>
      <c r="F22" s="261"/>
      <c r="G22" s="261"/>
      <c r="H22" s="261"/>
      <c r="I22" s="261"/>
      <c r="J22" s="261"/>
      <c r="K22" s="261"/>
      <c r="L22" s="261">
        <f t="shared" si="0"/>
        <v>0</v>
      </c>
    </row>
    <row r="23" spans="1:13" ht="21.75" customHeight="1" x14ac:dyDescent="0.25">
      <c r="A23" s="32" t="s">
        <v>244</v>
      </c>
      <c r="B23" s="39" t="s">
        <v>585</v>
      </c>
      <c r="C23" s="188"/>
      <c r="D23" s="261"/>
      <c r="E23" s="261"/>
      <c r="F23" s="261"/>
      <c r="G23" s="261"/>
      <c r="H23" s="261"/>
      <c r="I23" s="261"/>
      <c r="J23" s="261"/>
      <c r="K23" s="261"/>
      <c r="L23" s="261">
        <f t="shared" si="0"/>
        <v>0</v>
      </c>
    </row>
    <row r="24" spans="1:13" ht="21.75" customHeight="1" x14ac:dyDescent="0.25">
      <c r="A24" s="32" t="s">
        <v>245</v>
      </c>
      <c r="B24" s="39" t="s">
        <v>586</v>
      </c>
      <c r="C24" s="188"/>
      <c r="D24" s="261"/>
      <c r="E24" s="261"/>
      <c r="F24" s="261"/>
      <c r="G24" s="261"/>
      <c r="H24" s="261"/>
      <c r="I24" s="261"/>
      <c r="J24" s="261"/>
      <c r="K24" s="261"/>
      <c r="L24" s="261">
        <f t="shared" si="0"/>
        <v>0</v>
      </c>
    </row>
    <row r="25" spans="1:13" ht="21.75" customHeight="1" x14ac:dyDescent="0.25">
      <c r="A25" s="32" t="s">
        <v>246</v>
      </c>
      <c r="B25" s="39" t="s">
        <v>134</v>
      </c>
      <c r="C25" s="188"/>
      <c r="D25" s="261"/>
      <c r="E25" s="261"/>
      <c r="F25" s="261"/>
      <c r="G25" s="261"/>
      <c r="H25" s="261"/>
      <c r="I25" s="261"/>
      <c r="J25" s="261"/>
      <c r="K25" s="261"/>
      <c r="L25" s="261">
        <f t="shared" si="0"/>
        <v>0</v>
      </c>
    </row>
    <row r="26" spans="1:13" ht="21.75" customHeight="1" x14ac:dyDescent="0.25">
      <c r="A26" s="32" t="s">
        <v>247</v>
      </c>
      <c r="B26" s="338" t="s">
        <v>889</v>
      </c>
      <c r="C26" s="188"/>
      <c r="D26" s="261"/>
      <c r="E26" s="261"/>
      <c r="F26" s="261"/>
      <c r="G26" s="261"/>
      <c r="H26" s="261"/>
      <c r="I26" s="261"/>
      <c r="J26" s="261"/>
      <c r="K26" s="261"/>
      <c r="L26" s="261">
        <f t="shared" si="0"/>
        <v>0</v>
      </c>
    </row>
    <row r="27" spans="1:13" s="43" customFormat="1" ht="21.75" customHeight="1" x14ac:dyDescent="0.25">
      <c r="A27" s="32" t="s">
        <v>248</v>
      </c>
      <c r="B27" s="40" t="s">
        <v>32</v>
      </c>
      <c r="C27" s="187"/>
      <c r="D27" s="262">
        <f t="shared" ref="D27:K27" si="4">+D8+D9+D10+D11+D12+D22+D23</f>
        <v>171374</v>
      </c>
      <c r="E27" s="262">
        <f t="shared" si="4"/>
        <v>270677544</v>
      </c>
      <c r="F27" s="262">
        <f t="shared" si="4"/>
        <v>22251107</v>
      </c>
      <c r="G27" s="262">
        <f t="shared" si="4"/>
        <v>500000</v>
      </c>
      <c r="H27" s="262">
        <f t="shared" si="4"/>
        <v>0</v>
      </c>
      <c r="I27" s="262">
        <f>+I8+I9+I10+I11+I12+I22+I23</f>
        <v>0</v>
      </c>
      <c r="J27" s="262">
        <f>+J8+J9+J10+J11+J12+J22+J23</f>
        <v>4181814</v>
      </c>
      <c r="K27" s="262">
        <f t="shared" si="4"/>
        <v>0</v>
      </c>
      <c r="L27" s="261">
        <f t="shared" si="0"/>
        <v>297781839</v>
      </c>
    </row>
    <row r="28" spans="1:13" s="43" customFormat="1" ht="21.75" customHeight="1" x14ac:dyDescent="0.25">
      <c r="A28" s="32" t="s">
        <v>276</v>
      </c>
      <c r="B28" s="40" t="s">
        <v>33</v>
      </c>
      <c r="C28" s="187"/>
      <c r="D28" s="262">
        <f t="shared" ref="D28:K28" si="5">+D16+D17+D18+D24+D25</f>
        <v>0</v>
      </c>
      <c r="E28" s="262">
        <f t="shared" si="5"/>
        <v>317500</v>
      </c>
      <c r="F28" s="262">
        <f t="shared" si="5"/>
        <v>127000</v>
      </c>
      <c r="G28" s="262">
        <f t="shared" si="5"/>
        <v>0</v>
      </c>
      <c r="H28" s="262">
        <f t="shared" si="5"/>
        <v>0</v>
      </c>
      <c r="I28" s="262">
        <f>+I16+I17+I18+I24+I25</f>
        <v>0</v>
      </c>
      <c r="J28" s="262">
        <f>+J16+J17+J18+J24+J25</f>
        <v>0</v>
      </c>
      <c r="K28" s="262">
        <f t="shared" si="5"/>
        <v>0</v>
      </c>
      <c r="L28" s="261">
        <f t="shared" si="0"/>
        <v>444500</v>
      </c>
    </row>
    <row r="29" spans="1:13" s="43" customFormat="1" ht="21.75" customHeight="1" x14ac:dyDescent="0.25">
      <c r="A29" s="32" t="s">
        <v>277</v>
      </c>
      <c r="B29" s="40" t="s">
        <v>343</v>
      </c>
      <c r="C29" s="187" t="s">
        <v>31</v>
      </c>
      <c r="D29" s="262">
        <f t="shared" ref="D29:K29" si="6">SUM(D27:D28)</f>
        <v>171374</v>
      </c>
      <c r="E29" s="262">
        <f t="shared" si="6"/>
        <v>270995044</v>
      </c>
      <c r="F29" s="262">
        <f t="shared" si="6"/>
        <v>22378107</v>
      </c>
      <c r="G29" s="262">
        <f t="shared" si="6"/>
        <v>500000</v>
      </c>
      <c r="H29" s="262">
        <f t="shared" si="6"/>
        <v>0</v>
      </c>
      <c r="I29" s="262">
        <f>SUM(I27:I28)</f>
        <v>0</v>
      </c>
      <c r="J29" s="262">
        <f>SUM(J27:J28)</f>
        <v>4181814</v>
      </c>
      <c r="K29" s="262">
        <f t="shared" si="6"/>
        <v>0</v>
      </c>
      <c r="L29" s="261">
        <f t="shared" si="0"/>
        <v>298226339</v>
      </c>
    </row>
    <row r="30" spans="1:13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/>
      <c r="K30" s="261"/>
      <c r="L30" s="261">
        <f t="shared" si="0"/>
        <v>0</v>
      </c>
    </row>
    <row r="31" spans="1:13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/>
      <c r="K31" s="261"/>
      <c r="L31" s="261">
        <f t="shared" si="0"/>
        <v>0</v>
      </c>
    </row>
    <row r="32" spans="1:13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/>
      <c r="J32" s="261"/>
      <c r="K32" s="261"/>
      <c r="L32" s="261">
        <f t="shared" si="0"/>
        <v>0</v>
      </c>
    </row>
    <row r="33" spans="1:13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1">
        <v>200020</v>
      </c>
      <c r="F33" s="261"/>
      <c r="G33" s="261"/>
      <c r="H33" s="261"/>
      <c r="I33" s="261">
        <v>171374</v>
      </c>
      <c r="J33" s="261"/>
      <c r="K33" s="261"/>
      <c r="L33" s="261">
        <f t="shared" si="0"/>
        <v>371394</v>
      </c>
    </row>
    <row r="34" spans="1:13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/>
      <c r="K34" s="261"/>
      <c r="L34" s="261">
        <f t="shared" si="0"/>
        <v>0</v>
      </c>
    </row>
    <row r="35" spans="1:13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/>
      <c r="K35" s="261"/>
      <c r="L35" s="261">
        <f t="shared" si="0"/>
        <v>0</v>
      </c>
    </row>
    <row r="36" spans="1:13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/>
      <c r="J36" s="261"/>
      <c r="K36" s="261"/>
      <c r="L36" s="261">
        <f t="shared" si="0"/>
        <v>0</v>
      </c>
    </row>
    <row r="37" spans="1:13" ht="21.75" customHeight="1" x14ac:dyDescent="0.25">
      <c r="A37" s="32" t="s">
        <v>285</v>
      </c>
      <c r="B37" s="35" t="s">
        <v>254</v>
      </c>
      <c r="C37" s="38" t="s">
        <v>231</v>
      </c>
      <c r="D37" s="261">
        <f t="shared" ref="D37:K37" si="7">+D30+D31+D32+D33+D34+D35+D36</f>
        <v>0</v>
      </c>
      <c r="E37" s="261">
        <f t="shared" si="7"/>
        <v>200020</v>
      </c>
      <c r="F37" s="261">
        <f t="shared" si="7"/>
        <v>0</v>
      </c>
      <c r="G37" s="261">
        <f t="shared" si="7"/>
        <v>0</v>
      </c>
      <c r="H37" s="261">
        <f t="shared" si="7"/>
        <v>0</v>
      </c>
      <c r="I37" s="261">
        <f>+I30+I31+I32+I33+I34+I35+I36</f>
        <v>171374</v>
      </c>
      <c r="J37" s="261">
        <f>+J30+J31+J32+J33+J34+J35+J36</f>
        <v>0</v>
      </c>
      <c r="K37" s="261">
        <f t="shared" si="7"/>
        <v>0</v>
      </c>
      <c r="L37" s="261">
        <f t="shared" si="0"/>
        <v>371394</v>
      </c>
      <c r="M37" s="120">
        <f>SUM(L30:L36)</f>
        <v>371394</v>
      </c>
    </row>
    <row r="38" spans="1:13" ht="21.75" customHeight="1" x14ac:dyDescent="0.25">
      <c r="A38" s="32" t="s">
        <v>286</v>
      </c>
      <c r="B38" s="38" t="s">
        <v>255</v>
      </c>
      <c r="C38" s="187" t="s">
        <v>233</v>
      </c>
      <c r="D38" s="261">
        <f t="shared" ref="D38:K38" si="8">SUM(D40:D44)</f>
        <v>297854945</v>
      </c>
      <c r="E38" s="261">
        <f t="shared" si="8"/>
        <v>0</v>
      </c>
      <c r="F38" s="261">
        <f t="shared" si="8"/>
        <v>0</v>
      </c>
      <c r="G38" s="261">
        <f t="shared" si="8"/>
        <v>0</v>
      </c>
      <c r="H38" s="261">
        <f t="shared" si="8"/>
        <v>0</v>
      </c>
      <c r="I38" s="261">
        <f>SUM(I40:I44)</f>
        <v>0</v>
      </c>
      <c r="J38" s="261">
        <f>SUM(J40:J44)</f>
        <v>0</v>
      </c>
      <c r="K38" s="261">
        <f t="shared" si="8"/>
        <v>0</v>
      </c>
      <c r="L38" s="261">
        <f t="shared" si="0"/>
        <v>297854945</v>
      </c>
    </row>
    <row r="39" spans="1:13" ht="21.75" customHeight="1" x14ac:dyDescent="0.25">
      <c r="A39" s="32" t="s">
        <v>287</v>
      </c>
      <c r="B39" s="132" t="s">
        <v>598</v>
      </c>
      <c r="C39" s="187"/>
      <c r="D39" s="261"/>
      <c r="E39" s="261"/>
      <c r="F39" s="261"/>
      <c r="G39" s="261"/>
      <c r="H39" s="261"/>
      <c r="I39" s="261"/>
      <c r="J39" s="261"/>
      <c r="K39" s="261"/>
      <c r="L39" s="261">
        <f t="shared" si="0"/>
        <v>0</v>
      </c>
    </row>
    <row r="40" spans="1:13" ht="21.75" customHeight="1" x14ac:dyDescent="0.25">
      <c r="A40" s="32" t="s">
        <v>288</v>
      </c>
      <c r="B40" s="39" t="s">
        <v>932</v>
      </c>
      <c r="C40" s="188"/>
      <c r="D40" s="261">
        <v>1425305</v>
      </c>
      <c r="E40" s="261"/>
      <c r="F40" s="261"/>
      <c r="G40" s="261"/>
      <c r="H40" s="261"/>
      <c r="I40" s="261"/>
      <c r="J40" s="261"/>
      <c r="K40" s="261"/>
      <c r="L40" s="261">
        <f t="shared" si="0"/>
        <v>1425305</v>
      </c>
    </row>
    <row r="41" spans="1:13" ht="21.75" customHeight="1" x14ac:dyDescent="0.25">
      <c r="A41" s="32" t="s">
        <v>292</v>
      </c>
      <c r="B41" s="39" t="s">
        <v>933</v>
      </c>
      <c r="C41" s="188"/>
      <c r="D41" s="261"/>
      <c r="E41" s="261"/>
      <c r="F41" s="261"/>
      <c r="G41" s="261"/>
      <c r="H41" s="261"/>
      <c r="I41" s="261"/>
      <c r="J41" s="261"/>
      <c r="K41" s="261"/>
      <c r="L41" s="261">
        <f t="shared" si="0"/>
        <v>0</v>
      </c>
    </row>
    <row r="42" spans="1:13" ht="21.75" customHeight="1" x14ac:dyDescent="0.25">
      <c r="A42" s="32" t="s">
        <v>293</v>
      </c>
      <c r="B42" s="39" t="s">
        <v>570</v>
      </c>
      <c r="C42" s="188"/>
      <c r="D42" s="261">
        <f>+L27-L30-L32-L33-L35-L40</f>
        <v>295985140</v>
      </c>
      <c r="E42" s="261"/>
      <c r="F42" s="261"/>
      <c r="G42" s="261"/>
      <c r="H42" s="261"/>
      <c r="I42" s="261"/>
      <c r="J42" s="261"/>
      <c r="K42" s="261"/>
      <c r="L42" s="261">
        <f t="shared" si="0"/>
        <v>295985140</v>
      </c>
    </row>
    <row r="43" spans="1:13" ht="21.75" customHeight="1" x14ac:dyDescent="0.25">
      <c r="A43" s="32" t="s">
        <v>294</v>
      </c>
      <c r="B43" s="39" t="s">
        <v>571</v>
      </c>
      <c r="C43" s="188"/>
      <c r="D43" s="261">
        <f>+L28-L31-L34-L36-L41</f>
        <v>444500</v>
      </c>
      <c r="E43" s="261"/>
      <c r="F43" s="261"/>
      <c r="G43" s="261"/>
      <c r="H43" s="261"/>
      <c r="I43" s="261"/>
      <c r="J43" s="261"/>
      <c r="K43" s="261"/>
      <c r="L43" s="261">
        <f t="shared" si="0"/>
        <v>444500</v>
      </c>
    </row>
    <row r="44" spans="1:13" ht="21.75" customHeight="1" x14ac:dyDescent="0.25">
      <c r="A44" s="32" t="s">
        <v>295</v>
      </c>
      <c r="B44" s="39" t="s">
        <v>608</v>
      </c>
      <c r="C44" s="188"/>
      <c r="D44" s="261"/>
      <c r="E44" s="261"/>
      <c r="F44" s="261"/>
      <c r="G44" s="261"/>
      <c r="H44" s="261"/>
      <c r="I44" s="261"/>
      <c r="J44" s="261"/>
      <c r="K44" s="261"/>
      <c r="L44" s="261">
        <f t="shared" si="0"/>
        <v>0</v>
      </c>
    </row>
    <row r="45" spans="1:13" ht="21.75" customHeight="1" x14ac:dyDescent="0.25">
      <c r="A45" s="32" t="s">
        <v>296</v>
      </c>
      <c r="B45" s="338" t="s">
        <v>888</v>
      </c>
      <c r="C45" s="188"/>
      <c r="D45" s="261"/>
      <c r="E45" s="261"/>
      <c r="F45" s="261"/>
      <c r="G45" s="261"/>
      <c r="H45" s="261"/>
      <c r="I45" s="261"/>
      <c r="J45" s="261"/>
      <c r="K45" s="261"/>
      <c r="L45" s="261">
        <f t="shared" si="0"/>
        <v>0</v>
      </c>
    </row>
    <row r="46" spans="1:13" s="43" customFormat="1" ht="21.75" customHeight="1" x14ac:dyDescent="0.25">
      <c r="A46" s="32" t="s">
        <v>297</v>
      </c>
      <c r="B46" s="40" t="s">
        <v>120</v>
      </c>
      <c r="C46" s="187"/>
      <c r="D46" s="262">
        <f t="shared" ref="D46:K46" si="9">+D30+D32+D33+D35+D40+D42</f>
        <v>297410445</v>
      </c>
      <c r="E46" s="262">
        <f t="shared" si="9"/>
        <v>200020</v>
      </c>
      <c r="F46" s="262">
        <f t="shared" si="9"/>
        <v>0</v>
      </c>
      <c r="G46" s="262">
        <f t="shared" si="9"/>
        <v>0</v>
      </c>
      <c r="H46" s="262">
        <f t="shared" si="9"/>
        <v>0</v>
      </c>
      <c r="I46" s="262">
        <f>+I30+I32+I33+I35+I40+I42</f>
        <v>171374</v>
      </c>
      <c r="J46" s="262">
        <f>+J30+J32+J33+J35+J40+J42</f>
        <v>0</v>
      </c>
      <c r="K46" s="262">
        <f t="shared" si="9"/>
        <v>0</v>
      </c>
      <c r="L46" s="261">
        <f t="shared" si="0"/>
        <v>297781839</v>
      </c>
      <c r="M46" s="122">
        <f>L42</f>
        <v>295985140</v>
      </c>
    </row>
    <row r="47" spans="1:13" s="43" customFormat="1" ht="21.75" customHeight="1" x14ac:dyDescent="0.25">
      <c r="A47" s="32" t="s">
        <v>298</v>
      </c>
      <c r="B47" s="40" t="s">
        <v>121</v>
      </c>
      <c r="C47" s="187"/>
      <c r="D47" s="262">
        <f t="shared" ref="D47:K47" si="10">+D31+D34+D36+D41+D428+D44+D43</f>
        <v>444500</v>
      </c>
      <c r="E47" s="262">
        <f t="shared" si="10"/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>+I31+I34+I36+I41+I428+I44+I43</f>
        <v>0</v>
      </c>
      <c r="J47" s="262">
        <f>+J31+J34+J36+J41+J428+J44+J43</f>
        <v>0</v>
      </c>
      <c r="K47" s="262">
        <f t="shared" si="10"/>
        <v>0</v>
      </c>
      <c r="L47" s="261">
        <f t="shared" si="0"/>
        <v>444500</v>
      </c>
    </row>
    <row r="48" spans="1:13" s="43" customFormat="1" ht="21.75" customHeight="1" x14ac:dyDescent="0.25">
      <c r="A48" s="32" t="s">
        <v>299</v>
      </c>
      <c r="B48" s="40" t="s">
        <v>344</v>
      </c>
      <c r="C48" s="187"/>
      <c r="D48" s="262">
        <f t="shared" ref="D48:K48" si="11">+D46+D47</f>
        <v>297854945</v>
      </c>
      <c r="E48" s="262">
        <f t="shared" si="11"/>
        <v>200020</v>
      </c>
      <c r="F48" s="262">
        <f t="shared" si="11"/>
        <v>0</v>
      </c>
      <c r="G48" s="262">
        <f t="shared" si="11"/>
        <v>0</v>
      </c>
      <c r="H48" s="262">
        <f t="shared" si="11"/>
        <v>0</v>
      </c>
      <c r="I48" s="262">
        <f>+I46+I47</f>
        <v>171374</v>
      </c>
      <c r="J48" s="262">
        <f>+J46+J47</f>
        <v>0</v>
      </c>
      <c r="K48" s="262">
        <f t="shared" si="11"/>
        <v>0</v>
      </c>
      <c r="L48" s="261">
        <f t="shared" si="0"/>
        <v>298226339</v>
      </c>
      <c r="M48" s="122">
        <f>L48-L29</f>
        <v>0</v>
      </c>
    </row>
    <row r="49" spans="1:12" ht="21.75" customHeight="1" x14ac:dyDescent="0.25">
      <c r="A49" s="32" t="s">
        <v>300</v>
      </c>
      <c r="B49" s="585" t="s">
        <v>465</v>
      </c>
      <c r="C49" s="264"/>
      <c r="D49" s="261"/>
      <c r="E49" s="261">
        <v>48</v>
      </c>
      <c r="F49" s="261">
        <v>4</v>
      </c>
      <c r="G49" s="261"/>
      <c r="H49" s="261"/>
      <c r="I49" s="261"/>
      <c r="J49" s="261"/>
      <c r="K49" s="261"/>
      <c r="L49" s="261">
        <f t="shared" si="0"/>
        <v>52</v>
      </c>
    </row>
    <row r="50" spans="1:12" ht="21.75" customHeight="1" x14ac:dyDescent="0.25">
      <c r="A50" s="32" t="s">
        <v>301</v>
      </c>
      <c r="B50" s="65" t="s">
        <v>1047</v>
      </c>
      <c r="C50" s="264"/>
      <c r="D50" s="310"/>
      <c r="E50" s="310"/>
      <c r="F50" s="310"/>
      <c r="G50" s="310"/>
      <c r="H50" s="310"/>
      <c r="I50" s="310"/>
      <c r="J50" s="310"/>
      <c r="K50" s="310"/>
      <c r="L50" s="261">
        <f t="shared" si="0"/>
        <v>0</v>
      </c>
    </row>
  </sheetData>
  <mergeCells count="16">
    <mergeCell ref="G5:G6"/>
    <mergeCell ref="L3:L6"/>
    <mergeCell ref="E5:E6"/>
    <mergeCell ref="F5:F6"/>
    <mergeCell ref="K5:K6"/>
    <mergeCell ref="I5:I6"/>
    <mergeCell ref="H2:L2"/>
    <mergeCell ref="J5:J6"/>
    <mergeCell ref="B4:C4"/>
    <mergeCell ref="B5:C5"/>
    <mergeCell ref="A3:A6"/>
    <mergeCell ref="B3:C3"/>
    <mergeCell ref="A2:C2"/>
    <mergeCell ref="D2:G2"/>
    <mergeCell ref="D5:D6"/>
    <mergeCell ref="H5:H6"/>
  </mergeCells>
  <phoneticPr fontId="41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1" manualBreakCount="1">
    <brk id="7" max="49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3" zoomScaleNormal="100" zoomScaleSheetLayoutView="83" workbookViewId="0">
      <selection activeCell="E19" sqref="E19"/>
    </sheetView>
  </sheetViews>
  <sheetFormatPr defaultRowHeight="12.75" x14ac:dyDescent="0.2"/>
  <cols>
    <col min="1" max="1" width="31.42578125" bestFit="1" customWidth="1"/>
    <col min="2" max="2" width="11.5703125" customWidth="1"/>
    <col min="3" max="3" width="10" bestFit="1" customWidth="1"/>
    <col min="5" max="5" width="11" customWidth="1"/>
    <col min="6" max="6" width="11.5703125" bestFit="1" customWidth="1"/>
    <col min="7" max="8" width="11.140625" bestFit="1" customWidth="1"/>
  </cols>
  <sheetData>
    <row r="1" spans="1:7" x14ac:dyDescent="0.2">
      <c r="A1" s="1329" t="s">
        <v>1420</v>
      </c>
      <c r="B1" s="1329"/>
      <c r="C1" s="1329"/>
      <c r="D1" s="1329"/>
      <c r="E1" s="1329"/>
    </row>
    <row r="2" spans="1:7" x14ac:dyDescent="0.2">
      <c r="A2" s="834"/>
      <c r="B2" s="834"/>
      <c r="C2" s="11"/>
      <c r="D2" s="11"/>
      <c r="E2" s="11"/>
    </row>
    <row r="3" spans="1:7" ht="48" customHeight="1" x14ac:dyDescent="0.25">
      <c r="A3" s="835" t="s">
        <v>1421</v>
      </c>
      <c r="B3" s="890"/>
      <c r="C3" s="11"/>
      <c r="D3" s="11"/>
      <c r="E3" s="11"/>
    </row>
    <row r="4" spans="1:7" ht="13.5" thickBot="1" x14ac:dyDescent="0.25">
      <c r="A4" s="834"/>
      <c r="B4" s="837"/>
      <c r="C4" s="11"/>
      <c r="D4" s="11"/>
      <c r="E4" s="11"/>
    </row>
    <row r="5" spans="1:7" ht="17.25" customHeight="1" thickBot="1" x14ac:dyDescent="0.25">
      <c r="A5" s="838" t="s">
        <v>1422</v>
      </c>
      <c r="B5" s="839" t="s">
        <v>1496</v>
      </c>
      <c r="C5" s="840" t="s">
        <v>1227</v>
      </c>
      <c r="D5" s="841" t="s">
        <v>1495</v>
      </c>
      <c r="E5" s="842" t="s">
        <v>126</v>
      </c>
    </row>
    <row r="6" spans="1:7" ht="17.25" customHeight="1" x14ac:dyDescent="0.2">
      <c r="A6" s="843" t="s">
        <v>1423</v>
      </c>
      <c r="B6" s="844"/>
      <c r="C6" s="845"/>
      <c r="D6" s="846"/>
      <c r="E6" s="847">
        <f>SUM(B6:D6)</f>
        <v>0</v>
      </c>
    </row>
    <row r="7" spans="1:7" ht="17.25" customHeight="1" x14ac:dyDescent="0.2">
      <c r="A7" s="848" t="s">
        <v>1424</v>
      </c>
      <c r="B7" s="849"/>
      <c r="C7" s="850"/>
      <c r="D7" s="851"/>
      <c r="E7" s="852">
        <f t="shared" ref="E7:E12" si="0">SUM(B7:D7)</f>
        <v>0</v>
      </c>
    </row>
    <row r="8" spans="1:7" ht="17.25" customHeight="1" x14ac:dyDescent="0.2">
      <c r="A8" s="853" t="s">
        <v>1425</v>
      </c>
      <c r="B8" s="854"/>
      <c r="C8" s="855"/>
      <c r="D8" s="856"/>
      <c r="E8" s="852">
        <f t="shared" si="0"/>
        <v>0</v>
      </c>
      <c r="F8">
        <v>192217756</v>
      </c>
      <c r="G8" s="787">
        <f>+F8-E8</f>
        <v>192217756</v>
      </c>
    </row>
    <row r="9" spans="1:7" ht="17.25" customHeight="1" x14ac:dyDescent="0.2">
      <c r="A9" s="853" t="s">
        <v>1426</v>
      </c>
      <c r="B9" s="854"/>
      <c r="C9" s="855"/>
      <c r="D9" s="856"/>
      <c r="E9" s="852">
        <f t="shared" si="0"/>
        <v>0</v>
      </c>
    </row>
    <row r="10" spans="1:7" ht="17.25" customHeight="1" x14ac:dyDescent="0.2">
      <c r="A10" s="853" t="s">
        <v>1427</v>
      </c>
      <c r="B10" s="854"/>
      <c r="C10" s="855"/>
      <c r="D10" s="856"/>
      <c r="E10" s="852">
        <f t="shared" si="0"/>
        <v>0</v>
      </c>
    </row>
    <row r="11" spans="1:7" ht="17.25" customHeight="1" thickBot="1" x14ac:dyDescent="0.25">
      <c r="A11" s="853" t="s">
        <v>1428</v>
      </c>
      <c r="B11" s="854"/>
      <c r="C11" s="855"/>
      <c r="D11" s="856"/>
      <c r="E11" s="902">
        <f t="shared" si="0"/>
        <v>0</v>
      </c>
    </row>
    <row r="12" spans="1:7" ht="17.25" customHeight="1" thickBot="1" x14ac:dyDescent="0.25">
      <c r="A12" s="857" t="s">
        <v>1429</v>
      </c>
      <c r="B12" s="858">
        <f>SUM(B6:B11)</f>
        <v>0</v>
      </c>
      <c r="C12" s="859">
        <f>SUM(C6:C11)</f>
        <v>0</v>
      </c>
      <c r="D12" s="860"/>
      <c r="E12" s="903">
        <f t="shared" si="0"/>
        <v>0</v>
      </c>
    </row>
    <row r="13" spans="1:7" ht="17.25" customHeight="1" thickBot="1" x14ac:dyDescent="0.25">
      <c r="A13" s="861"/>
      <c r="B13" s="862"/>
      <c r="C13" s="11"/>
      <c r="D13" s="11"/>
      <c r="E13" s="11"/>
    </row>
    <row r="14" spans="1:7" ht="17.25" customHeight="1" thickBot="1" x14ac:dyDescent="0.25">
      <c r="A14" s="838" t="s">
        <v>1430</v>
      </c>
      <c r="B14" s="839" t="s">
        <v>1496</v>
      </c>
      <c r="C14" s="840" t="s">
        <v>1227</v>
      </c>
      <c r="D14" s="841" t="s">
        <v>1495</v>
      </c>
      <c r="E14" s="842" t="s">
        <v>126</v>
      </c>
    </row>
    <row r="15" spans="1:7" ht="17.25" customHeight="1" x14ac:dyDescent="0.2">
      <c r="A15" s="843" t="s">
        <v>1431</v>
      </c>
      <c r="B15" s="844"/>
      <c r="C15" s="845"/>
      <c r="D15" s="846"/>
      <c r="E15" s="847">
        <f>SUM(B15:D15)</f>
        <v>0</v>
      </c>
    </row>
    <row r="16" spans="1:7" ht="17.25" customHeight="1" x14ac:dyDescent="0.2">
      <c r="A16" s="863" t="s">
        <v>1432</v>
      </c>
      <c r="B16" s="864"/>
      <c r="C16" s="865"/>
      <c r="D16" s="866"/>
      <c r="E16" s="852">
        <f>SUM(B16:D16)</f>
        <v>0</v>
      </c>
    </row>
    <row r="17" spans="1:8" ht="17.25" customHeight="1" x14ac:dyDescent="0.2">
      <c r="A17" s="867" t="s">
        <v>1433</v>
      </c>
      <c r="B17" s="854"/>
      <c r="C17" s="855"/>
      <c r="D17" s="866"/>
      <c r="E17" s="852">
        <f>SUM(B17:D17)</f>
        <v>0</v>
      </c>
    </row>
    <row r="18" spans="1:8" ht="17.25" customHeight="1" thickBot="1" x14ac:dyDescent="0.25">
      <c r="A18" s="853" t="s">
        <v>1434</v>
      </c>
      <c r="B18" s="854"/>
      <c r="C18" s="855"/>
      <c r="D18" s="856"/>
      <c r="E18" s="902">
        <f>SUM(B18:D18)</f>
        <v>0</v>
      </c>
      <c r="H18">
        <v>62550811</v>
      </c>
    </row>
    <row r="19" spans="1:8" ht="17.25" customHeight="1" thickBot="1" x14ac:dyDescent="0.25">
      <c r="A19" s="857" t="s">
        <v>759</v>
      </c>
      <c r="B19" s="858">
        <f>SUM(B15:B18)</f>
        <v>0</v>
      </c>
      <c r="C19" s="858">
        <f>SUM(C15:C18)</f>
        <v>0</v>
      </c>
      <c r="D19" s="868"/>
      <c r="E19" s="903">
        <f>SUM(B19:D19)</f>
        <v>0</v>
      </c>
      <c r="F19" s="869"/>
      <c r="H19" s="787">
        <f>+H18-F19</f>
        <v>62550811</v>
      </c>
    </row>
    <row r="20" spans="1:8" x14ac:dyDescent="0.2">
      <c r="A20" s="834"/>
      <c r="B20" s="836"/>
      <c r="C20" s="385"/>
      <c r="D20" s="385"/>
      <c r="E20" s="385"/>
      <c r="F20" s="449"/>
      <c r="G20" s="787"/>
      <c r="H20" s="787">
        <f>+H19-430050</f>
        <v>62120761</v>
      </c>
    </row>
    <row r="21" spans="1:8" x14ac:dyDescent="0.2">
      <c r="A21" s="834"/>
      <c r="B21" s="836"/>
      <c r="C21" s="11"/>
      <c r="D21" s="11"/>
      <c r="E21" s="11"/>
    </row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orientation="portrait" r:id="rId1"/>
  <headerFooter>
    <oddHeader>&amp;C2021. évi költségvetés
&amp;R&amp;A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5" customWidth="1"/>
    <col min="2" max="2" width="28.85546875" customWidth="1"/>
    <col min="3" max="3" width="26" customWidth="1"/>
    <col min="4" max="4" width="16.7109375" customWidth="1"/>
    <col min="5" max="5" width="16.5703125" customWidth="1"/>
    <col min="6" max="6" width="16.42578125" customWidth="1"/>
    <col min="9" max="9" width="9.5703125" bestFit="1" customWidth="1"/>
    <col min="10" max="10" width="10.140625" bestFit="1" customWidth="1"/>
  </cols>
  <sheetData>
    <row r="1" spans="1:6" ht="15.75" x14ac:dyDescent="0.25">
      <c r="A1" s="1330" t="s">
        <v>1435</v>
      </c>
      <c r="B1" s="1330"/>
      <c r="C1" s="1330"/>
      <c r="D1" s="1330"/>
      <c r="E1" s="1330"/>
      <c r="F1" s="1330"/>
    </row>
    <row r="2" spans="1:6" ht="13.5" thickBot="1" x14ac:dyDescent="0.25">
      <c r="A2" s="11"/>
      <c r="B2" s="11"/>
      <c r="C2" s="11"/>
      <c r="D2" s="11"/>
      <c r="E2" s="11"/>
      <c r="F2" s="11"/>
    </row>
    <row r="3" spans="1:6" ht="25.5" x14ac:dyDescent="0.2">
      <c r="A3" s="870"/>
      <c r="B3" s="871" t="s">
        <v>1436</v>
      </c>
      <c r="C3" s="871" t="s">
        <v>1437</v>
      </c>
      <c r="D3" s="871" t="s">
        <v>1438</v>
      </c>
      <c r="E3" s="871" t="s">
        <v>1497</v>
      </c>
      <c r="F3" s="872" t="s">
        <v>1498</v>
      </c>
    </row>
    <row r="4" spans="1:6" ht="71.25" customHeight="1" x14ac:dyDescent="0.2">
      <c r="A4" s="873" t="s">
        <v>203</v>
      </c>
      <c r="B4" s="929" t="s">
        <v>1510</v>
      </c>
      <c r="C4" s="633" t="s">
        <v>1439</v>
      </c>
      <c r="D4" s="874">
        <v>480000000</v>
      </c>
      <c r="E4" s="874">
        <v>480000000</v>
      </c>
      <c r="F4" s="875">
        <f>+D4-E4</f>
        <v>0</v>
      </c>
    </row>
    <row r="5" spans="1:6" ht="71.25" customHeight="1" x14ac:dyDescent="0.2">
      <c r="A5" s="904" t="s">
        <v>204</v>
      </c>
      <c r="B5" s="889" t="s">
        <v>1491</v>
      </c>
      <c r="C5" s="889" t="s">
        <v>1499</v>
      </c>
      <c r="D5" s="905">
        <v>5000000</v>
      </c>
      <c r="E5" s="905">
        <v>5000000</v>
      </c>
      <c r="F5" s="906">
        <f>+D5-E5</f>
        <v>0</v>
      </c>
    </row>
    <row r="6" spans="1:6" ht="24" customHeight="1" thickBot="1" x14ac:dyDescent="0.25">
      <c r="A6" s="1331" t="s">
        <v>1377</v>
      </c>
      <c r="B6" s="1332"/>
      <c r="C6" s="1332"/>
      <c r="D6" s="911">
        <f>SUM(D4:D5)</f>
        <v>485000000</v>
      </c>
      <c r="E6" s="911">
        <f>SUM(E4:E5)</f>
        <v>485000000</v>
      </c>
      <c r="F6" s="907">
        <f>SUM(F4:F5)</f>
        <v>0</v>
      </c>
    </row>
    <row r="7" spans="1:6" x14ac:dyDescent="0.2">
      <c r="A7" s="876"/>
      <c r="B7" s="877"/>
      <c r="C7" s="878"/>
      <c r="D7" s="879"/>
      <c r="E7" s="879"/>
      <c r="F7" s="879"/>
    </row>
    <row r="8" spans="1:6" x14ac:dyDescent="0.2">
      <c r="A8" s="876"/>
      <c r="B8" s="877"/>
      <c r="C8" s="878"/>
      <c r="D8" s="879"/>
      <c r="E8" s="879"/>
      <c r="F8" s="879"/>
    </row>
    <row r="9" spans="1:6" x14ac:dyDescent="0.2">
      <c r="A9" s="876"/>
      <c r="B9" s="877"/>
      <c r="C9" s="878"/>
      <c r="D9" s="879"/>
      <c r="E9" s="879"/>
      <c r="F9" s="879"/>
    </row>
    <row r="10" spans="1:6" x14ac:dyDescent="0.2">
      <c r="A10" s="876"/>
      <c r="B10" s="877"/>
      <c r="C10" s="878"/>
      <c r="D10" s="879"/>
      <c r="E10" s="879"/>
      <c r="F10" s="879"/>
    </row>
    <row r="11" spans="1:6" x14ac:dyDescent="0.2">
      <c r="A11" s="876"/>
      <c r="B11" s="877"/>
      <c r="C11" s="878"/>
      <c r="D11" s="879"/>
      <c r="E11" s="879"/>
      <c r="F11" s="879"/>
    </row>
    <row r="12" spans="1:6" x14ac:dyDescent="0.2">
      <c r="A12" s="876"/>
      <c r="B12" s="877"/>
      <c r="C12" s="878"/>
      <c r="D12" s="879"/>
      <c r="E12" s="879"/>
      <c r="F12" s="879"/>
    </row>
    <row r="13" spans="1:6" x14ac:dyDescent="0.2">
      <c r="A13" s="876"/>
      <c r="B13" s="877"/>
      <c r="C13" s="878"/>
      <c r="D13" s="879"/>
      <c r="E13" s="879"/>
      <c r="F13" s="879"/>
    </row>
    <row r="14" spans="1:6" x14ac:dyDescent="0.2">
      <c r="A14" s="876"/>
      <c r="B14" s="877"/>
      <c r="C14" s="878"/>
      <c r="D14" s="879"/>
      <c r="E14" s="879"/>
      <c r="F14" s="879"/>
    </row>
    <row r="15" spans="1:6" x14ac:dyDescent="0.2">
      <c r="A15" s="876"/>
      <c r="D15" s="880"/>
      <c r="E15" s="880"/>
      <c r="F15" s="880"/>
    </row>
    <row r="16" spans="1:6" x14ac:dyDescent="0.2">
      <c r="A16" s="881"/>
      <c r="D16" s="880"/>
      <c r="E16" s="880"/>
      <c r="F16" s="880"/>
    </row>
    <row r="17" spans="1:6" x14ac:dyDescent="0.2">
      <c r="A17" s="881"/>
      <c r="D17" s="880"/>
      <c r="E17" s="880"/>
      <c r="F17" s="880"/>
    </row>
    <row r="18" spans="1:6" x14ac:dyDescent="0.2">
      <c r="A18" s="881"/>
      <c r="D18" s="880"/>
      <c r="E18" s="880"/>
      <c r="F18" s="880"/>
    </row>
    <row r="19" spans="1:6" x14ac:dyDescent="0.2">
      <c r="A19" s="881"/>
      <c r="D19" s="880"/>
      <c r="E19" s="880"/>
      <c r="F19" s="880"/>
    </row>
    <row r="20" spans="1:6" x14ac:dyDescent="0.2">
      <c r="D20" s="880"/>
      <c r="E20" s="880"/>
      <c r="F20" s="880"/>
    </row>
    <row r="21" spans="1:6" x14ac:dyDescent="0.2">
      <c r="D21" s="880"/>
      <c r="E21" s="880"/>
      <c r="F21" s="880"/>
    </row>
    <row r="22" spans="1:6" x14ac:dyDescent="0.2">
      <c r="D22" s="880"/>
      <c r="E22" s="880"/>
      <c r="F22" s="880"/>
    </row>
    <row r="23" spans="1:6" x14ac:dyDescent="0.2">
      <c r="D23" s="880"/>
      <c r="E23" s="880"/>
      <c r="F23" s="880"/>
    </row>
    <row r="24" spans="1:6" x14ac:dyDescent="0.2">
      <c r="D24" s="880"/>
      <c r="E24" s="880"/>
      <c r="F24" s="880"/>
    </row>
    <row r="25" spans="1:6" x14ac:dyDescent="0.2">
      <c r="D25" s="880"/>
      <c r="E25" s="880"/>
      <c r="F25" s="880"/>
    </row>
    <row r="26" spans="1:6" x14ac:dyDescent="0.2">
      <c r="D26" s="880"/>
      <c r="E26" s="880"/>
      <c r="F26" s="880"/>
    </row>
    <row r="27" spans="1:6" x14ac:dyDescent="0.2">
      <c r="D27" s="880"/>
      <c r="E27" s="880"/>
      <c r="F27" s="880"/>
    </row>
    <row r="28" spans="1:6" x14ac:dyDescent="0.2">
      <c r="D28" s="880"/>
      <c r="E28" s="880"/>
      <c r="F28" s="880"/>
    </row>
    <row r="29" spans="1:6" x14ac:dyDescent="0.2">
      <c r="D29" s="880"/>
      <c r="E29" s="880"/>
      <c r="F29" s="880"/>
    </row>
    <row r="30" spans="1:6" x14ac:dyDescent="0.2">
      <c r="D30" s="880"/>
      <c r="E30" s="880"/>
      <c r="F30" s="880"/>
    </row>
    <row r="31" spans="1:6" x14ac:dyDescent="0.2">
      <c r="D31" s="880"/>
      <c r="E31" s="880"/>
      <c r="F31" s="880"/>
    </row>
    <row r="32" spans="1:6" x14ac:dyDescent="0.2">
      <c r="D32" s="880"/>
      <c r="E32" s="880"/>
      <c r="F32" s="880"/>
    </row>
    <row r="33" spans="4:6" x14ac:dyDescent="0.2">
      <c r="D33" s="880"/>
      <c r="E33" s="880"/>
      <c r="F33" s="880"/>
    </row>
    <row r="34" spans="4:6" x14ac:dyDescent="0.2">
      <c r="D34" s="880"/>
      <c r="E34" s="880"/>
      <c r="F34" s="880"/>
    </row>
    <row r="35" spans="4:6" x14ac:dyDescent="0.2">
      <c r="D35" s="880"/>
      <c r="E35" s="880"/>
      <c r="F35" s="880"/>
    </row>
  </sheetData>
  <mergeCells count="2">
    <mergeCell ref="A1:F1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&amp;C2021. évi költségvetés
&amp;R&amp;A
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"/>
  <sheetViews>
    <sheetView zoomScale="70" zoomScaleNormal="70" zoomScaleSheetLayoutView="70" workbookViewId="0">
      <pane xSplit="3" ySplit="7" topLeftCell="D37" activePane="bottomRight" state="frozen"/>
      <selection pane="topRight" activeCell="D1" sqref="D1"/>
      <selection pane="bottomLeft" activeCell="A8" sqref="A8"/>
      <selection pane="bottomRight" activeCell="D40" sqref="D40"/>
    </sheetView>
  </sheetViews>
  <sheetFormatPr defaultRowHeight="12.75" x14ac:dyDescent="0.2"/>
  <cols>
    <col min="1" max="1" width="7" style="24" customWidth="1"/>
    <col min="2" max="2" width="64.85546875" style="24" customWidth="1"/>
    <col min="3" max="3" width="7" style="184" customWidth="1"/>
    <col min="4" max="4" width="19.5703125" style="25" customWidth="1"/>
    <col min="5" max="5" width="21" style="25" customWidth="1"/>
    <col min="6" max="6" width="19.42578125" style="25" customWidth="1"/>
    <col min="7" max="7" width="23.5703125" style="25" customWidth="1"/>
    <col min="8" max="10" width="18.42578125" style="25" customWidth="1"/>
    <col min="11" max="11" width="16.5703125" style="24" customWidth="1"/>
    <col min="12" max="12" width="14.28515625" style="24" customWidth="1"/>
    <col min="13" max="16384" width="9.140625" style="24"/>
  </cols>
  <sheetData>
    <row r="1" spans="1:12" ht="15.75" x14ac:dyDescent="0.25">
      <c r="A1" s="254"/>
      <c r="B1" s="254"/>
      <c r="C1" s="265"/>
      <c r="D1" s="256"/>
      <c r="E1" s="256"/>
      <c r="F1" s="257"/>
      <c r="G1" s="257" t="s">
        <v>458</v>
      </c>
      <c r="H1" s="256"/>
      <c r="I1" s="256"/>
      <c r="J1" s="257" t="s">
        <v>458</v>
      </c>
    </row>
    <row r="2" spans="1:12" ht="39.75" customHeight="1" x14ac:dyDescent="0.2">
      <c r="A2" s="1098" t="s">
        <v>144</v>
      </c>
      <c r="B2" s="1099"/>
      <c r="C2" s="1100"/>
      <c r="D2" s="1086" t="s">
        <v>1049</v>
      </c>
      <c r="E2" s="1086"/>
      <c r="F2" s="1086"/>
      <c r="G2" s="1086"/>
      <c r="H2" s="1086" t="s">
        <v>1049</v>
      </c>
      <c r="I2" s="1086"/>
      <c r="J2" s="1086"/>
    </row>
    <row r="3" spans="1:12" s="27" customFormat="1" ht="102" customHeight="1" x14ac:dyDescent="0.2">
      <c r="A3" s="1097" t="s">
        <v>201</v>
      </c>
      <c r="B3" s="1096" t="s">
        <v>259</v>
      </c>
      <c r="C3" s="1096"/>
      <c r="D3" s="258" t="s">
        <v>508</v>
      </c>
      <c r="E3" s="592" t="s">
        <v>509</v>
      </c>
      <c r="F3" s="592" t="s">
        <v>510</v>
      </c>
      <c r="G3" s="592" t="s">
        <v>353</v>
      </c>
      <c r="H3" s="592" t="s">
        <v>509</v>
      </c>
      <c r="I3" s="592" t="s">
        <v>509</v>
      </c>
      <c r="J3" s="1088" t="s">
        <v>146</v>
      </c>
    </row>
    <row r="4" spans="1:12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8" t="s">
        <v>237</v>
      </c>
      <c r="H4" s="258" t="s">
        <v>237</v>
      </c>
      <c r="I4" s="258" t="s">
        <v>237</v>
      </c>
      <c r="J4" s="1088"/>
    </row>
    <row r="5" spans="1:12" s="27" customFormat="1" ht="15.75" customHeight="1" x14ac:dyDescent="0.2">
      <c r="A5" s="1097"/>
      <c r="B5" s="1082" t="s">
        <v>776</v>
      </c>
      <c r="C5" s="1082"/>
      <c r="D5" s="1086" t="s">
        <v>419</v>
      </c>
      <c r="E5" s="1086" t="s">
        <v>420</v>
      </c>
      <c r="F5" s="1086" t="s">
        <v>421</v>
      </c>
      <c r="G5" s="1086" t="s">
        <v>430</v>
      </c>
      <c r="H5" s="1086" t="s">
        <v>663</v>
      </c>
      <c r="I5" s="1086" t="s">
        <v>913</v>
      </c>
      <c r="J5" s="1088"/>
    </row>
    <row r="6" spans="1:12" ht="66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086"/>
      <c r="I6" s="1086"/>
      <c r="J6" s="1088"/>
    </row>
    <row r="7" spans="1:12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</row>
    <row r="8" spans="1:12" ht="21.75" customHeight="1" x14ac:dyDescent="0.25">
      <c r="A8" s="32" t="s">
        <v>203</v>
      </c>
      <c r="B8" s="29" t="s">
        <v>345</v>
      </c>
      <c r="C8" s="33" t="s">
        <v>214</v>
      </c>
      <c r="D8" s="261"/>
      <c r="E8" s="261">
        <v>229787600</v>
      </c>
      <c r="F8" s="261">
        <v>94214864</v>
      </c>
      <c r="G8" s="261">
        <v>5000000</v>
      </c>
      <c r="H8" s="261"/>
      <c r="I8" s="261"/>
      <c r="J8" s="261">
        <f>D8+E8+F8+G8+H8+I8</f>
        <v>329002464</v>
      </c>
      <c r="L8" s="120"/>
    </row>
    <row r="9" spans="1:12" ht="21.75" customHeight="1" x14ac:dyDescent="0.25">
      <c r="A9" s="32" t="s">
        <v>204</v>
      </c>
      <c r="B9" s="34" t="s">
        <v>215</v>
      </c>
      <c r="C9" s="33" t="s">
        <v>216</v>
      </c>
      <c r="D9" s="261"/>
      <c r="E9" s="261">
        <f>37476478+4100000</f>
        <v>41576478</v>
      </c>
      <c r="F9" s="261">
        <v>15385304</v>
      </c>
      <c r="G9" s="261">
        <v>775000</v>
      </c>
      <c r="H9" s="261"/>
      <c r="I9" s="261"/>
      <c r="J9" s="261">
        <f t="shared" ref="J9:J50" si="0">D9+E9+F9+G9+H9+I9</f>
        <v>57736782</v>
      </c>
      <c r="L9" s="120"/>
    </row>
    <row r="10" spans="1:12" ht="21.75" customHeight="1" x14ac:dyDescent="0.25">
      <c r="A10" s="32" t="s">
        <v>205</v>
      </c>
      <c r="B10" s="34" t="s">
        <v>346</v>
      </c>
      <c r="C10" s="33" t="s">
        <v>217</v>
      </c>
      <c r="D10" s="261">
        <v>21000</v>
      </c>
      <c r="E10" s="261">
        <f>32443911+1535376</f>
        <v>33979287</v>
      </c>
      <c r="F10" s="261">
        <f>11231720+1313755</f>
        <v>12545475</v>
      </c>
      <c r="G10" s="261">
        <v>523200</v>
      </c>
      <c r="H10" s="261"/>
      <c r="I10" s="261"/>
      <c r="J10" s="261">
        <f t="shared" si="0"/>
        <v>47068962</v>
      </c>
      <c r="L10" s="120"/>
    </row>
    <row r="11" spans="1:12" ht="21.75" customHeight="1" x14ac:dyDescent="0.25">
      <c r="A11" s="32" t="s">
        <v>206</v>
      </c>
      <c r="B11" s="35" t="s">
        <v>347</v>
      </c>
      <c r="C11" s="33" t="s">
        <v>218</v>
      </c>
      <c r="D11" s="261"/>
      <c r="E11" s="261"/>
      <c r="F11" s="261"/>
      <c r="G11" s="261"/>
      <c r="H11" s="261"/>
      <c r="I11" s="261"/>
      <c r="J11" s="261">
        <f t="shared" si="0"/>
        <v>0</v>
      </c>
    </row>
    <row r="12" spans="1:12" ht="21.75" customHeight="1" x14ac:dyDescent="0.25">
      <c r="A12" s="32" t="s">
        <v>207</v>
      </c>
      <c r="B12" s="35" t="s">
        <v>249</v>
      </c>
      <c r="C12" s="33" t="s">
        <v>219</v>
      </c>
      <c r="D12" s="261">
        <f t="shared" ref="D12:I12" si="1">SUM(D13:D15)</f>
        <v>0</v>
      </c>
      <c r="E12" s="261">
        <f t="shared" si="1"/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>
        <f t="shared" si="1"/>
        <v>0</v>
      </c>
      <c r="J12" s="261">
        <f t="shared" si="0"/>
        <v>0</v>
      </c>
    </row>
    <row r="13" spans="1:12" ht="21.75" customHeight="1" x14ac:dyDescent="0.25">
      <c r="A13" s="32" t="s">
        <v>208</v>
      </c>
      <c r="B13" s="36" t="s">
        <v>594</v>
      </c>
      <c r="C13" s="33"/>
      <c r="D13" s="261"/>
      <c r="E13" s="261"/>
      <c r="F13" s="261"/>
      <c r="G13" s="261"/>
      <c r="H13" s="261"/>
      <c r="I13" s="261"/>
      <c r="J13" s="261">
        <f t="shared" si="0"/>
        <v>0</v>
      </c>
    </row>
    <row r="14" spans="1:12" ht="21.75" customHeight="1" x14ac:dyDescent="0.25">
      <c r="A14" s="32" t="s">
        <v>209</v>
      </c>
      <c r="B14" s="36" t="s">
        <v>595</v>
      </c>
      <c r="C14" s="37"/>
      <c r="D14" s="261"/>
      <c r="E14" s="261"/>
      <c r="F14" s="261"/>
      <c r="G14" s="261"/>
      <c r="H14" s="261"/>
      <c r="I14" s="261"/>
      <c r="J14" s="261">
        <f t="shared" si="0"/>
        <v>0</v>
      </c>
    </row>
    <row r="15" spans="1:12" ht="21.75" customHeight="1" x14ac:dyDescent="0.25">
      <c r="A15" s="32" t="s">
        <v>210</v>
      </c>
      <c r="B15" s="130" t="s">
        <v>596</v>
      </c>
      <c r="C15" s="37"/>
      <c r="D15" s="261"/>
      <c r="E15" s="261"/>
      <c r="F15" s="261"/>
      <c r="G15" s="261"/>
      <c r="H15" s="261"/>
      <c r="I15" s="261"/>
      <c r="J15" s="261">
        <f t="shared" si="0"/>
        <v>0</v>
      </c>
    </row>
    <row r="16" spans="1:12" ht="21.75" customHeight="1" x14ac:dyDescent="0.25">
      <c r="A16" s="32" t="s">
        <v>211</v>
      </c>
      <c r="B16" s="38" t="s">
        <v>256</v>
      </c>
      <c r="C16" s="33" t="s">
        <v>220</v>
      </c>
      <c r="D16" s="261"/>
      <c r="E16" s="261">
        <f>+'6.sz. Beruházások'!E98</f>
        <v>254000</v>
      </c>
      <c r="F16" s="263">
        <f>+'6.sz. Beruházások'!E99</f>
        <v>279400</v>
      </c>
      <c r="G16" s="261">
        <f>+'6.sz. Beruházások'!E100</f>
        <v>100000</v>
      </c>
      <c r="H16" s="261"/>
      <c r="I16" s="261"/>
      <c r="J16" s="261">
        <f t="shared" si="0"/>
        <v>633400</v>
      </c>
    </row>
    <row r="17" spans="1:11" ht="21.75" customHeight="1" x14ac:dyDescent="0.25">
      <c r="A17" s="32" t="s">
        <v>212</v>
      </c>
      <c r="B17" s="35" t="s">
        <v>348</v>
      </c>
      <c r="C17" s="33" t="s">
        <v>221</v>
      </c>
      <c r="D17" s="261"/>
      <c r="E17" s="261"/>
      <c r="F17" s="261"/>
      <c r="G17" s="261"/>
      <c r="H17" s="261"/>
      <c r="I17" s="261"/>
      <c r="J17" s="261">
        <f t="shared" si="0"/>
        <v>0</v>
      </c>
    </row>
    <row r="18" spans="1:11" ht="21.75" customHeight="1" x14ac:dyDescent="0.25">
      <c r="A18" s="32" t="s">
        <v>213</v>
      </c>
      <c r="B18" s="35" t="s">
        <v>250</v>
      </c>
      <c r="C18" s="33" t="s">
        <v>222</v>
      </c>
      <c r="D18" s="261"/>
      <c r="E18" s="261"/>
      <c r="F18" s="261"/>
      <c r="G18" s="261"/>
      <c r="H18" s="261"/>
      <c r="I18" s="261"/>
      <c r="J18" s="261">
        <f t="shared" si="0"/>
        <v>0</v>
      </c>
    </row>
    <row r="19" spans="1:11" ht="21.75" customHeight="1" x14ac:dyDescent="0.25">
      <c r="A19" s="32" t="s">
        <v>240</v>
      </c>
      <c r="B19" s="36" t="s">
        <v>597</v>
      </c>
      <c r="C19" s="33"/>
      <c r="D19" s="261"/>
      <c r="E19" s="261"/>
      <c r="F19" s="261"/>
      <c r="G19" s="261"/>
      <c r="H19" s="261"/>
      <c r="I19" s="261"/>
      <c r="J19" s="261">
        <f t="shared" si="0"/>
        <v>0</v>
      </c>
    </row>
    <row r="20" spans="1:11" ht="21.75" customHeight="1" x14ac:dyDescent="0.25">
      <c r="A20" s="32" t="s">
        <v>241</v>
      </c>
      <c r="B20" s="38" t="s">
        <v>251</v>
      </c>
      <c r="C20" s="33" t="s">
        <v>223</v>
      </c>
      <c r="D20" s="261">
        <f t="shared" ref="D20:I20" si="2">+D8+D9+D10+D11+D12+D16+D17+D18</f>
        <v>21000</v>
      </c>
      <c r="E20" s="261">
        <f t="shared" si="2"/>
        <v>305597365</v>
      </c>
      <c r="F20" s="261">
        <f t="shared" si="2"/>
        <v>122425043</v>
      </c>
      <c r="G20" s="261">
        <f t="shared" si="2"/>
        <v>6398200</v>
      </c>
      <c r="H20" s="261">
        <f t="shared" si="2"/>
        <v>0</v>
      </c>
      <c r="I20" s="261">
        <f t="shared" si="2"/>
        <v>0</v>
      </c>
      <c r="J20" s="261">
        <f t="shared" si="0"/>
        <v>434441608</v>
      </c>
      <c r="K20" s="120">
        <f>J8+J9+J10+J11+J12+J16+J17+J18</f>
        <v>434441608</v>
      </c>
    </row>
    <row r="21" spans="1:11" ht="21.75" customHeight="1" x14ac:dyDescent="0.25">
      <c r="A21" s="32" t="s">
        <v>242</v>
      </c>
      <c r="B21" s="38" t="s">
        <v>236</v>
      </c>
      <c r="C21" s="33" t="s">
        <v>232</v>
      </c>
      <c r="D21" s="261">
        <f t="shared" ref="D21:I21" si="3">SUM(D22:D25)</f>
        <v>0</v>
      </c>
      <c r="E21" s="261">
        <f t="shared" si="3"/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261">
        <f t="shared" si="3"/>
        <v>0</v>
      </c>
      <c r="J21" s="261">
        <f t="shared" si="0"/>
        <v>0</v>
      </c>
    </row>
    <row r="22" spans="1:11" ht="21.75" customHeight="1" x14ac:dyDescent="0.25">
      <c r="A22" s="32" t="s">
        <v>243</v>
      </c>
      <c r="B22" s="132" t="s">
        <v>191</v>
      </c>
      <c r="C22" s="37"/>
      <c r="D22" s="261"/>
      <c r="E22" s="261"/>
      <c r="F22" s="261"/>
      <c r="G22" s="261"/>
      <c r="H22" s="261"/>
      <c r="I22" s="261"/>
      <c r="J22" s="261">
        <f t="shared" si="0"/>
        <v>0</v>
      </c>
    </row>
    <row r="23" spans="1:11" ht="21.75" customHeight="1" x14ac:dyDescent="0.25">
      <c r="A23" s="32" t="s">
        <v>244</v>
      </c>
      <c r="B23" s="39" t="s">
        <v>585</v>
      </c>
      <c r="C23" s="37"/>
      <c r="D23" s="261"/>
      <c r="E23" s="261"/>
      <c r="F23" s="261"/>
      <c r="G23" s="261"/>
      <c r="H23" s="261"/>
      <c r="I23" s="261"/>
      <c r="J23" s="261">
        <f t="shared" si="0"/>
        <v>0</v>
      </c>
    </row>
    <row r="24" spans="1:11" ht="21.75" customHeight="1" x14ac:dyDescent="0.25">
      <c r="A24" s="32" t="s">
        <v>245</v>
      </c>
      <c r="B24" s="39" t="s">
        <v>586</v>
      </c>
      <c r="C24" s="37"/>
      <c r="D24" s="261"/>
      <c r="E24" s="261"/>
      <c r="F24" s="261"/>
      <c r="G24" s="261"/>
      <c r="H24" s="261"/>
      <c r="I24" s="261"/>
      <c r="J24" s="261">
        <f t="shared" si="0"/>
        <v>0</v>
      </c>
    </row>
    <row r="25" spans="1:11" ht="21.75" customHeight="1" x14ac:dyDescent="0.25">
      <c r="A25" s="32" t="s">
        <v>246</v>
      </c>
      <c r="B25" s="39" t="s">
        <v>134</v>
      </c>
      <c r="C25" s="37"/>
      <c r="D25" s="261"/>
      <c r="E25" s="261"/>
      <c r="F25" s="261"/>
      <c r="G25" s="261"/>
      <c r="H25" s="261"/>
      <c r="I25" s="261"/>
      <c r="J25" s="261">
        <f t="shared" si="0"/>
        <v>0</v>
      </c>
    </row>
    <row r="26" spans="1:11" ht="21.75" customHeight="1" x14ac:dyDescent="0.25">
      <c r="A26" s="32" t="s">
        <v>247</v>
      </c>
      <c r="B26" s="338" t="s">
        <v>889</v>
      </c>
      <c r="C26" s="37"/>
      <c r="D26" s="261"/>
      <c r="E26" s="261"/>
      <c r="F26" s="261"/>
      <c r="G26" s="261"/>
      <c r="H26" s="261"/>
      <c r="I26" s="261"/>
      <c r="J26" s="261">
        <f t="shared" si="0"/>
        <v>0</v>
      </c>
    </row>
    <row r="27" spans="1:11" s="43" customFormat="1" ht="21.75" customHeight="1" x14ac:dyDescent="0.25">
      <c r="A27" s="32" t="s">
        <v>248</v>
      </c>
      <c r="B27" s="40" t="s">
        <v>32</v>
      </c>
      <c r="C27" s="33"/>
      <c r="D27" s="262">
        <f t="shared" ref="D27:I27" si="4">+D8+D9+D10+D11+D12+D22+D23</f>
        <v>21000</v>
      </c>
      <c r="E27" s="262">
        <f t="shared" si="4"/>
        <v>305343365</v>
      </c>
      <c r="F27" s="262">
        <f t="shared" si="4"/>
        <v>122145643</v>
      </c>
      <c r="G27" s="262">
        <f t="shared" si="4"/>
        <v>6298200</v>
      </c>
      <c r="H27" s="262">
        <f t="shared" si="4"/>
        <v>0</v>
      </c>
      <c r="I27" s="262">
        <f t="shared" si="4"/>
        <v>0</v>
      </c>
      <c r="J27" s="262">
        <f t="shared" si="0"/>
        <v>433808208</v>
      </c>
    </row>
    <row r="28" spans="1:11" s="43" customFormat="1" ht="21.75" customHeight="1" x14ac:dyDescent="0.25">
      <c r="A28" s="32" t="s">
        <v>276</v>
      </c>
      <c r="B28" s="40" t="s">
        <v>33</v>
      </c>
      <c r="C28" s="33"/>
      <c r="D28" s="262">
        <f t="shared" ref="D28:I28" si="5">+D16+D17+D18+D24+D25</f>
        <v>0</v>
      </c>
      <c r="E28" s="262">
        <f t="shared" si="5"/>
        <v>254000</v>
      </c>
      <c r="F28" s="262">
        <f t="shared" si="5"/>
        <v>279400</v>
      </c>
      <c r="G28" s="262">
        <f t="shared" si="5"/>
        <v>100000</v>
      </c>
      <c r="H28" s="262">
        <f t="shared" si="5"/>
        <v>0</v>
      </c>
      <c r="I28" s="262">
        <f t="shared" si="5"/>
        <v>0</v>
      </c>
      <c r="J28" s="262">
        <f t="shared" si="0"/>
        <v>633400</v>
      </c>
    </row>
    <row r="29" spans="1:11" s="43" customFormat="1" ht="21.75" customHeight="1" x14ac:dyDescent="0.25">
      <c r="A29" s="32" t="s">
        <v>277</v>
      </c>
      <c r="B29" s="40" t="s">
        <v>343</v>
      </c>
      <c r="C29" s="33" t="s">
        <v>31</v>
      </c>
      <c r="D29" s="262">
        <f t="shared" ref="D29:I29" si="6">SUM(D27:D28)</f>
        <v>21000</v>
      </c>
      <c r="E29" s="262">
        <f t="shared" si="6"/>
        <v>305597365</v>
      </c>
      <c r="F29" s="262">
        <f t="shared" si="6"/>
        <v>122425043</v>
      </c>
      <c r="G29" s="262">
        <f t="shared" si="6"/>
        <v>6398200</v>
      </c>
      <c r="H29" s="262">
        <f t="shared" si="6"/>
        <v>0</v>
      </c>
      <c r="I29" s="262">
        <f t="shared" si="6"/>
        <v>0</v>
      </c>
      <c r="J29" s="262">
        <f t="shared" si="0"/>
        <v>434441608</v>
      </c>
    </row>
    <row r="30" spans="1:11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>
        <f t="shared" si="0"/>
        <v>0</v>
      </c>
    </row>
    <row r="31" spans="1:11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>
        <f t="shared" si="0"/>
        <v>0</v>
      </c>
    </row>
    <row r="32" spans="1:11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/>
      <c r="J32" s="261">
        <f t="shared" si="0"/>
        <v>0</v>
      </c>
    </row>
    <row r="33" spans="1:11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1">
        <v>450010</v>
      </c>
      <c r="F33" s="261"/>
      <c r="G33" s="261"/>
      <c r="H33" s="261">
        <v>21000</v>
      </c>
      <c r="I33" s="261"/>
      <c r="J33" s="261">
        <f t="shared" si="0"/>
        <v>471010</v>
      </c>
    </row>
    <row r="34" spans="1:11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>
        <f t="shared" si="0"/>
        <v>0</v>
      </c>
    </row>
    <row r="35" spans="1:11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>
        <f t="shared" si="0"/>
        <v>0</v>
      </c>
    </row>
    <row r="36" spans="1:11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/>
      <c r="J36" s="261">
        <f t="shared" si="0"/>
        <v>0</v>
      </c>
    </row>
    <row r="37" spans="1:11" ht="21.75" customHeight="1" x14ac:dyDescent="0.25">
      <c r="A37" s="32" t="s">
        <v>285</v>
      </c>
      <c r="B37" s="35" t="s">
        <v>254</v>
      </c>
      <c r="C37" s="38" t="s">
        <v>231</v>
      </c>
      <c r="D37" s="261">
        <f t="shared" ref="D37:I37" si="7">+D30+D31+D32+D33+D34+D35+D36</f>
        <v>0</v>
      </c>
      <c r="E37" s="261">
        <f t="shared" si="7"/>
        <v>450010</v>
      </c>
      <c r="F37" s="261">
        <f t="shared" si="7"/>
        <v>0</v>
      </c>
      <c r="G37" s="261">
        <f t="shared" si="7"/>
        <v>0</v>
      </c>
      <c r="H37" s="261">
        <f t="shared" si="7"/>
        <v>21000</v>
      </c>
      <c r="I37" s="261">
        <f t="shared" si="7"/>
        <v>0</v>
      </c>
      <c r="J37" s="261">
        <f t="shared" si="0"/>
        <v>471010</v>
      </c>
      <c r="K37" s="120">
        <f>SUM(J30:J36)</f>
        <v>471010</v>
      </c>
    </row>
    <row r="38" spans="1:11" ht="21.75" customHeight="1" x14ac:dyDescent="0.25">
      <c r="A38" s="32" t="s">
        <v>286</v>
      </c>
      <c r="B38" s="38" t="s">
        <v>255</v>
      </c>
      <c r="C38" s="33" t="s">
        <v>233</v>
      </c>
      <c r="D38" s="261">
        <f t="shared" ref="D38:I38" si="8">SUM(D40:D44)</f>
        <v>433970598</v>
      </c>
      <c r="E38" s="261">
        <f t="shared" si="8"/>
        <v>0</v>
      </c>
      <c r="F38" s="261">
        <f t="shared" si="8"/>
        <v>0</v>
      </c>
      <c r="G38" s="261">
        <f t="shared" si="8"/>
        <v>0</v>
      </c>
      <c r="H38" s="261">
        <f t="shared" si="8"/>
        <v>0</v>
      </c>
      <c r="I38" s="261">
        <f t="shared" si="8"/>
        <v>0</v>
      </c>
      <c r="J38" s="261">
        <f t="shared" si="0"/>
        <v>433970598</v>
      </c>
    </row>
    <row r="39" spans="1:11" ht="21.75" customHeight="1" x14ac:dyDescent="0.25">
      <c r="A39" s="32" t="s">
        <v>287</v>
      </c>
      <c r="B39" s="132" t="s">
        <v>598</v>
      </c>
      <c r="C39" s="33"/>
      <c r="D39" s="261"/>
      <c r="E39" s="261"/>
      <c r="F39" s="261"/>
      <c r="G39" s="261"/>
      <c r="H39" s="261"/>
      <c r="I39" s="261"/>
      <c r="J39" s="261">
        <f t="shared" si="0"/>
        <v>0</v>
      </c>
    </row>
    <row r="40" spans="1:11" ht="21.75" customHeight="1" x14ac:dyDescent="0.25">
      <c r="A40" s="32" t="s">
        <v>288</v>
      </c>
      <c r="B40" s="39" t="s">
        <v>932</v>
      </c>
      <c r="C40" s="37"/>
      <c r="D40" s="261">
        <f>2849131+2217991</f>
        <v>5067122</v>
      </c>
      <c r="E40" s="261"/>
      <c r="F40" s="261"/>
      <c r="G40" s="261"/>
      <c r="H40" s="261"/>
      <c r="I40" s="261"/>
      <c r="J40" s="261">
        <f t="shared" si="0"/>
        <v>5067122</v>
      </c>
    </row>
    <row r="41" spans="1:11" ht="21.75" customHeight="1" x14ac:dyDescent="0.25">
      <c r="A41" s="32" t="s">
        <v>292</v>
      </c>
      <c r="B41" s="39" t="s">
        <v>933</v>
      </c>
      <c r="C41" s="37"/>
      <c r="D41" s="261"/>
      <c r="E41" s="261"/>
      <c r="F41" s="261"/>
      <c r="G41" s="261"/>
      <c r="H41" s="261"/>
      <c r="I41" s="261"/>
      <c r="J41" s="261">
        <f t="shared" si="0"/>
        <v>0</v>
      </c>
    </row>
    <row r="42" spans="1:11" ht="21.75" customHeight="1" x14ac:dyDescent="0.25">
      <c r="A42" s="32" t="s">
        <v>293</v>
      </c>
      <c r="B42" s="39" t="s">
        <v>570</v>
      </c>
      <c r="C42" s="37"/>
      <c r="D42" s="261">
        <f>J27-J30-J32-J33-J35-J40</f>
        <v>428270076</v>
      </c>
      <c r="E42" s="261"/>
      <c r="F42" s="261"/>
      <c r="G42" s="261"/>
      <c r="H42" s="261"/>
      <c r="I42" s="261"/>
      <c r="J42" s="261">
        <f t="shared" si="0"/>
        <v>428270076</v>
      </c>
    </row>
    <row r="43" spans="1:11" ht="21.75" customHeight="1" x14ac:dyDescent="0.25">
      <c r="A43" s="32" t="s">
        <v>294</v>
      </c>
      <c r="B43" s="39" t="s">
        <v>571</v>
      </c>
      <c r="C43" s="37"/>
      <c r="D43" s="261">
        <f>J28-J31-J34-J36-J41</f>
        <v>633400</v>
      </c>
      <c r="E43" s="261"/>
      <c r="F43" s="261"/>
      <c r="G43" s="261"/>
      <c r="H43" s="261"/>
      <c r="I43" s="261"/>
      <c r="J43" s="261">
        <f t="shared" si="0"/>
        <v>633400</v>
      </c>
    </row>
    <row r="44" spans="1:11" ht="21.75" customHeight="1" x14ac:dyDescent="0.25">
      <c r="A44" s="32" t="s">
        <v>295</v>
      </c>
      <c r="B44" s="39" t="s">
        <v>608</v>
      </c>
      <c r="C44" s="37"/>
      <c r="D44" s="261"/>
      <c r="E44" s="261"/>
      <c r="F44" s="261"/>
      <c r="G44" s="261"/>
      <c r="H44" s="261"/>
      <c r="I44" s="261"/>
      <c r="J44" s="261">
        <f t="shared" si="0"/>
        <v>0</v>
      </c>
    </row>
    <row r="45" spans="1:11" ht="21.75" customHeight="1" x14ac:dyDescent="0.25">
      <c r="A45" s="32" t="s">
        <v>296</v>
      </c>
      <c r="B45" s="338" t="s">
        <v>888</v>
      </c>
      <c r="C45" s="37"/>
      <c r="D45" s="261"/>
      <c r="E45" s="261"/>
      <c r="F45" s="261"/>
      <c r="G45" s="261"/>
      <c r="H45" s="261"/>
      <c r="I45" s="261"/>
      <c r="J45" s="261">
        <f t="shared" si="0"/>
        <v>0</v>
      </c>
    </row>
    <row r="46" spans="1:11" s="43" customFormat="1" ht="21.75" customHeight="1" x14ac:dyDescent="0.25">
      <c r="A46" s="32" t="s">
        <v>297</v>
      </c>
      <c r="B46" s="40" t="s">
        <v>120</v>
      </c>
      <c r="C46" s="33"/>
      <c r="D46" s="262">
        <f t="shared" ref="D46:I46" si="9">+D30+D32+D33+D35+D40+D42</f>
        <v>433337198</v>
      </c>
      <c r="E46" s="262">
        <f t="shared" si="9"/>
        <v>450010</v>
      </c>
      <c r="F46" s="262">
        <f t="shared" si="9"/>
        <v>0</v>
      </c>
      <c r="G46" s="262">
        <f t="shared" si="9"/>
        <v>0</v>
      </c>
      <c r="H46" s="262">
        <f t="shared" si="9"/>
        <v>21000</v>
      </c>
      <c r="I46" s="262">
        <f t="shared" si="9"/>
        <v>0</v>
      </c>
      <c r="J46" s="262">
        <f t="shared" si="0"/>
        <v>433808208</v>
      </c>
    </row>
    <row r="47" spans="1:11" s="43" customFormat="1" ht="21.75" customHeight="1" x14ac:dyDescent="0.25">
      <c r="A47" s="32" t="s">
        <v>298</v>
      </c>
      <c r="B47" s="40" t="s">
        <v>121</v>
      </c>
      <c r="C47" s="33"/>
      <c r="D47" s="262">
        <f t="shared" ref="D47:I47" si="10">+D31+D34+D36+D41+D428+D44+D43</f>
        <v>633400</v>
      </c>
      <c r="E47" s="262">
        <f t="shared" si="10"/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 t="shared" si="10"/>
        <v>0</v>
      </c>
      <c r="J47" s="262">
        <f t="shared" si="0"/>
        <v>633400</v>
      </c>
    </row>
    <row r="48" spans="1:11" s="43" customFormat="1" ht="21.75" customHeight="1" x14ac:dyDescent="0.25">
      <c r="A48" s="32" t="s">
        <v>299</v>
      </c>
      <c r="B48" s="40" t="s">
        <v>344</v>
      </c>
      <c r="C48" s="33"/>
      <c r="D48" s="262">
        <f t="shared" ref="D48:I48" si="11">+D46+D47</f>
        <v>433970598</v>
      </c>
      <c r="E48" s="262">
        <f t="shared" si="11"/>
        <v>450010</v>
      </c>
      <c r="F48" s="262">
        <f t="shared" si="11"/>
        <v>0</v>
      </c>
      <c r="G48" s="262">
        <f t="shared" si="11"/>
        <v>0</v>
      </c>
      <c r="H48" s="262">
        <f t="shared" si="11"/>
        <v>21000</v>
      </c>
      <c r="I48" s="262">
        <f t="shared" si="11"/>
        <v>0</v>
      </c>
      <c r="J48" s="262">
        <f t="shared" si="0"/>
        <v>434441608</v>
      </c>
    </row>
    <row r="49" spans="1:12" ht="21.75" customHeight="1" x14ac:dyDescent="0.25">
      <c r="A49" s="32" t="s">
        <v>300</v>
      </c>
      <c r="B49" s="585" t="s">
        <v>465</v>
      </c>
      <c r="C49" s="266"/>
      <c r="D49" s="261"/>
      <c r="E49" s="261">
        <v>51</v>
      </c>
      <c r="F49" s="261">
        <v>24</v>
      </c>
      <c r="G49" s="261"/>
      <c r="H49" s="261"/>
      <c r="I49" s="261"/>
      <c r="J49" s="261">
        <f t="shared" si="0"/>
        <v>75</v>
      </c>
      <c r="L49" s="120">
        <f>J48-J29</f>
        <v>0</v>
      </c>
    </row>
    <row r="50" spans="1:12" ht="21.75" customHeight="1" x14ac:dyDescent="0.25">
      <c r="A50" s="32" t="s">
        <v>301</v>
      </c>
      <c r="B50" s="65" t="s">
        <v>1047</v>
      </c>
      <c r="C50" s="266"/>
      <c r="D50" s="261"/>
      <c r="E50" s="310"/>
      <c r="F50" s="310"/>
      <c r="G50" s="310"/>
      <c r="H50" s="310"/>
      <c r="I50" s="310"/>
      <c r="J50" s="261">
        <f t="shared" si="0"/>
        <v>0</v>
      </c>
      <c r="L50" s="120"/>
    </row>
  </sheetData>
  <mergeCells count="14">
    <mergeCell ref="B4:C4"/>
    <mergeCell ref="B5:C5"/>
    <mergeCell ref="J3:J6"/>
    <mergeCell ref="D5:D6"/>
    <mergeCell ref="E5:E6"/>
    <mergeCell ref="I5:I6"/>
    <mergeCell ref="A3:A6"/>
    <mergeCell ref="B3:C3"/>
    <mergeCell ref="D2:G2"/>
    <mergeCell ref="H2:J2"/>
    <mergeCell ref="F5:F6"/>
    <mergeCell ref="H5:H6"/>
    <mergeCell ref="G5:G6"/>
    <mergeCell ref="A2:C2"/>
  </mergeCells>
  <phoneticPr fontId="41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horizontalDpi="200" verticalDpi="200" r:id="rId1"/>
  <headerFooter alignWithMargins="0">
    <oddHeader>&amp;C2021. évi költégvetés&amp;R&amp;A</oddHeader>
    <oddFooter>&amp;C&amp;P/&amp;N</oddFooter>
  </headerFooter>
  <colBreaks count="1" manualBreakCount="1">
    <brk id="7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0"/>
  <sheetViews>
    <sheetView zoomScale="71" zoomScaleNormal="100" zoomScaleSheetLayoutView="71" workbookViewId="0">
      <pane xSplit="3" ySplit="7" topLeftCell="D47" activePane="bottomRight" state="frozen"/>
      <selection pane="topRight" activeCell="D1" sqref="D1"/>
      <selection pane="bottomLeft" activeCell="A8" sqref="A8"/>
      <selection pane="bottomRight" activeCell="B50" sqref="B50"/>
    </sheetView>
  </sheetViews>
  <sheetFormatPr defaultRowHeight="12.75" x14ac:dyDescent="0.2"/>
  <cols>
    <col min="1" max="1" width="6.28515625" style="24" bestFit="1" customWidth="1"/>
    <col min="2" max="2" width="64.85546875" style="24" customWidth="1"/>
    <col min="3" max="3" width="7.85546875" style="186" customWidth="1"/>
    <col min="4" max="4" width="17.85546875" style="25" customWidth="1"/>
    <col min="5" max="5" width="21.42578125" style="25" customWidth="1"/>
    <col min="6" max="7" width="18.28515625" style="25" customWidth="1"/>
    <col min="8" max="8" width="15.7109375" style="25" customWidth="1"/>
    <col min="9" max="9" width="19.140625" style="25" bestFit="1" customWidth="1"/>
    <col min="10" max="10" width="15.42578125" style="24" customWidth="1"/>
    <col min="11" max="11" width="13.42578125" style="24" bestFit="1" customWidth="1"/>
    <col min="12" max="16384" width="9.140625" style="24"/>
  </cols>
  <sheetData>
    <row r="1" spans="1:11" ht="15.75" x14ac:dyDescent="0.25">
      <c r="A1" s="254"/>
      <c r="B1" s="254"/>
      <c r="C1" s="255"/>
      <c r="D1" s="256"/>
      <c r="E1" s="256"/>
      <c r="F1" s="256"/>
      <c r="G1" s="257" t="s">
        <v>458</v>
      </c>
      <c r="H1" s="256"/>
      <c r="I1" s="257" t="s">
        <v>458</v>
      </c>
    </row>
    <row r="2" spans="1:11" ht="41.25" customHeight="1" x14ac:dyDescent="0.2">
      <c r="A2" s="1098" t="s">
        <v>144</v>
      </c>
      <c r="B2" s="1099"/>
      <c r="C2" s="1100"/>
      <c r="D2" s="1086" t="s">
        <v>1050</v>
      </c>
      <c r="E2" s="1086"/>
      <c r="F2" s="1086"/>
      <c r="G2" s="1086"/>
      <c r="H2" s="1086" t="s">
        <v>1050</v>
      </c>
      <c r="I2" s="1086"/>
    </row>
    <row r="3" spans="1:11" s="27" customFormat="1" ht="95.25" customHeight="1" x14ac:dyDescent="0.2">
      <c r="A3" s="1097" t="s">
        <v>201</v>
      </c>
      <c r="B3" s="1096" t="s">
        <v>259</v>
      </c>
      <c r="C3" s="1096"/>
      <c r="D3" s="258" t="s">
        <v>517</v>
      </c>
      <c r="E3" s="259" t="s">
        <v>189</v>
      </c>
      <c r="F3" s="372" t="s">
        <v>962</v>
      </c>
      <c r="G3" s="372" t="s">
        <v>962</v>
      </c>
      <c r="H3" s="259" t="s">
        <v>193</v>
      </c>
      <c r="I3" s="1088" t="s">
        <v>146</v>
      </c>
      <c r="J3" s="161"/>
    </row>
    <row r="4" spans="1:11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8" t="s">
        <v>237</v>
      </c>
      <c r="H4" s="258" t="s">
        <v>237</v>
      </c>
      <c r="I4" s="1088"/>
    </row>
    <row r="5" spans="1:11" s="27" customFormat="1" ht="16.899999999999999" customHeight="1" x14ac:dyDescent="0.2">
      <c r="A5" s="1097"/>
      <c r="B5" s="1082" t="s">
        <v>776</v>
      </c>
      <c r="C5" s="1082"/>
      <c r="D5" s="1086" t="s">
        <v>431</v>
      </c>
      <c r="E5" s="1086" t="s">
        <v>364</v>
      </c>
      <c r="F5" s="1086" t="s">
        <v>665</v>
      </c>
      <c r="G5" s="1086" t="s">
        <v>666</v>
      </c>
      <c r="H5" s="1086" t="s">
        <v>630</v>
      </c>
      <c r="I5" s="1088"/>
    </row>
    <row r="6" spans="1:11" ht="63.7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086"/>
      <c r="I6" s="1088"/>
    </row>
    <row r="7" spans="1:11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</row>
    <row r="8" spans="1:11" ht="21.75" customHeight="1" x14ac:dyDescent="0.25">
      <c r="A8" s="32" t="s">
        <v>203</v>
      </c>
      <c r="B8" s="29" t="s">
        <v>345</v>
      </c>
      <c r="C8" s="187" t="s">
        <v>214</v>
      </c>
      <c r="D8" s="261"/>
      <c r="E8" s="261">
        <f>23371180+4559500</f>
        <v>27930680</v>
      </c>
      <c r="F8" s="261">
        <v>136657126</v>
      </c>
      <c r="G8" s="261">
        <v>91267876</v>
      </c>
      <c r="H8" s="261"/>
      <c r="I8" s="261">
        <f t="shared" ref="I8:I49" si="0">D8+E8+F8+G8+H8</f>
        <v>255855682</v>
      </c>
      <c r="K8" s="120"/>
    </row>
    <row r="9" spans="1:11" ht="21.75" customHeight="1" x14ac:dyDescent="0.25">
      <c r="A9" s="32" t="s">
        <v>204</v>
      </c>
      <c r="B9" s="34" t="s">
        <v>215</v>
      </c>
      <c r="C9" s="187" t="s">
        <v>216</v>
      </c>
      <c r="D9" s="261"/>
      <c r="E9" s="261">
        <f>3792533+740723</f>
        <v>4533256</v>
      </c>
      <c r="F9" s="261">
        <f>21997855+4269999</f>
        <v>26267854</v>
      </c>
      <c r="G9" s="261">
        <v>14792521</v>
      </c>
      <c r="H9" s="261"/>
      <c r="I9" s="261">
        <f t="shared" si="0"/>
        <v>45593631</v>
      </c>
      <c r="K9" s="120"/>
    </row>
    <row r="10" spans="1:11" ht="21.75" customHeight="1" x14ac:dyDescent="0.25">
      <c r="A10" s="32" t="s">
        <v>205</v>
      </c>
      <c r="B10" s="34" t="s">
        <v>346</v>
      </c>
      <c r="C10" s="187" t="s">
        <v>217</v>
      </c>
      <c r="D10" s="261">
        <v>598638</v>
      </c>
      <c r="E10" s="261">
        <f>30950570+819266</f>
        <v>31769836</v>
      </c>
      <c r="F10" s="261">
        <f>14360450+1219627</f>
        <v>15580077</v>
      </c>
      <c r="G10" s="261">
        <f>14190200+49366</f>
        <v>14239566</v>
      </c>
      <c r="H10" s="261"/>
      <c r="I10" s="261">
        <f t="shared" si="0"/>
        <v>62188117</v>
      </c>
      <c r="K10" s="120"/>
    </row>
    <row r="11" spans="1:11" ht="21.75" customHeight="1" x14ac:dyDescent="0.25">
      <c r="A11" s="32" t="s">
        <v>206</v>
      </c>
      <c r="B11" s="35" t="s">
        <v>347</v>
      </c>
      <c r="C11" s="187" t="s">
        <v>218</v>
      </c>
      <c r="D11" s="261"/>
      <c r="E11" s="261"/>
      <c r="F11" s="261"/>
      <c r="G11" s="261"/>
      <c r="H11" s="261"/>
      <c r="I11" s="261">
        <f t="shared" si="0"/>
        <v>0</v>
      </c>
    </row>
    <row r="12" spans="1:11" ht="21.75" customHeight="1" x14ac:dyDescent="0.25">
      <c r="A12" s="32" t="s">
        <v>207</v>
      </c>
      <c r="B12" s="35" t="s">
        <v>249</v>
      </c>
      <c r="C12" s="187" t="s">
        <v>219</v>
      </c>
      <c r="D12" s="261">
        <f>SUM(D13:D15)</f>
        <v>0</v>
      </c>
      <c r="E12" s="261">
        <f>SUM(E13:E15)</f>
        <v>0</v>
      </c>
      <c r="F12" s="261">
        <f>SUM(F13:F15)</f>
        <v>0</v>
      </c>
      <c r="G12" s="261">
        <f>SUM(G13:G15)</f>
        <v>0</v>
      </c>
      <c r="H12" s="261">
        <f>SUM(H13:H15)</f>
        <v>0</v>
      </c>
      <c r="I12" s="261">
        <f t="shared" si="0"/>
        <v>0</v>
      </c>
    </row>
    <row r="13" spans="1:11" ht="21.75" customHeight="1" x14ac:dyDescent="0.25">
      <c r="A13" s="32" t="s">
        <v>208</v>
      </c>
      <c r="B13" s="36" t="s">
        <v>133</v>
      </c>
      <c r="C13" s="187"/>
      <c r="D13" s="261"/>
      <c r="E13" s="261"/>
      <c r="F13" s="261"/>
      <c r="G13" s="261"/>
      <c r="H13" s="261"/>
      <c r="I13" s="261">
        <f t="shared" si="0"/>
        <v>0</v>
      </c>
    </row>
    <row r="14" spans="1:11" ht="21.75" customHeight="1" x14ac:dyDescent="0.25">
      <c r="A14" s="32" t="s">
        <v>209</v>
      </c>
      <c r="B14" s="36" t="s">
        <v>123</v>
      </c>
      <c r="C14" s="188"/>
      <c r="D14" s="261"/>
      <c r="E14" s="261"/>
      <c r="F14" s="261"/>
      <c r="G14" s="261"/>
      <c r="H14" s="261"/>
      <c r="I14" s="261">
        <f t="shared" si="0"/>
        <v>0</v>
      </c>
    </row>
    <row r="15" spans="1:11" ht="21.75" customHeight="1" x14ac:dyDescent="0.25">
      <c r="A15" s="32" t="s">
        <v>210</v>
      </c>
      <c r="B15" s="130" t="s">
        <v>582</v>
      </c>
      <c r="C15" s="188"/>
      <c r="D15" s="261"/>
      <c r="E15" s="261"/>
      <c r="F15" s="261"/>
      <c r="G15" s="261"/>
      <c r="H15" s="261"/>
      <c r="I15" s="261">
        <f t="shared" si="0"/>
        <v>0</v>
      </c>
    </row>
    <row r="16" spans="1:11" ht="21.75" customHeight="1" x14ac:dyDescent="0.25">
      <c r="A16" s="32" t="s">
        <v>211</v>
      </c>
      <c r="B16" s="38" t="s">
        <v>256</v>
      </c>
      <c r="C16" s="187" t="s">
        <v>220</v>
      </c>
      <c r="D16" s="261"/>
      <c r="E16" s="261">
        <f>+'6.sz. Beruházások'!E91</f>
        <v>254000</v>
      </c>
      <c r="F16" s="263">
        <f>+'6.sz. Beruházások'!E92</f>
        <v>698500</v>
      </c>
      <c r="G16" s="261">
        <f>+'6.sz. Beruházások'!E93</f>
        <v>635000</v>
      </c>
      <c r="H16" s="261"/>
      <c r="I16" s="261">
        <f t="shared" si="0"/>
        <v>1587500</v>
      </c>
    </row>
    <row r="17" spans="1:10" ht="21.75" customHeight="1" x14ac:dyDescent="0.25">
      <c r="A17" s="32" t="s">
        <v>212</v>
      </c>
      <c r="B17" s="35" t="s">
        <v>348</v>
      </c>
      <c r="C17" s="187" t="s">
        <v>221</v>
      </c>
      <c r="D17" s="261"/>
      <c r="E17" s="261"/>
      <c r="F17" s="261"/>
      <c r="G17" s="261"/>
      <c r="H17" s="261"/>
      <c r="I17" s="261">
        <f t="shared" si="0"/>
        <v>0</v>
      </c>
    </row>
    <row r="18" spans="1:10" ht="21.75" customHeight="1" x14ac:dyDescent="0.25">
      <c r="A18" s="32" t="s">
        <v>213</v>
      </c>
      <c r="B18" s="35" t="s">
        <v>250</v>
      </c>
      <c r="C18" s="187" t="s">
        <v>222</v>
      </c>
      <c r="D18" s="261"/>
      <c r="E18" s="261"/>
      <c r="F18" s="261"/>
      <c r="G18" s="261"/>
      <c r="H18" s="261"/>
      <c r="I18" s="261">
        <f t="shared" si="0"/>
        <v>0</v>
      </c>
    </row>
    <row r="19" spans="1:10" ht="21.75" customHeight="1" x14ac:dyDescent="0.25">
      <c r="A19" s="32" t="s">
        <v>240</v>
      </c>
      <c r="B19" s="36" t="s">
        <v>132</v>
      </c>
      <c r="C19" s="187"/>
      <c r="D19" s="261"/>
      <c r="E19" s="261"/>
      <c r="F19" s="261"/>
      <c r="G19" s="261"/>
      <c r="H19" s="261"/>
      <c r="I19" s="261">
        <f t="shared" si="0"/>
        <v>0</v>
      </c>
    </row>
    <row r="20" spans="1:10" ht="21.75" customHeight="1" x14ac:dyDescent="0.25">
      <c r="A20" s="32" t="s">
        <v>241</v>
      </c>
      <c r="B20" s="38" t="s">
        <v>251</v>
      </c>
      <c r="C20" s="187" t="s">
        <v>223</v>
      </c>
      <c r="D20" s="261">
        <f>+D8+D9+D10+D11+D12+D16+D17+D18</f>
        <v>598638</v>
      </c>
      <c r="E20" s="261">
        <f>+E8+E9+E10+E11+E12+E16+E17+E18</f>
        <v>64487772</v>
      </c>
      <c r="F20" s="261">
        <f>+F8+F9+F10+F11+F12+F16+F17+F18</f>
        <v>179203557</v>
      </c>
      <c r="G20" s="261">
        <f>+G8+G9+G10+G11+G12+G16+G17+G18</f>
        <v>120934963</v>
      </c>
      <c r="H20" s="261">
        <f>+H8+H9+H10+H11+H12+H16+H17+H18</f>
        <v>0</v>
      </c>
      <c r="I20" s="261">
        <f t="shared" si="0"/>
        <v>365224930</v>
      </c>
      <c r="J20" s="120">
        <f>I8+I9+I10+I11+I12+I16+I17+I18</f>
        <v>365224930</v>
      </c>
    </row>
    <row r="21" spans="1:10" ht="21.75" customHeight="1" x14ac:dyDescent="0.25">
      <c r="A21" s="32" t="s">
        <v>242</v>
      </c>
      <c r="B21" s="38" t="s">
        <v>236</v>
      </c>
      <c r="C21" s="187" t="s">
        <v>232</v>
      </c>
      <c r="D21" s="261">
        <f>SUM(D22:D25)</f>
        <v>0</v>
      </c>
      <c r="E21" s="261">
        <f>SUM(E22:E25)</f>
        <v>0</v>
      </c>
      <c r="F21" s="261">
        <f>SUM(F22:F25)</f>
        <v>0</v>
      </c>
      <c r="G21" s="261">
        <f>SUM(G22:G25)</f>
        <v>0</v>
      </c>
      <c r="H21" s="261">
        <f>SUM(H22:H25)</f>
        <v>0</v>
      </c>
      <c r="I21" s="261">
        <f t="shared" si="0"/>
        <v>0</v>
      </c>
    </row>
    <row r="22" spans="1:10" ht="21.75" customHeight="1" x14ac:dyDescent="0.25">
      <c r="A22" s="32" t="s">
        <v>243</v>
      </c>
      <c r="B22" s="132" t="s">
        <v>191</v>
      </c>
      <c r="C22" s="188"/>
      <c r="D22" s="261"/>
      <c r="E22" s="261"/>
      <c r="F22" s="261"/>
      <c r="G22" s="261"/>
      <c r="H22" s="261"/>
      <c r="I22" s="261">
        <f t="shared" si="0"/>
        <v>0</v>
      </c>
    </row>
    <row r="23" spans="1:10" ht="21.75" customHeight="1" x14ac:dyDescent="0.25">
      <c r="A23" s="32" t="s">
        <v>244</v>
      </c>
      <c r="B23" s="39" t="s">
        <v>585</v>
      </c>
      <c r="C23" s="188"/>
      <c r="D23" s="261"/>
      <c r="E23" s="261"/>
      <c r="F23" s="261"/>
      <c r="G23" s="261"/>
      <c r="H23" s="261"/>
      <c r="I23" s="261">
        <f t="shared" si="0"/>
        <v>0</v>
      </c>
    </row>
    <row r="24" spans="1:10" ht="21.75" customHeight="1" x14ac:dyDescent="0.25">
      <c r="A24" s="32" t="s">
        <v>245</v>
      </c>
      <c r="B24" s="39" t="s">
        <v>586</v>
      </c>
      <c r="C24" s="188"/>
      <c r="D24" s="261"/>
      <c r="E24" s="261"/>
      <c r="F24" s="261"/>
      <c r="G24" s="261"/>
      <c r="H24" s="261"/>
      <c r="I24" s="261">
        <f t="shared" si="0"/>
        <v>0</v>
      </c>
    </row>
    <row r="25" spans="1:10" ht="21.75" customHeight="1" x14ac:dyDescent="0.25">
      <c r="A25" s="32" t="s">
        <v>246</v>
      </c>
      <c r="B25" s="39" t="s">
        <v>134</v>
      </c>
      <c r="C25" s="188"/>
      <c r="D25" s="261"/>
      <c r="E25" s="261"/>
      <c r="F25" s="261"/>
      <c r="G25" s="261"/>
      <c r="H25" s="261"/>
      <c r="I25" s="261">
        <f t="shared" si="0"/>
        <v>0</v>
      </c>
    </row>
    <row r="26" spans="1:10" ht="21.75" customHeight="1" x14ac:dyDescent="0.25">
      <c r="A26" s="32" t="s">
        <v>247</v>
      </c>
      <c r="B26" s="338" t="s">
        <v>889</v>
      </c>
      <c r="C26" s="188"/>
      <c r="D26" s="261"/>
      <c r="E26" s="261"/>
      <c r="F26" s="261"/>
      <c r="G26" s="261"/>
      <c r="H26" s="261"/>
      <c r="I26" s="261">
        <f t="shared" si="0"/>
        <v>0</v>
      </c>
    </row>
    <row r="27" spans="1:10" s="41" customFormat="1" ht="21.75" customHeight="1" x14ac:dyDescent="0.25">
      <c r="A27" s="32" t="s">
        <v>248</v>
      </c>
      <c r="B27" s="40" t="s">
        <v>32</v>
      </c>
      <c r="C27" s="187"/>
      <c r="D27" s="262">
        <f>+D8+D9+D10+D11+D12+D22+D23</f>
        <v>598638</v>
      </c>
      <c r="E27" s="262">
        <f>+E8+E9+E10+E11+E12+E22+E23</f>
        <v>64233772</v>
      </c>
      <c r="F27" s="262">
        <f>+F8+F9+F10+F11+F12+F22+F23</f>
        <v>178505057</v>
      </c>
      <c r="G27" s="262">
        <f>+G8+G9+G10+G11+G12+G22+G23</f>
        <v>120299963</v>
      </c>
      <c r="H27" s="262">
        <f>+H8+H9+H10+H11+H12+H22+H23</f>
        <v>0</v>
      </c>
      <c r="I27" s="262">
        <f t="shared" si="0"/>
        <v>363637430</v>
      </c>
    </row>
    <row r="28" spans="1:10" s="41" customFormat="1" ht="21.75" customHeight="1" x14ac:dyDescent="0.25">
      <c r="A28" s="32" t="s">
        <v>276</v>
      </c>
      <c r="B28" s="40" t="s">
        <v>33</v>
      </c>
      <c r="C28" s="187"/>
      <c r="D28" s="262">
        <f>+D16+D17+D18+D24+D25</f>
        <v>0</v>
      </c>
      <c r="E28" s="262">
        <f>+E16+E17+E18+E24+E25</f>
        <v>254000</v>
      </c>
      <c r="F28" s="262">
        <f>+F16+F17+F18+F24+F25</f>
        <v>698500</v>
      </c>
      <c r="G28" s="262">
        <f>+G16+G17+G18+G24+G25</f>
        <v>635000</v>
      </c>
      <c r="H28" s="262">
        <f>+H16+H17+H18+H24+H25</f>
        <v>0</v>
      </c>
      <c r="I28" s="262">
        <f t="shared" si="0"/>
        <v>1587500</v>
      </c>
    </row>
    <row r="29" spans="1:10" s="41" customFormat="1" ht="21.75" customHeight="1" x14ac:dyDescent="0.25">
      <c r="A29" s="32" t="s">
        <v>277</v>
      </c>
      <c r="B29" s="40" t="s">
        <v>343</v>
      </c>
      <c r="C29" s="187" t="s">
        <v>31</v>
      </c>
      <c r="D29" s="262">
        <f>SUM(D27:D28)</f>
        <v>598638</v>
      </c>
      <c r="E29" s="262">
        <f>SUM(E27:E28)</f>
        <v>64487772</v>
      </c>
      <c r="F29" s="262">
        <f>SUM(F27:F28)</f>
        <v>179203557</v>
      </c>
      <c r="G29" s="262">
        <f>SUM(G27:G28)</f>
        <v>120934963</v>
      </c>
      <c r="H29" s="262">
        <f>SUM(H27:H28)</f>
        <v>0</v>
      </c>
      <c r="I29" s="262">
        <f t="shared" si="0"/>
        <v>365224930</v>
      </c>
    </row>
    <row r="30" spans="1:10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>
        <f t="shared" si="0"/>
        <v>0</v>
      </c>
    </row>
    <row r="31" spans="1:10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>
        <f t="shared" si="0"/>
        <v>0</v>
      </c>
    </row>
    <row r="32" spans="1:10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>
        <f t="shared" si="0"/>
        <v>0</v>
      </c>
    </row>
    <row r="33" spans="1:11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3">
        <v>4065100</v>
      </c>
      <c r="F33" s="263">
        <v>4000100</v>
      </c>
      <c r="G33" s="263">
        <v>3000000</v>
      </c>
      <c r="H33" s="261">
        <v>598638</v>
      </c>
      <c r="I33" s="261">
        <f t="shared" si="0"/>
        <v>11663838</v>
      </c>
    </row>
    <row r="34" spans="1:11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>
        <f t="shared" si="0"/>
        <v>0</v>
      </c>
    </row>
    <row r="35" spans="1:11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>
        <f t="shared" si="0"/>
        <v>0</v>
      </c>
    </row>
    <row r="36" spans="1:11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>
        <f t="shared" si="0"/>
        <v>0</v>
      </c>
    </row>
    <row r="37" spans="1:11" ht="21.75" customHeight="1" x14ac:dyDescent="0.25">
      <c r="A37" s="32" t="s">
        <v>285</v>
      </c>
      <c r="B37" s="35" t="s">
        <v>254</v>
      </c>
      <c r="C37" s="38" t="s">
        <v>231</v>
      </c>
      <c r="D37" s="261">
        <f>+D30+D31+D32+D33+D34+D35+D36</f>
        <v>0</v>
      </c>
      <c r="E37" s="261">
        <f>+E30+E31+E32+E33+E34+E35+E36</f>
        <v>4065100</v>
      </c>
      <c r="F37" s="261">
        <f>+F30+F31+F32+F33+F34+F35+F36</f>
        <v>4000100</v>
      </c>
      <c r="G37" s="261">
        <f>+G30+G31+G32+G33+G34+G35+G36</f>
        <v>3000000</v>
      </c>
      <c r="H37" s="261">
        <f>+H30+H31+H32+H33+H34+H35+H36</f>
        <v>598638</v>
      </c>
      <c r="I37" s="261">
        <f t="shared" si="0"/>
        <v>11663838</v>
      </c>
    </row>
    <row r="38" spans="1:11" ht="21.75" customHeight="1" x14ac:dyDescent="0.25">
      <c r="A38" s="32" t="s">
        <v>286</v>
      </c>
      <c r="B38" s="38" t="s">
        <v>255</v>
      </c>
      <c r="C38" s="187" t="s">
        <v>233</v>
      </c>
      <c r="D38" s="261">
        <f>SUM(D40:D44)</f>
        <v>353561092</v>
      </c>
      <c r="E38" s="261">
        <f>SUM(E40:E44)</f>
        <v>0</v>
      </c>
      <c r="F38" s="261">
        <f>SUM(F40:F44)</f>
        <v>0</v>
      </c>
      <c r="G38" s="261">
        <f>SUM(G40:G44)</f>
        <v>0</v>
      </c>
      <c r="H38" s="261">
        <f>SUM(H40:H44)</f>
        <v>0</v>
      </c>
      <c r="I38" s="261">
        <f t="shared" si="0"/>
        <v>353561092</v>
      </c>
      <c r="J38" s="120">
        <f>SUM(I30:I37)</f>
        <v>23327676</v>
      </c>
    </row>
    <row r="39" spans="1:11" ht="21.75" customHeight="1" x14ac:dyDescent="0.25">
      <c r="A39" s="32" t="s">
        <v>287</v>
      </c>
      <c r="B39" s="132" t="s">
        <v>598</v>
      </c>
      <c r="C39" s="187"/>
      <c r="D39" s="261"/>
      <c r="E39" s="261"/>
      <c r="F39" s="261"/>
      <c r="G39" s="261"/>
      <c r="H39" s="261"/>
      <c r="I39" s="261">
        <f t="shared" si="0"/>
        <v>0</v>
      </c>
      <c r="J39" s="120"/>
    </row>
    <row r="40" spans="1:11" ht="21.75" customHeight="1" x14ac:dyDescent="0.25">
      <c r="A40" s="32" t="s">
        <v>288</v>
      </c>
      <c r="B40" s="39" t="s">
        <v>932</v>
      </c>
      <c r="C40" s="188"/>
      <c r="D40" s="261">
        <v>2088259</v>
      </c>
      <c r="E40" s="261"/>
      <c r="F40" s="261"/>
      <c r="G40" s="261"/>
      <c r="H40" s="261"/>
      <c r="I40" s="261">
        <f t="shared" si="0"/>
        <v>2088259</v>
      </c>
    </row>
    <row r="41" spans="1:11" ht="21.75" customHeight="1" x14ac:dyDescent="0.25">
      <c r="A41" s="32" t="s">
        <v>292</v>
      </c>
      <c r="B41" s="39" t="s">
        <v>933</v>
      </c>
      <c r="C41" s="188"/>
      <c r="D41" s="261"/>
      <c r="E41" s="261"/>
      <c r="F41" s="261"/>
      <c r="G41" s="261"/>
      <c r="H41" s="261"/>
      <c r="I41" s="261">
        <f t="shared" si="0"/>
        <v>0</v>
      </c>
    </row>
    <row r="42" spans="1:11" ht="21.75" customHeight="1" x14ac:dyDescent="0.25">
      <c r="A42" s="32" t="s">
        <v>293</v>
      </c>
      <c r="B42" s="39" t="s">
        <v>570</v>
      </c>
      <c r="C42" s="188"/>
      <c r="D42" s="261">
        <f>I27-I30-I32-I33-I35-I40</f>
        <v>349885333</v>
      </c>
      <c r="E42" s="261"/>
      <c r="F42" s="261"/>
      <c r="G42" s="261"/>
      <c r="H42" s="261"/>
      <c r="I42" s="261">
        <f t="shared" si="0"/>
        <v>349885333</v>
      </c>
    </row>
    <row r="43" spans="1:11" ht="21.75" customHeight="1" x14ac:dyDescent="0.25">
      <c r="A43" s="32" t="s">
        <v>294</v>
      </c>
      <c r="B43" s="39" t="s">
        <v>571</v>
      </c>
      <c r="C43" s="188"/>
      <c r="D43" s="261">
        <f>I28-I31-I34-I36-I41</f>
        <v>1587500</v>
      </c>
      <c r="E43" s="261"/>
      <c r="F43" s="261"/>
      <c r="G43" s="261"/>
      <c r="H43" s="261"/>
      <c r="I43" s="261">
        <f t="shared" si="0"/>
        <v>1587500</v>
      </c>
    </row>
    <row r="44" spans="1:11" ht="21.75" customHeight="1" x14ac:dyDescent="0.25">
      <c r="A44" s="32" t="s">
        <v>295</v>
      </c>
      <c r="B44" s="39" t="s">
        <v>608</v>
      </c>
      <c r="C44" s="188"/>
      <c r="D44" s="261"/>
      <c r="E44" s="261"/>
      <c r="F44" s="261"/>
      <c r="G44" s="261"/>
      <c r="H44" s="261"/>
      <c r="I44" s="261">
        <f t="shared" si="0"/>
        <v>0</v>
      </c>
    </row>
    <row r="45" spans="1:11" ht="21.75" customHeight="1" x14ac:dyDescent="0.25">
      <c r="A45" s="32" t="s">
        <v>296</v>
      </c>
      <c r="B45" s="338" t="s">
        <v>888</v>
      </c>
      <c r="C45" s="188"/>
      <c r="D45" s="261"/>
      <c r="E45" s="261"/>
      <c r="F45" s="261"/>
      <c r="G45" s="261"/>
      <c r="H45" s="261"/>
      <c r="I45" s="261">
        <f t="shared" si="0"/>
        <v>0</v>
      </c>
    </row>
    <row r="46" spans="1:11" ht="21.75" customHeight="1" x14ac:dyDescent="0.25">
      <c r="A46" s="32" t="s">
        <v>297</v>
      </c>
      <c r="B46" s="40" t="s">
        <v>120</v>
      </c>
      <c r="C46" s="187"/>
      <c r="D46" s="262">
        <f>+D30+D32+D33+D35+D40+D42</f>
        <v>351973592</v>
      </c>
      <c r="E46" s="262">
        <f>+E30+E32+E33+E35+E40+E42</f>
        <v>4065100</v>
      </c>
      <c r="F46" s="262">
        <f>+F30+F32+F33+F35+F40+F42</f>
        <v>4000100</v>
      </c>
      <c r="G46" s="262">
        <f>+G30+G32+G33+G35+G40+G42</f>
        <v>3000000</v>
      </c>
      <c r="H46" s="262">
        <f>+H30+H32+H33+H35+H40+H42</f>
        <v>598638</v>
      </c>
      <c r="I46" s="262">
        <f t="shared" si="0"/>
        <v>363637430</v>
      </c>
    </row>
    <row r="47" spans="1:11" ht="21.75" customHeight="1" x14ac:dyDescent="0.25">
      <c r="A47" s="32" t="s">
        <v>298</v>
      </c>
      <c r="B47" s="40" t="s">
        <v>121</v>
      </c>
      <c r="C47" s="187"/>
      <c r="D47" s="262">
        <f>+D31+D34+D36+D41+D428+D44+D43</f>
        <v>1587500</v>
      </c>
      <c r="E47" s="262">
        <f>+E31+E34+E36+E41+E428+E44+E43</f>
        <v>0</v>
      </c>
      <c r="F47" s="262">
        <f>+F31+F34+F36+F41+F428+F44+F43</f>
        <v>0</v>
      </c>
      <c r="G47" s="262">
        <f>+G31+G34+G36+G41+G428+G44+G43</f>
        <v>0</v>
      </c>
      <c r="H47" s="262">
        <f>+H31+H34+H36+H41+H428+H44+H43</f>
        <v>0</v>
      </c>
      <c r="I47" s="262">
        <f t="shared" si="0"/>
        <v>1587500</v>
      </c>
    </row>
    <row r="48" spans="1:11" ht="21.75" customHeight="1" x14ac:dyDescent="0.25">
      <c r="A48" s="32" t="s">
        <v>299</v>
      </c>
      <c r="B48" s="40" t="s">
        <v>344</v>
      </c>
      <c r="C48" s="187"/>
      <c r="D48" s="262">
        <f>+D46+D47</f>
        <v>353561092</v>
      </c>
      <c r="E48" s="262">
        <f>+E46+E47</f>
        <v>4065100</v>
      </c>
      <c r="F48" s="262">
        <f>+F46+F47</f>
        <v>4000100</v>
      </c>
      <c r="G48" s="262">
        <f>+G46+G47</f>
        <v>3000000</v>
      </c>
      <c r="H48" s="262">
        <f>+H46+H47</f>
        <v>598638</v>
      </c>
      <c r="I48" s="262">
        <f t="shared" si="0"/>
        <v>365224930</v>
      </c>
      <c r="K48" s="120">
        <f>I48-I29</f>
        <v>0</v>
      </c>
    </row>
    <row r="49" spans="1:9" ht="21.75" customHeight="1" x14ac:dyDescent="0.25">
      <c r="A49" s="32" t="s">
        <v>300</v>
      </c>
      <c r="B49" s="585" t="s">
        <v>465</v>
      </c>
      <c r="C49" s="264"/>
      <c r="D49" s="261"/>
      <c r="E49" s="261">
        <v>5</v>
      </c>
      <c r="F49" s="261">
        <v>24</v>
      </c>
      <c r="G49" s="261">
        <v>20</v>
      </c>
      <c r="H49" s="261"/>
      <c r="I49" s="261">
        <f t="shared" si="0"/>
        <v>49</v>
      </c>
    </row>
    <row r="50" spans="1:9" ht="21.75" customHeight="1" x14ac:dyDescent="0.25">
      <c r="A50" s="32" t="s">
        <v>301</v>
      </c>
      <c r="B50" s="65" t="s">
        <v>1047</v>
      </c>
      <c r="C50" s="264"/>
      <c r="D50" s="261"/>
      <c r="E50" s="261"/>
      <c r="F50" s="310"/>
      <c r="G50" s="261"/>
      <c r="H50" s="261"/>
      <c r="I50" s="310"/>
    </row>
  </sheetData>
  <mergeCells count="13">
    <mergeCell ref="B5:C5"/>
    <mergeCell ref="A3:A6"/>
    <mergeCell ref="B3:C3"/>
    <mergeCell ref="H5:H6"/>
    <mergeCell ref="G5:G6"/>
    <mergeCell ref="F5:F6"/>
    <mergeCell ref="I3:I6"/>
    <mergeCell ref="A2:C2"/>
    <mergeCell ref="D5:D6"/>
    <mergeCell ref="E5:E6"/>
    <mergeCell ref="B4:C4"/>
    <mergeCell ref="D2:G2"/>
    <mergeCell ref="H2:I2"/>
  </mergeCells>
  <phoneticPr fontId="4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1" manualBreakCount="1">
    <brk id="7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0"/>
  <sheetViews>
    <sheetView zoomScale="71" zoomScaleNormal="100" zoomScaleSheetLayoutView="71" workbookViewId="0">
      <pane xSplit="3" ySplit="7" topLeftCell="D47" activePane="bottomRight" state="frozen"/>
      <selection pane="topRight" activeCell="D1" sqref="D1"/>
      <selection pane="bottomLeft" activeCell="A8" sqref="A8"/>
      <selection pane="bottomRight" activeCell="B50" sqref="B50"/>
    </sheetView>
  </sheetViews>
  <sheetFormatPr defaultRowHeight="12.75" x14ac:dyDescent="0.2"/>
  <cols>
    <col min="1" max="1" width="7.140625" style="24" customWidth="1"/>
    <col min="2" max="2" width="64.85546875" style="24" customWidth="1"/>
    <col min="3" max="3" width="7.7109375" style="24" customWidth="1"/>
    <col min="4" max="4" width="19.140625" style="25" customWidth="1"/>
    <col min="5" max="5" width="18.140625" style="25" customWidth="1"/>
    <col min="6" max="6" width="17.5703125" style="25" customWidth="1"/>
    <col min="7" max="7" width="19" style="25" customWidth="1"/>
    <col min="8" max="10" width="17.85546875" style="25" customWidth="1"/>
    <col min="11" max="11" width="16.42578125" style="25" customWidth="1"/>
    <col min="12" max="12" width="15.140625" style="24" customWidth="1"/>
    <col min="13" max="16384" width="9.140625" style="24"/>
  </cols>
  <sheetData>
    <row r="1" spans="1:13" ht="15.75" x14ac:dyDescent="0.25">
      <c r="A1" s="254"/>
      <c r="B1" s="254"/>
      <c r="C1" s="254"/>
      <c r="D1" s="256"/>
      <c r="E1" s="256"/>
      <c r="F1" s="257"/>
      <c r="G1" s="257" t="s">
        <v>458</v>
      </c>
      <c r="H1" s="256"/>
      <c r="I1" s="256"/>
      <c r="J1" s="257"/>
      <c r="K1" s="257" t="s">
        <v>458</v>
      </c>
    </row>
    <row r="2" spans="1:13" ht="46.5" customHeight="1" x14ac:dyDescent="0.2">
      <c r="A2" s="1098" t="s">
        <v>144</v>
      </c>
      <c r="B2" s="1099"/>
      <c r="C2" s="1100"/>
      <c r="D2" s="1086" t="s">
        <v>1051</v>
      </c>
      <c r="E2" s="1086"/>
      <c r="F2" s="1086"/>
      <c r="G2" s="1086"/>
      <c r="H2" s="1086" t="s">
        <v>1051</v>
      </c>
      <c r="I2" s="1086"/>
      <c r="J2" s="1086"/>
      <c r="K2" s="1086"/>
    </row>
    <row r="3" spans="1:13" s="27" customFormat="1" ht="88.5" customHeight="1" x14ac:dyDescent="0.2">
      <c r="A3" s="1097" t="s">
        <v>201</v>
      </c>
      <c r="B3" s="1096" t="s">
        <v>259</v>
      </c>
      <c r="C3" s="1096"/>
      <c r="D3" s="258" t="s">
        <v>518</v>
      </c>
      <c r="E3" s="357" t="s">
        <v>459</v>
      </c>
      <c r="F3" s="259" t="s">
        <v>451</v>
      </c>
      <c r="G3" s="259" t="s">
        <v>354</v>
      </c>
      <c r="H3" s="259" t="s">
        <v>549</v>
      </c>
      <c r="I3" s="259" t="s">
        <v>532</v>
      </c>
      <c r="J3" s="357" t="s">
        <v>459</v>
      </c>
      <c r="K3" s="1086" t="s">
        <v>146</v>
      </c>
    </row>
    <row r="4" spans="1:13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8" t="s">
        <v>237</v>
      </c>
      <c r="H4" s="258" t="s">
        <v>237</v>
      </c>
      <c r="I4" s="258" t="s">
        <v>237</v>
      </c>
      <c r="J4" s="259" t="s">
        <v>237</v>
      </c>
      <c r="K4" s="1086"/>
    </row>
    <row r="5" spans="1:13" s="27" customFormat="1" ht="15.75" customHeight="1" x14ac:dyDescent="0.2">
      <c r="A5" s="1097"/>
      <c r="B5" s="1082" t="s">
        <v>776</v>
      </c>
      <c r="C5" s="1082"/>
      <c r="D5" s="1086" t="s">
        <v>365</v>
      </c>
      <c r="E5" s="1086" t="s">
        <v>450</v>
      </c>
      <c r="F5" s="1086" t="s">
        <v>818</v>
      </c>
      <c r="G5" s="1086" t="s">
        <v>819</v>
      </c>
      <c r="H5" s="1103" t="s">
        <v>820</v>
      </c>
      <c r="I5" s="1088" t="s">
        <v>531</v>
      </c>
      <c r="J5" s="1087" t="s">
        <v>530</v>
      </c>
      <c r="K5" s="1086"/>
    </row>
    <row r="6" spans="1:13" ht="73.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103"/>
      <c r="I6" s="1088"/>
      <c r="J6" s="1087"/>
      <c r="K6" s="1086"/>
      <c r="L6" s="161"/>
    </row>
    <row r="7" spans="1:13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  <c r="K7" s="595" t="s">
        <v>213</v>
      </c>
    </row>
    <row r="8" spans="1:13" ht="21.75" customHeight="1" x14ac:dyDescent="0.25">
      <c r="A8" s="32" t="s">
        <v>203</v>
      </c>
      <c r="B8" s="29" t="s">
        <v>345</v>
      </c>
      <c r="C8" s="33" t="s">
        <v>214</v>
      </c>
      <c r="D8" s="261"/>
      <c r="E8" s="261">
        <v>61126754</v>
      </c>
      <c r="F8" s="261"/>
      <c r="G8" s="261"/>
      <c r="H8" s="261"/>
      <c r="I8" s="261"/>
      <c r="J8" s="261"/>
      <c r="K8" s="261">
        <f>D8+E8+F8+G8+H8+J8+I8</f>
        <v>61126754</v>
      </c>
      <c r="M8" s="120"/>
    </row>
    <row r="9" spans="1:13" ht="21.75" customHeight="1" x14ac:dyDescent="0.25">
      <c r="A9" s="32" t="s">
        <v>204</v>
      </c>
      <c r="B9" s="34" t="s">
        <v>215</v>
      </c>
      <c r="C9" s="33" t="s">
        <v>216</v>
      </c>
      <c r="D9" s="261"/>
      <c r="E9" s="261">
        <f>9860347+150000</f>
        <v>10010347</v>
      </c>
      <c r="F9" s="261"/>
      <c r="G9" s="261"/>
      <c r="H9" s="261"/>
      <c r="I9" s="261"/>
      <c r="J9" s="261"/>
      <c r="K9" s="261">
        <f t="shared" ref="K9:K50" si="0">D9+E9+F9+G9+H9+J9+I9</f>
        <v>10010347</v>
      </c>
      <c r="M9" s="120"/>
    </row>
    <row r="10" spans="1:13" ht="21.75" customHeight="1" x14ac:dyDescent="0.25">
      <c r="A10" s="32" t="s">
        <v>205</v>
      </c>
      <c r="B10" s="34" t="s">
        <v>346</v>
      </c>
      <c r="C10" s="33" t="s">
        <v>217</v>
      </c>
      <c r="D10" s="261"/>
      <c r="E10" s="261">
        <f>9195040+756771</f>
        <v>9951811</v>
      </c>
      <c r="F10" s="261">
        <v>5000000</v>
      </c>
      <c r="G10" s="261">
        <v>736600</v>
      </c>
      <c r="H10" s="261">
        <f>1400000+110748</f>
        <v>1510748</v>
      </c>
      <c r="I10" s="261">
        <v>608000</v>
      </c>
      <c r="J10" s="261">
        <f>1270000+469804</f>
        <v>1739804</v>
      </c>
      <c r="K10" s="261">
        <f t="shared" si="0"/>
        <v>19546963</v>
      </c>
      <c r="M10" s="120"/>
    </row>
    <row r="11" spans="1:13" ht="21.75" customHeight="1" x14ac:dyDescent="0.25">
      <c r="A11" s="32" t="s">
        <v>206</v>
      </c>
      <c r="B11" s="35" t="s">
        <v>347</v>
      </c>
      <c r="C11" s="33" t="s">
        <v>218</v>
      </c>
      <c r="D11" s="261"/>
      <c r="E11" s="261"/>
      <c r="F11" s="261"/>
      <c r="G11" s="261"/>
      <c r="H11" s="261"/>
      <c r="I11" s="261"/>
      <c r="J11" s="261"/>
      <c r="K11" s="261">
        <f t="shared" si="0"/>
        <v>0</v>
      </c>
    </row>
    <row r="12" spans="1:13" ht="21.75" customHeight="1" x14ac:dyDescent="0.25">
      <c r="A12" s="32" t="s">
        <v>207</v>
      </c>
      <c r="B12" s="35" t="s">
        <v>249</v>
      </c>
      <c r="C12" s="33" t="s">
        <v>219</v>
      </c>
      <c r="D12" s="261">
        <f>SUM(D13:D15)</f>
        <v>0</v>
      </c>
      <c r="E12" s="261">
        <f t="shared" ref="E12:J12" si="1">SUM(E13:E15)</f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/>
      <c r="J12" s="261">
        <f t="shared" si="1"/>
        <v>0</v>
      </c>
      <c r="K12" s="261">
        <f t="shared" si="0"/>
        <v>0</v>
      </c>
    </row>
    <row r="13" spans="1:13" ht="21.75" customHeight="1" x14ac:dyDescent="0.25">
      <c r="A13" s="32" t="s">
        <v>208</v>
      </c>
      <c r="B13" s="36" t="s">
        <v>133</v>
      </c>
      <c r="C13" s="33"/>
      <c r="D13" s="261"/>
      <c r="E13" s="261"/>
      <c r="F13" s="261"/>
      <c r="G13" s="261"/>
      <c r="H13" s="261"/>
      <c r="I13" s="261"/>
      <c r="J13" s="261"/>
      <c r="K13" s="261">
        <f t="shared" si="0"/>
        <v>0</v>
      </c>
    </row>
    <row r="14" spans="1:13" ht="21.75" customHeight="1" x14ac:dyDescent="0.25">
      <c r="A14" s="32" t="s">
        <v>209</v>
      </c>
      <c r="B14" s="36" t="s">
        <v>123</v>
      </c>
      <c r="C14" s="37"/>
      <c r="D14" s="261"/>
      <c r="E14" s="261"/>
      <c r="F14" s="261"/>
      <c r="G14" s="261"/>
      <c r="H14" s="261"/>
      <c r="I14" s="261"/>
      <c r="J14" s="261"/>
      <c r="K14" s="261">
        <f t="shared" si="0"/>
        <v>0</v>
      </c>
    </row>
    <row r="15" spans="1:13" ht="21.75" customHeight="1" x14ac:dyDescent="0.25">
      <c r="A15" s="32" t="s">
        <v>210</v>
      </c>
      <c r="B15" s="130" t="s">
        <v>582</v>
      </c>
      <c r="C15" s="37"/>
      <c r="D15" s="261"/>
      <c r="E15" s="261"/>
      <c r="F15" s="261"/>
      <c r="G15" s="261"/>
      <c r="H15" s="261"/>
      <c r="I15" s="261"/>
      <c r="J15" s="261"/>
      <c r="K15" s="261">
        <f t="shared" si="0"/>
        <v>0</v>
      </c>
    </row>
    <row r="16" spans="1:13" ht="21.75" customHeight="1" x14ac:dyDescent="0.25">
      <c r="A16" s="32" t="s">
        <v>211</v>
      </c>
      <c r="B16" s="38" t="s">
        <v>256</v>
      </c>
      <c r="C16" s="33" t="s">
        <v>220</v>
      </c>
      <c r="D16" s="261"/>
      <c r="E16" s="261">
        <f>+'6.sz. Beruházások'!E121</f>
        <v>774700</v>
      </c>
      <c r="F16" s="261"/>
      <c r="G16" s="261">
        <f>+'6.sz. Beruházások'!E122</f>
        <v>127000</v>
      </c>
      <c r="H16" s="261"/>
      <c r="I16" s="261"/>
      <c r="J16" s="261"/>
      <c r="K16" s="261">
        <f t="shared" si="0"/>
        <v>901700</v>
      </c>
    </row>
    <row r="17" spans="1:12" ht="21.75" customHeight="1" x14ac:dyDescent="0.25">
      <c r="A17" s="32" t="s">
        <v>212</v>
      </c>
      <c r="B17" s="35" t="s">
        <v>348</v>
      </c>
      <c r="C17" s="33" t="s">
        <v>221</v>
      </c>
      <c r="D17" s="261"/>
      <c r="E17" s="261"/>
      <c r="F17" s="261"/>
      <c r="G17" s="261"/>
      <c r="H17" s="261"/>
      <c r="I17" s="261"/>
      <c r="J17" s="261"/>
      <c r="K17" s="261">
        <f t="shared" si="0"/>
        <v>0</v>
      </c>
    </row>
    <row r="18" spans="1:12" ht="21.75" customHeight="1" x14ac:dyDescent="0.25">
      <c r="A18" s="32" t="s">
        <v>213</v>
      </c>
      <c r="B18" s="35" t="s">
        <v>250</v>
      </c>
      <c r="C18" s="33" t="s">
        <v>222</v>
      </c>
      <c r="D18" s="261"/>
      <c r="E18" s="261"/>
      <c r="F18" s="261"/>
      <c r="G18" s="261"/>
      <c r="H18" s="261"/>
      <c r="I18" s="261"/>
      <c r="J18" s="261"/>
      <c r="K18" s="261">
        <f t="shared" si="0"/>
        <v>0</v>
      </c>
    </row>
    <row r="19" spans="1:12" ht="21.75" customHeight="1" x14ac:dyDescent="0.25">
      <c r="A19" s="32" t="s">
        <v>240</v>
      </c>
      <c r="B19" s="35" t="s">
        <v>132</v>
      </c>
      <c r="C19" s="33"/>
      <c r="D19" s="261"/>
      <c r="E19" s="261"/>
      <c r="F19" s="261"/>
      <c r="G19" s="261"/>
      <c r="H19" s="261"/>
      <c r="I19" s="261"/>
      <c r="J19" s="261"/>
      <c r="K19" s="261">
        <f t="shared" si="0"/>
        <v>0</v>
      </c>
    </row>
    <row r="20" spans="1:12" ht="21.75" customHeight="1" x14ac:dyDescent="0.25">
      <c r="A20" s="32" t="s">
        <v>241</v>
      </c>
      <c r="B20" s="38" t="s">
        <v>251</v>
      </c>
      <c r="C20" s="33" t="s">
        <v>223</v>
      </c>
      <c r="D20" s="261">
        <f>+D8+D9+D10+D11+D12+D16+D17+D18</f>
        <v>0</v>
      </c>
      <c r="E20" s="261">
        <f t="shared" ref="E20:J20" si="2">+E8+E9+E10+E11+E12+E16+E17+E18</f>
        <v>81863612</v>
      </c>
      <c r="F20" s="261">
        <f t="shared" si="2"/>
        <v>5000000</v>
      </c>
      <c r="G20" s="261">
        <f t="shared" si="2"/>
        <v>863600</v>
      </c>
      <c r="H20" s="261">
        <f t="shared" si="2"/>
        <v>1510748</v>
      </c>
      <c r="I20" s="261">
        <f t="shared" si="2"/>
        <v>608000</v>
      </c>
      <c r="J20" s="261">
        <f t="shared" si="2"/>
        <v>1739804</v>
      </c>
      <c r="K20" s="262">
        <f t="shared" si="0"/>
        <v>91585764</v>
      </c>
      <c r="L20" s="120">
        <f>K8+K9+K10+K11+K12+K16+K17+K18</f>
        <v>91585764</v>
      </c>
    </row>
    <row r="21" spans="1:12" ht="21.75" customHeight="1" x14ac:dyDescent="0.25">
      <c r="A21" s="32" t="s">
        <v>242</v>
      </c>
      <c r="B21" s="38" t="s">
        <v>236</v>
      </c>
      <c r="C21" s="33" t="s">
        <v>232</v>
      </c>
      <c r="D21" s="261">
        <f>SUM(D22:D25)</f>
        <v>0</v>
      </c>
      <c r="E21" s="261">
        <f t="shared" ref="E21:J21" si="3">SUM(E22:E25)</f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261">
        <f t="shared" si="3"/>
        <v>0</v>
      </c>
      <c r="J21" s="261">
        <f t="shared" si="3"/>
        <v>0</v>
      </c>
      <c r="K21" s="261">
        <f t="shared" si="0"/>
        <v>0</v>
      </c>
    </row>
    <row r="22" spans="1:12" ht="21.75" customHeight="1" x14ac:dyDescent="0.25">
      <c r="A22" s="32" t="s">
        <v>243</v>
      </c>
      <c r="B22" s="132" t="s">
        <v>191</v>
      </c>
      <c r="C22" s="37"/>
      <c r="D22" s="261"/>
      <c r="E22" s="261"/>
      <c r="F22" s="261"/>
      <c r="G22" s="261"/>
      <c r="H22" s="261"/>
      <c r="I22" s="261"/>
      <c r="J22" s="261"/>
      <c r="K22" s="261">
        <f t="shared" si="0"/>
        <v>0</v>
      </c>
    </row>
    <row r="23" spans="1:12" ht="21.75" customHeight="1" x14ac:dyDescent="0.25">
      <c r="A23" s="32" t="s">
        <v>244</v>
      </c>
      <c r="B23" s="39" t="s">
        <v>585</v>
      </c>
      <c r="C23" s="37"/>
      <c r="D23" s="261"/>
      <c r="E23" s="261"/>
      <c r="F23" s="261"/>
      <c r="G23" s="261"/>
      <c r="H23" s="261"/>
      <c r="I23" s="261"/>
      <c r="J23" s="261"/>
      <c r="K23" s="261">
        <f t="shared" si="0"/>
        <v>0</v>
      </c>
    </row>
    <row r="24" spans="1:12" ht="21.75" customHeight="1" x14ac:dyDescent="0.25">
      <c r="A24" s="32" t="s">
        <v>245</v>
      </c>
      <c r="B24" s="39" t="s">
        <v>586</v>
      </c>
      <c r="C24" s="37"/>
      <c r="D24" s="261"/>
      <c r="E24" s="261"/>
      <c r="F24" s="261"/>
      <c r="G24" s="261"/>
      <c r="H24" s="261"/>
      <c r="I24" s="261"/>
      <c r="J24" s="261"/>
      <c r="K24" s="261">
        <f t="shared" si="0"/>
        <v>0</v>
      </c>
    </row>
    <row r="25" spans="1:12" ht="21.75" customHeight="1" x14ac:dyDescent="0.25">
      <c r="A25" s="32" t="s">
        <v>246</v>
      </c>
      <c r="B25" s="39" t="s">
        <v>134</v>
      </c>
      <c r="C25" s="37"/>
      <c r="D25" s="261"/>
      <c r="E25" s="261"/>
      <c r="F25" s="261"/>
      <c r="G25" s="261"/>
      <c r="H25" s="261"/>
      <c r="I25" s="261"/>
      <c r="J25" s="261"/>
      <c r="K25" s="261">
        <f t="shared" si="0"/>
        <v>0</v>
      </c>
    </row>
    <row r="26" spans="1:12" ht="21.75" customHeight="1" x14ac:dyDescent="0.25">
      <c r="A26" s="32" t="s">
        <v>247</v>
      </c>
      <c r="B26" s="338" t="s">
        <v>889</v>
      </c>
      <c r="C26" s="37"/>
      <c r="D26" s="261"/>
      <c r="E26" s="261"/>
      <c r="F26" s="261"/>
      <c r="G26" s="261"/>
      <c r="H26" s="261"/>
      <c r="I26" s="261"/>
      <c r="J26" s="261"/>
      <c r="K26" s="261">
        <f t="shared" si="0"/>
        <v>0</v>
      </c>
    </row>
    <row r="27" spans="1:12" s="41" customFormat="1" ht="21.75" customHeight="1" x14ac:dyDescent="0.25">
      <c r="A27" s="32" t="s">
        <v>248</v>
      </c>
      <c r="B27" s="40" t="s">
        <v>32</v>
      </c>
      <c r="C27" s="33"/>
      <c r="D27" s="262">
        <f>+D8+D9+D10+D11+D12+D22+D23</f>
        <v>0</v>
      </c>
      <c r="E27" s="262">
        <f t="shared" ref="E27:J27" si="4">+E8+E9+E10+E11+E12+E22+E23</f>
        <v>81088912</v>
      </c>
      <c r="F27" s="262">
        <f t="shared" si="4"/>
        <v>5000000</v>
      </c>
      <c r="G27" s="262">
        <f t="shared" si="4"/>
        <v>736600</v>
      </c>
      <c r="H27" s="262">
        <f t="shared" si="4"/>
        <v>1510748</v>
      </c>
      <c r="I27" s="262">
        <f>+I8+I9+I10+I11+I12+I22+I23</f>
        <v>608000</v>
      </c>
      <c r="J27" s="262">
        <f t="shared" si="4"/>
        <v>1739804</v>
      </c>
      <c r="K27" s="262">
        <f t="shared" si="0"/>
        <v>90684064</v>
      </c>
    </row>
    <row r="28" spans="1:12" s="41" customFormat="1" ht="21.75" customHeight="1" x14ac:dyDescent="0.25">
      <c r="A28" s="32" t="s">
        <v>276</v>
      </c>
      <c r="B28" s="40" t="s">
        <v>33</v>
      </c>
      <c r="C28" s="33"/>
      <c r="D28" s="262">
        <f>+D16+D17+D18+D24+D25</f>
        <v>0</v>
      </c>
      <c r="E28" s="262">
        <f t="shared" ref="E28:J28" si="5">+E16+E17+E18+E24+E25</f>
        <v>774700</v>
      </c>
      <c r="F28" s="262">
        <f t="shared" si="5"/>
        <v>0</v>
      </c>
      <c r="G28" s="262">
        <f t="shared" si="5"/>
        <v>127000</v>
      </c>
      <c r="H28" s="262">
        <f t="shared" si="5"/>
        <v>0</v>
      </c>
      <c r="I28" s="262">
        <f>+I16+I17+I18+I24+I25</f>
        <v>0</v>
      </c>
      <c r="J28" s="262">
        <f t="shared" si="5"/>
        <v>0</v>
      </c>
      <c r="K28" s="262">
        <f t="shared" si="0"/>
        <v>901700</v>
      </c>
    </row>
    <row r="29" spans="1:12" s="41" customFormat="1" ht="21.75" customHeight="1" x14ac:dyDescent="0.25">
      <c r="A29" s="32" t="s">
        <v>277</v>
      </c>
      <c r="B29" s="40" t="s">
        <v>343</v>
      </c>
      <c r="C29" s="33" t="s">
        <v>31</v>
      </c>
      <c r="D29" s="262">
        <f>SUM(D27:D28)</f>
        <v>0</v>
      </c>
      <c r="E29" s="262">
        <f t="shared" ref="E29:J29" si="6">SUM(E27:E28)</f>
        <v>81863612</v>
      </c>
      <c r="F29" s="262">
        <f t="shared" si="6"/>
        <v>5000000</v>
      </c>
      <c r="G29" s="262">
        <f t="shared" si="6"/>
        <v>863600</v>
      </c>
      <c r="H29" s="262">
        <f t="shared" si="6"/>
        <v>1510748</v>
      </c>
      <c r="I29" s="262">
        <f>SUM(I27:I28)</f>
        <v>608000</v>
      </c>
      <c r="J29" s="262">
        <f t="shared" si="6"/>
        <v>1739804</v>
      </c>
      <c r="K29" s="262">
        <f t="shared" si="0"/>
        <v>91585764</v>
      </c>
    </row>
    <row r="30" spans="1:12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/>
      <c r="K30" s="261">
        <f t="shared" si="0"/>
        <v>0</v>
      </c>
    </row>
    <row r="31" spans="1:12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/>
      <c r="K31" s="261">
        <f t="shared" si="0"/>
        <v>0</v>
      </c>
    </row>
    <row r="32" spans="1:12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/>
      <c r="J32" s="261"/>
      <c r="K32" s="261">
        <f t="shared" si="0"/>
        <v>0</v>
      </c>
    </row>
    <row r="33" spans="1:12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1"/>
      <c r="F33" s="261"/>
      <c r="G33" s="261"/>
      <c r="H33" s="261"/>
      <c r="I33" s="261"/>
      <c r="J33" s="261">
        <v>800000</v>
      </c>
      <c r="K33" s="261">
        <f t="shared" si="0"/>
        <v>800000</v>
      </c>
    </row>
    <row r="34" spans="1:12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/>
      <c r="K34" s="261">
        <f t="shared" si="0"/>
        <v>0</v>
      </c>
    </row>
    <row r="35" spans="1:12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/>
      <c r="K35" s="261">
        <f t="shared" si="0"/>
        <v>0</v>
      </c>
    </row>
    <row r="36" spans="1:12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/>
      <c r="J36" s="261"/>
      <c r="K36" s="261">
        <f t="shared" si="0"/>
        <v>0</v>
      </c>
    </row>
    <row r="37" spans="1:12" ht="21.75" customHeight="1" x14ac:dyDescent="0.25">
      <c r="A37" s="32" t="s">
        <v>285</v>
      </c>
      <c r="B37" s="35" t="s">
        <v>254</v>
      </c>
      <c r="C37" s="38" t="s">
        <v>231</v>
      </c>
      <c r="D37" s="261">
        <f>+D30+D31+D32+D33+D34+D35+D36</f>
        <v>0</v>
      </c>
      <c r="E37" s="261">
        <f t="shared" ref="E37:J37" si="7">+E30+E31+E32+E33+E34+E35+E36</f>
        <v>0</v>
      </c>
      <c r="F37" s="261">
        <f t="shared" si="7"/>
        <v>0</v>
      </c>
      <c r="G37" s="261">
        <f t="shared" si="7"/>
        <v>0</v>
      </c>
      <c r="H37" s="261">
        <f t="shared" si="7"/>
        <v>0</v>
      </c>
      <c r="I37" s="261">
        <f>+I30+I31+I32+I33+I34+I35+I36</f>
        <v>0</v>
      </c>
      <c r="J37" s="261">
        <f t="shared" si="7"/>
        <v>800000</v>
      </c>
      <c r="K37" s="262">
        <f t="shared" si="0"/>
        <v>800000</v>
      </c>
    </row>
    <row r="38" spans="1:12" ht="21.75" customHeight="1" x14ac:dyDescent="0.25">
      <c r="A38" s="32" t="s">
        <v>286</v>
      </c>
      <c r="B38" s="38" t="s">
        <v>255</v>
      </c>
      <c r="C38" s="33" t="s">
        <v>233</v>
      </c>
      <c r="D38" s="261">
        <f>SUM(D40:D44)</f>
        <v>90785764</v>
      </c>
      <c r="E38" s="261">
        <f t="shared" ref="E38:J38" si="8">SUM(E40:E44)</f>
        <v>0</v>
      </c>
      <c r="F38" s="261">
        <f t="shared" si="8"/>
        <v>0</v>
      </c>
      <c r="G38" s="261">
        <f t="shared" si="8"/>
        <v>0</v>
      </c>
      <c r="H38" s="261">
        <f t="shared" si="8"/>
        <v>0</v>
      </c>
      <c r="I38" s="261">
        <f>SUM(I40:I44)</f>
        <v>0</v>
      </c>
      <c r="J38" s="261">
        <f t="shared" si="8"/>
        <v>0</v>
      </c>
      <c r="K38" s="261">
        <f t="shared" si="0"/>
        <v>90785764</v>
      </c>
    </row>
    <row r="39" spans="1:12" ht="21.75" customHeight="1" x14ac:dyDescent="0.25">
      <c r="A39" s="32" t="s">
        <v>287</v>
      </c>
      <c r="B39" s="132" t="s">
        <v>598</v>
      </c>
      <c r="C39" s="33"/>
      <c r="D39" s="261"/>
      <c r="E39" s="261"/>
      <c r="F39" s="261"/>
      <c r="G39" s="261"/>
      <c r="H39" s="261"/>
      <c r="I39" s="261"/>
      <c r="J39" s="261"/>
      <c r="K39" s="261">
        <f t="shared" si="0"/>
        <v>0</v>
      </c>
    </row>
    <row r="40" spans="1:12" ht="21.75" customHeight="1" x14ac:dyDescent="0.25">
      <c r="A40" s="32" t="s">
        <v>288</v>
      </c>
      <c r="B40" s="39" t="s">
        <v>932</v>
      </c>
      <c r="C40" s="37"/>
      <c r="D40" s="261">
        <v>1337323</v>
      </c>
      <c r="E40" s="261"/>
      <c r="F40" s="261"/>
      <c r="G40" s="261"/>
      <c r="H40" s="261"/>
      <c r="I40" s="261"/>
      <c r="J40" s="261"/>
      <c r="K40" s="261">
        <f t="shared" si="0"/>
        <v>1337323</v>
      </c>
    </row>
    <row r="41" spans="1:12" ht="21.75" customHeight="1" x14ac:dyDescent="0.25">
      <c r="A41" s="32" t="s">
        <v>292</v>
      </c>
      <c r="B41" s="39" t="s">
        <v>933</v>
      </c>
      <c r="C41" s="37"/>
      <c r="D41" s="261"/>
      <c r="E41" s="261"/>
      <c r="F41" s="261"/>
      <c r="G41" s="261"/>
      <c r="H41" s="261"/>
      <c r="I41" s="261"/>
      <c r="J41" s="261"/>
      <c r="K41" s="261">
        <f t="shared" si="0"/>
        <v>0</v>
      </c>
    </row>
    <row r="42" spans="1:12" ht="21.75" customHeight="1" x14ac:dyDescent="0.25">
      <c r="A42" s="32" t="s">
        <v>293</v>
      </c>
      <c r="B42" s="39" t="s">
        <v>570</v>
      </c>
      <c r="C42" s="37"/>
      <c r="D42" s="261">
        <f>+K27-K30-K32-K33-K35-K40</f>
        <v>88546741</v>
      </c>
      <c r="E42" s="261"/>
      <c r="F42" s="261"/>
      <c r="G42" s="261"/>
      <c r="H42" s="261"/>
      <c r="I42" s="261"/>
      <c r="J42" s="261"/>
      <c r="K42" s="261">
        <f t="shared" si="0"/>
        <v>88546741</v>
      </c>
    </row>
    <row r="43" spans="1:12" ht="21.75" customHeight="1" x14ac:dyDescent="0.25">
      <c r="A43" s="32" t="s">
        <v>294</v>
      </c>
      <c r="B43" s="39" t="s">
        <v>571</v>
      </c>
      <c r="C43" s="37"/>
      <c r="D43" s="261">
        <f>+K28-K31-K34-K36-K41</f>
        <v>901700</v>
      </c>
      <c r="E43" s="261"/>
      <c r="F43" s="261"/>
      <c r="G43" s="261"/>
      <c r="H43" s="261"/>
      <c r="I43" s="261"/>
      <c r="J43" s="261"/>
      <c r="K43" s="261">
        <f t="shared" si="0"/>
        <v>901700</v>
      </c>
    </row>
    <row r="44" spans="1:12" ht="21.75" customHeight="1" x14ac:dyDescent="0.25">
      <c r="A44" s="32" t="s">
        <v>295</v>
      </c>
      <c r="B44" s="39" t="s">
        <v>608</v>
      </c>
      <c r="C44" s="37"/>
      <c r="D44" s="261"/>
      <c r="E44" s="261"/>
      <c r="F44" s="261"/>
      <c r="G44" s="261"/>
      <c r="H44" s="261"/>
      <c r="I44" s="261"/>
      <c r="J44" s="261"/>
      <c r="K44" s="261">
        <f t="shared" si="0"/>
        <v>0</v>
      </c>
    </row>
    <row r="45" spans="1:12" ht="21.75" customHeight="1" x14ac:dyDescent="0.25">
      <c r="A45" s="32" t="s">
        <v>296</v>
      </c>
      <c r="B45" s="338" t="s">
        <v>888</v>
      </c>
      <c r="C45" s="37"/>
      <c r="D45" s="261"/>
      <c r="E45" s="261"/>
      <c r="F45" s="261"/>
      <c r="G45" s="261"/>
      <c r="H45" s="261"/>
      <c r="I45" s="261"/>
      <c r="J45" s="261"/>
      <c r="K45" s="261">
        <f t="shared" si="0"/>
        <v>0</v>
      </c>
    </row>
    <row r="46" spans="1:12" ht="21.75" customHeight="1" x14ac:dyDescent="0.25">
      <c r="A46" s="32" t="s">
        <v>297</v>
      </c>
      <c r="B46" s="40" t="s">
        <v>120</v>
      </c>
      <c r="C46" s="33"/>
      <c r="D46" s="262">
        <f>+D30+D32+D33+D35+D40+D42</f>
        <v>89884064</v>
      </c>
      <c r="E46" s="262">
        <f t="shared" ref="E46:J46" si="9">+E30+E32+E33+E35+E40+E42</f>
        <v>0</v>
      </c>
      <c r="F46" s="262">
        <f t="shared" si="9"/>
        <v>0</v>
      </c>
      <c r="G46" s="262">
        <f t="shared" si="9"/>
        <v>0</v>
      </c>
      <c r="H46" s="262">
        <f t="shared" si="9"/>
        <v>0</v>
      </c>
      <c r="I46" s="262">
        <f>+I30+I32+I33+I35+I40+I42</f>
        <v>0</v>
      </c>
      <c r="J46" s="262">
        <f t="shared" si="9"/>
        <v>800000</v>
      </c>
      <c r="K46" s="262">
        <f t="shared" si="0"/>
        <v>90684064</v>
      </c>
    </row>
    <row r="47" spans="1:12" ht="21.75" customHeight="1" x14ac:dyDescent="0.25">
      <c r="A47" s="32" t="s">
        <v>298</v>
      </c>
      <c r="B47" s="40" t="s">
        <v>121</v>
      </c>
      <c r="C47" s="33"/>
      <c r="D47" s="262">
        <f>+D31+D34+D36+D41+D428+D44+D43</f>
        <v>901700</v>
      </c>
      <c r="E47" s="262">
        <f t="shared" ref="E47:J47" si="10">+E31+E34+E36+E41+E428+E44+E43</f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>+I31+I34+I36+I41+I428+I44+I43</f>
        <v>0</v>
      </c>
      <c r="J47" s="262">
        <f t="shared" si="10"/>
        <v>0</v>
      </c>
      <c r="K47" s="262">
        <f t="shared" si="0"/>
        <v>901700</v>
      </c>
    </row>
    <row r="48" spans="1:12" ht="21.75" customHeight="1" x14ac:dyDescent="0.25">
      <c r="A48" s="32" t="s">
        <v>299</v>
      </c>
      <c r="B48" s="40" t="s">
        <v>344</v>
      </c>
      <c r="C48" s="33"/>
      <c r="D48" s="262">
        <f>+D46+D47</f>
        <v>90785764</v>
      </c>
      <c r="E48" s="262">
        <f t="shared" ref="E48:J48" si="11">+E46+E47</f>
        <v>0</v>
      </c>
      <c r="F48" s="262">
        <f t="shared" si="11"/>
        <v>0</v>
      </c>
      <c r="G48" s="262">
        <f t="shared" si="11"/>
        <v>0</v>
      </c>
      <c r="H48" s="262">
        <f t="shared" si="11"/>
        <v>0</v>
      </c>
      <c r="I48" s="262">
        <f>+I46+I47</f>
        <v>0</v>
      </c>
      <c r="J48" s="262">
        <f t="shared" si="11"/>
        <v>800000</v>
      </c>
      <c r="K48" s="262">
        <f t="shared" si="0"/>
        <v>91585764</v>
      </c>
      <c r="L48" s="120">
        <f>K46+K47</f>
        <v>91585764</v>
      </c>
    </row>
    <row r="49" spans="1:13" ht="21.75" customHeight="1" x14ac:dyDescent="0.25">
      <c r="A49" s="32" t="s">
        <v>300</v>
      </c>
      <c r="B49" s="585" t="s">
        <v>465</v>
      </c>
      <c r="C49" s="267"/>
      <c r="D49" s="261"/>
      <c r="E49" s="261">
        <v>10</v>
      </c>
      <c r="F49" s="261"/>
      <c r="G49" s="261"/>
      <c r="H49" s="261"/>
      <c r="I49" s="261"/>
      <c r="J49" s="261"/>
      <c r="K49" s="261">
        <f t="shared" si="0"/>
        <v>10</v>
      </c>
      <c r="M49" s="120">
        <f>K48-K29</f>
        <v>0</v>
      </c>
    </row>
    <row r="50" spans="1:13" ht="21.75" customHeight="1" x14ac:dyDescent="0.25">
      <c r="A50" s="32" t="s">
        <v>301</v>
      </c>
      <c r="B50" s="65" t="s">
        <v>1047</v>
      </c>
      <c r="C50" s="267"/>
      <c r="D50" s="310"/>
      <c r="E50" s="310"/>
      <c r="F50" s="310"/>
      <c r="G50" s="310"/>
      <c r="H50" s="310"/>
      <c r="I50" s="310"/>
      <c r="J50" s="310"/>
      <c r="K50" s="261">
        <f t="shared" si="0"/>
        <v>0</v>
      </c>
      <c r="M50" s="120"/>
    </row>
  </sheetData>
  <mergeCells count="15">
    <mergeCell ref="A3:A6"/>
    <mergeCell ref="B3:C3"/>
    <mergeCell ref="D5:D6"/>
    <mergeCell ref="E5:E6"/>
    <mergeCell ref="B4:C4"/>
    <mergeCell ref="A2:C2"/>
    <mergeCell ref="D2:G2"/>
    <mergeCell ref="H2:K2"/>
    <mergeCell ref="I5:I6"/>
    <mergeCell ref="F5:F6"/>
    <mergeCell ref="G5:G6"/>
    <mergeCell ref="K3:K6"/>
    <mergeCell ref="B5:C5"/>
    <mergeCell ref="H5:H6"/>
    <mergeCell ref="J5:J6"/>
  </mergeCells>
  <phoneticPr fontId="41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1" manualBreakCount="1">
    <brk id="7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0"/>
  <sheetViews>
    <sheetView zoomScale="71" zoomScaleNormal="100" zoomScaleSheetLayoutView="71" workbookViewId="0">
      <pane xSplit="3" ySplit="7" topLeftCell="S33" activePane="bottomRight" state="frozen"/>
      <selection pane="topRight" activeCell="D1" sqref="D1"/>
      <selection pane="bottomLeft" activeCell="A8" sqref="A8"/>
      <selection pane="bottomRight" activeCell="T33" sqref="T33"/>
    </sheetView>
  </sheetViews>
  <sheetFormatPr defaultRowHeight="12.75" x14ac:dyDescent="0.2"/>
  <cols>
    <col min="1" max="1" width="5.85546875" style="24" customWidth="1"/>
    <col min="2" max="2" width="64.85546875" style="24" customWidth="1"/>
    <col min="3" max="3" width="8" style="24" customWidth="1"/>
    <col min="4" max="4" width="17.7109375" style="25" customWidth="1"/>
    <col min="5" max="5" width="16.28515625" style="25" customWidth="1"/>
    <col min="6" max="7" width="17.28515625" style="25" customWidth="1"/>
    <col min="8" max="8" width="18.7109375" style="25" customWidth="1"/>
    <col min="9" max="9" width="17" style="25" customWidth="1"/>
    <col min="10" max="10" width="16.28515625" style="25" customWidth="1"/>
    <col min="11" max="11" width="17.28515625" style="25" customWidth="1"/>
    <col min="12" max="12" width="15.7109375" style="25" customWidth="1"/>
    <col min="13" max="13" width="15.85546875" style="25" customWidth="1"/>
    <col min="14" max="14" width="19.5703125" style="25" customWidth="1"/>
    <col min="15" max="15" width="17.7109375" style="25" customWidth="1"/>
    <col min="16" max="16" width="17.85546875" style="25" customWidth="1"/>
    <col min="17" max="17" width="18" style="25" customWidth="1"/>
    <col min="18" max="19" width="18.5703125" style="25" customWidth="1"/>
    <col min="20" max="20" width="17.42578125" style="25" customWidth="1"/>
    <col min="21" max="21" width="19" style="25" customWidth="1"/>
    <col min="22" max="22" width="17.42578125" style="25" customWidth="1"/>
    <col min="23" max="23" width="15.5703125" style="25" customWidth="1"/>
    <col min="24" max="24" width="18" style="24" customWidth="1"/>
    <col min="25" max="25" width="13" style="24" bestFit="1" customWidth="1"/>
    <col min="26" max="16384" width="9.140625" style="24"/>
  </cols>
  <sheetData>
    <row r="1" spans="1:25" ht="15.75" x14ac:dyDescent="0.25">
      <c r="A1" s="254"/>
      <c r="B1" s="268"/>
      <c r="C1" s="254"/>
      <c r="D1" s="256"/>
      <c r="E1" s="256"/>
      <c r="F1" s="256"/>
      <c r="G1" s="257" t="s">
        <v>458</v>
      </c>
      <c r="H1" s="256"/>
      <c r="I1" s="256"/>
      <c r="J1" s="256"/>
      <c r="K1" s="257" t="s">
        <v>458</v>
      </c>
      <c r="L1" s="256"/>
      <c r="M1" s="256"/>
      <c r="N1" s="256"/>
      <c r="O1" s="257" t="s">
        <v>458</v>
      </c>
      <c r="P1" s="256"/>
      <c r="Q1" s="256"/>
      <c r="R1" s="257"/>
      <c r="S1" s="257" t="s">
        <v>458</v>
      </c>
      <c r="T1" s="256"/>
      <c r="U1" s="256"/>
      <c r="V1" s="256"/>
      <c r="W1" s="257" t="s">
        <v>458</v>
      </c>
    </row>
    <row r="2" spans="1:25" ht="36.75" customHeight="1" x14ac:dyDescent="0.2">
      <c r="A2" s="1098" t="s">
        <v>144</v>
      </c>
      <c r="B2" s="1099"/>
      <c r="C2" s="1100"/>
      <c r="D2" s="1086" t="s">
        <v>1052</v>
      </c>
      <c r="E2" s="1086"/>
      <c r="F2" s="1086"/>
      <c r="G2" s="1086"/>
      <c r="H2" s="1086" t="s">
        <v>1052</v>
      </c>
      <c r="I2" s="1086"/>
      <c r="J2" s="1086"/>
      <c r="K2" s="1086"/>
      <c r="L2" s="1086" t="s">
        <v>1052</v>
      </c>
      <c r="M2" s="1086"/>
      <c r="N2" s="1086"/>
      <c r="O2" s="1086"/>
      <c r="P2" s="1086" t="s">
        <v>1052</v>
      </c>
      <c r="Q2" s="1086"/>
      <c r="R2" s="1086"/>
      <c r="S2" s="1086"/>
      <c r="T2" s="1086" t="s">
        <v>1052</v>
      </c>
      <c r="U2" s="1086"/>
      <c r="V2" s="1086"/>
      <c r="W2" s="1086"/>
    </row>
    <row r="3" spans="1:25" s="27" customFormat="1" ht="103.5" customHeight="1" x14ac:dyDescent="0.2">
      <c r="A3" s="1097" t="s">
        <v>201</v>
      </c>
      <c r="B3" s="1096" t="s">
        <v>259</v>
      </c>
      <c r="C3" s="1096"/>
      <c r="D3" s="258" t="s">
        <v>460</v>
      </c>
      <c r="E3" s="269" t="s">
        <v>461</v>
      </c>
      <c r="F3" s="258" t="s">
        <v>966</v>
      </c>
      <c r="G3" s="258" t="s">
        <v>355</v>
      </c>
      <c r="H3" s="258" t="s">
        <v>154</v>
      </c>
      <c r="I3" s="258" t="s">
        <v>363</v>
      </c>
      <c r="J3" s="258" t="s">
        <v>155</v>
      </c>
      <c r="K3" s="258" t="s">
        <v>511</v>
      </c>
      <c r="L3" s="258" t="s">
        <v>156</v>
      </c>
      <c r="M3" s="260" t="s">
        <v>147</v>
      </c>
      <c r="N3" s="259" t="s">
        <v>148</v>
      </c>
      <c r="O3" s="259" t="s">
        <v>149</v>
      </c>
      <c r="P3" s="259" t="s">
        <v>188</v>
      </c>
      <c r="Q3" s="259" t="s">
        <v>188</v>
      </c>
      <c r="R3" s="259" t="s">
        <v>188</v>
      </c>
      <c r="S3" s="259" t="s">
        <v>452</v>
      </c>
      <c r="T3" s="259" t="s">
        <v>193</v>
      </c>
      <c r="U3" s="259" t="s">
        <v>967</v>
      </c>
      <c r="V3" s="269" t="s">
        <v>461</v>
      </c>
      <c r="W3" s="1086" t="s">
        <v>146</v>
      </c>
    </row>
    <row r="4" spans="1:25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8" t="s">
        <v>238</v>
      </c>
      <c r="H4" s="258" t="s">
        <v>238</v>
      </c>
      <c r="I4" s="258" t="s">
        <v>237</v>
      </c>
      <c r="J4" s="258" t="s">
        <v>237</v>
      </c>
      <c r="K4" s="258" t="s">
        <v>238</v>
      </c>
      <c r="L4" s="258" t="s">
        <v>238</v>
      </c>
      <c r="M4" s="258" t="s">
        <v>238</v>
      </c>
      <c r="N4" s="258" t="s">
        <v>237</v>
      </c>
      <c r="O4" s="258" t="s">
        <v>237</v>
      </c>
      <c r="P4" s="258" t="s">
        <v>237</v>
      </c>
      <c r="Q4" s="258" t="s">
        <v>237</v>
      </c>
      <c r="R4" s="258" t="s">
        <v>237</v>
      </c>
      <c r="S4" s="258" t="s">
        <v>237</v>
      </c>
      <c r="T4" s="258" t="s">
        <v>237</v>
      </c>
      <c r="U4" s="258" t="s">
        <v>237</v>
      </c>
      <c r="V4" s="258" t="s">
        <v>237</v>
      </c>
      <c r="W4" s="1086"/>
    </row>
    <row r="5" spans="1:25" s="27" customFormat="1" ht="15.75" customHeight="1" x14ac:dyDescent="0.2">
      <c r="A5" s="1097"/>
      <c r="B5" s="1082" t="s">
        <v>776</v>
      </c>
      <c r="C5" s="1082"/>
      <c r="D5" s="1086" t="s">
        <v>362</v>
      </c>
      <c r="E5" s="1086" t="s">
        <v>645</v>
      </c>
      <c r="F5" s="1086" t="s">
        <v>361</v>
      </c>
      <c r="G5" s="1090" t="s">
        <v>360</v>
      </c>
      <c r="H5" s="1090" t="s">
        <v>359</v>
      </c>
      <c r="I5" s="1086" t="s">
        <v>533</v>
      </c>
      <c r="J5" s="1086" t="s">
        <v>535</v>
      </c>
      <c r="K5" s="1086" t="s">
        <v>358</v>
      </c>
      <c r="L5" s="1086" t="s">
        <v>357</v>
      </c>
      <c r="M5" s="1086" t="s">
        <v>150</v>
      </c>
      <c r="N5" s="1086" t="s">
        <v>151</v>
      </c>
      <c r="O5" s="1086" t="s">
        <v>152</v>
      </c>
      <c r="P5" s="1086" t="s">
        <v>413</v>
      </c>
      <c r="Q5" s="1086" t="s">
        <v>434</v>
      </c>
      <c r="R5" s="1086" t="s">
        <v>414</v>
      </c>
      <c r="S5" s="1086" t="s">
        <v>153</v>
      </c>
      <c r="T5" s="1086" t="s">
        <v>356</v>
      </c>
      <c r="U5" s="1086" t="s">
        <v>534</v>
      </c>
      <c r="V5" s="1086" t="s">
        <v>185</v>
      </c>
      <c r="W5" s="1086"/>
    </row>
    <row r="6" spans="1:25" ht="68.2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90"/>
      <c r="H6" s="1090"/>
      <c r="I6" s="1086"/>
      <c r="J6" s="1086"/>
      <c r="K6" s="1086"/>
      <c r="L6" s="1086"/>
      <c r="M6" s="1086"/>
      <c r="N6" s="1086"/>
      <c r="O6" s="1086"/>
      <c r="P6" s="1086"/>
      <c r="Q6" s="1086"/>
      <c r="R6" s="1086"/>
      <c r="S6" s="1086"/>
      <c r="T6" s="1086"/>
      <c r="U6" s="1086"/>
      <c r="V6" s="1086"/>
      <c r="W6" s="1086"/>
    </row>
    <row r="7" spans="1:25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  <c r="K7" s="595" t="s">
        <v>213</v>
      </c>
      <c r="L7" s="595" t="s">
        <v>240</v>
      </c>
      <c r="M7" s="595" t="s">
        <v>241</v>
      </c>
      <c r="N7" s="595" t="s">
        <v>242</v>
      </c>
      <c r="O7" s="595" t="s">
        <v>243</v>
      </c>
      <c r="P7" s="595" t="s">
        <v>244</v>
      </c>
      <c r="Q7" s="595" t="s">
        <v>245</v>
      </c>
      <c r="R7" s="595" t="s">
        <v>246</v>
      </c>
      <c r="S7" s="595" t="s">
        <v>247</v>
      </c>
      <c r="T7" s="595" t="s">
        <v>248</v>
      </c>
      <c r="U7" s="595" t="s">
        <v>276</v>
      </c>
      <c r="V7" s="595" t="s">
        <v>277</v>
      </c>
      <c r="W7" s="595" t="s">
        <v>278</v>
      </c>
    </row>
    <row r="8" spans="1:25" ht="21.75" customHeight="1" x14ac:dyDescent="0.25">
      <c r="A8" s="32" t="s">
        <v>203</v>
      </c>
      <c r="B8" s="29" t="s">
        <v>345</v>
      </c>
      <c r="C8" s="33" t="s">
        <v>214</v>
      </c>
      <c r="D8" s="261"/>
      <c r="E8" s="261">
        <v>66437966</v>
      </c>
      <c r="F8" s="261">
        <v>4708590</v>
      </c>
      <c r="G8" s="261">
        <v>15693928</v>
      </c>
      <c r="H8" s="261">
        <v>12501838</v>
      </c>
      <c r="I8" s="261"/>
      <c r="J8" s="261"/>
      <c r="K8" s="261">
        <v>2345200</v>
      </c>
      <c r="L8" s="261">
        <v>10078616</v>
      </c>
      <c r="M8" s="261">
        <v>9648906</v>
      </c>
      <c r="N8" s="261">
        <v>68827205</v>
      </c>
      <c r="O8" s="261">
        <v>18683565</v>
      </c>
      <c r="P8" s="261"/>
      <c r="Q8" s="261">
        <v>4818160</v>
      </c>
      <c r="R8" s="261"/>
      <c r="S8" s="261"/>
      <c r="T8" s="261"/>
      <c r="U8" s="261"/>
      <c r="V8" s="261"/>
      <c r="W8" s="261">
        <f t="shared" ref="W8:W49" si="0">D8+E8+F8+G8+H8+I8+J8+K8+L8+M8+N8+P8+O8+Q8+R8+S8+T8+V8+U8</f>
        <v>213743974</v>
      </c>
      <c r="Y8" s="120"/>
    </row>
    <row r="9" spans="1:25" ht="21.75" customHeight="1" x14ac:dyDescent="0.25">
      <c r="A9" s="32" t="s">
        <v>204</v>
      </c>
      <c r="B9" s="34" t="s">
        <v>215</v>
      </c>
      <c r="C9" s="33" t="s">
        <v>216</v>
      </c>
      <c r="D9" s="261"/>
      <c r="E9" s="261">
        <f>10671885+4049998</f>
        <v>14721883</v>
      </c>
      <c r="F9" s="261">
        <v>763832</v>
      </c>
      <c r="G9" s="261">
        <v>2568559</v>
      </c>
      <c r="H9" s="261">
        <v>2005785</v>
      </c>
      <c r="I9" s="261"/>
      <c r="J9" s="261"/>
      <c r="K9" s="261">
        <v>440410</v>
      </c>
      <c r="L9" s="261">
        <v>1630186</v>
      </c>
      <c r="M9" s="261">
        <v>1749340</v>
      </c>
      <c r="N9" s="261">
        <v>11008217</v>
      </c>
      <c r="O9" s="261">
        <v>2997953</v>
      </c>
      <c r="P9" s="261"/>
      <c r="Q9" s="261">
        <v>780815</v>
      </c>
      <c r="R9" s="261"/>
      <c r="S9" s="261"/>
      <c r="T9" s="261"/>
      <c r="U9" s="261"/>
      <c r="V9" s="261"/>
      <c r="W9" s="261">
        <f t="shared" si="0"/>
        <v>38666980</v>
      </c>
      <c r="Y9" s="120"/>
    </row>
    <row r="10" spans="1:25" s="352" customFormat="1" ht="21.75" customHeight="1" x14ac:dyDescent="0.25">
      <c r="A10" s="349" t="s">
        <v>205</v>
      </c>
      <c r="B10" s="350" t="s">
        <v>346</v>
      </c>
      <c r="C10" s="354" t="s">
        <v>217</v>
      </c>
      <c r="D10" s="263">
        <v>26225957</v>
      </c>
      <c r="E10" s="263">
        <f>23028559+830916</f>
        <v>23859475</v>
      </c>
      <c r="F10" s="263">
        <f>17545500+1473486</f>
        <v>19018986</v>
      </c>
      <c r="G10" s="263">
        <v>692670</v>
      </c>
      <c r="H10" s="263">
        <v>2598050</v>
      </c>
      <c r="I10" s="263">
        <f>30351804+151406</f>
        <v>30503210</v>
      </c>
      <c r="J10" s="263">
        <f>12879248+733400</f>
        <v>13612648</v>
      </c>
      <c r="K10" s="263">
        <f>9871227+270276</f>
        <v>10141503</v>
      </c>
      <c r="L10" s="263">
        <f>19122386+69179</f>
        <v>19191565</v>
      </c>
      <c r="M10" s="263">
        <f>3113524+1013</f>
        <v>3114537</v>
      </c>
      <c r="N10" s="263">
        <f>16767006+610957</f>
        <v>17377963</v>
      </c>
      <c r="O10" s="263">
        <f>4538660+14557</f>
        <v>4553217</v>
      </c>
      <c r="P10" s="263">
        <f>128720185+11599335</f>
        <v>140319520</v>
      </c>
      <c r="Q10" s="263">
        <f>290266939+22724160</f>
        <v>312991099</v>
      </c>
      <c r="R10" s="263">
        <f>18813141+275983</f>
        <v>19089124</v>
      </c>
      <c r="S10" s="263">
        <f>10093167+245015</f>
        <v>10338182</v>
      </c>
      <c r="T10" s="263"/>
      <c r="U10" s="263">
        <v>2032000</v>
      </c>
      <c r="V10" s="263">
        <f>5334000+727894</f>
        <v>6061894</v>
      </c>
      <c r="W10" s="261">
        <f t="shared" si="0"/>
        <v>661721600</v>
      </c>
      <c r="Y10" s="353"/>
    </row>
    <row r="11" spans="1:25" ht="21.75" customHeight="1" x14ac:dyDescent="0.25">
      <c r="A11" s="32" t="s">
        <v>206</v>
      </c>
      <c r="B11" s="35" t="s">
        <v>347</v>
      </c>
      <c r="C11" s="33" t="s">
        <v>218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>
        <f t="shared" si="0"/>
        <v>0</v>
      </c>
    </row>
    <row r="12" spans="1:25" ht="21.75" customHeight="1" x14ac:dyDescent="0.25">
      <c r="A12" s="32" t="s">
        <v>207</v>
      </c>
      <c r="B12" s="35" t="s">
        <v>249</v>
      </c>
      <c r="C12" s="33" t="s">
        <v>219</v>
      </c>
      <c r="D12" s="261">
        <f>SUM(D13:D15)</f>
        <v>0</v>
      </c>
      <c r="E12" s="261">
        <f t="shared" ref="E12:V12" si="1">SUM(E13:E15)</f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>
        <f t="shared" si="1"/>
        <v>0</v>
      </c>
      <c r="J12" s="261">
        <f t="shared" si="1"/>
        <v>0</v>
      </c>
      <c r="K12" s="261">
        <f t="shared" si="1"/>
        <v>0</v>
      </c>
      <c r="L12" s="261">
        <f t="shared" si="1"/>
        <v>0</v>
      </c>
      <c r="M12" s="261">
        <f t="shared" si="1"/>
        <v>0</v>
      </c>
      <c r="N12" s="261">
        <f t="shared" si="1"/>
        <v>0</v>
      </c>
      <c r="O12" s="261">
        <f t="shared" si="1"/>
        <v>0</v>
      </c>
      <c r="P12" s="261">
        <f t="shared" si="1"/>
        <v>0</v>
      </c>
      <c r="Q12" s="261">
        <f t="shared" si="1"/>
        <v>0</v>
      </c>
      <c r="R12" s="261">
        <f t="shared" si="1"/>
        <v>0</v>
      </c>
      <c r="S12" s="261">
        <f t="shared" si="1"/>
        <v>0</v>
      </c>
      <c r="T12" s="261">
        <f t="shared" si="1"/>
        <v>0</v>
      </c>
      <c r="U12" s="261">
        <f t="shared" si="1"/>
        <v>0</v>
      </c>
      <c r="V12" s="261">
        <f t="shared" si="1"/>
        <v>0</v>
      </c>
      <c r="W12" s="261">
        <f t="shared" si="0"/>
        <v>0</v>
      </c>
    </row>
    <row r="13" spans="1:25" ht="21.75" customHeight="1" x14ac:dyDescent="0.25">
      <c r="A13" s="32" t="s">
        <v>208</v>
      </c>
      <c r="B13" s="36" t="s">
        <v>133</v>
      </c>
      <c r="C13" s="33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>
        <f t="shared" si="0"/>
        <v>0</v>
      </c>
    </row>
    <row r="14" spans="1:25" ht="21.75" customHeight="1" x14ac:dyDescent="0.25">
      <c r="A14" s="32" t="s">
        <v>209</v>
      </c>
      <c r="B14" s="36" t="s">
        <v>123</v>
      </c>
      <c r="C14" s="37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>
        <f t="shared" si="0"/>
        <v>0</v>
      </c>
    </row>
    <row r="15" spans="1:25" ht="21.75" customHeight="1" x14ac:dyDescent="0.25">
      <c r="A15" s="32" t="s">
        <v>210</v>
      </c>
      <c r="B15" s="130" t="s">
        <v>582</v>
      </c>
      <c r="C15" s="37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>
        <f t="shared" si="0"/>
        <v>0</v>
      </c>
    </row>
    <row r="16" spans="1:25" ht="21.75" customHeight="1" x14ac:dyDescent="0.25">
      <c r="A16" s="32" t="s">
        <v>211</v>
      </c>
      <c r="B16" s="38" t="s">
        <v>256</v>
      </c>
      <c r="C16" s="33" t="s">
        <v>220</v>
      </c>
      <c r="D16" s="261"/>
      <c r="E16" s="261">
        <f>+'6.sz. Beruházások'!E101</f>
        <v>5317490</v>
      </c>
      <c r="F16" s="261">
        <f>+'6.sz. Beruházások'!E102</f>
        <v>381000</v>
      </c>
      <c r="G16" s="261">
        <f>+'6.sz. Beruházások'!E103</f>
        <v>254000</v>
      </c>
      <c r="H16" s="261">
        <f>+'6.sz. Beruházások'!E104</f>
        <v>63500</v>
      </c>
      <c r="I16" s="261">
        <f>+'6.sz. Beruházások'!E105</f>
        <v>635000</v>
      </c>
      <c r="J16" s="261">
        <f>+'6.sz. Beruházások'!E106</f>
        <v>254000</v>
      </c>
      <c r="K16" s="261">
        <f>+'6.sz. Beruházások'!E107</f>
        <v>635000</v>
      </c>
      <c r="L16" s="261">
        <f>+'6.sz. Beruházások'!E108</f>
        <v>508000</v>
      </c>
      <c r="M16" s="261">
        <f>+'6.sz. Beruházások'!E109</f>
        <v>635000</v>
      </c>
      <c r="N16" s="261">
        <f>+'6.sz. Beruházások'!E110</f>
        <v>635000</v>
      </c>
      <c r="O16" s="261">
        <f>+'6.sz. Beruházások'!E111</f>
        <v>254000</v>
      </c>
      <c r="P16" s="261"/>
      <c r="Q16" s="261">
        <f>+'6.sz. Beruházások'!E113</f>
        <v>350000</v>
      </c>
      <c r="R16" s="261"/>
      <c r="S16" s="261"/>
      <c r="T16" s="261"/>
      <c r="U16" s="261"/>
      <c r="V16" s="261"/>
      <c r="W16" s="261">
        <f t="shared" si="0"/>
        <v>9921990</v>
      </c>
    </row>
    <row r="17" spans="1:24" ht="21.75" customHeight="1" x14ac:dyDescent="0.25">
      <c r="A17" s="32" t="s">
        <v>212</v>
      </c>
      <c r="B17" s="35" t="s">
        <v>348</v>
      </c>
      <c r="C17" s="33" t="s">
        <v>221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>
        <f t="shared" si="0"/>
        <v>0</v>
      </c>
    </row>
    <row r="18" spans="1:24" ht="21.75" customHeight="1" x14ac:dyDescent="0.25">
      <c r="A18" s="32" t="s">
        <v>213</v>
      </c>
      <c r="B18" s="35" t="s">
        <v>250</v>
      </c>
      <c r="C18" s="33" t="s">
        <v>222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>
        <f t="shared" si="0"/>
        <v>0</v>
      </c>
    </row>
    <row r="19" spans="1:24" ht="21.75" customHeight="1" x14ac:dyDescent="0.25">
      <c r="A19" s="32" t="s">
        <v>240</v>
      </c>
      <c r="B19" s="36" t="s">
        <v>132</v>
      </c>
      <c r="C19" s="33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>
        <f t="shared" si="0"/>
        <v>0</v>
      </c>
    </row>
    <row r="20" spans="1:24" ht="21.75" customHeight="1" x14ac:dyDescent="0.25">
      <c r="A20" s="32" t="s">
        <v>241</v>
      </c>
      <c r="B20" s="38" t="s">
        <v>251</v>
      </c>
      <c r="C20" s="33" t="s">
        <v>223</v>
      </c>
      <c r="D20" s="261">
        <f>+D8+D9+D10+D11+D12+D16+D17+D18</f>
        <v>26225957</v>
      </c>
      <c r="E20" s="261">
        <f t="shared" ref="E20:V20" si="2">+E8+E9+E10+E11+E12+E16+E17+E18</f>
        <v>110336814</v>
      </c>
      <c r="F20" s="261">
        <f t="shared" si="2"/>
        <v>24872408</v>
      </c>
      <c r="G20" s="261">
        <f t="shared" si="2"/>
        <v>19209157</v>
      </c>
      <c r="H20" s="261">
        <f t="shared" si="2"/>
        <v>17169173</v>
      </c>
      <c r="I20" s="261">
        <f t="shared" si="2"/>
        <v>31138210</v>
      </c>
      <c r="J20" s="261">
        <f t="shared" si="2"/>
        <v>13866648</v>
      </c>
      <c r="K20" s="261">
        <f t="shared" si="2"/>
        <v>13562113</v>
      </c>
      <c r="L20" s="261">
        <f t="shared" si="2"/>
        <v>31408367</v>
      </c>
      <c r="M20" s="261">
        <f t="shared" si="2"/>
        <v>15147783</v>
      </c>
      <c r="N20" s="261">
        <f t="shared" si="2"/>
        <v>97848385</v>
      </c>
      <c r="O20" s="261">
        <f t="shared" si="2"/>
        <v>26488735</v>
      </c>
      <c r="P20" s="261">
        <f t="shared" si="2"/>
        <v>140319520</v>
      </c>
      <c r="Q20" s="261">
        <f t="shared" si="2"/>
        <v>318940074</v>
      </c>
      <c r="R20" s="261">
        <f t="shared" si="2"/>
        <v>19089124</v>
      </c>
      <c r="S20" s="261">
        <f t="shared" si="2"/>
        <v>10338182</v>
      </c>
      <c r="T20" s="261">
        <f t="shared" si="2"/>
        <v>0</v>
      </c>
      <c r="U20" s="261">
        <f t="shared" si="2"/>
        <v>2032000</v>
      </c>
      <c r="V20" s="261">
        <f t="shared" si="2"/>
        <v>6061894</v>
      </c>
      <c r="W20" s="261">
        <f t="shared" si="0"/>
        <v>924054544</v>
      </c>
      <c r="X20" s="120">
        <f>W8+W9+W10+W11+W12+W16+W17+W18</f>
        <v>924054544</v>
      </c>
    </row>
    <row r="21" spans="1:24" ht="21.75" customHeight="1" x14ac:dyDescent="0.25">
      <c r="A21" s="32" t="s">
        <v>242</v>
      </c>
      <c r="B21" s="38" t="s">
        <v>236</v>
      </c>
      <c r="C21" s="33" t="s">
        <v>232</v>
      </c>
      <c r="D21" s="261">
        <f>SUM(D22:D25)</f>
        <v>0</v>
      </c>
      <c r="E21" s="261">
        <f t="shared" ref="E21:V21" si="3">SUM(E22:E25)</f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261">
        <f t="shared" si="3"/>
        <v>0</v>
      </c>
      <c r="J21" s="261">
        <f t="shared" si="3"/>
        <v>0</v>
      </c>
      <c r="K21" s="261">
        <f t="shared" si="3"/>
        <v>0</v>
      </c>
      <c r="L21" s="261">
        <f t="shared" si="3"/>
        <v>0</v>
      </c>
      <c r="M21" s="261">
        <f t="shared" si="3"/>
        <v>0</v>
      </c>
      <c r="N21" s="261">
        <f t="shared" si="3"/>
        <v>0</v>
      </c>
      <c r="O21" s="261">
        <f t="shared" si="3"/>
        <v>0</v>
      </c>
      <c r="P21" s="261">
        <f t="shared" si="3"/>
        <v>0</v>
      </c>
      <c r="Q21" s="261">
        <f t="shared" si="3"/>
        <v>0</v>
      </c>
      <c r="R21" s="261">
        <f t="shared" si="3"/>
        <v>0</v>
      </c>
      <c r="S21" s="261">
        <f t="shared" si="3"/>
        <v>0</v>
      </c>
      <c r="T21" s="261">
        <f t="shared" si="3"/>
        <v>0</v>
      </c>
      <c r="U21" s="261">
        <f t="shared" si="3"/>
        <v>0</v>
      </c>
      <c r="V21" s="261">
        <f t="shared" si="3"/>
        <v>0</v>
      </c>
      <c r="W21" s="261">
        <f t="shared" si="0"/>
        <v>0</v>
      </c>
    </row>
    <row r="22" spans="1:24" ht="21.75" customHeight="1" x14ac:dyDescent="0.25">
      <c r="A22" s="32" t="s">
        <v>243</v>
      </c>
      <c r="B22" s="132" t="s">
        <v>191</v>
      </c>
      <c r="C22" s="37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>
        <f t="shared" si="0"/>
        <v>0</v>
      </c>
    </row>
    <row r="23" spans="1:24" ht="21.75" customHeight="1" x14ac:dyDescent="0.25">
      <c r="A23" s="32" t="s">
        <v>244</v>
      </c>
      <c r="B23" s="39" t="s">
        <v>585</v>
      </c>
      <c r="C23" s="37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>
        <f t="shared" si="0"/>
        <v>0</v>
      </c>
    </row>
    <row r="24" spans="1:24" ht="21.75" customHeight="1" x14ac:dyDescent="0.25">
      <c r="A24" s="32" t="s">
        <v>245</v>
      </c>
      <c r="B24" s="39" t="s">
        <v>586</v>
      </c>
      <c r="C24" s="37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>
        <f t="shared" si="0"/>
        <v>0</v>
      </c>
    </row>
    <row r="25" spans="1:24" ht="21.75" customHeight="1" x14ac:dyDescent="0.25">
      <c r="A25" s="32" t="s">
        <v>246</v>
      </c>
      <c r="B25" s="39" t="s">
        <v>134</v>
      </c>
      <c r="C25" s="37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>
        <f t="shared" si="0"/>
        <v>0</v>
      </c>
    </row>
    <row r="26" spans="1:24" ht="21.75" customHeight="1" x14ac:dyDescent="0.25">
      <c r="A26" s="32" t="s">
        <v>247</v>
      </c>
      <c r="B26" s="338" t="s">
        <v>889</v>
      </c>
      <c r="C26" s="37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>
        <f t="shared" si="0"/>
        <v>0</v>
      </c>
    </row>
    <row r="27" spans="1:24" s="41" customFormat="1" ht="21.75" customHeight="1" x14ac:dyDescent="0.25">
      <c r="A27" s="32" t="s">
        <v>248</v>
      </c>
      <c r="B27" s="40" t="s">
        <v>32</v>
      </c>
      <c r="C27" s="33"/>
      <c r="D27" s="262">
        <f>+D8+D9+D10+D11+D12+D22+D23</f>
        <v>26225957</v>
      </c>
      <c r="E27" s="262">
        <f t="shared" ref="E27:V27" si="4">+E8+E9+E10+E11+E12+E22+E23</f>
        <v>105019324</v>
      </c>
      <c r="F27" s="262">
        <f t="shared" si="4"/>
        <v>24491408</v>
      </c>
      <c r="G27" s="262">
        <f t="shared" si="4"/>
        <v>18955157</v>
      </c>
      <c r="H27" s="262">
        <f t="shared" si="4"/>
        <v>17105673</v>
      </c>
      <c r="I27" s="262">
        <f t="shared" si="4"/>
        <v>30503210</v>
      </c>
      <c r="J27" s="262">
        <f t="shared" si="4"/>
        <v>13612648</v>
      </c>
      <c r="K27" s="262">
        <f t="shared" si="4"/>
        <v>12927113</v>
      </c>
      <c r="L27" s="262">
        <f t="shared" si="4"/>
        <v>30900367</v>
      </c>
      <c r="M27" s="262">
        <f t="shared" si="4"/>
        <v>14512783</v>
      </c>
      <c r="N27" s="262">
        <f t="shared" si="4"/>
        <v>97213385</v>
      </c>
      <c r="O27" s="262">
        <f t="shared" si="4"/>
        <v>26234735</v>
      </c>
      <c r="P27" s="262">
        <f t="shared" si="4"/>
        <v>140319520</v>
      </c>
      <c r="Q27" s="262">
        <f t="shared" si="4"/>
        <v>318590074</v>
      </c>
      <c r="R27" s="262">
        <f t="shared" si="4"/>
        <v>19089124</v>
      </c>
      <c r="S27" s="262">
        <f t="shared" si="4"/>
        <v>10338182</v>
      </c>
      <c r="T27" s="262">
        <f t="shared" si="4"/>
        <v>0</v>
      </c>
      <c r="U27" s="262">
        <f t="shared" si="4"/>
        <v>2032000</v>
      </c>
      <c r="V27" s="262">
        <f t="shared" si="4"/>
        <v>6061894</v>
      </c>
      <c r="W27" s="262">
        <f t="shared" si="0"/>
        <v>914132554</v>
      </c>
    </row>
    <row r="28" spans="1:24" s="41" customFormat="1" ht="21.75" customHeight="1" x14ac:dyDescent="0.25">
      <c r="A28" s="32" t="s">
        <v>276</v>
      </c>
      <c r="B28" s="40" t="s">
        <v>33</v>
      </c>
      <c r="C28" s="33"/>
      <c r="D28" s="262">
        <f>+D16+D17+D18+D24+D25</f>
        <v>0</v>
      </c>
      <c r="E28" s="262">
        <f t="shared" ref="E28:V28" si="5">+E16+E17+E18+E24+E25</f>
        <v>5317490</v>
      </c>
      <c r="F28" s="262">
        <f t="shared" si="5"/>
        <v>381000</v>
      </c>
      <c r="G28" s="262">
        <f t="shared" si="5"/>
        <v>254000</v>
      </c>
      <c r="H28" s="262">
        <f t="shared" si="5"/>
        <v>63500</v>
      </c>
      <c r="I28" s="262">
        <f t="shared" si="5"/>
        <v>635000</v>
      </c>
      <c r="J28" s="262">
        <f t="shared" si="5"/>
        <v>254000</v>
      </c>
      <c r="K28" s="262">
        <f t="shared" si="5"/>
        <v>635000</v>
      </c>
      <c r="L28" s="262">
        <f t="shared" si="5"/>
        <v>508000</v>
      </c>
      <c r="M28" s="262">
        <f t="shared" si="5"/>
        <v>635000</v>
      </c>
      <c r="N28" s="262">
        <f t="shared" si="5"/>
        <v>635000</v>
      </c>
      <c r="O28" s="262">
        <f t="shared" si="5"/>
        <v>254000</v>
      </c>
      <c r="P28" s="262">
        <f t="shared" si="5"/>
        <v>0</v>
      </c>
      <c r="Q28" s="262">
        <f t="shared" si="5"/>
        <v>350000</v>
      </c>
      <c r="R28" s="262">
        <f t="shared" si="5"/>
        <v>0</v>
      </c>
      <c r="S28" s="262">
        <f t="shared" si="5"/>
        <v>0</v>
      </c>
      <c r="T28" s="262">
        <f t="shared" si="5"/>
        <v>0</v>
      </c>
      <c r="U28" s="262">
        <f t="shared" si="5"/>
        <v>0</v>
      </c>
      <c r="V28" s="262">
        <f t="shared" si="5"/>
        <v>0</v>
      </c>
      <c r="W28" s="262">
        <f t="shared" si="0"/>
        <v>9921990</v>
      </c>
    </row>
    <row r="29" spans="1:24" s="41" customFormat="1" ht="21.75" customHeight="1" x14ac:dyDescent="0.25">
      <c r="A29" s="32" t="s">
        <v>277</v>
      </c>
      <c r="B29" s="40" t="s">
        <v>343</v>
      </c>
      <c r="C29" s="33" t="s">
        <v>31</v>
      </c>
      <c r="D29" s="262">
        <f>SUM(D27:D28)</f>
        <v>26225957</v>
      </c>
      <c r="E29" s="262">
        <f t="shared" ref="E29:V29" si="6">SUM(E27:E28)</f>
        <v>110336814</v>
      </c>
      <c r="F29" s="262">
        <f t="shared" si="6"/>
        <v>24872408</v>
      </c>
      <c r="G29" s="262">
        <f t="shared" si="6"/>
        <v>19209157</v>
      </c>
      <c r="H29" s="262">
        <f t="shared" si="6"/>
        <v>17169173</v>
      </c>
      <c r="I29" s="262">
        <f t="shared" si="6"/>
        <v>31138210</v>
      </c>
      <c r="J29" s="262">
        <f t="shared" si="6"/>
        <v>13866648</v>
      </c>
      <c r="K29" s="262">
        <f t="shared" si="6"/>
        <v>13562113</v>
      </c>
      <c r="L29" s="262">
        <f t="shared" si="6"/>
        <v>31408367</v>
      </c>
      <c r="M29" s="262">
        <f t="shared" si="6"/>
        <v>15147783</v>
      </c>
      <c r="N29" s="262">
        <f t="shared" si="6"/>
        <v>97848385</v>
      </c>
      <c r="O29" s="262">
        <f t="shared" si="6"/>
        <v>26488735</v>
      </c>
      <c r="P29" s="262">
        <f t="shared" si="6"/>
        <v>140319520</v>
      </c>
      <c r="Q29" s="262">
        <f t="shared" si="6"/>
        <v>318940074</v>
      </c>
      <c r="R29" s="262">
        <f t="shared" si="6"/>
        <v>19089124</v>
      </c>
      <c r="S29" s="262">
        <f t="shared" si="6"/>
        <v>10338182</v>
      </c>
      <c r="T29" s="262">
        <f t="shared" si="6"/>
        <v>0</v>
      </c>
      <c r="U29" s="262">
        <f t="shared" si="6"/>
        <v>2032000</v>
      </c>
      <c r="V29" s="262">
        <f t="shared" si="6"/>
        <v>6061894</v>
      </c>
      <c r="W29" s="262">
        <f t="shared" si="0"/>
        <v>924054544</v>
      </c>
    </row>
    <row r="30" spans="1:24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/>
      <c r="K30" s="261"/>
      <c r="L30" s="261">
        <v>1500000</v>
      </c>
      <c r="M30" s="261">
        <v>1400000</v>
      </c>
      <c r="N30" s="263">
        <v>80000000</v>
      </c>
      <c r="O30" s="263">
        <v>2700000</v>
      </c>
      <c r="P30" s="263"/>
      <c r="Q30" s="263"/>
      <c r="R30" s="263"/>
      <c r="S30" s="263"/>
      <c r="T30" s="261"/>
      <c r="U30" s="261"/>
      <c r="V30" s="261"/>
      <c r="W30" s="261">
        <f t="shared" si="0"/>
        <v>85600000</v>
      </c>
    </row>
    <row r="31" spans="1:24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3"/>
      <c r="O31" s="263"/>
      <c r="P31" s="263"/>
      <c r="Q31" s="263"/>
      <c r="R31" s="263"/>
      <c r="S31" s="263"/>
      <c r="T31" s="261"/>
      <c r="U31" s="261"/>
      <c r="V31" s="261"/>
      <c r="W31" s="261">
        <f t="shared" si="0"/>
        <v>0</v>
      </c>
    </row>
    <row r="32" spans="1:24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3"/>
      <c r="O32" s="263"/>
      <c r="P32" s="263"/>
      <c r="Q32" s="263"/>
      <c r="R32" s="263"/>
      <c r="S32" s="263"/>
      <c r="T32" s="261"/>
      <c r="U32" s="261"/>
      <c r="V32" s="261"/>
      <c r="W32" s="261">
        <f t="shared" si="0"/>
        <v>0</v>
      </c>
    </row>
    <row r="33" spans="1:24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3">
        <v>2667100</v>
      </c>
      <c r="F33" s="263">
        <v>5334000</v>
      </c>
      <c r="G33" s="263">
        <v>2800000</v>
      </c>
      <c r="H33" s="263">
        <v>800000</v>
      </c>
      <c r="I33" s="261">
        <v>4700000</v>
      </c>
      <c r="J33" s="261"/>
      <c r="K33" s="261"/>
      <c r="L33" s="261"/>
      <c r="M33" s="261"/>
      <c r="N33" s="263"/>
      <c r="O33" s="263"/>
      <c r="P33" s="263">
        <v>31130000</v>
      </c>
      <c r="Q33" s="263">
        <v>59460000</v>
      </c>
      <c r="R33" s="263">
        <v>2832000</v>
      </c>
      <c r="S33" s="263">
        <v>2541500</v>
      </c>
      <c r="T33" s="261">
        <v>26225957</v>
      </c>
      <c r="U33" s="261">
        <v>902700</v>
      </c>
      <c r="V33" s="261">
        <v>5334000</v>
      </c>
      <c r="W33" s="261">
        <f t="shared" si="0"/>
        <v>144727257</v>
      </c>
    </row>
    <row r="34" spans="1:24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3"/>
      <c r="O34" s="263"/>
      <c r="P34" s="263"/>
      <c r="Q34" s="263"/>
      <c r="R34" s="263"/>
      <c r="S34" s="263"/>
      <c r="T34" s="261"/>
      <c r="U34" s="261"/>
      <c r="V34" s="261"/>
      <c r="W34" s="261">
        <f t="shared" si="0"/>
        <v>0</v>
      </c>
    </row>
    <row r="35" spans="1:24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>
        <f t="shared" si="0"/>
        <v>0</v>
      </c>
    </row>
    <row r="36" spans="1:24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>
        <f t="shared" si="0"/>
        <v>0</v>
      </c>
    </row>
    <row r="37" spans="1:24" ht="21.75" customHeight="1" x14ac:dyDescent="0.25">
      <c r="A37" s="32" t="s">
        <v>285</v>
      </c>
      <c r="B37" s="35" t="s">
        <v>254</v>
      </c>
      <c r="C37" s="38" t="s">
        <v>231</v>
      </c>
      <c r="D37" s="261">
        <f>+D30+D31+D32+D33+D34+D35+D36</f>
        <v>0</v>
      </c>
      <c r="E37" s="261">
        <f t="shared" ref="E37:V37" si="7">+E30+E31+E32+E33+E34+E35+E36</f>
        <v>2667100</v>
      </c>
      <c r="F37" s="261">
        <f t="shared" si="7"/>
        <v>5334000</v>
      </c>
      <c r="G37" s="261">
        <f t="shared" si="7"/>
        <v>2800000</v>
      </c>
      <c r="H37" s="261">
        <f t="shared" si="7"/>
        <v>800000</v>
      </c>
      <c r="I37" s="261">
        <f t="shared" si="7"/>
        <v>4700000</v>
      </c>
      <c r="J37" s="261">
        <f t="shared" si="7"/>
        <v>0</v>
      </c>
      <c r="K37" s="261">
        <f t="shared" si="7"/>
        <v>0</v>
      </c>
      <c r="L37" s="261">
        <f t="shared" si="7"/>
        <v>1500000</v>
      </c>
      <c r="M37" s="261">
        <f t="shared" si="7"/>
        <v>1400000</v>
      </c>
      <c r="N37" s="261">
        <f t="shared" si="7"/>
        <v>80000000</v>
      </c>
      <c r="O37" s="261">
        <f t="shared" si="7"/>
        <v>2700000</v>
      </c>
      <c r="P37" s="261">
        <f t="shared" si="7"/>
        <v>31130000</v>
      </c>
      <c r="Q37" s="261">
        <f t="shared" si="7"/>
        <v>59460000</v>
      </c>
      <c r="R37" s="261">
        <f t="shared" si="7"/>
        <v>2832000</v>
      </c>
      <c r="S37" s="261">
        <f t="shared" si="7"/>
        <v>2541500</v>
      </c>
      <c r="T37" s="261">
        <f t="shared" si="7"/>
        <v>26225957</v>
      </c>
      <c r="U37" s="261">
        <f t="shared" si="7"/>
        <v>902700</v>
      </c>
      <c r="V37" s="261">
        <f t="shared" si="7"/>
        <v>5334000</v>
      </c>
      <c r="W37" s="261">
        <f t="shared" si="0"/>
        <v>230327257</v>
      </c>
      <c r="X37" s="120">
        <f>SUM(W30:W36)</f>
        <v>230327257</v>
      </c>
    </row>
    <row r="38" spans="1:24" ht="21.75" customHeight="1" x14ac:dyDescent="0.25">
      <c r="A38" s="32" t="s">
        <v>286</v>
      </c>
      <c r="B38" s="38" t="s">
        <v>255</v>
      </c>
      <c r="C38" s="33" t="s">
        <v>233</v>
      </c>
      <c r="D38" s="261">
        <f>SUM(D40:D44)</f>
        <v>693727287</v>
      </c>
      <c r="E38" s="261">
        <f t="shared" ref="E38:V38" si="8">SUM(E40:E44)</f>
        <v>0</v>
      </c>
      <c r="F38" s="261">
        <f t="shared" si="8"/>
        <v>0</v>
      </c>
      <c r="G38" s="261">
        <f t="shared" si="8"/>
        <v>0</v>
      </c>
      <c r="H38" s="261">
        <f t="shared" si="8"/>
        <v>0</v>
      </c>
      <c r="I38" s="261">
        <f t="shared" si="8"/>
        <v>0</v>
      </c>
      <c r="J38" s="261">
        <f t="shared" si="8"/>
        <v>0</v>
      </c>
      <c r="K38" s="261">
        <f t="shared" si="8"/>
        <v>0</v>
      </c>
      <c r="L38" s="261">
        <f t="shared" si="8"/>
        <v>0</v>
      </c>
      <c r="M38" s="261">
        <f t="shared" si="8"/>
        <v>0</v>
      </c>
      <c r="N38" s="261">
        <f t="shared" si="8"/>
        <v>0</v>
      </c>
      <c r="O38" s="261">
        <f t="shared" si="8"/>
        <v>0</v>
      </c>
      <c r="P38" s="261">
        <f t="shared" si="8"/>
        <v>0</v>
      </c>
      <c r="Q38" s="261">
        <f t="shared" si="8"/>
        <v>0</v>
      </c>
      <c r="R38" s="261">
        <f t="shared" si="8"/>
        <v>0</v>
      </c>
      <c r="S38" s="261">
        <f t="shared" si="8"/>
        <v>0</v>
      </c>
      <c r="T38" s="261">
        <f t="shared" si="8"/>
        <v>0</v>
      </c>
      <c r="U38" s="261">
        <f t="shared" si="8"/>
        <v>0</v>
      </c>
      <c r="V38" s="261">
        <f t="shared" si="8"/>
        <v>0</v>
      </c>
      <c r="W38" s="261">
        <f t="shared" si="0"/>
        <v>693727287</v>
      </c>
    </row>
    <row r="39" spans="1:24" ht="21.75" customHeight="1" x14ac:dyDescent="0.25">
      <c r="A39" s="32" t="s">
        <v>287</v>
      </c>
      <c r="B39" s="132" t="s">
        <v>598</v>
      </c>
      <c r="C39" s="33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>
        <f t="shared" si="0"/>
        <v>0</v>
      </c>
    </row>
    <row r="40" spans="1:24" ht="21.75" customHeight="1" x14ac:dyDescent="0.25">
      <c r="A40" s="32" t="s">
        <v>288</v>
      </c>
      <c r="B40" s="39" t="s">
        <v>932</v>
      </c>
      <c r="C40" s="37"/>
      <c r="D40" s="261">
        <f>39727577+30235691</f>
        <v>69963268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>
        <f t="shared" si="0"/>
        <v>69963268</v>
      </c>
    </row>
    <row r="41" spans="1:24" ht="21.75" customHeight="1" x14ac:dyDescent="0.25">
      <c r="A41" s="32" t="s">
        <v>292</v>
      </c>
      <c r="B41" s="39" t="s">
        <v>933</v>
      </c>
      <c r="C41" s="37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>
        <f t="shared" si="0"/>
        <v>0</v>
      </c>
    </row>
    <row r="42" spans="1:24" ht="21.75" customHeight="1" x14ac:dyDescent="0.25">
      <c r="A42" s="32" t="s">
        <v>293</v>
      </c>
      <c r="B42" s="39" t="s">
        <v>570</v>
      </c>
      <c r="C42" s="37"/>
      <c r="D42" s="261">
        <f>W27-W30-W32-W33-W35-W40</f>
        <v>613842029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>
        <f t="shared" si="0"/>
        <v>613842029</v>
      </c>
    </row>
    <row r="43" spans="1:24" ht="21.75" customHeight="1" x14ac:dyDescent="0.25">
      <c r="A43" s="32" t="s">
        <v>294</v>
      </c>
      <c r="B43" s="39" t="s">
        <v>571</v>
      </c>
      <c r="C43" s="37"/>
      <c r="D43" s="261">
        <f>W28-W31-W34-W36-W41</f>
        <v>9921990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>
        <f t="shared" si="0"/>
        <v>9921990</v>
      </c>
    </row>
    <row r="44" spans="1:24" ht="21.75" customHeight="1" x14ac:dyDescent="0.25">
      <c r="A44" s="32" t="s">
        <v>295</v>
      </c>
      <c r="B44" s="39" t="s">
        <v>608</v>
      </c>
      <c r="C44" s="37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>
        <f t="shared" si="0"/>
        <v>0</v>
      </c>
    </row>
    <row r="45" spans="1:24" ht="21.75" customHeight="1" x14ac:dyDescent="0.25">
      <c r="A45" s="32" t="s">
        <v>296</v>
      </c>
      <c r="B45" s="338" t="s">
        <v>888</v>
      </c>
      <c r="C45" s="37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>
        <f t="shared" si="0"/>
        <v>0</v>
      </c>
    </row>
    <row r="46" spans="1:24" ht="21.75" customHeight="1" x14ac:dyDescent="0.25">
      <c r="A46" s="32" t="s">
        <v>297</v>
      </c>
      <c r="B46" s="40" t="s">
        <v>120</v>
      </c>
      <c r="C46" s="33"/>
      <c r="D46" s="262">
        <f>+D30+D32+D33+D35+D40+D42</f>
        <v>683805297</v>
      </c>
      <c r="E46" s="262">
        <f t="shared" ref="E46:V46" si="9">+E30+E32+E33+E35+E40+E42</f>
        <v>2667100</v>
      </c>
      <c r="F46" s="262">
        <f t="shared" si="9"/>
        <v>5334000</v>
      </c>
      <c r="G46" s="262">
        <f t="shared" si="9"/>
        <v>2800000</v>
      </c>
      <c r="H46" s="262">
        <f t="shared" si="9"/>
        <v>800000</v>
      </c>
      <c r="I46" s="262">
        <f t="shared" si="9"/>
        <v>4700000</v>
      </c>
      <c r="J46" s="262">
        <f t="shared" si="9"/>
        <v>0</v>
      </c>
      <c r="K46" s="262">
        <f t="shared" si="9"/>
        <v>0</v>
      </c>
      <c r="L46" s="262">
        <f t="shared" si="9"/>
        <v>1500000</v>
      </c>
      <c r="M46" s="262">
        <f t="shared" si="9"/>
        <v>1400000</v>
      </c>
      <c r="N46" s="262">
        <f t="shared" si="9"/>
        <v>80000000</v>
      </c>
      <c r="O46" s="262">
        <f t="shared" si="9"/>
        <v>2700000</v>
      </c>
      <c r="P46" s="262">
        <f t="shared" si="9"/>
        <v>31130000</v>
      </c>
      <c r="Q46" s="262">
        <f t="shared" si="9"/>
        <v>59460000</v>
      </c>
      <c r="R46" s="262">
        <f t="shared" si="9"/>
        <v>2832000</v>
      </c>
      <c r="S46" s="262">
        <f t="shared" si="9"/>
        <v>2541500</v>
      </c>
      <c r="T46" s="262">
        <f t="shared" si="9"/>
        <v>26225957</v>
      </c>
      <c r="U46" s="262">
        <f t="shared" si="9"/>
        <v>902700</v>
      </c>
      <c r="V46" s="262">
        <f t="shared" si="9"/>
        <v>5334000</v>
      </c>
      <c r="W46" s="262">
        <f t="shared" si="0"/>
        <v>914132554</v>
      </c>
      <c r="X46" s="120">
        <f>W42+W35+W33+W32+W30</f>
        <v>844169286</v>
      </c>
    </row>
    <row r="47" spans="1:24" ht="21.75" customHeight="1" x14ac:dyDescent="0.25">
      <c r="A47" s="32" t="s">
        <v>298</v>
      </c>
      <c r="B47" s="40" t="s">
        <v>121</v>
      </c>
      <c r="C47" s="33"/>
      <c r="D47" s="262">
        <f>+D31+D34+D36+D41+D428+D44+D43</f>
        <v>9921990</v>
      </c>
      <c r="E47" s="262">
        <f t="shared" ref="E47:V47" si="10">+E31+E34+E36+E41+E428+E44+E43</f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 t="shared" si="10"/>
        <v>0</v>
      </c>
      <c r="J47" s="262">
        <f t="shared" si="10"/>
        <v>0</v>
      </c>
      <c r="K47" s="262">
        <f t="shared" si="10"/>
        <v>0</v>
      </c>
      <c r="L47" s="262">
        <f t="shared" si="10"/>
        <v>0</v>
      </c>
      <c r="M47" s="262">
        <f t="shared" si="10"/>
        <v>0</v>
      </c>
      <c r="N47" s="262">
        <f t="shared" si="10"/>
        <v>0</v>
      </c>
      <c r="O47" s="262">
        <f t="shared" si="10"/>
        <v>0</v>
      </c>
      <c r="P47" s="262">
        <f t="shared" si="10"/>
        <v>0</v>
      </c>
      <c r="Q47" s="262">
        <f t="shared" si="10"/>
        <v>0</v>
      </c>
      <c r="R47" s="262">
        <f t="shared" si="10"/>
        <v>0</v>
      </c>
      <c r="S47" s="262">
        <f t="shared" si="10"/>
        <v>0</v>
      </c>
      <c r="T47" s="262">
        <f t="shared" si="10"/>
        <v>0</v>
      </c>
      <c r="U47" s="262">
        <f t="shared" si="10"/>
        <v>0</v>
      </c>
      <c r="V47" s="262">
        <f t="shared" si="10"/>
        <v>0</v>
      </c>
      <c r="W47" s="262">
        <f t="shared" si="0"/>
        <v>9921990</v>
      </c>
      <c r="X47" s="120">
        <f>W43+W36+W34+W31</f>
        <v>9921990</v>
      </c>
    </row>
    <row r="48" spans="1:24" ht="21.75" customHeight="1" x14ac:dyDescent="0.25">
      <c r="A48" s="32" t="s">
        <v>299</v>
      </c>
      <c r="B48" s="40" t="s">
        <v>344</v>
      </c>
      <c r="C48" s="33"/>
      <c r="D48" s="262">
        <f>+D46+D47</f>
        <v>693727287</v>
      </c>
      <c r="E48" s="262">
        <f t="shared" ref="E48:V48" si="11">+E46+E47</f>
        <v>2667100</v>
      </c>
      <c r="F48" s="262">
        <f t="shared" si="11"/>
        <v>5334000</v>
      </c>
      <c r="G48" s="262">
        <f t="shared" si="11"/>
        <v>2800000</v>
      </c>
      <c r="H48" s="262">
        <f t="shared" si="11"/>
        <v>800000</v>
      </c>
      <c r="I48" s="262">
        <f t="shared" si="11"/>
        <v>4700000</v>
      </c>
      <c r="J48" s="262">
        <f t="shared" si="11"/>
        <v>0</v>
      </c>
      <c r="K48" s="262">
        <f t="shared" si="11"/>
        <v>0</v>
      </c>
      <c r="L48" s="262">
        <f t="shared" si="11"/>
        <v>1500000</v>
      </c>
      <c r="M48" s="262">
        <f t="shared" si="11"/>
        <v>1400000</v>
      </c>
      <c r="N48" s="262">
        <f t="shared" si="11"/>
        <v>80000000</v>
      </c>
      <c r="O48" s="262">
        <f t="shared" si="11"/>
        <v>2700000</v>
      </c>
      <c r="P48" s="262">
        <f t="shared" si="11"/>
        <v>31130000</v>
      </c>
      <c r="Q48" s="262">
        <f t="shared" si="11"/>
        <v>59460000</v>
      </c>
      <c r="R48" s="262">
        <f t="shared" si="11"/>
        <v>2832000</v>
      </c>
      <c r="S48" s="262">
        <f t="shared" si="11"/>
        <v>2541500</v>
      </c>
      <c r="T48" s="262">
        <f t="shared" si="11"/>
        <v>26225957</v>
      </c>
      <c r="U48" s="262">
        <f t="shared" si="11"/>
        <v>902700</v>
      </c>
      <c r="V48" s="262">
        <f t="shared" si="11"/>
        <v>5334000</v>
      </c>
      <c r="W48" s="262">
        <f t="shared" si="0"/>
        <v>924054544</v>
      </c>
      <c r="X48" s="120">
        <f>X46+X47</f>
        <v>854091276</v>
      </c>
    </row>
    <row r="49" spans="1:25" ht="21.75" customHeight="1" x14ac:dyDescent="0.25">
      <c r="A49" s="32" t="s">
        <v>300</v>
      </c>
      <c r="B49" s="585" t="s">
        <v>465</v>
      </c>
      <c r="C49" s="267"/>
      <c r="D49" s="261"/>
      <c r="E49" s="261">
        <v>11</v>
      </c>
      <c r="F49" s="261">
        <v>1</v>
      </c>
      <c r="G49" s="261">
        <v>4</v>
      </c>
      <c r="H49" s="261">
        <v>2</v>
      </c>
      <c r="I49" s="261"/>
      <c r="J49" s="261"/>
      <c r="K49" s="261">
        <v>1</v>
      </c>
      <c r="L49" s="261">
        <v>2</v>
      </c>
      <c r="M49" s="261">
        <v>2</v>
      </c>
      <c r="N49" s="261">
        <v>10</v>
      </c>
      <c r="O49" s="261">
        <v>3</v>
      </c>
      <c r="P49" s="261">
        <v>0</v>
      </c>
      <c r="Q49" s="261">
        <v>1</v>
      </c>
      <c r="R49" s="261">
        <v>0</v>
      </c>
      <c r="S49" s="261"/>
      <c r="T49" s="261"/>
      <c r="U49" s="261"/>
      <c r="V49" s="261"/>
      <c r="W49" s="261">
        <f t="shared" si="0"/>
        <v>37</v>
      </c>
      <c r="Y49" s="120">
        <f>W48-W29</f>
        <v>0</v>
      </c>
    </row>
    <row r="50" spans="1:25" ht="21.75" customHeight="1" x14ac:dyDescent="0.25">
      <c r="A50" s="32" t="s">
        <v>301</v>
      </c>
      <c r="B50" s="65" t="s">
        <v>1047</v>
      </c>
      <c r="C50" s="267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Y50" s="120"/>
    </row>
  </sheetData>
  <mergeCells count="30">
    <mergeCell ref="H5:H6"/>
    <mergeCell ref="I5:I6"/>
    <mergeCell ref="D5:D6"/>
    <mergeCell ref="P5:P6"/>
    <mergeCell ref="F5:F6"/>
    <mergeCell ref="L5:L6"/>
    <mergeCell ref="M5:M6"/>
    <mergeCell ref="N5:N6"/>
    <mergeCell ref="V5:V6"/>
    <mergeCell ref="W3:W6"/>
    <mergeCell ref="Q5:Q6"/>
    <mergeCell ref="S5:S6"/>
    <mergeCell ref="T5:T6"/>
    <mergeCell ref="U5:U6"/>
    <mergeCell ref="A3:A6"/>
    <mergeCell ref="B3:C3"/>
    <mergeCell ref="G5:G6"/>
    <mergeCell ref="K5:K6"/>
    <mergeCell ref="J5:J6"/>
    <mergeCell ref="R5:R6"/>
    <mergeCell ref="B5:C5"/>
    <mergeCell ref="O5:O6"/>
    <mergeCell ref="B4:C4"/>
    <mergeCell ref="E5:E6"/>
    <mergeCell ref="D2:G2"/>
    <mergeCell ref="H2:K2"/>
    <mergeCell ref="L2:O2"/>
    <mergeCell ref="P2:S2"/>
    <mergeCell ref="T2:W2"/>
    <mergeCell ref="A2:C2"/>
  </mergeCells>
  <phoneticPr fontId="41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verticalDpi="200" r:id="rId1"/>
  <headerFooter alignWithMargins="0">
    <oddHeader>&amp;C2021. évi költségvetés&amp;R&amp;A</oddHeader>
    <oddFooter>&amp;C&amp;P/&amp;N</oddFooter>
  </headerFooter>
  <colBreaks count="4" manualBreakCount="4">
    <brk id="7" max="49" man="1"/>
    <brk id="11" max="49" man="1"/>
    <brk id="15" max="49" man="1"/>
    <brk id="1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"/>
  <sheetViews>
    <sheetView zoomScale="71" zoomScaleNormal="100" zoomScaleSheetLayoutView="7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8" sqref="E8"/>
    </sheetView>
  </sheetViews>
  <sheetFormatPr defaultRowHeight="12.75" x14ac:dyDescent="0.2"/>
  <cols>
    <col min="1" max="1" width="6.42578125" style="24" customWidth="1"/>
    <col min="2" max="2" width="64.85546875" style="24" customWidth="1"/>
    <col min="3" max="3" width="7.85546875" style="24" customWidth="1"/>
    <col min="4" max="4" width="17.28515625" style="25" customWidth="1"/>
    <col min="5" max="5" width="19.140625" style="25" customWidth="1"/>
    <col min="6" max="6" width="18.28515625" style="25" customWidth="1"/>
    <col min="7" max="7" width="17.28515625" style="25" customWidth="1"/>
    <col min="8" max="8" width="17.7109375" style="25" customWidth="1"/>
    <col min="9" max="10" width="18.42578125" style="25" customWidth="1"/>
    <col min="11" max="11" width="15.85546875" style="25" customWidth="1"/>
    <col min="12" max="12" width="16.42578125" style="24" customWidth="1"/>
    <col min="13" max="13" width="17.7109375" style="24" customWidth="1"/>
    <col min="14" max="16384" width="9.140625" style="24"/>
  </cols>
  <sheetData>
    <row r="1" spans="1:13" ht="15.75" x14ac:dyDescent="0.25">
      <c r="A1" s="254"/>
      <c r="B1" s="254"/>
      <c r="C1" s="254"/>
      <c r="D1" s="256"/>
      <c r="E1" s="256"/>
      <c r="F1" s="256"/>
      <c r="G1" s="257" t="s">
        <v>458</v>
      </c>
      <c r="H1" s="256"/>
      <c r="I1" s="256"/>
      <c r="J1" s="256"/>
      <c r="K1" s="257" t="s">
        <v>458</v>
      </c>
    </row>
    <row r="2" spans="1:13" ht="36.75" customHeight="1" x14ac:dyDescent="0.2">
      <c r="A2" s="1098" t="s">
        <v>144</v>
      </c>
      <c r="B2" s="1099"/>
      <c r="C2" s="1100"/>
      <c r="D2" s="1086" t="s">
        <v>1053</v>
      </c>
      <c r="E2" s="1086"/>
      <c r="F2" s="1086"/>
      <c r="G2" s="1086"/>
      <c r="H2" s="1086" t="s">
        <v>1053</v>
      </c>
      <c r="I2" s="1086"/>
      <c r="J2" s="1086"/>
      <c r="K2" s="1086"/>
    </row>
    <row r="3" spans="1:13" s="27" customFormat="1" ht="79.5" customHeight="1" x14ac:dyDescent="0.2">
      <c r="A3" s="1097" t="s">
        <v>201</v>
      </c>
      <c r="B3" s="1096" t="s">
        <v>259</v>
      </c>
      <c r="C3" s="1096"/>
      <c r="D3" s="258" t="s">
        <v>520</v>
      </c>
      <c r="E3" s="592" t="s">
        <v>519</v>
      </c>
      <c r="F3" s="592" t="s">
        <v>968</v>
      </c>
      <c r="G3" s="592" t="s">
        <v>369</v>
      </c>
      <c r="H3" s="592" t="s">
        <v>193</v>
      </c>
      <c r="I3" s="260" t="s">
        <v>536</v>
      </c>
      <c r="J3" s="592" t="s">
        <v>369</v>
      </c>
      <c r="K3" s="1086" t="s">
        <v>146</v>
      </c>
    </row>
    <row r="4" spans="1:13" s="27" customFormat="1" ht="25.5" customHeight="1" x14ac:dyDescent="0.2">
      <c r="A4" s="1097"/>
      <c r="B4" s="1096" t="s">
        <v>11</v>
      </c>
      <c r="C4" s="1096"/>
      <c r="D4" s="258" t="s">
        <v>237</v>
      </c>
      <c r="E4" s="258" t="s">
        <v>237</v>
      </c>
      <c r="F4" s="258" t="s">
        <v>237</v>
      </c>
      <c r="G4" s="258" t="s">
        <v>237</v>
      </c>
      <c r="H4" s="258" t="s">
        <v>237</v>
      </c>
      <c r="I4" s="258" t="s">
        <v>237</v>
      </c>
      <c r="J4" s="258" t="s">
        <v>237</v>
      </c>
      <c r="K4" s="1086"/>
    </row>
    <row r="5" spans="1:13" s="27" customFormat="1" ht="15.75" customHeight="1" x14ac:dyDescent="0.2">
      <c r="A5" s="1097"/>
      <c r="B5" s="1082" t="s">
        <v>776</v>
      </c>
      <c r="C5" s="1082"/>
      <c r="D5" s="1086" t="s">
        <v>362</v>
      </c>
      <c r="E5" s="1086" t="s">
        <v>367</v>
      </c>
      <c r="F5" s="1086" t="s">
        <v>366</v>
      </c>
      <c r="G5" s="1086" t="s">
        <v>368</v>
      </c>
      <c r="H5" s="1086" t="s">
        <v>528</v>
      </c>
      <c r="I5" s="1087" t="s">
        <v>537</v>
      </c>
      <c r="J5" s="1086" t="s">
        <v>185</v>
      </c>
      <c r="K5" s="1086"/>
    </row>
    <row r="6" spans="1:13" ht="73.5" customHeight="1" x14ac:dyDescent="0.2">
      <c r="A6" s="1097"/>
      <c r="B6" s="28" t="s">
        <v>202</v>
      </c>
      <c r="C6" s="185" t="s">
        <v>260</v>
      </c>
      <c r="D6" s="1086"/>
      <c r="E6" s="1086"/>
      <c r="F6" s="1086"/>
      <c r="G6" s="1086"/>
      <c r="H6" s="1086"/>
      <c r="I6" s="1087"/>
      <c r="J6" s="1086"/>
      <c r="K6" s="1086"/>
    </row>
    <row r="7" spans="1:13" ht="15.75" x14ac:dyDescent="0.2">
      <c r="A7" s="30" t="s">
        <v>203</v>
      </c>
      <c r="B7" s="31" t="s">
        <v>204</v>
      </c>
      <c r="C7" s="31" t="s">
        <v>205</v>
      </c>
      <c r="D7" s="595" t="s">
        <v>206</v>
      </c>
      <c r="E7" s="595" t="s">
        <v>207</v>
      </c>
      <c r="F7" s="595" t="s">
        <v>208</v>
      </c>
      <c r="G7" s="595" t="s">
        <v>209</v>
      </c>
      <c r="H7" s="595" t="s">
        <v>210</v>
      </c>
      <c r="I7" s="595" t="s">
        <v>211</v>
      </c>
      <c r="J7" s="595" t="s">
        <v>212</v>
      </c>
      <c r="K7" s="595" t="s">
        <v>213</v>
      </c>
    </row>
    <row r="8" spans="1:13" ht="21.75" customHeight="1" x14ac:dyDescent="0.25">
      <c r="A8" s="32" t="s">
        <v>203</v>
      </c>
      <c r="B8" s="29" t="s">
        <v>345</v>
      </c>
      <c r="C8" s="33" t="s">
        <v>214</v>
      </c>
      <c r="D8" s="261"/>
      <c r="E8" s="261"/>
      <c r="F8" s="261"/>
      <c r="G8" s="261">
        <v>43117760</v>
      </c>
      <c r="H8" s="261"/>
      <c r="I8" s="261"/>
      <c r="J8" s="261"/>
      <c r="K8" s="261">
        <f>D8+E8+F8+G8+H8+I8+J8</f>
        <v>43117760</v>
      </c>
      <c r="M8" s="120"/>
    </row>
    <row r="9" spans="1:13" ht="21.75" customHeight="1" x14ac:dyDescent="0.25">
      <c r="A9" s="32" t="s">
        <v>204</v>
      </c>
      <c r="B9" s="34" t="s">
        <v>215</v>
      </c>
      <c r="C9" s="33" t="s">
        <v>216</v>
      </c>
      <c r="D9" s="261"/>
      <c r="E9" s="261"/>
      <c r="F9" s="261"/>
      <c r="G9" s="261">
        <v>7175528</v>
      </c>
      <c r="H9" s="261"/>
      <c r="I9" s="261"/>
      <c r="J9" s="261"/>
      <c r="K9" s="261">
        <f>D9+E9+F9+G9+H9+I9+J9</f>
        <v>7175528</v>
      </c>
      <c r="M9" s="120"/>
    </row>
    <row r="10" spans="1:13" ht="21.75" customHeight="1" x14ac:dyDescent="0.25">
      <c r="A10" s="32" t="s">
        <v>205</v>
      </c>
      <c r="B10" s="34" t="s">
        <v>346</v>
      </c>
      <c r="C10" s="33" t="s">
        <v>217</v>
      </c>
      <c r="D10" s="261"/>
      <c r="E10" s="261">
        <v>6888000</v>
      </c>
      <c r="F10" s="261"/>
      <c r="G10" s="261">
        <f>10513830+731245</f>
        <v>11245075</v>
      </c>
      <c r="H10" s="261"/>
      <c r="I10" s="261"/>
      <c r="J10" s="261">
        <v>127000</v>
      </c>
      <c r="K10" s="261">
        <f t="shared" ref="K10:K49" si="0">D10+E10+F10+G10+H10+I10+J10</f>
        <v>18260075</v>
      </c>
      <c r="M10" s="120"/>
    </row>
    <row r="11" spans="1:13" ht="21.75" customHeight="1" x14ac:dyDescent="0.25">
      <c r="A11" s="32" t="s">
        <v>206</v>
      </c>
      <c r="B11" s="35" t="s">
        <v>347</v>
      </c>
      <c r="C11" s="33" t="s">
        <v>218</v>
      </c>
      <c r="D11" s="261"/>
      <c r="E11" s="261"/>
      <c r="F11" s="261"/>
      <c r="G11" s="261"/>
      <c r="H11" s="261"/>
      <c r="I11" s="261"/>
      <c r="J11" s="261"/>
      <c r="K11" s="261">
        <f t="shared" si="0"/>
        <v>0</v>
      </c>
    </row>
    <row r="12" spans="1:13" ht="21.75" customHeight="1" x14ac:dyDescent="0.25">
      <c r="A12" s="32" t="s">
        <v>207</v>
      </c>
      <c r="B12" s="35" t="s">
        <v>249</v>
      </c>
      <c r="C12" s="33" t="s">
        <v>219</v>
      </c>
      <c r="D12" s="261">
        <f t="shared" ref="D12:J12" si="1">SUM(D13:D15)</f>
        <v>0</v>
      </c>
      <c r="E12" s="261">
        <f t="shared" si="1"/>
        <v>0</v>
      </c>
      <c r="F12" s="261">
        <f t="shared" si="1"/>
        <v>0</v>
      </c>
      <c r="G12" s="261">
        <f t="shared" si="1"/>
        <v>0</v>
      </c>
      <c r="H12" s="261">
        <f t="shared" si="1"/>
        <v>0</v>
      </c>
      <c r="I12" s="261">
        <f t="shared" si="1"/>
        <v>0</v>
      </c>
      <c r="J12" s="261">
        <f t="shared" si="1"/>
        <v>0</v>
      </c>
      <c r="K12" s="261">
        <f t="shared" si="0"/>
        <v>0</v>
      </c>
    </row>
    <row r="13" spans="1:13" ht="21.75" customHeight="1" x14ac:dyDescent="0.25">
      <c r="A13" s="32" t="s">
        <v>208</v>
      </c>
      <c r="B13" s="36" t="s">
        <v>133</v>
      </c>
      <c r="C13" s="33"/>
      <c r="D13" s="261"/>
      <c r="E13" s="261"/>
      <c r="F13" s="261"/>
      <c r="G13" s="261"/>
      <c r="H13" s="261"/>
      <c r="I13" s="261"/>
      <c r="J13" s="261"/>
      <c r="K13" s="261">
        <f t="shared" si="0"/>
        <v>0</v>
      </c>
    </row>
    <row r="14" spans="1:13" ht="21.75" customHeight="1" x14ac:dyDescent="0.25">
      <c r="A14" s="32" t="s">
        <v>209</v>
      </c>
      <c r="B14" s="36" t="s">
        <v>123</v>
      </c>
      <c r="C14" s="37"/>
      <c r="D14" s="261"/>
      <c r="E14" s="261"/>
      <c r="F14" s="261"/>
      <c r="G14" s="261"/>
      <c r="H14" s="261"/>
      <c r="I14" s="261"/>
      <c r="J14" s="261"/>
      <c r="K14" s="261">
        <f t="shared" si="0"/>
        <v>0</v>
      </c>
    </row>
    <row r="15" spans="1:13" ht="21.75" customHeight="1" x14ac:dyDescent="0.25">
      <c r="A15" s="32" t="s">
        <v>210</v>
      </c>
      <c r="B15" s="130" t="s">
        <v>582</v>
      </c>
      <c r="C15" s="37"/>
      <c r="D15" s="261"/>
      <c r="E15" s="261"/>
      <c r="F15" s="261"/>
      <c r="G15" s="261"/>
      <c r="H15" s="261"/>
      <c r="I15" s="261"/>
      <c r="J15" s="261"/>
      <c r="K15" s="261">
        <f t="shared" si="0"/>
        <v>0</v>
      </c>
    </row>
    <row r="16" spans="1:13" ht="21.75" customHeight="1" x14ac:dyDescent="0.25">
      <c r="A16" s="32" t="s">
        <v>211</v>
      </c>
      <c r="B16" s="38" t="s">
        <v>256</v>
      </c>
      <c r="C16" s="33" t="s">
        <v>220</v>
      </c>
      <c r="D16" s="261"/>
      <c r="E16" s="261"/>
      <c r="F16" s="261"/>
      <c r="G16" s="261">
        <f>+'6.sz. Beruházások'!E116</f>
        <v>4762500</v>
      </c>
      <c r="H16" s="261"/>
      <c r="I16" s="261">
        <f>+'6.sz. Beruházások'!E117</f>
        <v>173058</v>
      </c>
      <c r="J16" s="261"/>
      <c r="K16" s="261">
        <f t="shared" si="0"/>
        <v>4935558</v>
      </c>
    </row>
    <row r="17" spans="1:12" ht="21.75" customHeight="1" x14ac:dyDescent="0.25">
      <c r="A17" s="32" t="s">
        <v>212</v>
      </c>
      <c r="B17" s="35" t="s">
        <v>348</v>
      </c>
      <c r="C17" s="33" t="s">
        <v>221</v>
      </c>
      <c r="D17" s="261"/>
      <c r="E17" s="261"/>
      <c r="F17" s="261"/>
      <c r="G17" s="261"/>
      <c r="H17" s="261"/>
      <c r="I17" s="261"/>
      <c r="J17" s="261"/>
      <c r="K17" s="261">
        <f t="shared" si="0"/>
        <v>0</v>
      </c>
    </row>
    <row r="18" spans="1:12" ht="21.75" customHeight="1" x14ac:dyDescent="0.25">
      <c r="A18" s="32" t="s">
        <v>213</v>
      </c>
      <c r="B18" s="35" t="s">
        <v>250</v>
      </c>
      <c r="C18" s="33" t="s">
        <v>222</v>
      </c>
      <c r="D18" s="261"/>
      <c r="E18" s="261"/>
      <c r="F18" s="261"/>
      <c r="G18" s="261"/>
      <c r="H18" s="261"/>
      <c r="I18" s="261"/>
      <c r="J18" s="261"/>
      <c r="K18" s="261">
        <f t="shared" si="0"/>
        <v>0</v>
      </c>
    </row>
    <row r="19" spans="1:12" ht="21.75" customHeight="1" x14ac:dyDescent="0.25">
      <c r="A19" s="32" t="s">
        <v>240</v>
      </c>
      <c r="B19" s="35" t="s">
        <v>132</v>
      </c>
      <c r="C19" s="33"/>
      <c r="D19" s="261"/>
      <c r="E19" s="261"/>
      <c r="F19" s="261"/>
      <c r="G19" s="261"/>
      <c r="H19" s="261"/>
      <c r="I19" s="261"/>
      <c r="J19" s="261"/>
      <c r="K19" s="261">
        <f t="shared" si="0"/>
        <v>0</v>
      </c>
    </row>
    <row r="20" spans="1:12" ht="21.75" customHeight="1" x14ac:dyDescent="0.25">
      <c r="A20" s="32" t="s">
        <v>241</v>
      </c>
      <c r="B20" s="38" t="s">
        <v>251</v>
      </c>
      <c r="C20" s="33" t="s">
        <v>223</v>
      </c>
      <c r="D20" s="261">
        <f t="shared" ref="D20:J20" si="2">+D8+D9+D10+D11+D12+D16+D17+D18</f>
        <v>0</v>
      </c>
      <c r="E20" s="261">
        <f t="shared" si="2"/>
        <v>6888000</v>
      </c>
      <c r="F20" s="261">
        <f t="shared" si="2"/>
        <v>0</v>
      </c>
      <c r="G20" s="261">
        <f t="shared" si="2"/>
        <v>66300863</v>
      </c>
      <c r="H20" s="261">
        <f t="shared" si="2"/>
        <v>0</v>
      </c>
      <c r="I20" s="261">
        <f t="shared" si="2"/>
        <v>173058</v>
      </c>
      <c r="J20" s="261">
        <f t="shared" si="2"/>
        <v>127000</v>
      </c>
      <c r="K20" s="261">
        <f t="shared" si="0"/>
        <v>73488921</v>
      </c>
      <c r="L20" s="120">
        <f>K8+K9+K10+K11+K12+K16++K17+K18</f>
        <v>73488921</v>
      </c>
    </row>
    <row r="21" spans="1:12" ht="21.75" customHeight="1" x14ac:dyDescent="0.25">
      <c r="A21" s="32" t="s">
        <v>242</v>
      </c>
      <c r="B21" s="38" t="s">
        <v>236</v>
      </c>
      <c r="C21" s="33" t="s">
        <v>232</v>
      </c>
      <c r="D21" s="261">
        <f>SUM(D22:D25)</f>
        <v>0</v>
      </c>
      <c r="E21" s="261">
        <f t="shared" ref="E21:J21" si="3">SUM(E22:E25)</f>
        <v>0</v>
      </c>
      <c r="F21" s="261">
        <f t="shared" si="3"/>
        <v>0</v>
      </c>
      <c r="G21" s="261">
        <f t="shared" si="3"/>
        <v>0</v>
      </c>
      <c r="H21" s="261">
        <f t="shared" si="3"/>
        <v>0</v>
      </c>
      <c r="I21" s="261">
        <f t="shared" si="3"/>
        <v>0</v>
      </c>
      <c r="J21" s="261">
        <f t="shared" si="3"/>
        <v>0</v>
      </c>
      <c r="K21" s="261">
        <f t="shared" si="0"/>
        <v>0</v>
      </c>
    </row>
    <row r="22" spans="1:12" ht="21.75" customHeight="1" x14ac:dyDescent="0.25">
      <c r="A22" s="32" t="s">
        <v>243</v>
      </c>
      <c r="B22" s="132" t="s">
        <v>191</v>
      </c>
      <c r="C22" s="37"/>
      <c r="D22" s="261"/>
      <c r="E22" s="261"/>
      <c r="F22" s="261"/>
      <c r="G22" s="261"/>
      <c r="H22" s="261"/>
      <c r="I22" s="261"/>
      <c r="J22" s="261"/>
      <c r="K22" s="261">
        <f t="shared" si="0"/>
        <v>0</v>
      </c>
    </row>
    <row r="23" spans="1:12" ht="21.75" customHeight="1" x14ac:dyDescent="0.25">
      <c r="A23" s="32" t="s">
        <v>244</v>
      </c>
      <c r="B23" s="39" t="s">
        <v>585</v>
      </c>
      <c r="C23" s="37"/>
      <c r="D23" s="261"/>
      <c r="E23" s="261"/>
      <c r="F23" s="261"/>
      <c r="G23" s="261"/>
      <c r="H23" s="261"/>
      <c r="I23" s="261"/>
      <c r="J23" s="261"/>
      <c r="K23" s="261">
        <f t="shared" si="0"/>
        <v>0</v>
      </c>
    </row>
    <row r="24" spans="1:12" ht="21.75" customHeight="1" x14ac:dyDescent="0.25">
      <c r="A24" s="32" t="s">
        <v>245</v>
      </c>
      <c r="B24" s="39" t="s">
        <v>586</v>
      </c>
      <c r="C24" s="37"/>
      <c r="D24" s="261"/>
      <c r="E24" s="261"/>
      <c r="F24" s="261"/>
      <c r="G24" s="261"/>
      <c r="H24" s="261"/>
      <c r="I24" s="261"/>
      <c r="J24" s="261"/>
      <c r="K24" s="261">
        <f t="shared" si="0"/>
        <v>0</v>
      </c>
    </row>
    <row r="25" spans="1:12" ht="21.75" customHeight="1" x14ac:dyDescent="0.25">
      <c r="A25" s="32" t="s">
        <v>246</v>
      </c>
      <c r="B25" s="39" t="s">
        <v>134</v>
      </c>
      <c r="C25" s="37"/>
      <c r="D25" s="261"/>
      <c r="E25" s="261"/>
      <c r="F25" s="261"/>
      <c r="G25" s="261"/>
      <c r="H25" s="261"/>
      <c r="I25" s="261"/>
      <c r="J25" s="261"/>
      <c r="K25" s="261">
        <f t="shared" si="0"/>
        <v>0</v>
      </c>
    </row>
    <row r="26" spans="1:12" ht="21.75" customHeight="1" x14ac:dyDescent="0.25">
      <c r="A26" s="32" t="s">
        <v>247</v>
      </c>
      <c r="B26" s="338" t="s">
        <v>889</v>
      </c>
      <c r="C26" s="37"/>
      <c r="D26" s="261"/>
      <c r="E26" s="261"/>
      <c r="F26" s="261"/>
      <c r="G26" s="261"/>
      <c r="H26" s="261"/>
      <c r="I26" s="261"/>
      <c r="J26" s="261"/>
      <c r="K26" s="261">
        <f t="shared" si="0"/>
        <v>0</v>
      </c>
    </row>
    <row r="27" spans="1:12" s="41" customFormat="1" ht="21.75" customHeight="1" x14ac:dyDescent="0.25">
      <c r="A27" s="32" t="s">
        <v>248</v>
      </c>
      <c r="B27" s="40" t="s">
        <v>32</v>
      </c>
      <c r="C27" s="33"/>
      <c r="D27" s="262">
        <f t="shared" ref="D27:J27" si="4">+D8+D9+D10+D11+D12+D22+D23</f>
        <v>0</v>
      </c>
      <c r="E27" s="262">
        <f t="shared" si="4"/>
        <v>6888000</v>
      </c>
      <c r="F27" s="262">
        <f t="shared" si="4"/>
        <v>0</v>
      </c>
      <c r="G27" s="262">
        <f t="shared" si="4"/>
        <v>61538363</v>
      </c>
      <c r="H27" s="262">
        <f t="shared" si="4"/>
        <v>0</v>
      </c>
      <c r="I27" s="262">
        <f t="shared" si="4"/>
        <v>0</v>
      </c>
      <c r="J27" s="262">
        <f t="shared" si="4"/>
        <v>127000</v>
      </c>
      <c r="K27" s="262">
        <f t="shared" si="0"/>
        <v>68553363</v>
      </c>
    </row>
    <row r="28" spans="1:12" s="41" customFormat="1" ht="21.75" customHeight="1" x14ac:dyDescent="0.25">
      <c r="A28" s="32" t="s">
        <v>276</v>
      </c>
      <c r="B28" s="40" t="s">
        <v>33</v>
      </c>
      <c r="C28" s="33"/>
      <c r="D28" s="262">
        <f>+D16+D17+D18+D24+D25</f>
        <v>0</v>
      </c>
      <c r="E28" s="262">
        <f t="shared" ref="E28:J28" si="5">+E16+E17+E18+E24+E25</f>
        <v>0</v>
      </c>
      <c r="F28" s="262">
        <f t="shared" si="5"/>
        <v>0</v>
      </c>
      <c r="G28" s="262">
        <f t="shared" si="5"/>
        <v>4762500</v>
      </c>
      <c r="H28" s="262">
        <f t="shared" si="5"/>
        <v>0</v>
      </c>
      <c r="I28" s="262">
        <f t="shared" si="5"/>
        <v>173058</v>
      </c>
      <c r="J28" s="262">
        <f t="shared" si="5"/>
        <v>0</v>
      </c>
      <c r="K28" s="262">
        <f t="shared" si="0"/>
        <v>4935558</v>
      </c>
    </row>
    <row r="29" spans="1:12" s="41" customFormat="1" ht="21.75" customHeight="1" x14ac:dyDescent="0.25">
      <c r="A29" s="32" t="s">
        <v>277</v>
      </c>
      <c r="B29" s="40" t="s">
        <v>343</v>
      </c>
      <c r="C29" s="33" t="s">
        <v>31</v>
      </c>
      <c r="D29" s="262">
        <f>SUM(D27:D28)</f>
        <v>0</v>
      </c>
      <c r="E29" s="262">
        <f t="shared" ref="E29:J29" si="6">SUM(E27:E28)</f>
        <v>6888000</v>
      </c>
      <c r="F29" s="262">
        <f t="shared" si="6"/>
        <v>0</v>
      </c>
      <c r="G29" s="262">
        <f t="shared" si="6"/>
        <v>66300863</v>
      </c>
      <c r="H29" s="262">
        <f t="shared" si="6"/>
        <v>0</v>
      </c>
      <c r="I29" s="262">
        <f t="shared" si="6"/>
        <v>173058</v>
      </c>
      <c r="J29" s="262">
        <f t="shared" si="6"/>
        <v>127000</v>
      </c>
      <c r="K29" s="262">
        <f t="shared" si="0"/>
        <v>73488921</v>
      </c>
    </row>
    <row r="30" spans="1:12" ht="21.75" customHeight="1" x14ac:dyDescent="0.25">
      <c r="A30" s="32" t="s">
        <v>278</v>
      </c>
      <c r="B30" s="34" t="s">
        <v>52</v>
      </c>
      <c r="C30" s="38" t="s">
        <v>224</v>
      </c>
      <c r="D30" s="261"/>
      <c r="E30" s="261"/>
      <c r="F30" s="261"/>
      <c r="G30" s="261"/>
      <c r="H30" s="261"/>
      <c r="I30" s="261"/>
      <c r="J30" s="261"/>
      <c r="K30" s="261">
        <f t="shared" si="0"/>
        <v>0</v>
      </c>
    </row>
    <row r="31" spans="1:12" ht="21.75" customHeight="1" x14ac:dyDescent="0.25">
      <c r="A31" s="32" t="s">
        <v>279</v>
      </c>
      <c r="B31" s="34" t="s">
        <v>235</v>
      </c>
      <c r="C31" s="38" t="s">
        <v>225</v>
      </c>
      <c r="D31" s="261"/>
      <c r="E31" s="261"/>
      <c r="F31" s="261"/>
      <c r="G31" s="261"/>
      <c r="H31" s="261"/>
      <c r="I31" s="261"/>
      <c r="J31" s="261"/>
      <c r="K31" s="261">
        <f t="shared" si="0"/>
        <v>0</v>
      </c>
    </row>
    <row r="32" spans="1:12" ht="21.75" customHeight="1" x14ac:dyDescent="0.25">
      <c r="A32" s="32" t="s">
        <v>280</v>
      </c>
      <c r="B32" s="34" t="s">
        <v>234</v>
      </c>
      <c r="C32" s="38" t="s">
        <v>226</v>
      </c>
      <c r="D32" s="261"/>
      <c r="E32" s="261"/>
      <c r="F32" s="261"/>
      <c r="G32" s="261"/>
      <c r="H32" s="261"/>
      <c r="I32" s="261"/>
      <c r="J32" s="261"/>
      <c r="K32" s="261">
        <f t="shared" si="0"/>
        <v>0</v>
      </c>
    </row>
    <row r="33" spans="1:14" ht="21.75" customHeight="1" x14ac:dyDescent="0.25">
      <c r="A33" s="32" t="s">
        <v>281</v>
      </c>
      <c r="B33" s="35" t="s">
        <v>0</v>
      </c>
      <c r="C33" s="38" t="s">
        <v>227</v>
      </c>
      <c r="D33" s="261"/>
      <c r="E33" s="261"/>
      <c r="F33" s="261"/>
      <c r="G33" s="263">
        <v>446100</v>
      </c>
      <c r="H33" s="263"/>
      <c r="I33" s="263"/>
      <c r="J33" s="263">
        <v>127000</v>
      </c>
      <c r="K33" s="261">
        <f t="shared" si="0"/>
        <v>573100</v>
      </c>
    </row>
    <row r="34" spans="1:14" ht="21.75" customHeight="1" x14ac:dyDescent="0.25">
      <c r="A34" s="32" t="s">
        <v>282</v>
      </c>
      <c r="B34" s="34" t="s">
        <v>257</v>
      </c>
      <c r="C34" s="38" t="s">
        <v>228</v>
      </c>
      <c r="D34" s="261"/>
      <c r="E34" s="261"/>
      <c r="F34" s="261"/>
      <c r="G34" s="261"/>
      <c r="H34" s="261"/>
      <c r="I34" s="261"/>
      <c r="J34" s="261"/>
      <c r="K34" s="261">
        <f t="shared" si="0"/>
        <v>0</v>
      </c>
    </row>
    <row r="35" spans="1:14" ht="21.75" customHeight="1" x14ac:dyDescent="0.25">
      <c r="A35" s="32" t="s">
        <v>283</v>
      </c>
      <c r="B35" s="34" t="s">
        <v>252</v>
      </c>
      <c r="C35" s="38" t="s">
        <v>229</v>
      </c>
      <c r="D35" s="261"/>
      <c r="E35" s="261"/>
      <c r="F35" s="261"/>
      <c r="G35" s="261"/>
      <c r="H35" s="261"/>
      <c r="I35" s="261"/>
      <c r="J35" s="261"/>
      <c r="K35" s="261">
        <f t="shared" si="0"/>
        <v>0</v>
      </c>
    </row>
    <row r="36" spans="1:14" ht="21.75" customHeight="1" x14ac:dyDescent="0.25">
      <c r="A36" s="32" t="s">
        <v>284</v>
      </c>
      <c r="B36" s="34" t="s">
        <v>253</v>
      </c>
      <c r="C36" s="38" t="s">
        <v>230</v>
      </c>
      <c r="D36" s="261"/>
      <c r="E36" s="261"/>
      <c r="F36" s="261"/>
      <c r="G36" s="261"/>
      <c r="H36" s="261"/>
      <c r="I36" s="261"/>
      <c r="J36" s="261"/>
      <c r="K36" s="261">
        <f t="shared" si="0"/>
        <v>0</v>
      </c>
      <c r="N36" s="26"/>
    </row>
    <row r="37" spans="1:14" ht="21.75" customHeight="1" x14ac:dyDescent="0.25">
      <c r="A37" s="32" t="s">
        <v>285</v>
      </c>
      <c r="B37" s="35" t="s">
        <v>254</v>
      </c>
      <c r="C37" s="38" t="s">
        <v>231</v>
      </c>
      <c r="D37" s="261">
        <f>+D30+D31+D32+D33+D34+D35+D36</f>
        <v>0</v>
      </c>
      <c r="E37" s="261">
        <f t="shared" ref="E37:J37" si="7">+E30+E31+E32+E33+E34+E35+E36</f>
        <v>0</v>
      </c>
      <c r="F37" s="261">
        <f t="shared" si="7"/>
        <v>0</v>
      </c>
      <c r="G37" s="261">
        <f t="shared" si="7"/>
        <v>446100</v>
      </c>
      <c r="H37" s="261">
        <f t="shared" si="7"/>
        <v>0</v>
      </c>
      <c r="I37" s="261">
        <f t="shared" si="7"/>
        <v>0</v>
      </c>
      <c r="J37" s="261">
        <f t="shared" si="7"/>
        <v>127000</v>
      </c>
      <c r="K37" s="261">
        <f t="shared" si="0"/>
        <v>573100</v>
      </c>
      <c r="L37" s="120">
        <f>SUM(K30:K36)</f>
        <v>573100</v>
      </c>
    </row>
    <row r="38" spans="1:14" ht="21.75" customHeight="1" x14ac:dyDescent="0.25">
      <c r="A38" s="32" t="s">
        <v>286</v>
      </c>
      <c r="B38" s="38" t="s">
        <v>255</v>
      </c>
      <c r="C38" s="33" t="s">
        <v>233</v>
      </c>
      <c r="D38" s="261">
        <f>SUM(D40:D44)</f>
        <v>72742763</v>
      </c>
      <c r="E38" s="261">
        <f t="shared" ref="E38:J38" si="8">SUM(E40:E44)</f>
        <v>0</v>
      </c>
      <c r="F38" s="261">
        <f t="shared" si="8"/>
        <v>0</v>
      </c>
      <c r="G38" s="261">
        <f t="shared" si="8"/>
        <v>0</v>
      </c>
      <c r="H38" s="261">
        <f t="shared" si="8"/>
        <v>0</v>
      </c>
      <c r="I38" s="261">
        <f t="shared" si="8"/>
        <v>173058</v>
      </c>
      <c r="J38" s="261">
        <f t="shared" si="8"/>
        <v>0</v>
      </c>
      <c r="K38" s="261">
        <f t="shared" si="0"/>
        <v>72915821</v>
      </c>
    </row>
    <row r="39" spans="1:14" ht="21.75" customHeight="1" x14ac:dyDescent="0.25">
      <c r="A39" s="32" t="s">
        <v>287</v>
      </c>
      <c r="B39" s="132" t="s">
        <v>598</v>
      </c>
      <c r="C39" s="33"/>
      <c r="D39" s="261"/>
      <c r="E39" s="261"/>
      <c r="F39" s="261"/>
      <c r="G39" s="261"/>
      <c r="H39" s="261"/>
      <c r="I39" s="261"/>
      <c r="J39" s="261"/>
      <c r="K39" s="261">
        <f t="shared" si="0"/>
        <v>0</v>
      </c>
    </row>
    <row r="40" spans="1:14" ht="21.75" customHeight="1" x14ac:dyDescent="0.25">
      <c r="A40" s="32" t="s">
        <v>288</v>
      </c>
      <c r="B40" s="39" t="s">
        <v>932</v>
      </c>
      <c r="C40" s="37"/>
      <c r="D40" s="261">
        <v>731245</v>
      </c>
      <c r="E40" s="261"/>
      <c r="F40" s="261"/>
      <c r="G40" s="261"/>
      <c r="H40" s="261"/>
      <c r="I40" s="261"/>
      <c r="J40" s="261"/>
      <c r="K40" s="261">
        <f t="shared" si="0"/>
        <v>731245</v>
      </c>
    </row>
    <row r="41" spans="1:14" ht="21.75" customHeight="1" x14ac:dyDescent="0.25">
      <c r="A41" s="32" t="s">
        <v>292</v>
      </c>
      <c r="B41" s="39" t="s">
        <v>933</v>
      </c>
      <c r="C41" s="37"/>
      <c r="D41" s="261"/>
      <c r="E41" s="261"/>
      <c r="F41" s="261"/>
      <c r="G41" s="261"/>
      <c r="H41" s="261"/>
      <c r="I41" s="261">
        <v>173058</v>
      </c>
      <c r="J41" s="261"/>
      <c r="K41" s="261">
        <f t="shared" si="0"/>
        <v>173058</v>
      </c>
    </row>
    <row r="42" spans="1:14" ht="21.75" customHeight="1" x14ac:dyDescent="0.25">
      <c r="A42" s="32" t="s">
        <v>293</v>
      </c>
      <c r="B42" s="39" t="s">
        <v>570</v>
      </c>
      <c r="C42" s="37"/>
      <c r="D42" s="261">
        <f>+K27-K30-K32-K33-K35-K40</f>
        <v>67249018</v>
      </c>
      <c r="E42" s="261"/>
      <c r="F42" s="261"/>
      <c r="G42" s="261"/>
      <c r="H42" s="261"/>
      <c r="I42" s="261"/>
      <c r="J42" s="261"/>
      <c r="K42" s="261">
        <f t="shared" si="0"/>
        <v>67249018</v>
      </c>
    </row>
    <row r="43" spans="1:14" ht="21.75" customHeight="1" x14ac:dyDescent="0.25">
      <c r="A43" s="32" t="s">
        <v>294</v>
      </c>
      <c r="B43" s="39" t="s">
        <v>571</v>
      </c>
      <c r="C43" s="37"/>
      <c r="D43" s="261">
        <f>+K28-K31-K34-K36-K41</f>
        <v>4762500</v>
      </c>
      <c r="E43" s="261"/>
      <c r="F43" s="261"/>
      <c r="G43" s="261"/>
      <c r="H43" s="261"/>
      <c r="I43" s="261"/>
      <c r="J43" s="261"/>
      <c r="K43" s="261">
        <f t="shared" si="0"/>
        <v>4762500</v>
      </c>
    </row>
    <row r="44" spans="1:14" ht="21.75" customHeight="1" x14ac:dyDescent="0.25">
      <c r="A44" s="32" t="s">
        <v>295</v>
      </c>
      <c r="B44" s="39" t="s">
        <v>608</v>
      </c>
      <c r="C44" s="37"/>
      <c r="D44" s="261"/>
      <c r="E44" s="261"/>
      <c r="F44" s="261"/>
      <c r="G44" s="261"/>
      <c r="H44" s="261"/>
      <c r="I44" s="261"/>
      <c r="J44" s="261"/>
      <c r="K44" s="261">
        <f t="shared" si="0"/>
        <v>0</v>
      </c>
    </row>
    <row r="45" spans="1:14" ht="21.75" customHeight="1" x14ac:dyDescent="0.25">
      <c r="A45" s="32" t="s">
        <v>296</v>
      </c>
      <c r="B45" s="338" t="s">
        <v>888</v>
      </c>
      <c r="C45" s="37"/>
      <c r="D45" s="261"/>
      <c r="E45" s="261"/>
      <c r="F45" s="261"/>
      <c r="G45" s="261"/>
      <c r="H45" s="261"/>
      <c r="I45" s="261"/>
      <c r="J45" s="261"/>
      <c r="K45" s="261">
        <f t="shared" si="0"/>
        <v>0</v>
      </c>
    </row>
    <row r="46" spans="1:14" ht="21.75" customHeight="1" x14ac:dyDescent="0.25">
      <c r="A46" s="32" t="s">
        <v>297</v>
      </c>
      <c r="B46" s="40" t="s">
        <v>120</v>
      </c>
      <c r="C46" s="33"/>
      <c r="D46" s="262">
        <f>+D30+D32+D33+D35+D40+D42</f>
        <v>67980263</v>
      </c>
      <c r="E46" s="262">
        <f t="shared" ref="E46:J46" si="9">+E30+E32+E33+E35+E40+E42</f>
        <v>0</v>
      </c>
      <c r="F46" s="262">
        <f t="shared" si="9"/>
        <v>0</v>
      </c>
      <c r="G46" s="262">
        <f t="shared" si="9"/>
        <v>446100</v>
      </c>
      <c r="H46" s="262">
        <f t="shared" si="9"/>
        <v>0</v>
      </c>
      <c r="I46" s="262">
        <f t="shared" si="9"/>
        <v>0</v>
      </c>
      <c r="J46" s="262">
        <f t="shared" si="9"/>
        <v>127000</v>
      </c>
      <c r="K46" s="262">
        <f t="shared" si="0"/>
        <v>68553363</v>
      </c>
      <c r="L46" s="120">
        <f>K42+K35+K33+K32+K30</f>
        <v>67822118</v>
      </c>
    </row>
    <row r="47" spans="1:14" ht="21.75" customHeight="1" x14ac:dyDescent="0.25">
      <c r="A47" s="32" t="s">
        <v>298</v>
      </c>
      <c r="B47" s="40" t="s">
        <v>121</v>
      </c>
      <c r="C47" s="33"/>
      <c r="D47" s="262">
        <f>+D31+D34+D36+D41+D428+D44+D43</f>
        <v>4762500</v>
      </c>
      <c r="E47" s="262">
        <f t="shared" ref="E47:J47" si="10">+E31+E34+E36+E41+E428+E44+E43</f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 t="shared" si="10"/>
        <v>173058</v>
      </c>
      <c r="J47" s="262">
        <f t="shared" si="10"/>
        <v>0</v>
      </c>
      <c r="K47" s="262">
        <f t="shared" si="0"/>
        <v>4935558</v>
      </c>
      <c r="L47" s="120">
        <f>K43+K36+K34+K31</f>
        <v>4762500</v>
      </c>
    </row>
    <row r="48" spans="1:14" ht="21.75" customHeight="1" x14ac:dyDescent="0.25">
      <c r="A48" s="32" t="s">
        <v>299</v>
      </c>
      <c r="B48" s="40" t="s">
        <v>344</v>
      </c>
      <c r="C48" s="33"/>
      <c r="D48" s="262">
        <f>+D46+D47</f>
        <v>72742763</v>
      </c>
      <c r="E48" s="262">
        <f t="shared" ref="E48:J48" si="11">+E46+E47</f>
        <v>0</v>
      </c>
      <c r="F48" s="262">
        <f t="shared" si="11"/>
        <v>0</v>
      </c>
      <c r="G48" s="262">
        <f t="shared" si="11"/>
        <v>446100</v>
      </c>
      <c r="H48" s="262">
        <f t="shared" si="11"/>
        <v>0</v>
      </c>
      <c r="I48" s="262">
        <f t="shared" si="11"/>
        <v>173058</v>
      </c>
      <c r="J48" s="262">
        <f t="shared" si="11"/>
        <v>127000</v>
      </c>
      <c r="K48" s="262">
        <f t="shared" si="0"/>
        <v>73488921</v>
      </c>
      <c r="L48" s="120">
        <f>SUM(L46:L47)</f>
        <v>72584618</v>
      </c>
    </row>
    <row r="49" spans="1:13" ht="21.75" customHeight="1" x14ac:dyDescent="0.25">
      <c r="A49" s="32" t="s">
        <v>300</v>
      </c>
      <c r="B49" s="585" t="s">
        <v>465</v>
      </c>
      <c r="C49" s="267"/>
      <c r="D49" s="261"/>
      <c r="E49" s="261">
        <v>7</v>
      </c>
      <c r="F49" s="261"/>
      <c r="G49" s="261"/>
      <c r="H49" s="261"/>
      <c r="I49" s="261"/>
      <c r="J49" s="261"/>
      <c r="K49" s="261">
        <f t="shared" si="0"/>
        <v>7</v>
      </c>
      <c r="M49" s="120">
        <f>K48-K29</f>
        <v>0</v>
      </c>
    </row>
    <row r="50" spans="1:13" ht="21.75" customHeight="1" x14ac:dyDescent="0.25">
      <c r="A50" s="32" t="s">
        <v>301</v>
      </c>
      <c r="B50" s="65" t="s">
        <v>1047</v>
      </c>
      <c r="C50" s="267"/>
      <c r="D50" s="310"/>
      <c r="E50" s="310"/>
      <c r="F50" s="310"/>
      <c r="G50" s="310"/>
      <c r="H50" s="310"/>
      <c r="I50" s="310"/>
      <c r="J50" s="310"/>
      <c r="K50" s="310"/>
      <c r="M50" s="120"/>
    </row>
  </sheetData>
  <mergeCells count="15">
    <mergeCell ref="H2:K2"/>
    <mergeCell ref="J5:J6"/>
    <mergeCell ref="D5:D6"/>
    <mergeCell ref="E5:E6"/>
    <mergeCell ref="G5:G6"/>
    <mergeCell ref="K3:K6"/>
    <mergeCell ref="A3:A6"/>
    <mergeCell ref="B3:C3"/>
    <mergeCell ref="I5:I6"/>
    <mergeCell ref="F5:F6"/>
    <mergeCell ref="A2:C2"/>
    <mergeCell ref="H5:H6"/>
    <mergeCell ref="B4:C4"/>
    <mergeCell ref="B5:C5"/>
    <mergeCell ref="D2:G2"/>
  </mergeCells>
  <phoneticPr fontId="41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portrait" horizontalDpi="200" verticalDpi="200" r:id="rId1"/>
  <headerFooter alignWithMargins="0">
    <oddHeader>&amp;C2021. évi költségvetés&amp;R&amp;A</oddHeader>
    <oddFooter>&amp;C&amp;P/&amp;N</oddFooter>
  </headerFooter>
  <colBreaks count="1" manualBreakCount="1">
    <brk id="7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"/>
  <sheetViews>
    <sheetView zoomScale="71" zoomScaleNormal="100" zoomScaleSheetLayoutView="71"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D41" sqref="D41"/>
    </sheetView>
  </sheetViews>
  <sheetFormatPr defaultRowHeight="12.75" x14ac:dyDescent="0.2"/>
  <cols>
    <col min="1" max="1" width="6" customWidth="1"/>
    <col min="2" max="2" width="65.42578125" customWidth="1"/>
    <col min="4" max="4" width="17.7109375" customWidth="1"/>
    <col min="5" max="5" width="18" customWidth="1"/>
    <col min="6" max="6" width="16.140625" customWidth="1"/>
    <col min="7" max="8" width="17.42578125" customWidth="1"/>
    <col min="9" max="9" width="17.5703125" customWidth="1"/>
    <col min="10" max="10" width="17" bestFit="1" customWidth="1"/>
    <col min="11" max="11" width="9.85546875" bestFit="1" customWidth="1"/>
  </cols>
  <sheetData>
    <row r="1" spans="1:12" ht="15.75" x14ac:dyDescent="0.25">
      <c r="A1" s="292"/>
      <c r="B1" s="292"/>
      <c r="C1" s="291"/>
      <c r="D1" s="290"/>
      <c r="E1" s="290"/>
      <c r="F1" s="257"/>
      <c r="G1" s="257" t="s">
        <v>458</v>
      </c>
      <c r="H1" s="290"/>
      <c r="I1" s="290"/>
      <c r="J1" s="257" t="s">
        <v>458</v>
      </c>
    </row>
    <row r="2" spans="1:12" ht="39.75" customHeight="1" x14ac:dyDescent="0.2">
      <c r="A2" s="1108" t="s">
        <v>144</v>
      </c>
      <c r="B2" s="1109"/>
      <c r="C2" s="1110"/>
      <c r="D2" s="1107" t="s">
        <v>1054</v>
      </c>
      <c r="E2" s="1107"/>
      <c r="F2" s="1107"/>
      <c r="G2" s="1107"/>
      <c r="H2" s="1107" t="s">
        <v>1054</v>
      </c>
      <c r="I2" s="1107"/>
      <c r="J2" s="1107"/>
    </row>
    <row r="3" spans="1:12" ht="118.5" customHeight="1" x14ac:dyDescent="0.2">
      <c r="A3" s="1104" t="s">
        <v>201</v>
      </c>
      <c r="B3" s="1105" t="s">
        <v>259</v>
      </c>
      <c r="C3" s="1105"/>
      <c r="D3" s="285" t="s">
        <v>508</v>
      </c>
      <c r="E3" s="85" t="s">
        <v>969</v>
      </c>
      <c r="F3" s="286" t="s">
        <v>613</v>
      </c>
      <c r="G3" s="85" t="s">
        <v>614</v>
      </c>
      <c r="H3" s="592" t="s">
        <v>193</v>
      </c>
      <c r="I3" s="286" t="s">
        <v>613</v>
      </c>
      <c r="J3" s="1106" t="s">
        <v>146</v>
      </c>
    </row>
    <row r="4" spans="1:12" ht="26.25" customHeight="1" x14ac:dyDescent="0.2">
      <c r="A4" s="1104"/>
      <c r="B4" s="1105" t="s">
        <v>11</v>
      </c>
      <c r="C4" s="1105"/>
      <c r="D4" s="285" t="s">
        <v>237</v>
      </c>
      <c r="E4" s="285" t="s">
        <v>237</v>
      </c>
      <c r="F4" s="285" t="s">
        <v>237</v>
      </c>
      <c r="G4" s="85" t="s">
        <v>238</v>
      </c>
      <c r="H4" s="285" t="s">
        <v>237</v>
      </c>
      <c r="I4" s="285" t="s">
        <v>237</v>
      </c>
      <c r="J4" s="1106"/>
    </row>
    <row r="5" spans="1:12" ht="20.25" customHeight="1" x14ac:dyDescent="0.2">
      <c r="A5" s="1104"/>
      <c r="B5" s="1082" t="s">
        <v>776</v>
      </c>
      <c r="C5" s="1082"/>
      <c r="D5" s="1107" t="s">
        <v>419</v>
      </c>
      <c r="E5" s="1107" t="s">
        <v>612</v>
      </c>
      <c r="F5" s="1107" t="s">
        <v>611</v>
      </c>
      <c r="G5" s="1107" t="s">
        <v>610</v>
      </c>
      <c r="H5" s="1086" t="s">
        <v>630</v>
      </c>
      <c r="I5" s="1107" t="s">
        <v>185</v>
      </c>
      <c r="J5" s="1106"/>
    </row>
    <row r="6" spans="1:12" ht="57" customHeight="1" x14ac:dyDescent="0.2">
      <c r="A6" s="1104"/>
      <c r="B6" s="288" t="s">
        <v>202</v>
      </c>
      <c r="C6" s="287" t="s">
        <v>260</v>
      </c>
      <c r="D6" s="1107"/>
      <c r="E6" s="1107"/>
      <c r="F6" s="1107"/>
      <c r="G6" s="1107"/>
      <c r="H6" s="1086"/>
      <c r="I6" s="1107"/>
      <c r="J6" s="1106"/>
    </row>
    <row r="7" spans="1:12" ht="15.75" x14ac:dyDescent="0.2">
      <c r="A7" s="284" t="s">
        <v>203</v>
      </c>
      <c r="B7" s="283" t="s">
        <v>204</v>
      </c>
      <c r="C7" s="283" t="s">
        <v>205</v>
      </c>
      <c r="D7" s="596" t="s">
        <v>206</v>
      </c>
      <c r="E7" s="596" t="s">
        <v>207</v>
      </c>
      <c r="F7" s="596" t="s">
        <v>208</v>
      </c>
      <c r="G7" s="596" t="s">
        <v>209</v>
      </c>
      <c r="H7" s="596" t="s">
        <v>210</v>
      </c>
      <c r="I7" s="596" t="s">
        <v>211</v>
      </c>
      <c r="J7" s="596" t="s">
        <v>212</v>
      </c>
    </row>
    <row r="8" spans="1:12" s="597" customFormat="1" ht="21" customHeight="1" x14ac:dyDescent="0.2">
      <c r="A8" s="378" t="s">
        <v>203</v>
      </c>
      <c r="B8" s="379" t="s">
        <v>345</v>
      </c>
      <c r="C8" s="380" t="s">
        <v>214</v>
      </c>
      <c r="D8" s="381"/>
      <c r="E8" s="381">
        <v>9589440</v>
      </c>
      <c r="F8" s="381">
        <v>45965360</v>
      </c>
      <c r="G8" s="381"/>
      <c r="H8" s="381"/>
      <c r="I8" s="381"/>
      <c r="J8" s="381">
        <f t="shared" ref="J8:J49" si="0">D8+E8+F8+G8+H8+I8</f>
        <v>55554800</v>
      </c>
      <c r="L8" s="598"/>
    </row>
    <row r="9" spans="1:12" s="597" customFormat="1" ht="21" customHeight="1" x14ac:dyDescent="0.2">
      <c r="A9" s="378" t="s">
        <v>204</v>
      </c>
      <c r="B9" s="382" t="s">
        <v>215</v>
      </c>
      <c r="C9" s="380" t="s">
        <v>216</v>
      </c>
      <c r="D9" s="381"/>
      <c r="E9" s="381">
        <v>1611643</v>
      </c>
      <c r="F9" s="381">
        <f>7476331+220000</f>
        <v>7696331</v>
      </c>
      <c r="G9" s="381"/>
      <c r="H9" s="381"/>
      <c r="I9" s="381"/>
      <c r="J9" s="381">
        <f t="shared" si="0"/>
        <v>9307974</v>
      </c>
      <c r="L9" s="598"/>
    </row>
    <row r="10" spans="1:12" ht="21" customHeight="1" x14ac:dyDescent="0.2">
      <c r="A10" s="378" t="s">
        <v>205</v>
      </c>
      <c r="B10" s="382" t="s">
        <v>346</v>
      </c>
      <c r="C10" s="380" t="s">
        <v>217</v>
      </c>
      <c r="D10" s="381">
        <v>58000</v>
      </c>
      <c r="E10" s="381">
        <f>51702925+1022852</f>
        <v>52725777</v>
      </c>
      <c r="F10" s="381">
        <f>17209250+660806</f>
        <v>17870056</v>
      </c>
      <c r="G10" s="381">
        <v>406400</v>
      </c>
      <c r="H10" s="381"/>
      <c r="I10" s="381">
        <v>190500</v>
      </c>
      <c r="J10" s="381">
        <f t="shared" si="0"/>
        <v>71250733</v>
      </c>
      <c r="L10" s="304"/>
    </row>
    <row r="11" spans="1:12" ht="21" customHeight="1" x14ac:dyDescent="0.2">
      <c r="A11" s="272" t="s">
        <v>206</v>
      </c>
      <c r="B11" s="279" t="s">
        <v>347</v>
      </c>
      <c r="C11" s="274" t="s">
        <v>218</v>
      </c>
      <c r="D11" s="270"/>
      <c r="E11" s="270"/>
      <c r="F11" s="270"/>
      <c r="G11" s="270"/>
      <c r="H11" s="270"/>
      <c r="I11" s="270"/>
      <c r="J11" s="381">
        <f t="shared" si="0"/>
        <v>0</v>
      </c>
    </row>
    <row r="12" spans="1:12" ht="21" customHeight="1" x14ac:dyDescent="0.2">
      <c r="A12" s="272" t="s">
        <v>207</v>
      </c>
      <c r="B12" s="279" t="s">
        <v>249</v>
      </c>
      <c r="C12" s="274" t="s">
        <v>219</v>
      </c>
      <c r="D12" s="270">
        <f t="shared" ref="D12:I12" si="1">SUM(D13:D15)</f>
        <v>0</v>
      </c>
      <c r="E12" s="270">
        <f t="shared" si="1"/>
        <v>0</v>
      </c>
      <c r="F12" s="270">
        <f t="shared" si="1"/>
        <v>0</v>
      </c>
      <c r="G12" s="270">
        <f t="shared" si="1"/>
        <v>0</v>
      </c>
      <c r="H12" s="270">
        <f t="shared" si="1"/>
        <v>0</v>
      </c>
      <c r="I12" s="270">
        <f t="shared" si="1"/>
        <v>0</v>
      </c>
      <c r="J12" s="381">
        <f t="shared" si="0"/>
        <v>0</v>
      </c>
    </row>
    <row r="13" spans="1:12" ht="21" customHeight="1" x14ac:dyDescent="0.2">
      <c r="A13" s="272" t="s">
        <v>208</v>
      </c>
      <c r="B13" s="281" t="s">
        <v>133</v>
      </c>
      <c r="C13" s="274"/>
      <c r="D13" s="270"/>
      <c r="E13" s="270"/>
      <c r="F13" s="270"/>
      <c r="G13" s="270"/>
      <c r="H13" s="270"/>
      <c r="I13" s="270"/>
      <c r="J13" s="381">
        <f t="shared" si="0"/>
        <v>0</v>
      </c>
    </row>
    <row r="14" spans="1:12" ht="21" customHeight="1" x14ac:dyDescent="0.2">
      <c r="A14" s="272" t="s">
        <v>209</v>
      </c>
      <c r="B14" s="281" t="s">
        <v>123</v>
      </c>
      <c r="C14" s="276"/>
      <c r="D14" s="270"/>
      <c r="E14" s="270"/>
      <c r="F14" s="270"/>
      <c r="G14" s="270"/>
      <c r="H14" s="270"/>
      <c r="I14" s="270"/>
      <c r="J14" s="381">
        <f t="shared" si="0"/>
        <v>0</v>
      </c>
    </row>
    <row r="15" spans="1:12" ht="21" customHeight="1" x14ac:dyDescent="0.2">
      <c r="A15" s="272" t="s">
        <v>210</v>
      </c>
      <c r="B15" s="130" t="s">
        <v>581</v>
      </c>
      <c r="C15" s="276"/>
      <c r="D15" s="270"/>
      <c r="E15" s="270"/>
      <c r="F15" s="270"/>
      <c r="G15" s="270"/>
      <c r="H15" s="270"/>
      <c r="I15" s="270"/>
      <c r="J15" s="381">
        <f t="shared" si="0"/>
        <v>0</v>
      </c>
    </row>
    <row r="16" spans="1:12" ht="21" customHeight="1" x14ac:dyDescent="0.2">
      <c r="A16" s="272" t="s">
        <v>211</v>
      </c>
      <c r="B16" s="278" t="s">
        <v>256</v>
      </c>
      <c r="C16" s="274" t="s">
        <v>220</v>
      </c>
      <c r="D16" s="270"/>
      <c r="E16" s="270">
        <f>+'6.sz. Beruházások'!E118</f>
        <v>887400</v>
      </c>
      <c r="F16" s="381">
        <f>+'6.sz. Beruházások'!E119</f>
        <v>2000000</v>
      </c>
      <c r="G16" s="270">
        <f>+'6.sz. Beruházások'!E120</f>
        <v>127000</v>
      </c>
      <c r="H16" s="270"/>
      <c r="I16" s="270"/>
      <c r="J16" s="381">
        <f t="shared" si="0"/>
        <v>3014400</v>
      </c>
    </row>
    <row r="17" spans="1:10" ht="21" customHeight="1" x14ac:dyDescent="0.2">
      <c r="A17" s="272" t="s">
        <v>212</v>
      </c>
      <c r="B17" s="279" t="s">
        <v>348</v>
      </c>
      <c r="C17" s="274" t="s">
        <v>221</v>
      </c>
      <c r="D17" s="270"/>
      <c r="E17" s="270"/>
      <c r="F17" s="270"/>
      <c r="G17" s="270"/>
      <c r="H17" s="270"/>
      <c r="I17" s="270"/>
      <c r="J17" s="381">
        <f t="shared" si="0"/>
        <v>0</v>
      </c>
    </row>
    <row r="18" spans="1:10" ht="21" customHeight="1" x14ac:dyDescent="0.2">
      <c r="A18" s="272" t="s">
        <v>213</v>
      </c>
      <c r="B18" s="279" t="s">
        <v>250</v>
      </c>
      <c r="C18" s="274" t="s">
        <v>222</v>
      </c>
      <c r="D18" s="270"/>
      <c r="E18" s="270"/>
      <c r="F18" s="270"/>
      <c r="G18" s="270"/>
      <c r="H18" s="270"/>
      <c r="I18" s="270"/>
      <c r="J18" s="381">
        <f t="shared" si="0"/>
        <v>0</v>
      </c>
    </row>
    <row r="19" spans="1:10" ht="21" customHeight="1" x14ac:dyDescent="0.2">
      <c r="A19" s="272" t="s">
        <v>240</v>
      </c>
      <c r="B19" s="281" t="s">
        <v>132</v>
      </c>
      <c r="C19" s="274"/>
      <c r="D19" s="270"/>
      <c r="E19" s="270"/>
      <c r="F19" s="270"/>
      <c r="G19" s="270"/>
      <c r="H19" s="270"/>
      <c r="I19" s="270"/>
      <c r="J19" s="381">
        <f t="shared" si="0"/>
        <v>0</v>
      </c>
    </row>
    <row r="20" spans="1:10" ht="21" customHeight="1" x14ac:dyDescent="0.2">
      <c r="A20" s="272" t="s">
        <v>241</v>
      </c>
      <c r="B20" s="278" t="s">
        <v>251</v>
      </c>
      <c r="C20" s="274" t="s">
        <v>223</v>
      </c>
      <c r="D20" s="270">
        <f t="shared" ref="D20:I20" si="2">+D8+D9+D10+D11+D12+D16+D17+D18</f>
        <v>58000</v>
      </c>
      <c r="E20" s="270">
        <f>+E8+E9+E10+E11+E12+E16+E17+E18</f>
        <v>64814260</v>
      </c>
      <c r="F20" s="270">
        <f t="shared" si="2"/>
        <v>73531747</v>
      </c>
      <c r="G20" s="270">
        <f t="shared" si="2"/>
        <v>533400</v>
      </c>
      <c r="H20" s="270">
        <f t="shared" si="2"/>
        <v>0</v>
      </c>
      <c r="I20" s="270">
        <f t="shared" si="2"/>
        <v>190500</v>
      </c>
      <c r="J20" s="381">
        <f t="shared" si="0"/>
        <v>139127907</v>
      </c>
    </row>
    <row r="21" spans="1:10" ht="21" customHeight="1" x14ac:dyDescent="0.2">
      <c r="A21" s="272" t="s">
        <v>242</v>
      </c>
      <c r="B21" s="278" t="s">
        <v>236</v>
      </c>
      <c r="C21" s="274" t="s">
        <v>232</v>
      </c>
      <c r="D21" s="270">
        <f t="shared" ref="D21:I21" si="3">SUM(D22:D25)</f>
        <v>0</v>
      </c>
      <c r="E21" s="270">
        <f t="shared" si="3"/>
        <v>0</v>
      </c>
      <c r="F21" s="270">
        <f t="shared" si="3"/>
        <v>0</v>
      </c>
      <c r="G21" s="270">
        <f t="shared" si="3"/>
        <v>0</v>
      </c>
      <c r="H21" s="270">
        <f t="shared" si="3"/>
        <v>0</v>
      </c>
      <c r="I21" s="270">
        <f t="shared" si="3"/>
        <v>0</v>
      </c>
      <c r="J21" s="381">
        <f t="shared" si="0"/>
        <v>0</v>
      </c>
    </row>
    <row r="22" spans="1:10" ht="21" customHeight="1" x14ac:dyDescent="0.2">
      <c r="A22" s="272" t="s">
        <v>243</v>
      </c>
      <c r="B22" s="132" t="s">
        <v>191</v>
      </c>
      <c r="C22" s="276"/>
      <c r="D22" s="270"/>
      <c r="E22" s="270"/>
      <c r="F22" s="270"/>
      <c r="G22" s="270"/>
      <c r="H22" s="270"/>
      <c r="I22" s="270"/>
      <c r="J22" s="381">
        <f t="shared" si="0"/>
        <v>0</v>
      </c>
    </row>
    <row r="23" spans="1:10" ht="21" customHeight="1" x14ac:dyDescent="0.2">
      <c r="A23" s="272" t="s">
        <v>244</v>
      </c>
      <c r="B23" s="277" t="s">
        <v>585</v>
      </c>
      <c r="C23" s="276"/>
      <c r="D23" s="270"/>
      <c r="E23" s="270"/>
      <c r="F23" s="270"/>
      <c r="G23" s="270"/>
      <c r="H23" s="270"/>
      <c r="I23" s="270"/>
      <c r="J23" s="381">
        <f t="shared" si="0"/>
        <v>0</v>
      </c>
    </row>
    <row r="24" spans="1:10" ht="21" customHeight="1" x14ac:dyDescent="0.2">
      <c r="A24" s="272" t="s">
        <v>245</v>
      </c>
      <c r="B24" s="277" t="s">
        <v>586</v>
      </c>
      <c r="C24" s="276"/>
      <c r="D24" s="270"/>
      <c r="E24" s="270"/>
      <c r="F24" s="270"/>
      <c r="G24" s="270"/>
      <c r="H24" s="270"/>
      <c r="I24" s="270"/>
      <c r="J24" s="381">
        <f t="shared" si="0"/>
        <v>0</v>
      </c>
    </row>
    <row r="25" spans="1:10" ht="21" customHeight="1" x14ac:dyDescent="0.2">
      <c r="A25" s="272" t="s">
        <v>246</v>
      </c>
      <c r="B25" s="277" t="s">
        <v>134</v>
      </c>
      <c r="C25" s="276"/>
      <c r="D25" s="270"/>
      <c r="E25" s="270"/>
      <c r="F25" s="270"/>
      <c r="G25" s="270"/>
      <c r="H25" s="270"/>
      <c r="I25" s="270"/>
      <c r="J25" s="381">
        <f t="shared" si="0"/>
        <v>0</v>
      </c>
    </row>
    <row r="26" spans="1:10" ht="21" customHeight="1" x14ac:dyDescent="0.2">
      <c r="A26" s="272" t="s">
        <v>247</v>
      </c>
      <c r="B26" s="338" t="s">
        <v>889</v>
      </c>
      <c r="C26" s="276"/>
      <c r="D26" s="270"/>
      <c r="E26" s="270"/>
      <c r="F26" s="270"/>
      <c r="G26" s="270"/>
      <c r="H26" s="270"/>
      <c r="I26" s="270"/>
      <c r="J26" s="381">
        <f t="shared" si="0"/>
        <v>0</v>
      </c>
    </row>
    <row r="27" spans="1:10" ht="21" customHeight="1" x14ac:dyDescent="0.2">
      <c r="A27" s="272" t="s">
        <v>248</v>
      </c>
      <c r="B27" s="275" t="s">
        <v>32</v>
      </c>
      <c r="C27" s="274"/>
      <c r="D27" s="273">
        <f t="shared" ref="D27:I27" si="4">+D8+D9+D10+D11+D12+D22+D23</f>
        <v>58000</v>
      </c>
      <c r="E27" s="273">
        <f t="shared" si="4"/>
        <v>63926860</v>
      </c>
      <c r="F27" s="273">
        <f t="shared" si="4"/>
        <v>71531747</v>
      </c>
      <c r="G27" s="273">
        <f t="shared" si="4"/>
        <v>406400</v>
      </c>
      <c r="H27" s="273">
        <f t="shared" si="4"/>
        <v>0</v>
      </c>
      <c r="I27" s="273">
        <f t="shared" si="4"/>
        <v>190500</v>
      </c>
      <c r="J27" s="494">
        <f t="shared" si="0"/>
        <v>136113507</v>
      </c>
    </row>
    <row r="28" spans="1:10" ht="21" customHeight="1" x14ac:dyDescent="0.2">
      <c r="A28" s="272" t="s">
        <v>276</v>
      </c>
      <c r="B28" s="275" t="s">
        <v>33</v>
      </c>
      <c r="C28" s="274"/>
      <c r="D28" s="273">
        <f t="shared" ref="D28:I28" si="5">+D16+D17+D18+D24+D25</f>
        <v>0</v>
      </c>
      <c r="E28" s="273">
        <f t="shared" si="5"/>
        <v>887400</v>
      </c>
      <c r="F28" s="273">
        <f t="shared" si="5"/>
        <v>2000000</v>
      </c>
      <c r="G28" s="273">
        <f t="shared" si="5"/>
        <v>127000</v>
      </c>
      <c r="H28" s="273">
        <f t="shared" si="5"/>
        <v>0</v>
      </c>
      <c r="I28" s="273">
        <f t="shared" si="5"/>
        <v>0</v>
      </c>
      <c r="J28" s="494">
        <f t="shared" si="0"/>
        <v>3014400</v>
      </c>
    </row>
    <row r="29" spans="1:10" ht="21" customHeight="1" x14ac:dyDescent="0.2">
      <c r="A29" s="272" t="s">
        <v>277</v>
      </c>
      <c r="B29" s="275" t="s">
        <v>343</v>
      </c>
      <c r="C29" s="274" t="s">
        <v>31</v>
      </c>
      <c r="D29" s="273">
        <f t="shared" ref="D29:I29" si="6">SUM(D27:D28)</f>
        <v>58000</v>
      </c>
      <c r="E29" s="273">
        <f t="shared" si="6"/>
        <v>64814260</v>
      </c>
      <c r="F29" s="273">
        <f t="shared" si="6"/>
        <v>73531747</v>
      </c>
      <c r="G29" s="273">
        <f t="shared" si="6"/>
        <v>533400</v>
      </c>
      <c r="H29" s="273">
        <f t="shared" si="6"/>
        <v>0</v>
      </c>
      <c r="I29" s="273">
        <f t="shared" si="6"/>
        <v>190500</v>
      </c>
      <c r="J29" s="494">
        <f t="shared" si="0"/>
        <v>139127907</v>
      </c>
    </row>
    <row r="30" spans="1:10" ht="21" customHeight="1" x14ac:dyDescent="0.2">
      <c r="A30" s="272" t="s">
        <v>278</v>
      </c>
      <c r="B30" s="280" t="s">
        <v>52</v>
      </c>
      <c r="C30" s="278" t="s">
        <v>224</v>
      </c>
      <c r="D30" s="270"/>
      <c r="E30" s="270"/>
      <c r="F30" s="270"/>
      <c r="G30" s="270"/>
      <c r="H30" s="270"/>
      <c r="I30" s="270"/>
      <c r="J30" s="381">
        <f t="shared" si="0"/>
        <v>0</v>
      </c>
    </row>
    <row r="31" spans="1:10" ht="21" customHeight="1" x14ac:dyDescent="0.2">
      <c r="A31" s="272" t="s">
        <v>279</v>
      </c>
      <c r="B31" s="280" t="s">
        <v>235</v>
      </c>
      <c r="C31" s="278" t="s">
        <v>225</v>
      </c>
      <c r="D31" s="270"/>
      <c r="E31" s="270"/>
      <c r="F31" s="270"/>
      <c r="G31" s="270"/>
      <c r="H31" s="270"/>
      <c r="I31" s="270"/>
      <c r="J31" s="381">
        <f t="shared" si="0"/>
        <v>0</v>
      </c>
    </row>
    <row r="32" spans="1:10" ht="21" customHeight="1" x14ac:dyDescent="0.2">
      <c r="A32" s="272" t="s">
        <v>280</v>
      </c>
      <c r="B32" s="280" t="s">
        <v>234</v>
      </c>
      <c r="C32" s="278" t="s">
        <v>226</v>
      </c>
      <c r="D32" s="270"/>
      <c r="E32" s="270"/>
      <c r="F32" s="270"/>
      <c r="G32" s="270"/>
      <c r="H32" s="270"/>
      <c r="I32" s="270"/>
      <c r="J32" s="381">
        <f t="shared" si="0"/>
        <v>0</v>
      </c>
    </row>
    <row r="33" spans="1:10" ht="21" customHeight="1" x14ac:dyDescent="0.2">
      <c r="A33" s="272" t="s">
        <v>281</v>
      </c>
      <c r="B33" s="279" t="s">
        <v>0</v>
      </c>
      <c r="C33" s="278" t="s">
        <v>227</v>
      </c>
      <c r="D33" s="270"/>
      <c r="E33" s="381">
        <v>14254000</v>
      </c>
      <c r="F33" s="381">
        <v>5135100</v>
      </c>
      <c r="G33" s="270"/>
      <c r="H33" s="270">
        <v>58000</v>
      </c>
      <c r="I33" s="270">
        <v>190500</v>
      </c>
      <c r="J33" s="381">
        <f t="shared" si="0"/>
        <v>19637600</v>
      </c>
    </row>
    <row r="34" spans="1:10" ht="21" customHeight="1" x14ac:dyDescent="0.2">
      <c r="A34" s="272" t="s">
        <v>282</v>
      </c>
      <c r="B34" s="280" t="s">
        <v>257</v>
      </c>
      <c r="C34" s="278" t="s">
        <v>228</v>
      </c>
      <c r="D34" s="270"/>
      <c r="E34" s="270"/>
      <c r="F34" s="270"/>
      <c r="G34" s="270"/>
      <c r="H34" s="270"/>
      <c r="I34" s="270"/>
      <c r="J34" s="381">
        <f t="shared" si="0"/>
        <v>0</v>
      </c>
    </row>
    <row r="35" spans="1:10" ht="21" customHeight="1" x14ac:dyDescent="0.2">
      <c r="A35" s="272" t="s">
        <v>283</v>
      </c>
      <c r="B35" s="280" t="s">
        <v>252</v>
      </c>
      <c r="C35" s="278" t="s">
        <v>229</v>
      </c>
      <c r="D35" s="270"/>
      <c r="E35" s="270"/>
      <c r="F35" s="270"/>
      <c r="G35" s="270"/>
      <c r="H35" s="270"/>
      <c r="I35" s="270"/>
      <c r="J35" s="381">
        <f t="shared" si="0"/>
        <v>0</v>
      </c>
    </row>
    <row r="36" spans="1:10" ht="21" customHeight="1" x14ac:dyDescent="0.2">
      <c r="A36" s="272" t="s">
        <v>284</v>
      </c>
      <c r="B36" s="280" t="s">
        <v>253</v>
      </c>
      <c r="C36" s="278" t="s">
        <v>230</v>
      </c>
      <c r="D36" s="270"/>
      <c r="E36" s="270"/>
      <c r="F36" s="270"/>
      <c r="G36" s="270"/>
      <c r="H36" s="270"/>
      <c r="I36" s="270"/>
      <c r="J36" s="381">
        <f t="shared" si="0"/>
        <v>0</v>
      </c>
    </row>
    <row r="37" spans="1:10" ht="21" customHeight="1" x14ac:dyDescent="0.2">
      <c r="A37" s="272" t="s">
        <v>285</v>
      </c>
      <c r="B37" s="279" t="s">
        <v>254</v>
      </c>
      <c r="C37" s="278" t="s">
        <v>231</v>
      </c>
      <c r="D37" s="270">
        <f t="shared" ref="D37:I37" si="7">+D30+D31+D32+D33+D34+D35+D36</f>
        <v>0</v>
      </c>
      <c r="E37" s="270">
        <f t="shared" si="7"/>
        <v>14254000</v>
      </c>
      <c r="F37" s="270">
        <f t="shared" si="7"/>
        <v>5135100</v>
      </c>
      <c r="G37" s="270">
        <f t="shared" si="7"/>
        <v>0</v>
      </c>
      <c r="H37" s="270">
        <f t="shared" si="7"/>
        <v>58000</v>
      </c>
      <c r="I37" s="270">
        <f t="shared" si="7"/>
        <v>190500</v>
      </c>
      <c r="J37" s="381">
        <f t="shared" si="0"/>
        <v>19637600</v>
      </c>
    </row>
    <row r="38" spans="1:10" ht="21.75" customHeight="1" x14ac:dyDescent="0.2">
      <c r="A38" s="272" t="s">
        <v>286</v>
      </c>
      <c r="B38" s="278" t="s">
        <v>255</v>
      </c>
      <c r="C38" s="274" t="s">
        <v>233</v>
      </c>
      <c r="D38" s="270">
        <f t="shared" ref="D38:I38" si="8">SUM(D40:D44)</f>
        <v>119490307</v>
      </c>
      <c r="E38" s="270">
        <f t="shared" si="8"/>
        <v>0</v>
      </c>
      <c r="F38" s="270">
        <f t="shared" si="8"/>
        <v>0</v>
      </c>
      <c r="G38" s="270">
        <f t="shared" si="8"/>
        <v>0</v>
      </c>
      <c r="H38" s="270">
        <f t="shared" si="8"/>
        <v>0</v>
      </c>
      <c r="I38" s="270">
        <f t="shared" si="8"/>
        <v>0</v>
      </c>
      <c r="J38" s="381">
        <f t="shared" si="0"/>
        <v>119490307</v>
      </c>
    </row>
    <row r="39" spans="1:10" ht="21.75" customHeight="1" x14ac:dyDescent="0.2">
      <c r="A39" s="272" t="s">
        <v>287</v>
      </c>
      <c r="B39" s="132" t="s">
        <v>609</v>
      </c>
      <c r="C39" s="274"/>
      <c r="D39" s="270"/>
      <c r="E39" s="270"/>
      <c r="F39" s="270"/>
      <c r="G39" s="270"/>
      <c r="H39" s="270"/>
      <c r="I39" s="270"/>
      <c r="J39" s="381">
        <f t="shared" si="0"/>
        <v>0</v>
      </c>
    </row>
    <row r="40" spans="1:10" ht="21.75" customHeight="1" x14ac:dyDescent="0.2">
      <c r="A40" s="272" t="s">
        <v>288</v>
      </c>
      <c r="B40" s="277" t="s">
        <v>932</v>
      </c>
      <c r="C40" s="276"/>
      <c r="D40" s="270">
        <f>1683658+481600</f>
        <v>2165258</v>
      </c>
      <c r="E40" s="270"/>
      <c r="F40" s="270"/>
      <c r="G40" s="270"/>
      <c r="H40" s="270"/>
      <c r="I40" s="270"/>
      <c r="J40" s="381">
        <f t="shared" si="0"/>
        <v>2165258</v>
      </c>
    </row>
    <row r="41" spans="1:10" ht="21.75" customHeight="1" x14ac:dyDescent="0.2">
      <c r="A41" s="272" t="s">
        <v>292</v>
      </c>
      <c r="B41" s="277" t="s">
        <v>933</v>
      </c>
      <c r="C41" s="276"/>
      <c r="D41" s="270"/>
      <c r="E41" s="270"/>
      <c r="F41" s="270"/>
      <c r="G41" s="270"/>
      <c r="H41" s="270"/>
      <c r="I41" s="270"/>
      <c r="J41" s="381">
        <f t="shared" si="0"/>
        <v>0</v>
      </c>
    </row>
    <row r="42" spans="1:10" ht="21.75" customHeight="1" x14ac:dyDescent="0.2">
      <c r="A42" s="272" t="s">
        <v>293</v>
      </c>
      <c r="B42" s="277" t="s">
        <v>570</v>
      </c>
      <c r="C42" s="276"/>
      <c r="D42" s="270">
        <f>J27-J30-J32-J33-J35-J40</f>
        <v>114310649</v>
      </c>
      <c r="E42" s="270"/>
      <c r="F42" s="270"/>
      <c r="G42" s="270"/>
      <c r="H42" s="270"/>
      <c r="I42" s="270"/>
      <c r="J42" s="381">
        <f t="shared" si="0"/>
        <v>114310649</v>
      </c>
    </row>
    <row r="43" spans="1:10" ht="21.75" customHeight="1" x14ac:dyDescent="0.2">
      <c r="A43" s="272" t="s">
        <v>294</v>
      </c>
      <c r="B43" s="277" t="s">
        <v>571</v>
      </c>
      <c r="C43" s="276"/>
      <c r="D43" s="270">
        <f>J28-J31-J34-J36-J41</f>
        <v>3014400</v>
      </c>
      <c r="E43" s="270"/>
      <c r="F43" s="270"/>
      <c r="G43" s="270"/>
      <c r="H43" s="270"/>
      <c r="I43" s="270"/>
      <c r="J43" s="381">
        <f t="shared" si="0"/>
        <v>3014400</v>
      </c>
    </row>
    <row r="44" spans="1:10" ht="21.75" customHeight="1" x14ac:dyDescent="0.2">
      <c r="A44" s="272" t="s">
        <v>295</v>
      </c>
      <c r="B44" s="132" t="s">
        <v>608</v>
      </c>
      <c r="C44" s="276"/>
      <c r="D44" s="270"/>
      <c r="E44" s="270"/>
      <c r="F44" s="270"/>
      <c r="G44" s="270"/>
      <c r="H44" s="270"/>
      <c r="I44" s="270"/>
      <c r="J44" s="381">
        <f t="shared" si="0"/>
        <v>0</v>
      </c>
    </row>
    <row r="45" spans="1:10" ht="21.75" customHeight="1" x14ac:dyDescent="0.2">
      <c r="A45" s="272" t="s">
        <v>296</v>
      </c>
      <c r="B45" s="338" t="s">
        <v>888</v>
      </c>
      <c r="C45" s="276"/>
      <c r="D45" s="270"/>
      <c r="E45" s="270"/>
      <c r="F45" s="270"/>
      <c r="G45" s="270"/>
      <c r="H45" s="270"/>
      <c r="I45" s="270"/>
      <c r="J45" s="381">
        <f t="shared" si="0"/>
        <v>0</v>
      </c>
    </row>
    <row r="46" spans="1:10" ht="21.75" customHeight="1" x14ac:dyDescent="0.2">
      <c r="A46" s="272" t="s">
        <v>297</v>
      </c>
      <c r="B46" s="275" t="s">
        <v>120</v>
      </c>
      <c r="C46" s="274"/>
      <c r="D46" s="273">
        <f t="shared" ref="D46:I46" si="9">+D30+D32+D33+D35+D40+D42</f>
        <v>116475907</v>
      </c>
      <c r="E46" s="273">
        <f t="shared" si="9"/>
        <v>14254000</v>
      </c>
      <c r="F46" s="273">
        <f t="shared" si="9"/>
        <v>5135100</v>
      </c>
      <c r="G46" s="273">
        <f t="shared" si="9"/>
        <v>0</v>
      </c>
      <c r="H46" s="273">
        <f t="shared" si="9"/>
        <v>58000</v>
      </c>
      <c r="I46" s="273">
        <f t="shared" si="9"/>
        <v>190500</v>
      </c>
      <c r="J46" s="494">
        <f t="shared" si="0"/>
        <v>136113507</v>
      </c>
    </row>
    <row r="47" spans="1:10" ht="21.75" customHeight="1" x14ac:dyDescent="0.2">
      <c r="A47" s="272" t="s">
        <v>298</v>
      </c>
      <c r="B47" s="275" t="s">
        <v>121</v>
      </c>
      <c r="C47" s="274"/>
      <c r="D47" s="273">
        <f t="shared" ref="D47:I47" si="10">+D31+D34+D36+D41+D428+D44+D43</f>
        <v>3014400</v>
      </c>
      <c r="E47" s="273">
        <f t="shared" si="10"/>
        <v>0</v>
      </c>
      <c r="F47" s="273">
        <f t="shared" si="10"/>
        <v>0</v>
      </c>
      <c r="G47" s="273">
        <f t="shared" si="10"/>
        <v>0</v>
      </c>
      <c r="H47" s="273">
        <f t="shared" si="10"/>
        <v>0</v>
      </c>
      <c r="I47" s="273">
        <f t="shared" si="10"/>
        <v>0</v>
      </c>
      <c r="J47" s="494">
        <f t="shared" si="0"/>
        <v>3014400</v>
      </c>
    </row>
    <row r="48" spans="1:10" ht="21.75" customHeight="1" x14ac:dyDescent="0.2">
      <c r="A48" s="272" t="s">
        <v>299</v>
      </c>
      <c r="B48" s="275" t="s">
        <v>344</v>
      </c>
      <c r="C48" s="274"/>
      <c r="D48" s="273">
        <f t="shared" ref="D48:I48" si="11">+D46+D47</f>
        <v>119490307</v>
      </c>
      <c r="E48" s="273">
        <f t="shared" si="11"/>
        <v>14254000</v>
      </c>
      <c r="F48" s="273">
        <f t="shared" si="11"/>
        <v>5135100</v>
      </c>
      <c r="G48" s="273">
        <f t="shared" si="11"/>
        <v>0</v>
      </c>
      <c r="H48" s="273">
        <f t="shared" si="11"/>
        <v>58000</v>
      </c>
      <c r="I48" s="273">
        <f t="shared" si="11"/>
        <v>190500</v>
      </c>
      <c r="J48" s="494">
        <f t="shared" si="0"/>
        <v>139127907</v>
      </c>
    </row>
    <row r="49" spans="1:10" ht="21.75" customHeight="1" x14ac:dyDescent="0.2">
      <c r="A49" s="272" t="s">
        <v>300</v>
      </c>
      <c r="B49" s="585" t="s">
        <v>465</v>
      </c>
      <c r="C49" s="271"/>
      <c r="D49" s="270"/>
      <c r="E49" s="270">
        <v>1</v>
      </c>
      <c r="F49" s="270">
        <v>10</v>
      </c>
      <c r="G49" s="270">
        <v>0</v>
      </c>
      <c r="H49" s="270"/>
      <c r="I49" s="270">
        <v>0</v>
      </c>
      <c r="J49" s="381">
        <f t="shared" si="0"/>
        <v>11</v>
      </c>
    </row>
    <row r="50" spans="1:10" ht="21.75" customHeight="1" x14ac:dyDescent="0.2">
      <c r="A50" s="272" t="s">
        <v>301</v>
      </c>
      <c r="B50" s="65" t="s">
        <v>1047</v>
      </c>
      <c r="C50" s="271"/>
      <c r="D50" s="270"/>
      <c r="E50" s="270"/>
      <c r="F50" s="270"/>
      <c r="G50" s="270"/>
      <c r="H50" s="270"/>
      <c r="I50" s="270"/>
      <c r="J50" s="270"/>
    </row>
  </sheetData>
  <mergeCells count="14">
    <mergeCell ref="D2:G2"/>
    <mergeCell ref="H2:J2"/>
    <mergeCell ref="D5:D6"/>
    <mergeCell ref="G5:G6"/>
    <mergeCell ref="A3:A6"/>
    <mergeCell ref="B3:C3"/>
    <mergeCell ref="J3:J6"/>
    <mergeCell ref="F5:F6"/>
    <mergeCell ref="A2:C2"/>
    <mergeCell ref="B4:C4"/>
    <mergeCell ref="H5:H6"/>
    <mergeCell ref="B5:C5"/>
    <mergeCell ref="E5:E6"/>
    <mergeCell ref="I5:I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5" orientation="portrait" r:id="rId1"/>
  <headerFooter>
    <oddHeader>&amp;C2021. évi költségvetés 
&amp;R&amp;A</oddHeader>
    <oddFooter>&amp;C&amp;P/&amp;N</oddFooter>
  </headerFooter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46</vt:i4>
      </vt:variant>
    </vt:vector>
  </HeadingPairs>
  <TitlesOfParts>
    <vt:vector size="77" baseType="lpstr">
      <vt:lpstr>1.a sz. Önkormányzat 2021. </vt:lpstr>
      <vt:lpstr>2.1. sz. PMH</vt:lpstr>
      <vt:lpstr>2.2. sz. Hétszínvirág Óvoda</vt:lpstr>
      <vt:lpstr>2.3. sz. Mese Óvoda</vt:lpstr>
      <vt:lpstr>2.4. sz. Bölcsőde</vt:lpstr>
      <vt:lpstr>2.5. sz. Gyermekjóléti</vt:lpstr>
      <vt:lpstr>2.6 sz. Területi</vt:lpstr>
      <vt:lpstr>2.7. sz. Könyvtár</vt:lpstr>
      <vt:lpstr>2.8. sz. Műv.Ház</vt:lpstr>
      <vt:lpstr>2.9. sz. Szivárvány Ó.</vt:lpstr>
      <vt:lpstr>2.10. sz. Intézmények összesen</vt:lpstr>
      <vt:lpstr>3. sz.Városi szintű összesen</vt:lpstr>
      <vt:lpstr>4.sz.Felhalm.c.pe.átadás</vt:lpstr>
      <vt:lpstr>5.sz.Műk.c.pe.átadás</vt:lpstr>
      <vt:lpstr>6.sz. Beruházások</vt:lpstr>
      <vt:lpstr>7. sz. Felújítások</vt:lpstr>
      <vt:lpstr>8.sz.Tartalékok</vt:lpstr>
      <vt:lpstr>9.sz. Szociális</vt:lpstr>
      <vt:lpstr>10.sz.Intézményfinanszírozás</vt:lpstr>
      <vt:lpstr>11.sz. Állami támogatás</vt:lpstr>
      <vt:lpstr>12.sz.mell. Létszámtábla</vt:lpstr>
      <vt:lpstr>1.sz.tájék.tábla Közvetett tám</vt:lpstr>
      <vt:lpstr>2.sz.tájék.tábla Mérlegszerű</vt:lpstr>
      <vt:lpstr>3.sz.tájék.tábla Gördülő</vt:lpstr>
      <vt:lpstr>4.sz.tájék.táb. Többéves</vt:lpstr>
      <vt:lpstr>5.sz.tájék.táb Adósságszolgálat</vt:lpstr>
      <vt:lpstr>6.sz.tájék.tábla Hitelképes </vt:lpstr>
      <vt:lpstr>7.sz.tájék.táb.Likviditási terv</vt:lpstr>
      <vt:lpstr>8.sz.tájék.tábla Ütemterv</vt:lpstr>
      <vt:lpstr>9. sz. tájék.tábla EU-s pály.</vt:lpstr>
      <vt:lpstr>10. sz.tájék.Nem EU-s pály. </vt:lpstr>
      <vt:lpstr>'1.a sz. Önkormányzat 2021. '!Nyomtatási_cím</vt:lpstr>
      <vt:lpstr>'12.sz.mell. Létszámtábla'!Nyomtatási_cím</vt:lpstr>
      <vt:lpstr>'2.1. sz. PMH'!Nyomtatási_cím</vt:lpstr>
      <vt:lpstr>'2.10. sz. Intézmények összesen'!Nyomtatási_cím</vt:lpstr>
      <vt:lpstr>'2.2. sz. Hétszínvirág Óvoda'!Nyomtatási_cím</vt:lpstr>
      <vt:lpstr>'2.3. sz. Mese Óvoda'!Nyomtatási_cím</vt:lpstr>
      <vt:lpstr>'2.4. sz. Bölcsőde'!Nyomtatási_cím</vt:lpstr>
      <vt:lpstr>'2.5. sz. Gyermekjóléti'!Nyomtatási_cím</vt:lpstr>
      <vt:lpstr>'2.6 sz. Területi'!Nyomtatási_cím</vt:lpstr>
      <vt:lpstr>'2.7. sz. Könyvtár'!Nyomtatási_cím</vt:lpstr>
      <vt:lpstr>'2.8. sz. Műv.Ház'!Nyomtatási_cím</vt:lpstr>
      <vt:lpstr>'2.9. sz. Szivárvány Ó.'!Nyomtatási_cím</vt:lpstr>
      <vt:lpstr>'3. sz.Városi szintű összesen'!Nyomtatási_cím</vt:lpstr>
      <vt:lpstr>'4.sz.Felhalm.c.pe.átadás'!Nyomtatási_cím</vt:lpstr>
      <vt:lpstr>'6.sz. Beruházások'!Nyomtatási_cím</vt:lpstr>
      <vt:lpstr>'6.sz.tájék.tábla Hitelképes '!Nyomtatási_cím</vt:lpstr>
      <vt:lpstr>'7. sz. Felújítások'!Nyomtatási_cím</vt:lpstr>
      <vt:lpstr>'8.sz.Tartalékok'!Nyomtatási_cím</vt:lpstr>
      <vt:lpstr>'1.a sz. Önkormányzat 2021. '!Nyomtatási_terület</vt:lpstr>
      <vt:lpstr>'1.sz.tájék.tábla Közvetett tám'!Nyomtatási_terület</vt:lpstr>
      <vt:lpstr>'10.sz.Intézményfinanszírozás'!Nyomtatási_terület</vt:lpstr>
      <vt:lpstr>'2.1. sz. PMH'!Nyomtatási_terület</vt:lpstr>
      <vt:lpstr>'2.10. sz. Intézmények összesen'!Nyomtatási_terület</vt:lpstr>
      <vt:lpstr>'2.2. sz. Hétszínvirág Óvoda'!Nyomtatási_terület</vt:lpstr>
      <vt:lpstr>'2.3. sz. Mese Óvoda'!Nyomtatási_terület</vt:lpstr>
      <vt:lpstr>'2.4. sz. Bölcsőde'!Nyomtatási_terület</vt:lpstr>
      <vt:lpstr>'2.5. sz. Gyermekjóléti'!Nyomtatási_terület</vt:lpstr>
      <vt:lpstr>'2.6 sz. Területi'!Nyomtatási_terület</vt:lpstr>
      <vt:lpstr>'2.7. sz. Könyvtár'!Nyomtatási_terület</vt:lpstr>
      <vt:lpstr>'2.8. sz. Műv.Ház'!Nyomtatási_terület</vt:lpstr>
      <vt:lpstr>'2.9. sz. Szivárvány Ó.'!Nyomtatási_terület</vt:lpstr>
      <vt:lpstr>'2.sz.tájék.tábla Mérlegszerű'!Nyomtatási_terület</vt:lpstr>
      <vt:lpstr>'3. sz.Városi szintű összesen'!Nyomtatási_terület</vt:lpstr>
      <vt:lpstr>'3.sz.tájék.tábla Gördülő'!Nyomtatási_terület</vt:lpstr>
      <vt:lpstr>'4.sz.Felhalm.c.pe.átadás'!Nyomtatási_terület</vt:lpstr>
      <vt:lpstr>'4.sz.tájék.táb. Többéves'!Nyomtatási_terület</vt:lpstr>
      <vt:lpstr>'5.sz.Műk.c.pe.átadás'!Nyomtatási_terület</vt:lpstr>
      <vt:lpstr>'5.sz.tájék.táb Adósságszolgálat'!Nyomtatási_terület</vt:lpstr>
      <vt:lpstr>'6.sz. Beruházások'!Nyomtatási_terület</vt:lpstr>
      <vt:lpstr>'6.sz.tájék.tábla Hitelképes '!Nyomtatási_terület</vt:lpstr>
      <vt:lpstr>'7. sz. Felújítások'!Nyomtatási_terület</vt:lpstr>
      <vt:lpstr>'7.sz.tájék.táb.Likviditási terv'!Nyomtatási_terület</vt:lpstr>
      <vt:lpstr>'8.sz.tájék.tábla Ütemterv'!Nyomtatási_terület</vt:lpstr>
      <vt:lpstr>'8.sz.Tartalékok'!Nyomtatási_terület</vt:lpstr>
      <vt:lpstr>'9. sz. tájék.tábla EU-s pály.'!Nyomtatási_terület</vt:lpstr>
      <vt:lpstr>'9.sz. Szociális'!Nyomtatási_terület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paskoneeva</dc:creator>
  <cp:lastModifiedBy>48-49Rgizda</cp:lastModifiedBy>
  <cp:lastPrinted>2021-02-19T07:54:57Z</cp:lastPrinted>
  <dcterms:created xsi:type="dcterms:W3CDTF">2014-01-08T13:04:31Z</dcterms:created>
  <dcterms:modified xsi:type="dcterms:W3CDTF">2021-06-02T09:11:41Z</dcterms:modified>
</cp:coreProperties>
</file>