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HIVATAL\Közös\KÉPVISELŐ-TESTÜLET IRATAI\ELŐTERJESZTÉSEK\2019\2019. 05. 27\"/>
    </mc:Choice>
  </mc:AlternateContent>
  <bookViews>
    <workbookView xWindow="-120" yWindow="-120" windowWidth="29040" windowHeight="15840" firstSheet="1" activeTab="1"/>
  </bookViews>
  <sheets>
    <sheet name="II. előlap" sheetId="23" r:id="rId1"/>
    <sheet name="13.a.sz.m.Maradvány - int" sheetId="32" r:id="rId2"/>
    <sheet name="13.b.sz.m.Maradványkim.-Önk" sheetId="33" r:id="rId3"/>
    <sheet name="13.c.sz.m.Kötött maradvány" sheetId="34" r:id="rId4"/>
    <sheet name="13.d.sz.m.Szabad maradvány" sheetId="49" r:id="rId5"/>
    <sheet name=" 1.sz.tájék.Részesedések " sheetId="6" r:id="rId6"/>
    <sheet name="2.sz.tájék.Vagyonkimutatás" sheetId="52" r:id="rId7"/>
    <sheet name="3.sz.tájék.táb. Többéves" sheetId="50" r:id="rId8"/>
    <sheet name="4.sz.tájék. Adósságszolgálat" sheetId="9" r:id="rId9"/>
    <sheet name="5.sz.tájék.pénzeszköz vált. " sheetId="53" r:id="rId10"/>
    <sheet name="6. sz tájék. Mérleg" sheetId="54" r:id="rId11"/>
    <sheet name=" 7. sz tájék. Eredménykimutatás" sheetId="55" r:id="rId12"/>
    <sheet name="8.sz.tájék. Mérlegszerű" sheetId="20" r:id="rId13"/>
    <sheet name="9.sz.tájék.tábla Hitelképesség" sheetId="56" r:id="rId14"/>
    <sheet name="10.sz.tájék.tábla Közvetett tám" sheetId="40" r:id="rId15"/>
    <sheet name="1.sz.függ. Eu.pály.ASP" sheetId="57" r:id="rId16"/>
    <sheet name="2.sz.függ.Eu.pály.Bölcsőde" sheetId="58" r:id="rId17"/>
    <sheet name="3.sz.függ.Károlyi" sheetId="59" r:id="rId18"/>
    <sheet name="4.sz.függ. töltőállomás" sheetId="61" r:id="rId19"/>
    <sheet name="5.sz.függ.teniszpálya" sheetId="63" r:id="rId20"/>
    <sheet name="6.sz.függ.Körforgalom" sheetId="65" r:id="rId21"/>
    <sheet name="7.sz. függ.Orvosi rendelő" sheetId="66" r:id="rId22"/>
    <sheet name="8.sz.függ.A3 csatorna" sheetId="67" r:id="rId23"/>
    <sheet name="9.sz. függ. Százszorszép Óvi" sheetId="68" r:id="rId24"/>
    <sheet name="10.sz. függ.Temető utca" sheetId="69" r:id="rId25"/>
    <sheet name="11.sz. függ.Zajtérkép" sheetId="70" r:id="rId26"/>
    <sheet name="12.függ. Napsugár energ. fennt." sheetId="41" r:id="rId27"/>
    <sheet name="13.függ. Hétszín.energ.fennt." sheetId="46" r:id="rId28"/>
    <sheet name="14.függ.Kőrösi energ.fenntart" sheetId="47" r:id="rId29"/>
    <sheet name="15.függ.Szivárvány fennt." sheetId="48" r:id="rId30"/>
    <sheet name="16.függ.Károlyi fenntartás" sheetId="60" r:id="rId31"/>
    <sheet name="17. függ.Töltőállomás fennt." sheetId="62" r:id="rId32"/>
    <sheet name="18.függ.Teniszpálya fenntartás" sheetId="64" r:id="rId33"/>
  </sheets>
  <externalReferences>
    <externalReference r:id="rId34"/>
    <externalReference r:id="rId35"/>
    <externalReference r:id="rId36"/>
    <externalReference r:id="rId37"/>
    <externalReference r:id="rId38"/>
  </externalReferences>
  <definedNames>
    <definedName name="csak">#REF!</definedName>
    <definedName name="felev" localSheetId="5">#REF!</definedName>
    <definedName name="felev" localSheetId="26">#REF!</definedName>
    <definedName name="felev" localSheetId="1">#REF!</definedName>
    <definedName name="felev" localSheetId="2">#REF!</definedName>
    <definedName name="felev" localSheetId="3">#REF!</definedName>
    <definedName name="felev" localSheetId="4">#REF!</definedName>
    <definedName name="felev" localSheetId="27">#REF!</definedName>
    <definedName name="felev" localSheetId="28">#REF!</definedName>
    <definedName name="felev" localSheetId="6">#REF!</definedName>
    <definedName name="felev" localSheetId="9">#REF!</definedName>
    <definedName name="felev" localSheetId="12">#REF!</definedName>
    <definedName name="felev">#REF!</definedName>
    <definedName name="funkcio" localSheetId="5">#REF!</definedName>
    <definedName name="funkcio" localSheetId="26">#REF!</definedName>
    <definedName name="funkcio" localSheetId="1">#REF!</definedName>
    <definedName name="funkcio" localSheetId="2">#REF!</definedName>
    <definedName name="funkcio" localSheetId="3">#REF!</definedName>
    <definedName name="funkcio" localSheetId="4">#REF!</definedName>
    <definedName name="funkcio" localSheetId="27">#REF!</definedName>
    <definedName name="funkcio" localSheetId="28">#REF!</definedName>
    <definedName name="funkcio" localSheetId="6">#REF!</definedName>
    <definedName name="funkcio" localSheetId="9">#REF!</definedName>
    <definedName name="funkcio" localSheetId="12">#REF!</definedName>
    <definedName name="funkcio">#REF!</definedName>
    <definedName name="Igenyles_elszamolas_tip" localSheetId="5">#REF!</definedName>
    <definedName name="Igenyles_elszamolas_tip" localSheetId="26">#REF!</definedName>
    <definedName name="Igenyles_elszamolas_tip" localSheetId="1">#REF!</definedName>
    <definedName name="Igenyles_elszamolas_tip" localSheetId="2">#REF!</definedName>
    <definedName name="Igenyles_elszamolas_tip" localSheetId="3">#REF!</definedName>
    <definedName name="Igenyles_elszamolas_tip" localSheetId="4">#REF!</definedName>
    <definedName name="Igenyles_elszamolas_tip" localSheetId="27">#REF!</definedName>
    <definedName name="Igenyles_elszamolas_tip" localSheetId="28">#REF!</definedName>
    <definedName name="Igenyles_elszamolas_tip" localSheetId="6">#REF!</definedName>
    <definedName name="Igenyles_elszamolas_tip" localSheetId="9">#REF!</definedName>
    <definedName name="Igenyles_elszamolas_tip" localSheetId="12">#REF!</definedName>
    <definedName name="Igenyles_elszamolas_tip">#REF!</definedName>
    <definedName name="iiiiii" localSheetId="14">#REF!</definedName>
    <definedName name="iiiiii" localSheetId="6">#REF!</definedName>
    <definedName name="iiiiii" localSheetId="7">#REF!</definedName>
    <definedName name="iiiiii" localSheetId="13">#REF!</definedName>
    <definedName name="iiiiii">#REF!</definedName>
    <definedName name="jjj" localSheetId="14">#REF!</definedName>
    <definedName name="jjj" localSheetId="6">#REF!</definedName>
    <definedName name="jjj" localSheetId="7">#REF!</definedName>
    <definedName name="jjj" localSheetId="13">#REF!</definedName>
    <definedName name="jjj">#REF!</definedName>
    <definedName name="kkkk" localSheetId="14">#REF!</definedName>
    <definedName name="kkkk" localSheetId="6">#REF!</definedName>
    <definedName name="kkkk" localSheetId="7">#REF!</definedName>
    <definedName name="kkkk" localSheetId="13">#REF!</definedName>
    <definedName name="kkkk">#REF!</definedName>
    <definedName name="koltseg_k" localSheetId="5">#REF!</definedName>
    <definedName name="koltseg_k" localSheetId="26">#REF!</definedName>
    <definedName name="koltseg_k" localSheetId="27">#REF!</definedName>
    <definedName name="koltseg_k" localSheetId="28">#REF!</definedName>
    <definedName name="koltseg_k" localSheetId="6">#REF!</definedName>
    <definedName name="koltseg_k" localSheetId="9">#REF!</definedName>
    <definedName name="koltseg_k" localSheetId="12">#REF!</definedName>
    <definedName name="koltseg_k">#REF!</definedName>
    <definedName name="Koltseg_kat" localSheetId="5">#REF!</definedName>
    <definedName name="Koltseg_kat" localSheetId="26">#REF!</definedName>
    <definedName name="Koltseg_kat" localSheetId="27">#REF!</definedName>
    <definedName name="Koltseg_kat" localSheetId="28">#REF!</definedName>
    <definedName name="Koltseg_kat" localSheetId="6">#REF!</definedName>
    <definedName name="Koltseg_kat" localSheetId="9">#REF!</definedName>
    <definedName name="Koltseg_kat" localSheetId="12">#REF!</definedName>
    <definedName name="Koltseg_kat">#REF!</definedName>
    <definedName name="_xlnm.Print_Titles" localSheetId="6">'2.sz.tájék.Vagyonkimutatás'!$A:$B,'2.sz.tájék.Vagyonkimutatás'!$1:$2</definedName>
    <definedName name="_xlnm.Print_Titles" localSheetId="10">'6. sz tájék. Mérleg'!$1:$3</definedName>
    <definedName name="_xlnm.Print_Titles" localSheetId="13">'9.sz.tájék.tábla Hitelképesség'!$A:$B</definedName>
    <definedName name="_xlnm.Print_Area" localSheetId="5">' 1.sz.tájék.Részesedések '!$A$1:$J$10</definedName>
    <definedName name="_xlnm.Print_Area" localSheetId="14">'10.sz.tájék.tábla Közvetett tám'!$A$1:$L$30</definedName>
    <definedName name="_xlnm.Print_Area" localSheetId="26">'12.függ. Napsugár energ. fennt.'!$A$1:$F$30</definedName>
    <definedName name="_xlnm.Print_Area" localSheetId="2">'13.b.sz.m.Maradványkim.-Önk'!$A$1:$F$30</definedName>
    <definedName name="_xlnm.Print_Area" localSheetId="3">'13.c.sz.m.Kötött maradvány'!$A$1:$D$224</definedName>
    <definedName name="_xlnm.Print_Area" localSheetId="4">'13.d.sz.m.Szabad maradvány'!$A$1:$E$112</definedName>
    <definedName name="_xlnm.Print_Area" localSheetId="16">'2.sz.függ.Eu.pály.Bölcsőde'!$A$1:$G$29</definedName>
    <definedName name="_xlnm.Print_Area" localSheetId="6">'2.sz.tájék.Vagyonkimutatás'!$A$1:$V$84</definedName>
    <definedName name="_xlnm.Print_Area" localSheetId="7">'3.sz.tájék.táb. Többéves'!$A$1:$I$15</definedName>
    <definedName name="_xlnm.Print_Area" localSheetId="8">'4.sz.tájék. Adósságszolgálat'!$A$1:$E$49</definedName>
    <definedName name="_xlnm.Print_Area" localSheetId="9">'5.sz.tájék.pénzeszköz vált. '!$A$1:$L$15</definedName>
    <definedName name="_xlnm.Print_Area" localSheetId="12">'8.sz.tájék. Mérlegszerű'!$A$1:$L$39</definedName>
    <definedName name="_xlnm.Print_Area" localSheetId="23">'9.sz. függ. Százszorszép Óvi'!$A$1:$E$16</definedName>
    <definedName name="_xlnm.Print_Area" localSheetId="13">'9.sz.tájék.tábla Hitelképesség'!$A$1:$X$47</definedName>
    <definedName name="_xlnm.Print_Area" localSheetId="0">'II. előlap'!$A$1:$E$26</definedName>
    <definedName name="oooooooooooo" localSheetId="14">#REF!</definedName>
    <definedName name="oooooooooooo" localSheetId="26">#REF!</definedName>
    <definedName name="oooooooooooo" localSheetId="1">#REF!</definedName>
    <definedName name="oooooooooooo" localSheetId="2">#REF!</definedName>
    <definedName name="oooooooooooo" localSheetId="3">#REF!</definedName>
    <definedName name="oooooooooooo" localSheetId="4">#REF!</definedName>
    <definedName name="oooooooooooo" localSheetId="27">#REF!</definedName>
    <definedName name="oooooooooooo" localSheetId="28">#REF!</definedName>
    <definedName name="oooooooooooo" localSheetId="29">#REF!</definedName>
    <definedName name="oooooooooooo" localSheetId="6">#REF!</definedName>
    <definedName name="oooooooooooo" localSheetId="7">#REF!</definedName>
    <definedName name="oooooooooooo" localSheetId="13">#REF!</definedName>
    <definedName name="oooooooooooo">#REF!</definedName>
    <definedName name="pppppp" localSheetId="14">#REF!</definedName>
    <definedName name="pppppp" localSheetId="26">#REF!</definedName>
    <definedName name="pppppp" localSheetId="1">#REF!</definedName>
    <definedName name="pppppp" localSheetId="2">#REF!</definedName>
    <definedName name="pppppp" localSheetId="3">#REF!</definedName>
    <definedName name="pppppp" localSheetId="4">#REF!</definedName>
    <definedName name="pppppp" localSheetId="27">#REF!</definedName>
    <definedName name="pppppp" localSheetId="28">#REF!</definedName>
    <definedName name="pppppp" localSheetId="29">#REF!</definedName>
    <definedName name="pppppp" localSheetId="6">#REF!</definedName>
    <definedName name="pppppp" localSheetId="7">#REF!</definedName>
    <definedName name="pppppp" localSheetId="13">#REF!</definedName>
    <definedName name="pppppp">#REF!</definedName>
    <definedName name="qqqqq" localSheetId="14">#REF!</definedName>
    <definedName name="qqqqq" localSheetId="26">#REF!</definedName>
    <definedName name="qqqqq" localSheetId="1">#REF!</definedName>
    <definedName name="qqqqq" localSheetId="2">#REF!</definedName>
    <definedName name="qqqqq" localSheetId="3">#REF!</definedName>
    <definedName name="qqqqq" localSheetId="4">#REF!</definedName>
    <definedName name="qqqqq" localSheetId="27">#REF!</definedName>
    <definedName name="qqqqq" localSheetId="28">#REF!</definedName>
    <definedName name="qqqqq" localSheetId="29">#REF!</definedName>
    <definedName name="qqqqq" localSheetId="6">#REF!</definedName>
    <definedName name="qqqqq" localSheetId="7">#REF!</definedName>
    <definedName name="qqqqq" localSheetId="13">#REF!</definedName>
    <definedName name="qqqqq">#REF!</definedName>
    <definedName name="rrrrrrrrrrr" localSheetId="14">#REF!</definedName>
    <definedName name="rrrrrrrrrrr" localSheetId="6">#REF!</definedName>
    <definedName name="rrrrrrrrrrr" localSheetId="7">#REF!</definedName>
    <definedName name="rrrrrrrrrrr" localSheetId="13">#REF!</definedName>
    <definedName name="rrrrrrrrrrr">#REF!</definedName>
    <definedName name="Szamviteli_kat" localSheetId="5">#REF!</definedName>
    <definedName name="Szamviteli_kat" localSheetId="14">#REF!</definedName>
    <definedName name="Szamviteli_kat" localSheetId="26">#REF!</definedName>
    <definedName name="Szamviteli_kat" localSheetId="3">#REF!</definedName>
    <definedName name="Szamviteli_kat" localSheetId="27">#REF!</definedName>
    <definedName name="Szamviteli_kat" localSheetId="28">#REF!</definedName>
    <definedName name="Szamviteli_kat" localSheetId="6">#REF!</definedName>
    <definedName name="Szamviteli_kat" localSheetId="7">#REF!</definedName>
    <definedName name="Szamviteli_kat" localSheetId="9">#REF!</definedName>
    <definedName name="Szamviteli_kat" localSheetId="12">#REF!</definedName>
    <definedName name="Szamviteli_kat" localSheetId="13">#REF!</definedName>
    <definedName name="Szamviteli_kat">#REF!</definedName>
    <definedName name="téves">#REF!</definedName>
    <definedName name="vagyonkimut">#REF!</definedName>
    <definedName name="zghfhgf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8" i="40" l="1"/>
  <c r="E15" i="59" l="1"/>
  <c r="D11" i="70"/>
  <c r="C11" i="70"/>
  <c r="E10" i="70"/>
  <c r="E9" i="70"/>
  <c r="E8" i="70"/>
  <c r="D17" i="69"/>
  <c r="C17" i="69"/>
  <c r="E16" i="69"/>
  <c r="E15" i="69"/>
  <c r="E14" i="69"/>
  <c r="E13" i="69"/>
  <c r="E12" i="69"/>
  <c r="E11" i="69"/>
  <c r="E10" i="69"/>
  <c r="E9" i="69"/>
  <c r="E8" i="69"/>
  <c r="E6" i="69"/>
  <c r="D16" i="68"/>
  <c r="C16" i="68"/>
  <c r="E15" i="68"/>
  <c r="E14" i="68"/>
  <c r="E13" i="68"/>
  <c r="E12" i="68"/>
  <c r="E11" i="68"/>
  <c r="E10" i="68"/>
  <c r="E9" i="68"/>
  <c r="E8" i="68"/>
  <c r="E16" i="68" s="1"/>
  <c r="E6" i="68"/>
  <c r="D14" i="67"/>
  <c r="E13" i="67"/>
  <c r="E12" i="67"/>
  <c r="E11" i="67"/>
  <c r="E10" i="67"/>
  <c r="C9" i="67"/>
  <c r="C14" i="67" s="1"/>
  <c r="E8" i="67"/>
  <c r="E6" i="67"/>
  <c r="E21" i="66"/>
  <c r="D21" i="66"/>
  <c r="C21" i="66"/>
  <c r="F20" i="66"/>
  <c r="F19" i="66"/>
  <c r="F18" i="66"/>
  <c r="F17" i="66"/>
  <c r="F16" i="66"/>
  <c r="F15" i="66"/>
  <c r="F14" i="66"/>
  <c r="F13" i="66"/>
  <c r="F12" i="66"/>
  <c r="F11" i="66"/>
  <c r="F10" i="66"/>
  <c r="F9" i="66"/>
  <c r="F8" i="66"/>
  <c r="F6" i="66"/>
  <c r="F13" i="65"/>
  <c r="E13" i="65"/>
  <c r="D13" i="65"/>
  <c r="C13" i="65"/>
  <c r="D12" i="63"/>
  <c r="C12" i="63"/>
  <c r="F12" i="61"/>
  <c r="D12" i="61"/>
  <c r="C12" i="61"/>
  <c r="F15" i="59"/>
  <c r="C13" i="59"/>
  <c r="D13" i="59" s="1"/>
  <c r="D11" i="59"/>
  <c r="C11" i="59"/>
  <c r="C15" i="59" s="1"/>
  <c r="F7" i="59"/>
  <c r="D25" i="58"/>
  <c r="C25" i="58"/>
  <c r="G24" i="58"/>
  <c r="G23" i="58"/>
  <c r="H23" i="58" s="1"/>
  <c r="I23" i="58" s="1"/>
  <c r="F22" i="58"/>
  <c r="H22" i="58" s="1"/>
  <c r="I22" i="58" s="1"/>
  <c r="G21" i="58"/>
  <c r="F21" i="58"/>
  <c r="F25" i="58" s="1"/>
  <c r="G20" i="58"/>
  <c r="H20" i="58" s="1"/>
  <c r="I20" i="58" s="1"/>
  <c r="H19" i="58"/>
  <c r="I19" i="58" s="1"/>
  <c r="E19" i="58"/>
  <c r="E25" i="58" s="1"/>
  <c r="G18" i="58"/>
  <c r="H18" i="58" s="1"/>
  <c r="I18" i="58" s="1"/>
  <c r="G17" i="58"/>
  <c r="H17" i="58" s="1"/>
  <c r="I17" i="58" s="1"/>
  <c r="G16" i="58"/>
  <c r="H16" i="58" s="1"/>
  <c r="I16" i="58" s="1"/>
  <c r="H15" i="58"/>
  <c r="I15" i="58" s="1"/>
  <c r="G15" i="58"/>
  <c r="G14" i="58"/>
  <c r="G25" i="58" s="1"/>
  <c r="G13" i="58"/>
  <c r="H13" i="58" s="1"/>
  <c r="I13" i="58" s="1"/>
  <c r="I12" i="58"/>
  <c r="H12" i="58"/>
  <c r="G12" i="58"/>
  <c r="H11" i="58"/>
  <c r="I11" i="58" s="1"/>
  <c r="G11" i="58"/>
  <c r="G8" i="58"/>
  <c r="C15" i="57"/>
  <c r="F10" i="57"/>
  <c r="F15" i="57" s="1"/>
  <c r="E11" i="70" l="1"/>
  <c r="E17" i="69"/>
  <c r="F21" i="66"/>
  <c r="D15" i="59"/>
  <c r="H25" i="58"/>
  <c r="I25" i="58" s="1"/>
  <c r="H14" i="58"/>
  <c r="I14" i="58" s="1"/>
  <c r="E9" i="67"/>
  <c r="E14" i="67" s="1"/>
  <c r="H21" i="58"/>
  <c r="I21" i="58" s="1"/>
  <c r="C46" i="56" l="1"/>
  <c r="C31" i="56"/>
  <c r="C30" i="56" s="1"/>
  <c r="C29" i="56" s="1"/>
  <c r="C35" i="56"/>
  <c r="C18" i="56"/>
  <c r="D112" i="49" l="1"/>
  <c r="C222" i="34"/>
  <c r="C221" i="34"/>
  <c r="D84" i="49"/>
  <c r="C14" i="56"/>
  <c r="C13" i="56" s="1"/>
  <c r="C12" i="56" s="1"/>
  <c r="C6" i="56"/>
  <c r="C5" i="56"/>
  <c r="C59" i="56"/>
  <c r="C3" i="56"/>
  <c r="K56" i="56"/>
  <c r="E55" i="56"/>
  <c r="E54" i="56"/>
  <c r="E53" i="56"/>
  <c r="E52" i="56"/>
  <c r="K51" i="56"/>
  <c r="K59" i="56" s="1"/>
  <c r="E51" i="56"/>
  <c r="E50" i="56"/>
  <c r="E49" i="56"/>
  <c r="X45" i="56"/>
  <c r="X44" i="56"/>
  <c r="X43" i="56"/>
  <c r="X42" i="56"/>
  <c r="X41" i="56"/>
  <c r="X40" i="56"/>
  <c r="X39" i="56"/>
  <c r="W35" i="56"/>
  <c r="V35" i="56"/>
  <c r="V30" i="56" s="1"/>
  <c r="V29" i="56" s="1"/>
  <c r="V46" i="56" s="1"/>
  <c r="U35" i="56"/>
  <c r="T35" i="56"/>
  <c r="S35" i="56"/>
  <c r="R35" i="56"/>
  <c r="R30" i="56" s="1"/>
  <c r="R29" i="56" s="1"/>
  <c r="R46" i="56" s="1"/>
  <c r="Q35" i="56"/>
  <c r="P35" i="56"/>
  <c r="O35" i="56"/>
  <c r="N35" i="56"/>
  <c r="N30" i="56" s="1"/>
  <c r="N29" i="56" s="1"/>
  <c r="N46" i="56" s="1"/>
  <c r="M35" i="56"/>
  <c r="L35" i="56"/>
  <c r="K35" i="56"/>
  <c r="J35" i="56"/>
  <c r="J30" i="56" s="1"/>
  <c r="J29" i="56" s="1"/>
  <c r="J46" i="56" s="1"/>
  <c r="I35" i="56"/>
  <c r="H35" i="56"/>
  <c r="G35" i="56"/>
  <c r="F35" i="56"/>
  <c r="F30" i="56" s="1"/>
  <c r="F29" i="56" s="1"/>
  <c r="F46" i="56" s="1"/>
  <c r="E35" i="56"/>
  <c r="D35" i="56"/>
  <c r="X35" i="56" s="1"/>
  <c r="W31" i="56"/>
  <c r="W30" i="56" s="1"/>
  <c r="W29" i="56" s="1"/>
  <c r="V31" i="56"/>
  <c r="U31" i="56"/>
  <c r="T31" i="56"/>
  <c r="S31" i="56"/>
  <c r="S30" i="56" s="1"/>
  <c r="S29" i="56" s="1"/>
  <c r="R31" i="56"/>
  <c r="Q31" i="56"/>
  <c r="P31" i="56"/>
  <c r="O31" i="56"/>
  <c r="O30" i="56" s="1"/>
  <c r="O29" i="56" s="1"/>
  <c r="N31" i="56"/>
  <c r="M31" i="56"/>
  <c r="L31" i="56"/>
  <c r="K31" i="56"/>
  <c r="K30" i="56" s="1"/>
  <c r="K29" i="56" s="1"/>
  <c r="J31" i="56"/>
  <c r="I31" i="56"/>
  <c r="H31" i="56"/>
  <c r="G31" i="56"/>
  <c r="G30" i="56" s="1"/>
  <c r="G29" i="56" s="1"/>
  <c r="F31" i="56"/>
  <c r="E31" i="56"/>
  <c r="D31" i="56"/>
  <c r="X31" i="56" s="1"/>
  <c r="U30" i="56"/>
  <c r="T30" i="56"/>
  <c r="T29" i="56" s="1"/>
  <c r="Q30" i="56"/>
  <c r="P30" i="56"/>
  <c r="P29" i="56" s="1"/>
  <c r="M30" i="56"/>
  <c r="L30" i="56"/>
  <c r="L29" i="56" s="1"/>
  <c r="I30" i="56"/>
  <c r="H30" i="56"/>
  <c r="H29" i="56" s="1"/>
  <c r="E30" i="56"/>
  <c r="D30" i="56"/>
  <c r="D29" i="56" s="1"/>
  <c r="U29" i="56"/>
  <c r="Q29" i="56"/>
  <c r="M29" i="56"/>
  <c r="I29" i="56"/>
  <c r="E29" i="56"/>
  <c r="X28" i="56"/>
  <c r="X27" i="56"/>
  <c r="X26" i="56"/>
  <c r="X25" i="56"/>
  <c r="X24" i="56"/>
  <c r="X23" i="56"/>
  <c r="X22" i="56"/>
  <c r="Z21" i="56"/>
  <c r="X21" i="56"/>
  <c r="Z20" i="56"/>
  <c r="X20" i="56"/>
  <c r="X18" i="56" s="1"/>
  <c r="Z19" i="56"/>
  <c r="X19" i="56"/>
  <c r="W18" i="56"/>
  <c r="V18" i="56"/>
  <c r="U18" i="56"/>
  <c r="T18" i="56"/>
  <c r="S18" i="56"/>
  <c r="R18" i="56"/>
  <c r="Q18" i="56"/>
  <c r="P18" i="56"/>
  <c r="O18" i="56"/>
  <c r="N18" i="56"/>
  <c r="M18" i="56"/>
  <c r="L18" i="56"/>
  <c r="K18" i="56"/>
  <c r="J18" i="56"/>
  <c r="I18" i="56"/>
  <c r="H18" i="56"/>
  <c r="G18" i="56"/>
  <c r="F18" i="56"/>
  <c r="E18" i="56"/>
  <c r="D18" i="56"/>
  <c r="Z18" i="56" s="1"/>
  <c r="Z17" i="56"/>
  <c r="X17" i="56"/>
  <c r="Z16" i="56"/>
  <c r="X16" i="56"/>
  <c r="Z15" i="56"/>
  <c r="X15" i="56"/>
  <c r="W14" i="56"/>
  <c r="W13" i="56" s="1"/>
  <c r="W12" i="56" s="1"/>
  <c r="W46" i="56" s="1"/>
  <c r="V14" i="56"/>
  <c r="U14" i="56"/>
  <c r="T14" i="56"/>
  <c r="S14" i="56"/>
  <c r="S13" i="56" s="1"/>
  <c r="S12" i="56" s="1"/>
  <c r="S46" i="56" s="1"/>
  <c r="R14" i="56"/>
  <c r="Q14" i="56"/>
  <c r="P14" i="56"/>
  <c r="O14" i="56"/>
  <c r="O13" i="56" s="1"/>
  <c r="O12" i="56" s="1"/>
  <c r="O46" i="56" s="1"/>
  <c r="N14" i="56"/>
  <c r="M14" i="56"/>
  <c r="L14" i="56"/>
  <c r="K14" i="56"/>
  <c r="K13" i="56" s="1"/>
  <c r="K12" i="56" s="1"/>
  <c r="K46" i="56" s="1"/>
  <c r="J14" i="56"/>
  <c r="I14" i="56"/>
  <c r="H14" i="56"/>
  <c r="G14" i="56"/>
  <c r="G13" i="56" s="1"/>
  <c r="G12" i="56" s="1"/>
  <c r="G46" i="56" s="1"/>
  <c r="F14" i="56"/>
  <c r="E14" i="56"/>
  <c r="D14" i="56"/>
  <c r="X14" i="56" s="1"/>
  <c r="V13" i="56"/>
  <c r="U13" i="56"/>
  <c r="T13" i="56"/>
  <c r="T12" i="56" s="1"/>
  <c r="R13" i="56"/>
  <c r="Q13" i="56"/>
  <c r="P13" i="56"/>
  <c r="P12" i="56" s="1"/>
  <c r="P46" i="56" s="1"/>
  <c r="N13" i="56"/>
  <c r="M13" i="56"/>
  <c r="L13" i="56"/>
  <c r="L12" i="56" s="1"/>
  <c r="L46" i="56" s="1"/>
  <c r="J13" i="56"/>
  <c r="I13" i="56"/>
  <c r="H13" i="56"/>
  <c r="H12" i="56" s="1"/>
  <c r="F13" i="56"/>
  <c r="E13" i="56"/>
  <c r="D13" i="56"/>
  <c r="D12" i="56" s="1"/>
  <c r="V12" i="56"/>
  <c r="U12" i="56"/>
  <c r="U46" i="56" s="1"/>
  <c r="R12" i="56"/>
  <c r="Q12" i="56"/>
  <c r="Q46" i="56" s="1"/>
  <c r="N12" i="56"/>
  <c r="M12" i="56"/>
  <c r="M46" i="56" s="1"/>
  <c r="J12" i="56"/>
  <c r="I12" i="56"/>
  <c r="I46" i="56" s="1"/>
  <c r="F12" i="56"/>
  <c r="E12" i="56"/>
  <c r="E46" i="56" s="1"/>
  <c r="X9" i="56"/>
  <c r="X8" i="56"/>
  <c r="X7" i="56"/>
  <c r="X5" i="56"/>
  <c r="X4" i="56"/>
  <c r="D3" i="56"/>
  <c r="E59" i="56" l="1"/>
  <c r="E73" i="56" s="1"/>
  <c r="C10" i="56"/>
  <c r="C11" i="56" s="1"/>
  <c r="C47" i="56" s="1"/>
  <c r="H46" i="56"/>
  <c r="X29" i="56"/>
  <c r="X12" i="56"/>
  <c r="D46" i="56"/>
  <c r="T46" i="56"/>
  <c r="D6" i="56"/>
  <c r="D10" i="56" s="1"/>
  <c r="X30" i="56"/>
  <c r="X13" i="56"/>
  <c r="E3" i="56"/>
  <c r="I22" i="40"/>
  <c r="D11" i="56" l="1"/>
  <c r="F3" i="56"/>
  <c r="E6" i="56"/>
  <c r="F6" i="56" s="1"/>
  <c r="G6" i="56" s="1"/>
  <c r="H6" i="56" s="1"/>
  <c r="I6" i="56" s="1"/>
  <c r="J6" i="56" s="1"/>
  <c r="K6" i="56" s="1"/>
  <c r="L6" i="56" s="1"/>
  <c r="M6" i="56" s="1"/>
  <c r="N6" i="56" s="1"/>
  <c r="O6" i="56" s="1"/>
  <c r="P6" i="56" s="1"/>
  <c r="Q6" i="56" s="1"/>
  <c r="R6" i="56" s="1"/>
  <c r="S6" i="56" s="1"/>
  <c r="T6" i="56" s="1"/>
  <c r="U6" i="56" s="1"/>
  <c r="X46" i="56"/>
  <c r="K18" i="20"/>
  <c r="L18" i="20"/>
  <c r="J18" i="20"/>
  <c r="F18" i="20"/>
  <c r="E18" i="20"/>
  <c r="D18" i="20"/>
  <c r="J16" i="20"/>
  <c r="E10" i="56" l="1"/>
  <c r="E11" i="56" s="1"/>
  <c r="E47" i="56" s="1"/>
  <c r="F10" i="56"/>
  <c r="F11" i="56" s="1"/>
  <c r="F47" i="56" s="1"/>
  <c r="G3" i="56"/>
  <c r="V6" i="56"/>
  <c r="U10" i="56"/>
  <c r="U11" i="56" s="1"/>
  <c r="U47" i="56" s="1"/>
  <c r="D47" i="56"/>
  <c r="I10" i="53"/>
  <c r="I9" i="53"/>
  <c r="K10" i="53"/>
  <c r="K9" i="53"/>
  <c r="F10" i="53"/>
  <c r="F9" i="53"/>
  <c r="H10" i="53"/>
  <c r="H9" i="53"/>
  <c r="J10" i="53"/>
  <c r="J9" i="53"/>
  <c r="L10" i="53"/>
  <c r="L9" i="53"/>
  <c r="G31" i="53"/>
  <c r="G10" i="53"/>
  <c r="G9" i="53"/>
  <c r="C10" i="53"/>
  <c r="G25" i="53"/>
  <c r="H25" i="53"/>
  <c r="I25" i="53"/>
  <c r="J25" i="53"/>
  <c r="K25" i="53"/>
  <c r="L25" i="53"/>
  <c r="G10" i="56" l="1"/>
  <c r="H3" i="56"/>
  <c r="V10" i="56"/>
  <c r="V11" i="56" s="1"/>
  <c r="V47" i="56" s="1"/>
  <c r="W6" i="56"/>
  <c r="E10" i="53"/>
  <c r="F31" i="53"/>
  <c r="F33" i="53" s="1"/>
  <c r="F35" i="53" s="1"/>
  <c r="G33" i="53"/>
  <c r="G35" i="53" s="1"/>
  <c r="H31" i="53"/>
  <c r="H33" i="53" s="1"/>
  <c r="H35" i="53" s="1"/>
  <c r="I31" i="53"/>
  <c r="I33" i="53" s="1"/>
  <c r="I35" i="53" s="1"/>
  <c r="J31" i="53"/>
  <c r="J33" i="53" s="1"/>
  <c r="J35" i="53" s="1"/>
  <c r="K31" i="53"/>
  <c r="K33" i="53" s="1"/>
  <c r="K35" i="53" s="1"/>
  <c r="L31" i="53"/>
  <c r="L33" i="53" s="1"/>
  <c r="L35" i="53" s="1"/>
  <c r="E9" i="53"/>
  <c r="D33" i="53"/>
  <c r="D35" i="53" s="1"/>
  <c r="D10" i="53"/>
  <c r="M7" i="53"/>
  <c r="M8" i="53"/>
  <c r="M10" i="53"/>
  <c r="M11" i="53"/>
  <c r="M13" i="53"/>
  <c r="M14" i="53"/>
  <c r="M15" i="53"/>
  <c r="D25" i="53"/>
  <c r="E25" i="53"/>
  <c r="F25" i="53"/>
  <c r="D9" i="53"/>
  <c r="D31" i="53" s="1"/>
  <c r="C25" i="53"/>
  <c r="O9" i="53"/>
  <c r="O7" i="53"/>
  <c r="C9" i="53"/>
  <c r="N9" i="53" s="1"/>
  <c r="W10" i="56" l="1"/>
  <c r="W11" i="56" s="1"/>
  <c r="W47" i="56" s="1"/>
  <c r="X6" i="56"/>
  <c r="I3" i="56"/>
  <c r="H10" i="56"/>
  <c r="H11" i="56" s="1"/>
  <c r="H47" i="56" s="1"/>
  <c r="G11" i="56"/>
  <c r="C29" i="53"/>
  <c r="M9" i="53"/>
  <c r="C31" i="53"/>
  <c r="C33" i="53" s="1"/>
  <c r="C35" i="53" s="1"/>
  <c r="E31" i="53"/>
  <c r="E33" i="53" s="1"/>
  <c r="E35" i="53" s="1"/>
  <c r="M25" i="53"/>
  <c r="C20" i="53"/>
  <c r="D6" i="53"/>
  <c r="E6" i="53"/>
  <c r="F6" i="53"/>
  <c r="G6" i="53"/>
  <c r="H6" i="53"/>
  <c r="I6" i="53"/>
  <c r="I39" i="53" s="1"/>
  <c r="I40" i="53" s="1"/>
  <c r="J6" i="53"/>
  <c r="K6" i="53"/>
  <c r="L6" i="53"/>
  <c r="C6" i="53"/>
  <c r="J20" i="53"/>
  <c r="H20" i="53"/>
  <c r="G20" i="53"/>
  <c r="F20" i="53"/>
  <c r="E20" i="53"/>
  <c r="I12" i="53"/>
  <c r="I26" i="53" s="1"/>
  <c r="J3" i="56" l="1"/>
  <c r="I10" i="56"/>
  <c r="I11" i="56" s="1"/>
  <c r="I47" i="56" s="1"/>
  <c r="G47" i="56"/>
  <c r="K12" i="53"/>
  <c r="K26" i="53" s="1"/>
  <c r="K39" i="53"/>
  <c r="K40" i="53" s="1"/>
  <c r="C18" i="53"/>
  <c r="C12" i="53"/>
  <c r="C26" i="53" s="1"/>
  <c r="C39" i="53"/>
  <c r="C40" i="53" s="1"/>
  <c r="M6" i="53"/>
  <c r="E18" i="53"/>
  <c r="E39" i="53"/>
  <c r="E40" i="53" s="1"/>
  <c r="E12" i="53"/>
  <c r="E26" i="53" s="1"/>
  <c r="G18" i="53"/>
  <c r="G39" i="53"/>
  <c r="G40" i="53" s="1"/>
  <c r="C22" i="53"/>
  <c r="J18" i="53"/>
  <c r="J39" i="53"/>
  <c r="J40" i="53" s="1"/>
  <c r="F18" i="53"/>
  <c r="F22" i="53" s="1"/>
  <c r="F39" i="53"/>
  <c r="F40" i="53" s="1"/>
  <c r="L18" i="53"/>
  <c r="L39" i="53"/>
  <c r="L40" i="53" s="1"/>
  <c r="H18" i="53"/>
  <c r="H12" i="53"/>
  <c r="H26" i="53" s="1"/>
  <c r="H39" i="53"/>
  <c r="H40" i="53" s="1"/>
  <c r="D18" i="53"/>
  <c r="D39" i="53"/>
  <c r="D40" i="53" s="1"/>
  <c r="H22" i="53"/>
  <c r="H24" i="53" s="1"/>
  <c r="L12" i="53"/>
  <c r="L26" i="53" s="1"/>
  <c r="G22" i="53"/>
  <c r="E22" i="53"/>
  <c r="J22" i="53"/>
  <c r="F12" i="53"/>
  <c r="F26" i="53" s="1"/>
  <c r="L20" i="53"/>
  <c r="L22" i="53" s="1"/>
  <c r="L24" i="53" s="1"/>
  <c r="G12" i="53"/>
  <c r="J12" i="53"/>
  <c r="J26" i="53" s="1"/>
  <c r="J10" i="56" l="1"/>
  <c r="K3" i="56"/>
  <c r="G26" i="53"/>
  <c r="C24" i="53"/>
  <c r="G24" i="53"/>
  <c r="J24" i="53"/>
  <c r="F24" i="53"/>
  <c r="E24" i="53"/>
  <c r="L3" i="56" l="1"/>
  <c r="K10" i="56"/>
  <c r="K11" i="56" s="1"/>
  <c r="K47" i="56" s="1"/>
  <c r="J11" i="56"/>
  <c r="C43" i="9"/>
  <c r="D20" i="9"/>
  <c r="C20" i="9"/>
  <c r="D43" i="9"/>
  <c r="B43" i="9"/>
  <c r="E21" i="9"/>
  <c r="E19" i="9"/>
  <c r="J47" i="56" l="1"/>
  <c r="M3" i="56"/>
  <c r="L10" i="56"/>
  <c r="L11" i="56" s="1"/>
  <c r="L47" i="56" s="1"/>
  <c r="M77" i="52"/>
  <c r="N77" i="52"/>
  <c r="O77" i="52"/>
  <c r="P77" i="52"/>
  <c r="Q77" i="52"/>
  <c r="R77" i="52"/>
  <c r="S77" i="52"/>
  <c r="T77" i="52"/>
  <c r="U77" i="52"/>
  <c r="V77" i="52"/>
  <c r="K77" i="52"/>
  <c r="L77" i="52"/>
  <c r="I77" i="52"/>
  <c r="J77" i="52"/>
  <c r="G77" i="52"/>
  <c r="H77" i="52"/>
  <c r="E77" i="52"/>
  <c r="E84" i="52" s="1"/>
  <c r="F77" i="52"/>
  <c r="F84" i="52"/>
  <c r="E69" i="52"/>
  <c r="E70" i="52"/>
  <c r="F70" i="52"/>
  <c r="G70" i="52"/>
  <c r="G84" i="52" s="1"/>
  <c r="H70" i="52"/>
  <c r="H84" i="52" s="1"/>
  <c r="I70" i="52"/>
  <c r="J70" i="52"/>
  <c r="K70" i="52"/>
  <c r="L70" i="52"/>
  <c r="M70" i="52"/>
  <c r="M84" i="52" s="1"/>
  <c r="N70" i="52"/>
  <c r="O70" i="52"/>
  <c r="P70" i="52"/>
  <c r="Q70" i="52"/>
  <c r="R70" i="52"/>
  <c r="S70" i="52"/>
  <c r="T70" i="52"/>
  <c r="U70" i="52"/>
  <c r="U84" i="52" s="1"/>
  <c r="V70" i="52"/>
  <c r="D77" i="52"/>
  <c r="C77" i="52"/>
  <c r="D70" i="52"/>
  <c r="C70" i="52"/>
  <c r="C84" i="52" s="1"/>
  <c r="D12" i="52"/>
  <c r="D8" i="52" s="1"/>
  <c r="V63" i="52"/>
  <c r="U63" i="52"/>
  <c r="T63" i="52"/>
  <c r="S63" i="52"/>
  <c r="R63" i="52"/>
  <c r="Q63" i="52"/>
  <c r="P63" i="52"/>
  <c r="O63" i="52"/>
  <c r="N63" i="52"/>
  <c r="M63" i="52"/>
  <c r="L63" i="52"/>
  <c r="K63" i="52"/>
  <c r="J63" i="52"/>
  <c r="I63" i="52"/>
  <c r="H63" i="52"/>
  <c r="G63" i="52"/>
  <c r="F63" i="52"/>
  <c r="E63" i="52"/>
  <c r="D63" i="52"/>
  <c r="C63" i="52"/>
  <c r="V57" i="52"/>
  <c r="U57" i="52"/>
  <c r="T57" i="52"/>
  <c r="S57" i="52"/>
  <c r="R57" i="52"/>
  <c r="Q57" i="52"/>
  <c r="P57" i="52"/>
  <c r="O57" i="52"/>
  <c r="N57" i="52"/>
  <c r="M57" i="52"/>
  <c r="L57" i="52"/>
  <c r="K57" i="52"/>
  <c r="J57" i="52"/>
  <c r="I57" i="52"/>
  <c r="H57" i="52"/>
  <c r="G57" i="52"/>
  <c r="F57" i="52"/>
  <c r="E57" i="52"/>
  <c r="D57" i="52"/>
  <c r="C57" i="52"/>
  <c r="V54" i="52"/>
  <c r="U54" i="52"/>
  <c r="T54" i="52"/>
  <c r="S54" i="52"/>
  <c r="R54" i="52"/>
  <c r="Q54" i="52"/>
  <c r="P54" i="52"/>
  <c r="O54" i="52"/>
  <c r="N54" i="52"/>
  <c r="M54" i="52"/>
  <c r="L54" i="52"/>
  <c r="K54" i="52"/>
  <c r="J54" i="52"/>
  <c r="I54" i="52"/>
  <c r="H54" i="52"/>
  <c r="G54" i="52"/>
  <c r="F54" i="52"/>
  <c r="E54" i="52"/>
  <c r="D54" i="52"/>
  <c r="C54" i="52"/>
  <c r="V49" i="52"/>
  <c r="U49" i="52"/>
  <c r="T49" i="52"/>
  <c r="S49" i="52"/>
  <c r="R49" i="52"/>
  <c r="Q49" i="52"/>
  <c r="P49" i="52"/>
  <c r="O49" i="52"/>
  <c r="N49" i="52"/>
  <c r="M49" i="52"/>
  <c r="L49" i="52"/>
  <c r="K49" i="52"/>
  <c r="J49" i="52"/>
  <c r="I49" i="52"/>
  <c r="H49" i="52"/>
  <c r="G49" i="52"/>
  <c r="F49" i="52"/>
  <c r="E49" i="52"/>
  <c r="D49" i="52"/>
  <c r="C49" i="52"/>
  <c r="V44" i="52"/>
  <c r="U44" i="52"/>
  <c r="T44" i="52"/>
  <c r="S44" i="52"/>
  <c r="R44" i="52"/>
  <c r="Q44" i="52"/>
  <c r="P44" i="52"/>
  <c r="O44" i="52"/>
  <c r="N44" i="52"/>
  <c r="M44" i="52"/>
  <c r="L44" i="52"/>
  <c r="K44" i="52"/>
  <c r="J44" i="52"/>
  <c r="I44" i="52"/>
  <c r="H44" i="52"/>
  <c r="G44" i="52"/>
  <c r="F44" i="52"/>
  <c r="E44" i="52"/>
  <c r="D44" i="52"/>
  <c r="C44" i="52"/>
  <c r="V39" i="52"/>
  <c r="U39" i="52"/>
  <c r="T39" i="52"/>
  <c r="S39" i="52"/>
  <c r="R39" i="52"/>
  <c r="Q39" i="52"/>
  <c r="P39" i="52"/>
  <c r="O39" i="52"/>
  <c r="N39" i="52"/>
  <c r="M39" i="52"/>
  <c r="L39" i="52"/>
  <c r="K39" i="52"/>
  <c r="J39" i="52"/>
  <c r="I39" i="52"/>
  <c r="H39" i="52"/>
  <c r="G39" i="52"/>
  <c r="F39" i="52"/>
  <c r="E39" i="52"/>
  <c r="D39" i="52"/>
  <c r="C39" i="52"/>
  <c r="V34" i="52"/>
  <c r="U34" i="52"/>
  <c r="T34" i="52"/>
  <c r="S34" i="52"/>
  <c r="R34" i="52"/>
  <c r="Q34" i="52"/>
  <c r="P34" i="52"/>
  <c r="O34" i="52"/>
  <c r="N34" i="52"/>
  <c r="M34" i="52"/>
  <c r="L34" i="52"/>
  <c r="K34" i="52"/>
  <c r="J34" i="52"/>
  <c r="I34" i="52"/>
  <c r="H34" i="52"/>
  <c r="G34" i="52"/>
  <c r="F34" i="52"/>
  <c r="E34" i="52"/>
  <c r="D34" i="52"/>
  <c r="C34" i="52"/>
  <c r="V33" i="52"/>
  <c r="U33" i="52"/>
  <c r="T33" i="52"/>
  <c r="S33" i="52"/>
  <c r="R33" i="52"/>
  <c r="Q33" i="52"/>
  <c r="P33" i="52"/>
  <c r="O33" i="52"/>
  <c r="N33" i="52"/>
  <c r="M33" i="52"/>
  <c r="L33" i="52"/>
  <c r="K33" i="52"/>
  <c r="J33" i="52"/>
  <c r="I33" i="52"/>
  <c r="H33" i="52"/>
  <c r="G33" i="52"/>
  <c r="F33" i="52"/>
  <c r="E33" i="52"/>
  <c r="D33" i="52"/>
  <c r="C33" i="52"/>
  <c r="V28" i="52"/>
  <c r="U28" i="52"/>
  <c r="T28" i="52"/>
  <c r="S28" i="52"/>
  <c r="R28" i="52"/>
  <c r="Q28" i="52"/>
  <c r="P28" i="52"/>
  <c r="O28" i="52"/>
  <c r="N28" i="52"/>
  <c r="M28" i="52"/>
  <c r="L28" i="52"/>
  <c r="K28" i="52"/>
  <c r="J28" i="52"/>
  <c r="I28" i="52"/>
  <c r="H28" i="52"/>
  <c r="G28" i="52"/>
  <c r="F28" i="52"/>
  <c r="E28" i="52"/>
  <c r="D28" i="52"/>
  <c r="C28" i="52"/>
  <c r="V23" i="52"/>
  <c r="U23" i="52"/>
  <c r="T23" i="52"/>
  <c r="S23" i="52"/>
  <c r="R23" i="52"/>
  <c r="Q23" i="52"/>
  <c r="P23" i="52"/>
  <c r="O23" i="52"/>
  <c r="N23" i="52"/>
  <c r="M23" i="52"/>
  <c r="L23" i="52"/>
  <c r="K23" i="52"/>
  <c r="J23" i="52"/>
  <c r="I23" i="52"/>
  <c r="H23" i="52"/>
  <c r="G23" i="52"/>
  <c r="F23" i="52"/>
  <c r="E23" i="52"/>
  <c r="D23" i="52"/>
  <c r="C23" i="52"/>
  <c r="V18" i="52"/>
  <c r="U18" i="52"/>
  <c r="T18" i="52"/>
  <c r="S18" i="52"/>
  <c r="R18" i="52"/>
  <c r="Q18" i="52"/>
  <c r="P18" i="52"/>
  <c r="O18" i="52"/>
  <c r="N18" i="52"/>
  <c r="M18" i="52"/>
  <c r="L18" i="52"/>
  <c r="K18" i="52"/>
  <c r="J18" i="52"/>
  <c r="I18" i="52"/>
  <c r="H18" i="52"/>
  <c r="G18" i="52"/>
  <c r="F18" i="52"/>
  <c r="E18" i="52"/>
  <c r="D18" i="52"/>
  <c r="C18" i="52"/>
  <c r="V13" i="52"/>
  <c r="U13" i="52"/>
  <c r="T13" i="52"/>
  <c r="S13" i="52"/>
  <c r="R13" i="52"/>
  <c r="Q13" i="52"/>
  <c r="P13" i="52"/>
  <c r="O13" i="52"/>
  <c r="N13" i="52"/>
  <c r="M13" i="52"/>
  <c r="L13" i="52"/>
  <c r="K13" i="52"/>
  <c r="J13" i="52"/>
  <c r="I13" i="52"/>
  <c r="H13" i="52"/>
  <c r="G13" i="52"/>
  <c r="F13" i="52"/>
  <c r="E13" i="52"/>
  <c r="D13" i="52"/>
  <c r="C13" i="52"/>
  <c r="V8" i="52"/>
  <c r="U8" i="52"/>
  <c r="T8" i="52"/>
  <c r="T7" i="52" s="1"/>
  <c r="T3" i="52" s="1"/>
  <c r="S8" i="52"/>
  <c r="S7" i="52" s="1"/>
  <c r="S3" i="52" s="1"/>
  <c r="R8" i="52"/>
  <c r="Q8" i="52"/>
  <c r="P8" i="52"/>
  <c r="P7" i="52" s="1"/>
  <c r="P3" i="52" s="1"/>
  <c r="O8" i="52"/>
  <c r="O7" i="52" s="1"/>
  <c r="O3" i="52" s="1"/>
  <c r="N8" i="52"/>
  <c r="M8" i="52"/>
  <c r="L8" i="52"/>
  <c r="L7" i="52" s="1"/>
  <c r="L3" i="52" s="1"/>
  <c r="K8" i="52"/>
  <c r="K7" i="52" s="1"/>
  <c r="K3" i="52" s="1"/>
  <c r="J8" i="52"/>
  <c r="I8" i="52"/>
  <c r="H8" i="52"/>
  <c r="H7" i="52" s="1"/>
  <c r="H3" i="52" s="1"/>
  <c r="G8" i="52"/>
  <c r="G7" i="52" s="1"/>
  <c r="G3" i="52" s="1"/>
  <c r="F8" i="52"/>
  <c r="E8" i="52"/>
  <c r="C8" i="52"/>
  <c r="V7" i="52"/>
  <c r="V3" i="52" s="1"/>
  <c r="U7" i="52"/>
  <c r="R7" i="52"/>
  <c r="R3" i="52" s="1"/>
  <c r="Q7" i="52"/>
  <c r="N7" i="52"/>
  <c r="N3" i="52" s="1"/>
  <c r="M7" i="52"/>
  <c r="J7" i="52"/>
  <c r="J3" i="52" s="1"/>
  <c r="I7" i="52"/>
  <c r="F7" i="52"/>
  <c r="F3" i="52" s="1"/>
  <c r="E7" i="52"/>
  <c r="V4" i="52"/>
  <c r="U4" i="52"/>
  <c r="T4" i="52"/>
  <c r="S4" i="52"/>
  <c r="R4" i="52"/>
  <c r="Q4" i="52"/>
  <c r="P4" i="52"/>
  <c r="O4" i="52"/>
  <c r="N4" i="52"/>
  <c r="M4" i="52"/>
  <c r="L4" i="52"/>
  <c r="K4" i="52"/>
  <c r="J4" i="52"/>
  <c r="I4" i="52"/>
  <c r="H4" i="52"/>
  <c r="G4" i="52"/>
  <c r="F4" i="52"/>
  <c r="E4" i="52"/>
  <c r="D4" i="52"/>
  <c r="C4" i="52"/>
  <c r="U3" i="52"/>
  <c r="Q3" i="52"/>
  <c r="M3" i="52"/>
  <c r="I3" i="52"/>
  <c r="E3" i="52"/>
  <c r="N3" i="56" l="1"/>
  <c r="M10" i="56"/>
  <c r="M11" i="56" s="1"/>
  <c r="M47" i="56" s="1"/>
  <c r="D3" i="52"/>
  <c r="D69" i="52" s="1"/>
  <c r="D86" i="52" s="1"/>
  <c r="O84" i="52"/>
  <c r="D84" i="52"/>
  <c r="N84" i="52"/>
  <c r="S84" i="52"/>
  <c r="R69" i="52"/>
  <c r="V84" i="52"/>
  <c r="U69" i="52"/>
  <c r="V69" i="52"/>
  <c r="T84" i="52"/>
  <c r="T69" i="52"/>
  <c r="S69" i="52"/>
  <c r="R84" i="52"/>
  <c r="R86" i="52" s="1"/>
  <c r="Q84" i="52"/>
  <c r="Q69" i="52"/>
  <c r="P84" i="52"/>
  <c r="P69" i="52"/>
  <c r="O69" i="52"/>
  <c r="N69" i="52"/>
  <c r="M69" i="52"/>
  <c r="K84" i="52"/>
  <c r="L84" i="52"/>
  <c r="L69" i="52"/>
  <c r="K69" i="52"/>
  <c r="J84" i="52"/>
  <c r="I84" i="52"/>
  <c r="J69" i="52"/>
  <c r="I69" i="52"/>
  <c r="H69" i="52"/>
  <c r="H86" i="52" s="1"/>
  <c r="G69" i="52"/>
  <c r="F69" i="52"/>
  <c r="F86" i="52" s="1"/>
  <c r="C7" i="52"/>
  <c r="C3" i="52" s="1"/>
  <c r="C69" i="52" s="1"/>
  <c r="D7" i="52"/>
  <c r="N10" i="56" l="1"/>
  <c r="N11" i="56" s="1"/>
  <c r="N47" i="56" s="1"/>
  <c r="O3" i="56"/>
  <c r="N86" i="52"/>
  <c r="V86" i="52"/>
  <c r="T86" i="52"/>
  <c r="P86" i="52"/>
  <c r="L86" i="52"/>
  <c r="J86" i="52"/>
  <c r="O10" i="56" l="1"/>
  <c r="O11" i="56" s="1"/>
  <c r="O47" i="56" s="1"/>
  <c r="P3" i="56"/>
  <c r="H10" i="50"/>
  <c r="H7" i="50" s="1"/>
  <c r="H9" i="50"/>
  <c r="D7" i="50"/>
  <c r="Q3" i="56" l="1"/>
  <c r="P10" i="56"/>
  <c r="P11" i="56" s="1"/>
  <c r="P47" i="56" s="1"/>
  <c r="D110" i="49"/>
  <c r="R3" i="56" l="1"/>
  <c r="Q10" i="56"/>
  <c r="Q11" i="56" s="1"/>
  <c r="Q47" i="56" s="1"/>
  <c r="C15" i="50"/>
  <c r="N14" i="50"/>
  <c r="I12" i="50"/>
  <c r="I11" i="50" s="1"/>
  <c r="H11" i="50"/>
  <c r="G11" i="50"/>
  <c r="F11" i="50"/>
  <c r="E11" i="50"/>
  <c r="D11" i="50"/>
  <c r="I10" i="50"/>
  <c r="I9" i="50"/>
  <c r="I8" i="50"/>
  <c r="H15" i="50"/>
  <c r="G7" i="50"/>
  <c r="F7" i="50"/>
  <c r="E7" i="50"/>
  <c r="R10" i="56" l="1"/>
  <c r="R11" i="56" s="1"/>
  <c r="R47" i="56" s="1"/>
  <c r="S3" i="56"/>
  <c r="G15" i="50"/>
  <c r="F15" i="50"/>
  <c r="E15" i="50"/>
  <c r="I7" i="50"/>
  <c r="I15" i="50" s="1"/>
  <c r="D15" i="50"/>
  <c r="S10" i="56" l="1"/>
  <c r="S11" i="56" s="1"/>
  <c r="S47" i="56" s="1"/>
  <c r="T3" i="56"/>
  <c r="T10" i="56" l="1"/>
  <c r="X3" i="56"/>
  <c r="D24" i="33"/>
  <c r="D22" i="33" s="1"/>
  <c r="E27" i="33"/>
  <c r="D23" i="33"/>
  <c r="J19" i="32"/>
  <c r="E20" i="33"/>
  <c r="E23" i="33"/>
  <c r="F40" i="49"/>
  <c r="E29" i="33" s="1"/>
  <c r="D27" i="33"/>
  <c r="D29" i="33"/>
  <c r="D30" i="33"/>
  <c r="K10" i="32"/>
  <c r="M9" i="32"/>
  <c r="D10" i="33" s="1"/>
  <c r="I17" i="32"/>
  <c r="I22" i="32" s="1"/>
  <c r="I24" i="32" s="1"/>
  <c r="I13" i="32"/>
  <c r="K13" i="32"/>
  <c r="I7" i="32"/>
  <c r="J7" i="32"/>
  <c r="K7" i="32"/>
  <c r="T11" i="56" l="1"/>
  <c r="X10" i="56"/>
  <c r="E16" i="32"/>
  <c r="E15" i="32"/>
  <c r="T47" i="56" l="1"/>
  <c r="X47" i="56" s="1"/>
  <c r="X11" i="56"/>
  <c r="F43" i="34"/>
  <c r="E16" i="33" s="1"/>
  <c r="F44" i="34"/>
  <c r="E17" i="33" s="1"/>
  <c r="D65" i="49" l="1"/>
  <c r="D47" i="49"/>
  <c r="F91" i="49" s="1"/>
  <c r="E30" i="33" s="1"/>
  <c r="C85" i="34"/>
  <c r="E24" i="33" l="1"/>
  <c r="D92" i="49"/>
  <c r="C198" i="34" l="1"/>
  <c r="K14" i="32" s="1"/>
  <c r="K17" i="32" s="1"/>
  <c r="K22" i="32" s="1"/>
  <c r="K24" i="32" s="1"/>
  <c r="C205" i="34"/>
  <c r="I15" i="32" s="1"/>
  <c r="D16" i="20" l="1"/>
  <c r="F92" i="49" l="1"/>
  <c r="E35" i="33" l="1"/>
  <c r="F93" i="49" l="1"/>
  <c r="G14" i="47" l="1"/>
  <c r="C13" i="47"/>
  <c r="D13" i="47" s="1"/>
  <c r="E13" i="47" s="1"/>
  <c r="F13" i="47" s="1"/>
  <c r="C12" i="47"/>
  <c r="D12" i="47" s="1"/>
  <c r="E12" i="47" s="1"/>
  <c r="F12" i="47" s="1"/>
  <c r="G15" i="46"/>
  <c r="G14" i="46"/>
  <c r="G13" i="46"/>
  <c r="C10" i="41"/>
  <c r="D10" i="41" s="1"/>
  <c r="E10" i="41" s="1"/>
  <c r="F10" i="41" s="1"/>
  <c r="G12" i="47" l="1"/>
  <c r="G13" i="47"/>
  <c r="F5" i="40"/>
  <c r="F6" i="40"/>
  <c r="I6" i="40"/>
  <c r="F7" i="40"/>
  <c r="I7" i="40"/>
  <c r="E8" i="40"/>
  <c r="H8" i="40"/>
  <c r="J8" i="40"/>
  <c r="K8" i="40"/>
  <c r="L8" i="40"/>
  <c r="F15" i="40"/>
  <c r="F16" i="40"/>
  <c r="F17" i="40"/>
  <c r="F18" i="40"/>
  <c r="F19" i="40"/>
  <c r="F20" i="40"/>
  <c r="F21" i="40"/>
  <c r="E22" i="40"/>
  <c r="H22" i="40"/>
  <c r="J22" i="40"/>
  <c r="K22" i="40"/>
  <c r="L22" i="40"/>
  <c r="F26" i="40"/>
  <c r="F28" i="40" s="1"/>
  <c r="I26" i="40"/>
  <c r="I28" i="40" s="1"/>
  <c r="E28" i="40"/>
  <c r="H28" i="40"/>
  <c r="K28" i="40"/>
  <c r="L28" i="40"/>
  <c r="I8" i="40" l="1"/>
  <c r="F22" i="40"/>
  <c r="F8" i="40"/>
  <c r="E227" i="34" l="1"/>
  <c r="F208" i="34" s="1"/>
  <c r="E226" i="34"/>
  <c r="F207" i="34" s="1"/>
  <c r="E225" i="34"/>
  <c r="F206" i="34" s="1"/>
  <c r="C218" i="34"/>
  <c r="C230" i="34" s="1"/>
  <c r="C214" i="34"/>
  <c r="J15" i="32" s="1"/>
  <c r="N191" i="34"/>
  <c r="C190" i="34"/>
  <c r="L15" i="32" s="1"/>
  <c r="N182" i="34"/>
  <c r="C181" i="34"/>
  <c r="H15" i="32" s="1"/>
  <c r="C171" i="34"/>
  <c r="D15" i="32" s="1"/>
  <c r="C159" i="34"/>
  <c r="G15" i="32" s="1"/>
  <c r="C142" i="34"/>
  <c r="F15" i="32" s="1"/>
  <c r="E108" i="34"/>
  <c r="F92" i="34"/>
  <c r="E106" i="34"/>
  <c r="C95" i="34"/>
  <c r="C74" i="34"/>
  <c r="F45" i="34"/>
  <c r="E22" i="34"/>
  <c r="G20" i="34"/>
  <c r="F9" i="34"/>
  <c r="F5" i="34"/>
  <c r="F30" i="33"/>
  <c r="F24" i="33"/>
  <c r="E19" i="33"/>
  <c r="E11" i="33"/>
  <c r="F10" i="33"/>
  <c r="E8" i="33"/>
  <c r="M21" i="32"/>
  <c r="M19" i="32"/>
  <c r="M18" i="32"/>
  <c r="D19" i="33" s="1"/>
  <c r="M16" i="32"/>
  <c r="D17" i="33" s="1"/>
  <c r="M14" i="32"/>
  <c r="D15" i="33" s="1"/>
  <c r="F15" i="33" s="1"/>
  <c r="M12" i="32"/>
  <c r="D13" i="33" s="1"/>
  <c r="F13" i="33" s="1"/>
  <c r="L10" i="32"/>
  <c r="J10" i="32"/>
  <c r="H10" i="32"/>
  <c r="G10" i="32"/>
  <c r="F10" i="32"/>
  <c r="E10" i="32"/>
  <c r="D10" i="32"/>
  <c r="M8" i="32"/>
  <c r="D9" i="33" s="1"/>
  <c r="F9" i="33" s="1"/>
  <c r="L7" i="32"/>
  <c r="H7" i="32"/>
  <c r="G7" i="32"/>
  <c r="F7" i="32"/>
  <c r="E7" i="32"/>
  <c r="D7" i="32"/>
  <c r="M6" i="32"/>
  <c r="D7" i="33" s="1"/>
  <c r="F7" i="33" s="1"/>
  <c r="M5" i="32"/>
  <c r="D6" i="33" s="1"/>
  <c r="D11" i="32" l="1"/>
  <c r="H11" i="32"/>
  <c r="H17" i="32" s="1"/>
  <c r="H22" i="32" s="1"/>
  <c r="C224" i="34"/>
  <c r="G19" i="34"/>
  <c r="G205" i="34"/>
  <c r="E12" i="33"/>
  <c r="E14" i="33" s="1"/>
  <c r="E18" i="33" s="1"/>
  <c r="G18" i="34"/>
  <c r="M7" i="32"/>
  <c r="D8" i="33" s="1"/>
  <c r="F8" i="33" s="1"/>
  <c r="F204" i="34"/>
  <c r="F19" i="33"/>
  <c r="M10" i="32"/>
  <c r="D11" i="33" s="1"/>
  <c r="F11" i="32"/>
  <c r="F13" i="32" s="1"/>
  <c r="L11" i="32"/>
  <c r="L17" i="32" s="1"/>
  <c r="L22" i="32" s="1"/>
  <c r="E11" i="32"/>
  <c r="J11" i="32"/>
  <c r="F20" i="33"/>
  <c r="F17" i="33"/>
  <c r="M15" i="32"/>
  <c r="D16" i="33" s="1"/>
  <c r="F16" i="33" s="1"/>
  <c r="F6" i="33"/>
  <c r="F23" i="33"/>
  <c r="G24" i="33"/>
  <c r="F29" i="33"/>
  <c r="G15" i="33"/>
  <c r="H17" i="33"/>
  <c r="E22" i="33"/>
  <c r="F11" i="33"/>
  <c r="L13" i="32"/>
  <c r="D13" i="32"/>
  <c r="D17" i="32"/>
  <c r="H13" i="32"/>
  <c r="G11" i="32"/>
  <c r="M20" i="32"/>
  <c r="D21" i="33" s="1"/>
  <c r="F21" i="33" s="1"/>
  <c r="E17" i="32" l="1"/>
  <c r="E22" i="32" s="1"/>
  <c r="E24" i="32" s="1"/>
  <c r="E25" i="33"/>
  <c r="F22" i="33"/>
  <c r="J24" i="33" s="1"/>
  <c r="H32" i="33"/>
  <c r="J13" i="32"/>
  <c r="J17" i="32"/>
  <c r="E13" i="32"/>
  <c r="F17" i="32"/>
  <c r="F22" i="32" s="1"/>
  <c r="F24" i="32" s="1"/>
  <c r="M11" i="32"/>
  <c r="D12" i="33" s="1"/>
  <c r="H31" i="33"/>
  <c r="H23" i="33"/>
  <c r="L24" i="32"/>
  <c r="G13" i="32"/>
  <c r="G17" i="32"/>
  <c r="G22" i="32" s="1"/>
  <c r="D22" i="32"/>
  <c r="D24" i="32" s="1"/>
  <c r="H24" i="32"/>
  <c r="J22" i="32" l="1"/>
  <c r="J24" i="32" s="1"/>
  <c r="H38" i="33"/>
  <c r="H33" i="33"/>
  <c r="M13" i="32"/>
  <c r="D14" i="33" s="1"/>
  <c r="M17" i="32"/>
  <c r="D18" i="33" s="1"/>
  <c r="D25" i="33" s="1"/>
  <c r="F12" i="33"/>
  <c r="M22" i="32"/>
  <c r="G24" i="32"/>
  <c r="D28" i="33" l="1"/>
  <c r="F25" i="33"/>
  <c r="F14" i="33"/>
  <c r="M24" i="32"/>
  <c r="F18" i="33" l="1"/>
  <c r="F26" i="33" l="1"/>
  <c r="F27" i="33" l="1"/>
  <c r="E28" i="33"/>
  <c r="F28" i="33" s="1"/>
  <c r="H39" i="33" l="1"/>
  <c r="H40" i="33" s="1"/>
  <c r="F38" i="20" l="1"/>
  <c r="E38" i="20"/>
  <c r="D38" i="20"/>
  <c r="K17" i="20"/>
  <c r="E34" i="20" s="1"/>
  <c r="L17" i="20"/>
  <c r="F34" i="20" s="1"/>
  <c r="K16" i="20"/>
  <c r="E30" i="20" s="1"/>
  <c r="L16" i="20"/>
  <c r="F30" i="20" s="1"/>
  <c r="J17" i="20"/>
  <c r="D34" i="20" s="1"/>
  <c r="D30" i="20"/>
  <c r="K15" i="20"/>
  <c r="K26" i="20" s="1"/>
  <c r="L15" i="20"/>
  <c r="L26" i="20" s="1"/>
  <c r="J15" i="20"/>
  <c r="J26" i="20" s="1"/>
  <c r="E17" i="20"/>
  <c r="E33" i="20" s="1"/>
  <c r="F17" i="20"/>
  <c r="F33" i="20" s="1"/>
  <c r="D17" i="20"/>
  <c r="D33" i="20" s="1"/>
  <c r="E16" i="20"/>
  <c r="E29" i="20" s="1"/>
  <c r="F16" i="20"/>
  <c r="F29" i="20" s="1"/>
  <c r="D29" i="20"/>
  <c r="E15" i="20"/>
  <c r="E26" i="20" s="1"/>
  <c r="F15" i="20"/>
  <c r="F26" i="20" s="1"/>
  <c r="D15" i="20"/>
  <c r="D26" i="20" s="1"/>
  <c r="F31" i="20" l="1"/>
  <c r="E35" i="20"/>
  <c r="D35" i="20"/>
  <c r="F35" i="20"/>
  <c r="E31" i="20"/>
  <c r="D31" i="20"/>
  <c r="F37" i="20" l="1"/>
  <c r="F39" i="20" s="1"/>
  <c r="E37" i="20"/>
  <c r="E39" i="20" s="1"/>
  <c r="D37" i="20"/>
  <c r="D39" i="20" s="1"/>
  <c r="E45" i="9" l="1"/>
  <c r="B6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18" i="9"/>
  <c r="E17" i="9"/>
  <c r="E16" i="9"/>
  <c r="E15" i="9"/>
  <c r="E43" i="9" l="1"/>
  <c r="B53" i="9"/>
  <c r="E20" i="9"/>
  <c r="E44" i="9"/>
  <c r="B50" i="9"/>
  <c r="G8" i="6"/>
  <c r="D7" i="6"/>
  <c r="C7" i="6"/>
  <c r="C10" i="6" s="1"/>
  <c r="D10" i="6" l="1"/>
  <c r="G7" i="6"/>
  <c r="G10" i="6"/>
  <c r="F10" i="6" l="1"/>
  <c r="D12" i="53"/>
  <c r="D20" i="53"/>
  <c r="D22" i="53" s="1"/>
  <c r="D26" i="53" l="1"/>
  <c r="M12" i="53"/>
  <c r="D24" i="53"/>
</calcChain>
</file>

<file path=xl/sharedStrings.xml><?xml version="1.0" encoding="utf-8"?>
<sst xmlns="http://schemas.openxmlformats.org/spreadsheetml/2006/main" count="2258" uniqueCount="1572">
  <si>
    <t>INTÉZMÉNYEK MARADVÁNYKIMUTATÁSA</t>
  </si>
  <si>
    <t>Sor-szám</t>
  </si>
  <si>
    <t>Megnevezés</t>
  </si>
  <si>
    <t>1.</t>
  </si>
  <si>
    <t>2.</t>
  </si>
  <si>
    <t>3.</t>
  </si>
  <si>
    <t>4.</t>
  </si>
  <si>
    <t>5.</t>
  </si>
  <si>
    <t>6.</t>
  </si>
  <si>
    <t>7.</t>
  </si>
  <si>
    <t>Mindösszesen</t>
  </si>
  <si>
    <t>Dunaharaszti Polgármesteri Hivatal</t>
  </si>
  <si>
    <t>Dunaharaszti Városi Bölcsőde</t>
  </si>
  <si>
    <t>Dunaharaszti Területi Gondozási Központ</t>
  </si>
  <si>
    <t>Dunaharaszti Mese Óvoda</t>
  </si>
  <si>
    <t>Dunaharaszti Hétszínvirág Óvoda</t>
  </si>
  <si>
    <t>Alaptevékenység költségvetési bevételei</t>
  </si>
  <si>
    <t>Alaptevékenység költségvetési kiadásai</t>
  </si>
  <si>
    <r>
      <t xml:space="preserve">Alaptevékenység költségvetési egyenlege </t>
    </r>
    <r>
      <rPr>
        <i/>
        <sz val="18"/>
        <color indexed="8"/>
        <rFont val="Garamond"/>
        <family val="1"/>
        <charset val="238"/>
      </rPr>
      <t>(Alaptevékenység költségvetési bevételei - Alaptevékenység költségvetési kiadásai)</t>
    </r>
  </si>
  <si>
    <t>Alaptevékenység finanszírozási bevétele</t>
  </si>
  <si>
    <t>Alaptevékenység finanszírozási kiadása</t>
  </si>
  <si>
    <r>
      <t xml:space="preserve">Alaptevékenység finanszírozási egyenlege </t>
    </r>
    <r>
      <rPr>
        <i/>
        <sz val="18"/>
        <color indexed="8"/>
        <rFont val="Garamond"/>
        <family val="1"/>
        <charset val="238"/>
      </rPr>
      <t>(Alaptevékenység finanszírozási bevétele - Alaptevékenység finanszírozási kiadása)</t>
    </r>
  </si>
  <si>
    <r>
      <t>Alaptevékenység maradványa</t>
    </r>
    <r>
      <rPr>
        <b/>
        <i/>
        <sz val="18"/>
        <color indexed="8"/>
        <rFont val="Garamond"/>
        <family val="1"/>
        <charset val="238"/>
      </rPr>
      <t xml:space="preserve"> </t>
    </r>
    <r>
      <rPr>
        <i/>
        <sz val="18"/>
        <color indexed="8"/>
        <rFont val="Garamond"/>
        <family val="1"/>
        <charset val="238"/>
      </rPr>
      <t>(+/- Alaptevékenység költségvetési egyenlege +/- Alaptevékenység finanszírozási egyenlege)</t>
    </r>
  </si>
  <si>
    <t>8.</t>
  </si>
  <si>
    <r>
      <t>Vállalkozási tevékenység maradványa</t>
    </r>
    <r>
      <rPr>
        <b/>
        <i/>
        <sz val="18"/>
        <color indexed="8"/>
        <rFont val="Garamond"/>
        <family val="1"/>
        <charset val="238"/>
      </rPr>
      <t xml:space="preserve"> </t>
    </r>
  </si>
  <si>
    <t>9.</t>
  </si>
  <si>
    <r>
      <t>Összes maradvány</t>
    </r>
    <r>
      <rPr>
        <b/>
        <i/>
        <sz val="15"/>
        <color indexed="8"/>
        <rFont val="Garamond"/>
        <family val="1"/>
        <charset val="238"/>
      </rPr>
      <t xml:space="preserve"> (Alaptevékenység maradványa + Vállalkozói tevékenység maradványa)</t>
    </r>
  </si>
  <si>
    <t>10.</t>
  </si>
  <si>
    <t>ebből: működés</t>
  </si>
  <si>
    <t>ebből: felhalmozás</t>
  </si>
  <si>
    <t>11.</t>
  </si>
  <si>
    <r>
      <t>Alaptevékenység szabad maradványa</t>
    </r>
    <r>
      <rPr>
        <i/>
        <sz val="15"/>
        <color indexed="8"/>
        <rFont val="Garamond"/>
        <family val="1"/>
        <charset val="238"/>
      </rPr>
      <t xml:space="preserve"> (Alaptevékenység maradványa - Alaptevékenység kötelezettvállalással terhelt maradvány)</t>
    </r>
  </si>
  <si>
    <t>12.</t>
  </si>
  <si>
    <t>13.</t>
  </si>
  <si>
    <t>14.</t>
  </si>
  <si>
    <t>Alaptevékenység korrigált szabad maradványa</t>
  </si>
  <si>
    <t>15.</t>
  </si>
  <si>
    <t>Elvonás szabad maradvány terhére</t>
  </si>
  <si>
    <t>16.</t>
  </si>
  <si>
    <t>Dunaharaszti Család- és Gyermekjóléti Szolgálat</t>
  </si>
  <si>
    <t>ÖNKORMÁNYZAT MARADVÁNYKIMUTATÁSA</t>
  </si>
  <si>
    <t>Intézmények összesen</t>
  </si>
  <si>
    <t>Önkormányzat</t>
  </si>
  <si>
    <t>Városi szintű önkormányzat összesen</t>
  </si>
  <si>
    <r>
      <t>Összes maradvány</t>
    </r>
    <r>
      <rPr>
        <b/>
        <i/>
        <sz val="18"/>
        <color indexed="8"/>
        <rFont val="Garamond"/>
        <family val="1"/>
        <charset val="238"/>
      </rPr>
      <t xml:space="preserve"> (Alaptevékenység maradványa + Vállalkozói tevékenység maradványa+korrekciók)</t>
    </r>
  </si>
  <si>
    <r>
      <t>Alaptevékenység szabad maradványa</t>
    </r>
    <r>
      <rPr>
        <i/>
        <sz val="18"/>
        <color indexed="8"/>
        <rFont val="Garamond"/>
        <family val="1"/>
        <charset val="238"/>
      </rPr>
      <t xml:space="preserve"> (Alaptevékenység maradványa - Alaptevékenység kötelezettvállalással terhelt maradvány)</t>
    </r>
  </si>
  <si>
    <t>KGR-rel egyező</t>
  </si>
  <si>
    <t>KGR riport</t>
  </si>
  <si>
    <t>17.</t>
  </si>
  <si>
    <t>Intézményi költségvetési befizetés</t>
  </si>
  <si>
    <t>18.</t>
  </si>
  <si>
    <t>Dunaharaszti Város Önkormányzata - kötött maradvány</t>
  </si>
  <si>
    <t>Dunaharaszti Város Önkormányzata</t>
  </si>
  <si>
    <t>1. Mérlegben szereplő kötött maradvány</t>
  </si>
  <si>
    <t>Szerződés tárgya</t>
  </si>
  <si>
    <t>Összeg</t>
  </si>
  <si>
    <t>Működés</t>
  </si>
  <si>
    <t>Felhalmozás</t>
  </si>
  <si>
    <t>MÉRLEGBEN SZEREPLŐ KÖTÖTT MARADVÁNY</t>
  </si>
  <si>
    <t>3. Elkülönített számlák</t>
  </si>
  <si>
    <t>ELKÜLÖNÍTETT SZÁMLA</t>
  </si>
  <si>
    <t>Könyvtár 1 % számla</t>
  </si>
  <si>
    <t>Dunaharaszti Város Önkormányzata szabad maradvány felhasználása</t>
  </si>
  <si>
    <t>Sorszám</t>
  </si>
  <si>
    <t>Felhalmozási</t>
  </si>
  <si>
    <t>Működési</t>
  </si>
  <si>
    <t>Szabad maradvány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</si>
  <si>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</si>
  <si>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</si>
  <si>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</si>
  <si>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</si>
  <si>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</si>
  <si>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</si>
  <si>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</si>
  <si>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</si>
  <si>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</si>
  <si>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</si>
  <si>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Részvények, törzstőkék, üzletrészek állománya (Ft)</t>
  </si>
  <si>
    <t>Kibocsátó neve</t>
  </si>
  <si>
    <t>Értékvesztés</t>
  </si>
  <si>
    <t>Kibocsátás, alapítás  kelte</t>
  </si>
  <si>
    <t>Letéti hely</t>
  </si>
  <si>
    <t>%</t>
  </si>
  <si>
    <t>összege (Ft)</t>
  </si>
  <si>
    <t>( értékvesztés miatt )</t>
  </si>
  <si>
    <t>DV Kft. törzstőke</t>
  </si>
  <si>
    <t>1995/2003</t>
  </si>
  <si>
    <t>-</t>
  </si>
  <si>
    <t>1/1</t>
  </si>
  <si>
    <t>DHRV Kft. Törzstőke</t>
  </si>
  <si>
    <t>51/100</t>
  </si>
  <si>
    <t>ÉDV</t>
  </si>
  <si>
    <t>Összesen</t>
  </si>
  <si>
    <t>12/A - Mérleg</t>
  </si>
  <si>
    <t>Előző időszak</t>
  </si>
  <si>
    <t>Módosítások (+/-)</t>
  </si>
  <si>
    <t>Tárgyi időszak</t>
  </si>
  <si>
    <t>01</t>
  </si>
  <si>
    <t>A/I/1 Vagyoni értékű jogok</t>
  </si>
  <si>
    <t>02</t>
  </si>
  <si>
    <t>A/I/2 Szellemi termékek</t>
  </si>
  <si>
    <t>03</t>
  </si>
  <si>
    <t>A/I/3 Immateriális javak értékhelyesbítése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</si>
  <si>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</si>
  <si>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</si>
  <si>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</si>
  <si>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</si>
  <si>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</si>
  <si>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</si>
  <si>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07</t>
  </si>
  <si>
    <t>A/II/3 Tenyészállatok</t>
  </si>
  <si>
    <t>08</t>
  </si>
  <si>
    <t>A/II/4 Beruházások, felújítások</t>
  </si>
  <si>
    <t>09</t>
  </si>
  <si>
    <t>A/II/5 Tárgyi eszközök értékhelyesbítése</t>
  </si>
  <si>
    <t>10</t>
  </si>
  <si>
    <t>A/II Tárgyi eszközök  (=A/II/1+...+A/II/5)</t>
  </si>
  <si>
    <t>11</t>
  </si>
  <si>
    <t>A/III/1 Tartós részesedések (=A/III/1a+…+A/III/1e)</t>
  </si>
  <si>
    <t>12</t>
  </si>
  <si>
    <t>A/III/1a - ebből: tartós részesedések jegybankban</t>
  </si>
  <si>
    <t>13</t>
  </si>
  <si>
    <t>A/III/1b - ebből: tartós részesedések nem pénzügyi vállalkozásban</t>
  </si>
  <si>
    <t>14</t>
  </si>
  <si>
    <t>A/III/1c - ebből: tartós részesedésel pénzügyi vállalkozásban</t>
  </si>
  <si>
    <t>15</t>
  </si>
  <si>
    <t>A/III/1d - ebből: tartós részesedések társulásban</t>
  </si>
  <si>
    <t>16</t>
  </si>
  <si>
    <t>A/III/1e - ebből: egyéb tartós részesedések</t>
  </si>
  <si>
    <t>17</t>
  </si>
  <si>
    <t>A/III/2 Tartós hitelviszonyt megtestesítő értékpapírok (&gt;=A/III/2a+A/III/2/b)</t>
  </si>
  <si>
    <t>18</t>
  </si>
  <si>
    <t>A/III/2a - ebből: államkötvények</t>
  </si>
  <si>
    <t>19</t>
  </si>
  <si>
    <t>A/III/2b - ebből: helyi önkormányzatok kötvényei</t>
  </si>
  <si>
    <t>20</t>
  </si>
  <si>
    <t>A/III/3 Befektetett pénzügyi eszközök értékhelyesbítése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</si>
  <si>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</si>
  <si>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</si>
  <si>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</si>
  <si>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</si>
  <si>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23</t>
  </si>
  <si>
    <t>A/IV/1a - ebből: immateriális javak</t>
  </si>
  <si>
    <t>24</t>
  </si>
  <si>
    <t>A/IV/1b - ebből: tárgyi eszközök</t>
  </si>
  <si>
    <t>25</t>
  </si>
  <si>
    <t>A/IV/1c - ebből: tartós részesedések, tartós hitelviszonyt megtestesítő értékpapírok</t>
  </si>
  <si>
    <t>26</t>
  </si>
  <si>
    <t>A/IV/2 Koncesszióba, vagyonkezelésbe adott eszközök értékhelyesbítése</t>
  </si>
  <si>
    <t>27</t>
  </si>
  <si>
    <t>A/IV Koncesszióba, vagyonkezelésbe adott eszközök (=A/IV/1+A/IV/2)</t>
  </si>
  <si>
    <t>28</t>
  </si>
  <si>
    <t>A) NEMZETI VAGYONBA TARTOZÓ BEFEKTETETT ESZKÖZÖK (=A/I+A/II+A/III+A/IV)</t>
  </si>
  <si>
    <t>29</t>
  </si>
  <si>
    <t>B/I/1 Vásárolt készletek</t>
  </si>
  <si>
    <t>30</t>
  </si>
  <si>
    <t>B/I/2 Átsorolt, követelés fejében átvett készletek</t>
  </si>
  <si>
    <t>31</t>
  </si>
  <si>
    <t>B/I/3 Egyéb készletek</t>
  </si>
  <si>
    <t>32</t>
  </si>
  <si>
    <t>B/I/4  Befejezetlen termelés, félkész termékek, késztermékek</t>
  </si>
  <si>
    <t>33</t>
  </si>
  <si>
    <t>B/I/5 Növendék-, hízó és egyéb állatok</t>
  </si>
  <si>
    <t>34</t>
  </si>
  <si>
    <t>B/I Készletek (=B/I/1+…+B/I/5)</t>
  </si>
  <si>
    <t>35</t>
  </si>
  <si>
    <t>B/II/1 Nem tartós részesedések</t>
  </si>
  <si>
    <t>36</t>
  </si>
  <si>
    <t>B/II/2 Forgatási célú hitelviszonyt megtestesítő értékpapírok (&gt;=B/II/2a+…+B/II/2e)</t>
  </si>
  <si>
    <t>37</t>
  </si>
  <si>
    <t>B/II/2a - ebből: kárpótlási jegyek</t>
  </si>
  <si>
    <t>38</t>
  </si>
  <si>
    <t>B/II/2b - ebből: kincstárjegyek</t>
  </si>
  <si>
    <t>39</t>
  </si>
  <si>
    <t>B/II/2c - ebből: államkötvények</t>
  </si>
  <si>
    <t>40</t>
  </si>
  <si>
    <t>B/II/2d - ebből: helyi önkormányzatok kötvényei</t>
  </si>
  <si>
    <t>41</t>
  </si>
  <si>
    <t>B/II/2e - ebből: befektetési jegyek</t>
  </si>
  <si>
    <t>42</t>
  </si>
  <si>
    <t>B/II Értékpapírok (=B/II/1+B/II/2)</t>
  </si>
  <si>
    <t>43</t>
  </si>
  <si>
    <t>B) NEMZETI VAGYONBA TARTOZÓ FORGÓESZKÖZÖK (= B/I+B/II)</t>
  </si>
  <si>
    <t>44</t>
  </si>
  <si>
    <t>C/I/1 Éven túli lejáratú forint lekötött bankbetétek</t>
  </si>
  <si>
    <t>45</t>
  </si>
  <si>
    <t>C/I/2 Éven túli lejáratú deviza lekötött bankbetétek</t>
  </si>
  <si>
    <t>46</t>
  </si>
  <si>
    <t>C/I Lekötött bankbetétek (=C/I/1+…+C/I/2)</t>
  </si>
  <si>
    <t>47</t>
  </si>
  <si>
    <t>C/II/1 Forintpénztár</t>
  </si>
  <si>
    <t>48</t>
  </si>
  <si>
    <t>C/II/2 Valutapénztár</t>
  </si>
  <si>
    <t>49</t>
  </si>
  <si>
    <t>C/II/3 Betétkönyvek, csekkek, elektronikus pénzeszközök</t>
  </si>
  <si>
    <t>50</t>
  </si>
  <si>
    <t>C/II Pénztárak, csekkek, betétkönyvek (=C/II/1+C/II/2+C/II/3)</t>
  </si>
  <si>
    <t>51</t>
  </si>
  <si>
    <t>C/III/1 Kincstáron kívüli forintszámlák</t>
  </si>
  <si>
    <t>52</t>
  </si>
  <si>
    <t>C/III/2 Kincstárban vezetett forintszámlák</t>
  </si>
  <si>
    <t>53</t>
  </si>
  <si>
    <t>C/III Forintszámlák (=C/III/1+C/III/2)</t>
  </si>
  <si>
    <t>54</t>
  </si>
  <si>
    <t>C/IV/1 Kincstáron kívüli devizaszámlák</t>
  </si>
  <si>
    <t>55</t>
  </si>
  <si>
    <t>C/IV/2 Kincstárban vezetett devizaszámlák</t>
  </si>
  <si>
    <t>56</t>
  </si>
  <si>
    <t>C/IV Devizaszámlák (=CIV/1+C/IV/2)</t>
  </si>
  <si>
    <t>57</t>
  </si>
  <si>
    <t>C) PÉNZESZKÖZÖK (=C/I+…+C/IV)</t>
  </si>
  <si>
    <t>58</t>
  </si>
  <si>
    <t>D/I/1 Költségvetési évben esedékes követelések működési célú támogatások bevételeire államháztartáson belülről (&gt;=D/I/1a)</t>
  </si>
  <si>
    <t>59</t>
  </si>
  <si>
    <t>D/I/1a - ebből: költségvetési évben esedékes követelések működési célú visszatérítendő támogatások, kölcsönök visszatérülésére államháztartáson belülről</t>
  </si>
  <si>
    <t>60</t>
  </si>
  <si>
    <t>D/I/2 Költségvetési évben esedékes követelések felhalmozási célú támogatások bevételeire államháztartáson belülről (&gt;=D/I/2a)</t>
  </si>
  <si>
    <t>61</t>
  </si>
  <si>
    <t>D/I/2a - ebből: költségvetési évben esedékes követelések felhalmozási célú visszatérítendő támogatások, kölcsönök visszatérülésére államháztartáson belülről</t>
  </si>
  <si>
    <t>62</t>
  </si>
  <si>
    <t>D/I/3 Költségvetési évben esedékes követelések közhatalmi bevételre (=D/I/3a+…+D/I/3f)</t>
  </si>
  <si>
    <t>63</t>
  </si>
  <si>
    <t>D/I/3a  - ebből: költségvetési évben esedékes követelések jövedelemadókra</t>
  </si>
  <si>
    <t>64</t>
  </si>
  <si>
    <t>D/I/3b - ebből: költségvetési évben esedékes követelések szociális hozzájárulási adóra és járulékokra</t>
  </si>
  <si>
    <t>65</t>
  </si>
  <si>
    <t>D/I/3c - ebből: költségvetési évben esedékes követelések bérhez és foglalkoztatáshoz kapcsolódó adókra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</si>
  <si>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</si>
  <si>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</si>
  <si>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</si>
  <si>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</si>
  <si>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</si>
  <si>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</si>
  <si>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</si>
  <si>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</si>
  <si>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</si>
  <si>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</si>
  <si>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</si>
  <si>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</si>
  <si>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</si>
  <si>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</si>
  <si>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</si>
  <si>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</si>
  <si>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74</t>
  </si>
  <si>
    <t>D/I/4e - ebből: költségvetési évben esedékes követelések általános forgalmi adó visszatérítésére</t>
  </si>
  <si>
    <t>75</t>
  </si>
  <si>
    <t>76</t>
  </si>
  <si>
    <t>D/I/4g - ebből: költségvetési évben esedékes követelések egyéb pénzügyi műveletek bevételeire</t>
  </si>
  <si>
    <t>77</t>
  </si>
  <si>
    <t>D/I/4h - ebből: költségvetési évben esedékes követelések biztosító által fizetett kártérítésre</t>
  </si>
  <si>
    <t>78</t>
  </si>
  <si>
    <t>D/I/4i - ebből: költségvetési évben esedékes követelések egyéb működési bevételekre</t>
  </si>
  <si>
    <t>79</t>
  </si>
  <si>
    <t>D/I/5 Költségvetési évben esedékes követelések felhalmozási bevételre (=D/I/5a+…+D/I/5e)</t>
  </si>
  <si>
    <t>80</t>
  </si>
  <si>
    <t>D/I/5a - ebből: költségvetési évben esedékes követelések immateriális javak értékesítésére</t>
  </si>
  <si>
    <t>81</t>
  </si>
  <si>
    <t>D/I/5b - ebből: költségvetési évben esedékes követelések ingatlanok értékesítésére</t>
  </si>
  <si>
    <t>82</t>
  </si>
  <si>
    <t>D/I/5c - ebből: költségvetési évben esedékes követelések egyéb tárgyi eszközök értékesítésére</t>
  </si>
  <si>
    <t>83</t>
  </si>
  <si>
    <t>D/I/5d - ebből: költségvetési évben esedékes követelések részesedések értékesítésére</t>
  </si>
  <si>
    <t>84</t>
  </si>
  <si>
    <t>D/I/5e - ebből: költségvetési évben esedékes követelések részesedések megszűnéséhez kapcsolódó bevételekre</t>
  </si>
  <si>
    <t>85</t>
  </si>
  <si>
    <t>D/I/6 Költségvetési évben esedékes követelések működési célú átvett pénzeszközre (&gt;=D/I/6a+D/I/6b+D/I/6c)</t>
  </si>
  <si>
    <t>86</t>
  </si>
  <si>
    <t>D/I/6a - ebből: költségvetési évben esedékes követelések működési célú visszatérítendő támogatások, kölcsönök visszatérülése az Európai Uniótól</t>
  </si>
  <si>
    <t>87</t>
  </si>
  <si>
    <t>D/I/6b - ebből: költségvetési évben esedékes követelések működési célú visszatérítendő támogatások, kölcsönök visszatérülése kormányoktól és más nemzetközi szervezetektől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</si>
  <si>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</si>
  <si>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</si>
  <si>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</si>
  <si>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</si>
  <si>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90</t>
  </si>
  <si>
    <t>D/I/7a - ebből: költségvetési évben esedékes követelések felhalmozási célú visszatérítendő támogatások, kölcsönök visszatérülése az Európai Uniótól</t>
  </si>
  <si>
    <t>91</t>
  </si>
  <si>
    <t>D/I/7b - ebből: költségvetési évben esedékes követelések felhalmozási célú visszatérítendő támogatások, kölcsönök visszatérülése kormányoktól és más nemzetközi szervezetektől</t>
  </si>
  <si>
    <t>92</t>
  </si>
  <si>
    <t>D/I/7c - ebből: költségvetési évben esedékes követelések felhalmozási célú visszatérítendő támogatások, kölcsönök visszatérülésére államháztartáson kívülről</t>
  </si>
  <si>
    <t>93</t>
  </si>
  <si>
    <t>D/I/8 Költségvetési évben esedékes követelések finanszírozási bevételekre (&gt;=D/I/8a+…+D/I/8g)</t>
  </si>
  <si>
    <t>94</t>
  </si>
  <si>
    <t>D/I/8a - ebből: költségvetési évben esedékes követelések forgatási célú belföldi értékpapírok beváltásából, értékesítéséből</t>
  </si>
  <si>
    <t>95</t>
  </si>
  <si>
    <t>D/I/8b - ebből: költségvetési évben esedékes követelések befektetési célú belföldi értékpapírok beváltásából, értékesítéséből</t>
  </si>
  <si>
    <t>96</t>
  </si>
  <si>
    <t>D/I/8c - ebből: költségvetési évben esedékes követelések államháztartáson belüli megelőlegezések törlesztésére</t>
  </si>
  <si>
    <t>97</t>
  </si>
  <si>
    <t>D/I/8d - ebből: költségvetési évben esedékes követelések hosszú lejáratú tulajdonosi kölcsönök bevételeire</t>
  </si>
  <si>
    <t>98</t>
  </si>
  <si>
    <t>D/I/8e - ebből: költségvetési évben esedékes követelések rövid lejáratú tulajdonosi kölcsönök bevételeire</t>
  </si>
  <si>
    <t>99</t>
  </si>
  <si>
    <t>D/I/8f - ebből: költségvetési évben esedékes követelések forgatási célú külföldi értékpapírok beváltásából, értékesítéséből</t>
  </si>
  <si>
    <t>100</t>
  </si>
  <si>
    <t>D/I/8g - ebből: költségvetési évben esedékes követelések befektetési célú külföldi értékpapírok beváltásából, értékesítéséből</t>
  </si>
  <si>
    <t>101</t>
  </si>
  <si>
    <t>D/I Költségvetési évben esedékes követelések (=D/I/1+…+D/I/8)</t>
  </si>
  <si>
    <t>102</t>
  </si>
  <si>
    <t>D/II/1 Költségvetési évet követően esedékes követelések működési célú támogatások bevételeire államháztartáson belülről (&gt;=D/II/1a)</t>
  </si>
  <si>
    <t>103</t>
  </si>
  <si>
    <t>D/II/1a - ebből: költségvetési évet követően esedékes követelések működési célú visszatérítendő támogatások, kölcsönök visszatérülésére államháztartáson belülről</t>
  </si>
  <si>
    <t>104</t>
  </si>
  <si>
    <t>D/II/2 Költségvetési évet követően esedékes követelések felhalmozási célú támogatások bevételeire államháztartáson belülről (&gt;=D/II/2a)</t>
  </si>
  <si>
    <t>105</t>
  </si>
  <si>
    <t>D/II/2a - ebből: költségvetési évet követően esedékes követelések felhalmozási célú visszatérítendő támogatások, kölcsönök visszatérülésére államháztartáson belülről</t>
  </si>
  <si>
    <t>106</t>
  </si>
  <si>
    <t>D/II/3 Költségvetési évet követően esedékes követelések közhatalmi bevételre (=D/II/3a+…+D/II/3f)</t>
  </si>
  <si>
    <t>107</t>
  </si>
  <si>
    <t>D/II/3a - ebből: költségvetési évet követően esedékes követelések jövedelemadókra</t>
  </si>
  <si>
    <t>108</t>
  </si>
  <si>
    <t>D/II/3b - ebből: költségvetési évet követően esedékes követelések szociális hozzájárulási adóra és járulékokra</t>
  </si>
  <si>
    <t>109</t>
  </si>
  <si>
    <t>D/II/3c - ebből: költségvetési évet követően esedékes követelések bérhez és foglalkoztatáshoz kapcsolódó adókra</t>
  </si>
  <si>
    <t>110</t>
  </si>
  <si>
    <t>D/II/3d - ebből: költségvetési évet követően esedékes követelések vagyoni típusú adókra</t>
  </si>
  <si>
    <t>111</t>
  </si>
  <si>
    <t>D/II/3e - ebből: költségvetési évet követően esedékes követelések termékek és szolgáltatások adóira</t>
  </si>
  <si>
    <t>112</t>
  </si>
  <si>
    <t>D/II/3f - ebből: költségvetési évet követően esedékes követelések egyéb közhatalmi bevételekre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</si>
  <si>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</si>
  <si>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</si>
  <si>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</si>
  <si>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</si>
  <si>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115</t>
  </si>
  <si>
    <t>D/II/4b - ebből: költségvetési évet követően esedékes követelések tulajdonosi bevételekre</t>
  </si>
  <si>
    <t>116</t>
  </si>
  <si>
    <t>D/II/4c - ebből: költségvetési évet követően esedékes követelések ellátási díjakra</t>
  </si>
  <si>
    <t>117</t>
  </si>
  <si>
    <t>D/II/4d - ebből: költségvetési évet követően esedékes követelések kiszámlázott általános forgalmi adóra</t>
  </si>
  <si>
    <t>118</t>
  </si>
  <si>
    <t>D/II/4e - ebből: költségvetési évet követően esedékes követelések általános forgalmi adó visszatérítésére</t>
  </si>
  <si>
    <t>119</t>
  </si>
  <si>
    <t>120</t>
  </si>
  <si>
    <t>D/II/4g - ebből: költségvetési évet követően esedékes követelések egyéb pénzügyi műveletek bevételeire</t>
  </si>
  <si>
    <t>121</t>
  </si>
  <si>
    <t>D/II/4h - ebből: költségvetési évet követően esedékes követelések biztosító által fizetett kártérítésre</t>
  </si>
  <si>
    <t>122</t>
  </si>
  <si>
    <t>D/II/4i - ebből: költségvetési évet követően esedékes követelések egyéb működési bevételekre</t>
  </si>
  <si>
    <t>123</t>
  </si>
  <si>
    <t>D/II/5 Költségvetési évet követően esedékes követelések felhalmozási bevételre (=D/II/5a+…+D/II/5e)</t>
  </si>
  <si>
    <t>124</t>
  </si>
  <si>
    <t>D/II/5a - ebből: költségvetési évet követően esedékes követelések immateriális javak értékesítésére</t>
  </si>
  <si>
    <t>125</t>
  </si>
  <si>
    <t>D/II/5b - ebből: költségvetési évet követően esedékes követelések ingatlanok értékesítésére</t>
  </si>
  <si>
    <t>126</t>
  </si>
  <si>
    <t>D/II/5c - ebből: költségvetési évet követően esedékes követelések egyéb tárgyi eszközök értékesítésére</t>
  </si>
  <si>
    <t>127</t>
  </si>
  <si>
    <t>D/II/5d - ebből: költségvetési évet követően esedékes követelések részesedések értékesítésére</t>
  </si>
  <si>
    <t>128</t>
  </si>
  <si>
    <t>D/II/5e - ebből: költségvetési évet követően esedékes követelések részesedések megszűnéséhez kapcsolódó bevételekre</t>
  </si>
  <si>
    <t>129</t>
  </si>
  <si>
    <t>D/II/6 Költségvetési évet követően esedékes követelések működési célú átvett pénzeszközre (&gt;=D/II/6a+D/II/6b+D/II/6c)</t>
  </si>
  <si>
    <t>130</t>
  </si>
  <si>
    <t>D/II/6a - ebből: költségvetési évet követően esedékes követelések működési célú visszatérítendő támogatások, kölcsönök visszatérülése az Európai Uniótól</t>
  </si>
  <si>
    <t>131</t>
  </si>
  <si>
    <t>D/II/6b - ebből: költségvetési évet követően esedékes követelések működési célú visszatérítendő támogatások, kölcsönök visszatérülése kormányoktól és más nemzetközi szervezetektől</t>
  </si>
  <si>
    <t>132</t>
  </si>
  <si>
    <t>D/II/6c - ebből: költségvetési évet követően esedékes követelések működési célú visszatérítendő támogatások, kölcsönök visszatérülésére államháztartáson kívülről</t>
  </si>
  <si>
    <t>133</t>
  </si>
  <si>
    <t>D/II/7 Költségvetési évet követően esedékes követelések felhalmozási célú átvett pénzeszközre (&gt;=D/II/7a+D/II/7b+D/II/7c)</t>
  </si>
  <si>
    <t>134</t>
  </si>
  <si>
    <t>D/II/7a - ebből: költségvetési évet követően esedékes követelések felhalmozási célú visszatérítendő támogatások, kölcsönök visszatérülése az Európai Uniótól</t>
  </si>
  <si>
    <t>135</t>
  </si>
  <si>
    <t>D/II/7b - ebből: költségvetési évet követően esedékes követelések felhalmozási célú visszatérítendő támogatások, kölcsönök visszatérülése kormányoktól és más nemzetközi szervezetektől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</si>
  <si>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</si>
  <si>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</si>
  <si>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137</t>
  </si>
  <si>
    <t>138</t>
  </si>
  <si>
    <t>D/II8a - ebből: költségvetési évet követően esedékes követelések befektetési célú belföldi értékpapírok beváltásából, értékesítéséből</t>
  </si>
  <si>
    <t>139</t>
  </si>
  <si>
    <t>140</t>
  </si>
  <si>
    <t>141</t>
  </si>
  <si>
    <t>D/II Költségvetési évet követően esedékes követelések (=D/II/1+…+D/II/8)</t>
  </si>
  <si>
    <t>142</t>
  </si>
  <si>
    <t>D/III/1 Adott előlegek (=D/III/1a+…+D/III/1f)</t>
  </si>
  <si>
    <t>143</t>
  </si>
  <si>
    <t>D/III/1a - ebből: immateriális javakra adott előlegek</t>
  </si>
  <si>
    <t>144</t>
  </si>
  <si>
    <t>145</t>
  </si>
  <si>
    <t>D/III/1c - ebből: készletekre adott előlegek</t>
  </si>
  <si>
    <t>146</t>
  </si>
  <si>
    <t>D/III/1d - ebből: igénybe vett szolgáltatásra adott előlegek</t>
  </si>
  <si>
    <t>147</t>
  </si>
  <si>
    <t>D/III/1e - ebből: foglalkoztatottaknak adott előlegek</t>
  </si>
  <si>
    <t>148</t>
  </si>
  <si>
    <t>D/III/1f - ebből: túlfizetések, téves és visszajáró kifizetések</t>
  </si>
  <si>
    <t>149</t>
  </si>
  <si>
    <t>D/III/2 Továbbadási célból folyósított támogatások, ellátások elszámolása</t>
  </si>
  <si>
    <t>150</t>
  </si>
  <si>
    <t>D/III/3 Más által beszedett bevételek elszámolása</t>
  </si>
  <si>
    <t>151</t>
  </si>
  <si>
    <t>D/III/4 Forgótőke elszámolása</t>
  </si>
  <si>
    <t>152</t>
  </si>
  <si>
    <t>D/III/5 Vagyonkezelésbe adott eszközökkel kapcsolatos visszapótlási követelés elszámolása</t>
  </si>
  <si>
    <t>153</t>
  </si>
  <si>
    <t>D/III/6 Nem társadalombiztosítás pénzügyi alapjait terhelő kifizetett ellátások megtérítésének elszámolása</t>
  </si>
  <si>
    <t>154</t>
  </si>
  <si>
    <t>D/III/7 Folyósított, megelőlegezett társadalombiztosítási és családtámogatási ellátások elszámolása</t>
  </si>
  <si>
    <t>155</t>
  </si>
  <si>
    <t>156</t>
  </si>
  <si>
    <t>D/III/9 Letétre, megőrzésre, fedezetkezelésre átadott pénzeszközök, biztosítékok</t>
  </si>
  <si>
    <t>157</t>
  </si>
  <si>
    <t>D/III Követelés jellegű sajátos elszámolások (=D/III/1+…+D/III/9)</t>
  </si>
  <si>
    <t>158</t>
  </si>
  <si>
    <t>D) KÖVETELÉSEK  (=D/I+D/II+D/III)</t>
  </si>
  <si>
    <t>159</t>
  </si>
  <si>
    <t>160</t>
  </si>
  <si>
    <t>161</t>
  </si>
  <si>
    <t>162</t>
  </si>
  <si>
    <t>F/1  Eredményszemléletű bevételek aktív időbeli elhatárolása</t>
  </si>
  <si>
    <t>163</t>
  </si>
  <si>
    <t>F/2 Költségek, ráfordítások aktív időbeli elhatárolása</t>
  </si>
  <si>
    <t>164</t>
  </si>
  <si>
    <t>F/3 Halasztott ráfordítások</t>
  </si>
  <si>
    <t>165</t>
  </si>
  <si>
    <t>F) AKTÍV IDŐBELI  ELHATÁROLÁSOK  (=F/1+F/2+F/3)</t>
  </si>
  <si>
    <t>166</t>
  </si>
  <si>
    <t>ESZKÖZÖK ÖSSZESEN (=A+B+C+D+E+F)</t>
  </si>
  <si>
    <t>167</t>
  </si>
  <si>
    <t>G/I  Nemzeti vagyon induláskori értéke</t>
  </si>
  <si>
    <t>168</t>
  </si>
  <si>
    <t>G/II Nemzeti vagyon változásai</t>
  </si>
  <si>
    <t>169</t>
  </si>
  <si>
    <t>170</t>
  </si>
  <si>
    <t>G/IV Felhalmozott eredmény</t>
  </si>
  <si>
    <t>171</t>
  </si>
  <si>
    <t>G/V Eszközök értékhelyesbítésének forrása</t>
  </si>
  <si>
    <t>172</t>
  </si>
  <si>
    <t>G/VI Mérleg szerinti eredmény</t>
  </si>
  <si>
    <t>173</t>
  </si>
  <si>
    <t>G/ SAJÁT TŐKE  (= G/I+…+G/VI)</t>
  </si>
  <si>
    <t>174</t>
  </si>
  <si>
    <t>H/I/1 Költségvetési évben esedékes kötelezettségek személyi juttatásokra</t>
  </si>
  <si>
    <t>175</t>
  </si>
  <si>
    <t>H/I/2 Költségvetési évben esedékes kötelezettségek munkaadókat terhelő járulékokra és szociális hozzájárulási adóra</t>
  </si>
  <si>
    <t>176</t>
  </si>
  <si>
    <t>H/I/3 Költségvetési évben esedékes kötelezettségek dologi kiadásokra</t>
  </si>
  <si>
    <t>177</t>
  </si>
  <si>
    <t>H/I/4 Költségvetési évben esedékes kötelezettségek ellátottak pénzbeli juttatásaira</t>
  </si>
  <si>
    <t>178</t>
  </si>
  <si>
    <t>H/I/5 Költségvetési évben esedékes kötelezettségek egyéb működési célú kiadásokra (&gt;=H/I/5a+H/I/5b)</t>
  </si>
  <si>
    <t>179</t>
  </si>
  <si>
    <t>H/I/5a - ebből: költségvetési évben esedékes kötelezettségek működési célú visszatérítendő támogatások, kölcsönök törlesztésére államháztartáson belülre</t>
  </si>
  <si>
    <t>180</t>
  </si>
  <si>
    <t>H/I/5b - ebből: költségvetési évben esedékes kötelezettségek működési célú támogatásokra az Európai Uniónak</t>
  </si>
  <si>
    <t>181</t>
  </si>
  <si>
    <t>H/I/6 Költségvetési évben esedékes kötelezettségek beruházásokra</t>
  </si>
  <si>
    <t>182</t>
  </si>
  <si>
    <t>H/I/7 Költségvetési évben esedékes kötelezettségek felújításokra</t>
  </si>
  <si>
    <t>183</t>
  </si>
  <si>
    <t>H/I/8 Költségvetési évben esedékes kötelezettségek egyéb felhalmozási célú kiadásokra (&gt;=H/I/8a+H/I/8b)</t>
  </si>
  <si>
    <t>184</t>
  </si>
  <si>
    <t>H/I/8a - ebből: költségvetési évben esedékes kötelezettségek felhalmozási célú visszatérítendő támogatások, kölcsönök törlesztésére államháztartáson belülre</t>
  </si>
  <si>
    <t>185</t>
  </si>
  <si>
    <t>H/I/8b - ebből: költségvetési évben esedékes kötelezettségek felhalmozási célú támogatásokra az Európai Uniónak</t>
  </si>
  <si>
    <t>186</t>
  </si>
  <si>
    <t>H/I/9 Költségvetési évben esedékes kötelezettségek finanszírozási kiadásokra (&gt;=H/I/9a+…+H/I/9l)</t>
  </si>
  <si>
    <t>187</t>
  </si>
  <si>
    <t>H/I/9a - ebből: költségvetési évben esedékes kötelezettségek hosszú lejáratú hitelek, kölcsönök törlesztésére pénzügyi vállalkozásnak</t>
  </si>
  <si>
    <t>188</t>
  </si>
  <si>
    <t>H/I/9b - ebből: költségvetési évben esedékes kötelezettségek rövid lejáratú hitelek, kölcsönök törlesztésére pénzügyi vállalkozásnak</t>
  </si>
  <si>
    <t>189</t>
  </si>
  <si>
    <t>H/I/9c - ebből: költségvetési évben esedékes kötelezettségek kincstárjegyek beváltására</t>
  </si>
  <si>
    <t>190</t>
  </si>
  <si>
    <t>H/I/9d - ebből: költségvetési évben esedékes kötelezettségek éven belüli lejáratú belföldi értékpapírok beváltására</t>
  </si>
  <si>
    <t>191</t>
  </si>
  <si>
    <t>H/I/9e - ebből: költségvetési évben esedékes kötelezettségek belföldi kötvények beváltására</t>
  </si>
  <si>
    <t>192</t>
  </si>
  <si>
    <t>H/I/9f - ebből: költségvetési évben esedékes kötelezettségek éven túli lejáratú belföldi értékpapírok beváltására</t>
  </si>
  <si>
    <t>193</t>
  </si>
  <si>
    <t>H/I/9g - ebből: költségvetési évben esedékes kötelezettségek államháztartáson belüli megelőlegezések visszafizetésére</t>
  </si>
  <si>
    <t>194</t>
  </si>
  <si>
    <t>H/I/9h - ebből: költségvetési évben esedékes kötelezettségek pénzügyi lízing kiadásaira</t>
  </si>
  <si>
    <t>195</t>
  </si>
  <si>
    <t>H/I/9i - ebből: költségvetési évben esedékes kötelezettségek külföldi értékpapírok beváltására</t>
  </si>
  <si>
    <t>196</t>
  </si>
  <si>
    <t>H/I/9j - ebből: költségvetési évben esedékes kötelezettségek hitelek, kölcsönök törlesztésére külföldi kormányoknak és nemzetközi szervezeteknek</t>
  </si>
  <si>
    <t>197</t>
  </si>
  <si>
    <t>H/I/9k - ebből: költségvetési évben esedékes kötelezettségek hitelek, kölcsönök törlesztésére külföldi pénzintézeteknek</t>
  </si>
  <si>
    <t>198</t>
  </si>
  <si>
    <t>H/I/9l - ebből: költségvetési évben esedékes kötelezettségek váltókiadásokra</t>
  </si>
  <si>
    <t>199</t>
  </si>
  <si>
    <t>H/I Költségvetési évben esedékes kötelezettségek (=H/I/1+…+H/I/9)</t>
  </si>
  <si>
    <t>200</t>
  </si>
  <si>
    <t>H/II/1 Költségvetési évet követően esedékes kötelezettségek személyi juttatásokra</t>
  </si>
  <si>
    <t>201</t>
  </si>
  <si>
    <t>H/II/2 Költségvetési évet követően esedékes kötelezettségek munkaadókat terhelő járulékokra és szociális hozzájárulási adóra</t>
  </si>
  <si>
    <t>202</t>
  </si>
  <si>
    <t>H/II/3 Költségvetési évet követően esedékes kötelezettségek dologi kiadásokra</t>
  </si>
  <si>
    <t>203</t>
  </si>
  <si>
    <t>H/II/4 Költségvetési évet követően esedékes kötelezettségek ellátottak pénzbeli juttatásaira</t>
  </si>
  <si>
    <t>204</t>
  </si>
  <si>
    <t>H/II/5 Költségvetési évet követően esedékes kötelezettségek egyéb működési célú kiadásokra (&gt;=H/II/5a+H/II/5b)</t>
  </si>
  <si>
    <t>205</t>
  </si>
  <si>
    <t>H/II/5a - ebből: költségvetési évet követően esedékes kötelezettségek működési célú visszatérítendő támogatások, kölcsönök törlesztésére államháztartáson belülre</t>
  </si>
  <si>
    <t>206</t>
  </si>
  <si>
    <t>H/II/5b - ebből: költségvetési évet követően esedékes kötelezettségek működési célú támogatásokra az Európai Uniónak</t>
  </si>
  <si>
    <t>207</t>
  </si>
  <si>
    <t>H/II/6 Költségvetési évet követően esedékes kötelezettségek beruházásokra</t>
  </si>
  <si>
    <t>208</t>
  </si>
  <si>
    <t>H/II/7 Költségvetési évet követően esedékes kötelezettségek felújításokra</t>
  </si>
  <si>
    <t>209</t>
  </si>
  <si>
    <t>H/II/8 Költségvetési évet követően esedékes kötelezettségek egyéb felhalmozási célú kiadásokra (&gt;=H/II/8a+H/II/8b)</t>
  </si>
  <si>
    <t>210</t>
  </si>
  <si>
    <t>H/II/8a - ebből: költségvetési évet követően esedékes kötelezettségek felhalmozási célú visszatérítendő támogatások, kölcsönök törlesztésére államháztartáson belülre</t>
  </si>
  <si>
    <t>211</t>
  </si>
  <si>
    <t>H/II/8b - ebből: költségvetési évet követően esedékes kötelezettségek felhalmozási célú támogatásokra az Európai Uniónak</t>
  </si>
  <si>
    <t>212</t>
  </si>
  <si>
    <t>213</t>
  </si>
  <si>
    <t>H/II/9a - ebből: költségvetési évet követően esedékes kötelezettségek hosszú lejáratú hitelek, kölcsönök törlesztésére pénzügyi vállalkozásnak</t>
  </si>
  <si>
    <t>214</t>
  </si>
  <si>
    <t>H/II/9b - ebből: költségvetési évet követően esedékes kötelezettségek kincstárjegyek beváltására</t>
  </si>
  <si>
    <t>215</t>
  </si>
  <si>
    <t>H/II/9c - ebből: költségvetési évet követően esedékes kötelezettségek belföldi kötvények beváltására</t>
  </si>
  <si>
    <t>216</t>
  </si>
  <si>
    <t>H/II/9d - ebből: költségvetési évet követően esedékes kötelezettségek éven túli lejáratú belföldi értékpapírok beváltására</t>
  </si>
  <si>
    <t>217</t>
  </si>
  <si>
    <t>218</t>
  </si>
  <si>
    <t>219</t>
  </si>
  <si>
    <t>220</t>
  </si>
  <si>
    <t>221</t>
  </si>
  <si>
    <t>222</t>
  </si>
  <si>
    <t>H/II Költségvetési évet követően esedékes kötelezettségek (=H/II/1+…+H/II/9)</t>
  </si>
  <si>
    <t>223</t>
  </si>
  <si>
    <t>224</t>
  </si>
  <si>
    <t>225</t>
  </si>
  <si>
    <t>226</t>
  </si>
  <si>
    <t>227</t>
  </si>
  <si>
    <t>H/III/2 Továbbadási célból folyósított támogatások, ellátások elszámolása</t>
  </si>
  <si>
    <t>228</t>
  </si>
  <si>
    <t>H/III/3 Más szervezetet megillető bevételek elszámolása</t>
  </si>
  <si>
    <t>229</t>
  </si>
  <si>
    <t>H/III/4 Forgótőke elszámolása (Kincstár)</t>
  </si>
  <si>
    <t>230</t>
  </si>
  <si>
    <t>231</t>
  </si>
  <si>
    <t>H/III/6 Nem társadalombiztosítás pénzügyi alapjait terhelő kifizetett ellátások megtérítésének elszámolása</t>
  </si>
  <si>
    <t>232</t>
  </si>
  <si>
    <t>233</t>
  </si>
  <si>
    <t>H/III/8 Letétre, megőrzésre, fedezetkezelésre átvett pénzeszközök, biztosítékok</t>
  </si>
  <si>
    <t>234</t>
  </si>
  <si>
    <t>H/III/9 Nemzetközi támogatási programok pénzeszközei</t>
  </si>
  <si>
    <t>235</t>
  </si>
  <si>
    <t>H/III/10 Államadósság Kezelő Központ Zrt.-nél elhelyezett fedezeti betétek</t>
  </si>
  <si>
    <t>236</t>
  </si>
  <si>
    <t>H/III Kötelezettség jellegű sajátos elszámolások (=H/III/1+…+H/III/10)</t>
  </si>
  <si>
    <t>237</t>
  </si>
  <si>
    <t>H) KÖTELEZETTSÉGEK (=H/I+H/II+H/III)</t>
  </si>
  <si>
    <t>238</t>
  </si>
  <si>
    <t>I) KINCSTÁRI SZÁMLAVEZETÉSSEL KAPCSOLATOS ELSZÁMOLÁSOK</t>
  </si>
  <si>
    <t>239</t>
  </si>
  <si>
    <t>J/1 Eredményszemléletű bevételek passzív időbeli elhatárolása</t>
  </si>
  <si>
    <t>240</t>
  </si>
  <si>
    <t>J/2 Költségek, ráfordítások passzív időbeli elhatárolása</t>
  </si>
  <si>
    <t>241</t>
  </si>
  <si>
    <t>J/3 Halasztott eredményszemléletű bevételek</t>
  </si>
  <si>
    <t>242</t>
  </si>
  <si>
    <t>J) PASSZÍV IDŐBELI ELHATÁROLÁSOK (=J/1+J/2+J/3)</t>
  </si>
  <si>
    <t>243</t>
  </si>
  <si>
    <t>FORRÁSOK ÖSSZESEN (=G+H+I+J)</t>
  </si>
  <si>
    <t>13/A - Eredménykimutatás</t>
  </si>
  <si>
    <t>Dunaharaszti Város Önkormányzat célhiteleihez és egyéb fejlesztési hiteleihez kapcsolódó kötelezettségvállalás</t>
  </si>
  <si>
    <t>Célhitel (OTP)</t>
  </si>
  <si>
    <t>Hitel célja</t>
  </si>
  <si>
    <t>7.2 hitelcél: Közoktatási feladatellátás int….</t>
  </si>
  <si>
    <t>5.1 hitelcél: Helyi közútak építése, felújítása</t>
  </si>
  <si>
    <t>6.3 hitelcél: Csapadék - vízelvezetés</t>
  </si>
  <si>
    <t>Hitelszerződés kelte</t>
  </si>
  <si>
    <t>Kötelezettségvállalás száma</t>
  </si>
  <si>
    <t>Felvétel éve</t>
  </si>
  <si>
    <t>Kamat mértéke</t>
  </si>
  <si>
    <t>3 havi BUBOR + MFB refinanszírozási kamatfelár + OTP kamatfelár 2,5 %</t>
  </si>
  <si>
    <t>Biztosíték, jelzálog, óvadék</t>
  </si>
  <si>
    <t>Évek</t>
  </si>
  <si>
    <t>Törlesztések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</si>
  <si>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</si>
  <si>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</si>
  <si>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</si>
  <si>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</si>
  <si>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</si>
  <si>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</si>
  <si>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</si>
  <si>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</si>
  <si>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</si>
  <si>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</si>
  <si>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</si>
  <si>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</si>
  <si>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</si>
  <si>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</si>
  <si>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</si>
  <si>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</si>
  <si>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</si>
  <si>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</si>
  <si>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</si>
  <si>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</si>
  <si>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</si>
  <si>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</si>
  <si>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</si>
  <si>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</si>
  <si>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</si>
  <si>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Le nem hívott hitel állomány</t>
  </si>
  <si>
    <t>Dunaharaszti Város Önkormányzatának európai uniós forrásokból megvalósuló beruházásai</t>
  </si>
  <si>
    <r>
      <t xml:space="preserve">Projektmenedzser: </t>
    </r>
    <r>
      <rPr>
        <b/>
        <sz val="10"/>
        <rFont val="Arial"/>
        <family val="2"/>
        <charset val="238"/>
      </rPr>
      <t>Corex Projektfejlesztési Kft.</t>
    </r>
  </si>
  <si>
    <t>Nettó</t>
  </si>
  <si>
    <t>A projekt fenntartási időszakára vállalt számszerűsíthető eredmények:</t>
  </si>
  <si>
    <t>Megújuló energiahordozó felhasználás növekedése (GJ/év)</t>
  </si>
  <si>
    <t>ÜHG-kibocsátás csökkentése (t/év)</t>
  </si>
  <si>
    <t>Horizontális vállalások</t>
  </si>
  <si>
    <t>4. A szervezet döntéshozói, munkavállalói vagy közönsége számára esélyegyenlőségi képzést tart (I/N)</t>
  </si>
  <si>
    <t>I</t>
  </si>
  <si>
    <t>24. Helyszínválasztáskor környezetbarát közlekedési (elérhetőségi) szempontok érvényesítése (I/N)</t>
  </si>
  <si>
    <t>35. Újrahasznosított papír használat az irodai és nyomdai munkák során (I/N)</t>
  </si>
  <si>
    <r>
      <t>Projekt címe:</t>
    </r>
    <r>
      <rPr>
        <b/>
        <u/>
        <sz val="12"/>
        <rFont val="Garamond"/>
        <family val="1"/>
        <charset val="238"/>
      </rPr>
      <t xml:space="preserve"> "Dunaharaszti Napsugár Óvoda energetikai fejlesztése"</t>
    </r>
  </si>
  <si>
    <r>
      <t xml:space="preserve">Projekt azonosítószáma: </t>
    </r>
    <r>
      <rPr>
        <b/>
        <sz val="12"/>
        <rFont val="Garamond"/>
        <family val="1"/>
        <charset val="238"/>
      </rPr>
      <t>KEOP-5.3.0/B-09-2010-0099</t>
    </r>
  </si>
  <si>
    <r>
      <t xml:space="preserve">Projektmenedzser: </t>
    </r>
    <r>
      <rPr>
        <b/>
        <sz val="12"/>
        <rFont val="Garamond"/>
        <family val="1"/>
        <charset val="238"/>
      </rPr>
      <t>Corex Projektfejlesztési Kft.</t>
    </r>
  </si>
  <si>
    <t>Energiahatékonyság növelés révén megtakarított éves elsődleges (primer) energiahordozó mennyisége (GJ/év)</t>
  </si>
  <si>
    <t>a) Foglalkoztatottak száma (statisztikai állományi létszám) (fő)</t>
  </si>
  <si>
    <t>b) Nők száma a foglalkoztatottak közt (fő)</t>
  </si>
  <si>
    <t>c) A projekt által érintettek száma (fő)</t>
  </si>
  <si>
    <t>cA) Nők száma a projekt által érintett célcsoportban (fő)</t>
  </si>
  <si>
    <t>cB) Roma emberek száma a projekt által érintett célcsoportban (fő)</t>
  </si>
  <si>
    <t>cC) Fogyatékos emberek száma a projekt által érintett célcsoportban (fő)</t>
  </si>
  <si>
    <t>13. Részmunkaidős foglalkoztatottak száma (fő)</t>
  </si>
  <si>
    <t>15. Fogyatékossággal élő alkalmazottak száma (fő)</t>
  </si>
  <si>
    <t>3.f A fenntarthatósággal kapcsolatos tudásmegosztáson részt vett munkavállalók aránya tudásmegosztásban résztvevők száma (fő)</t>
  </si>
  <si>
    <t>A fenntarthatósággal kapcsolatos tudásmegosztáson részt vett munkavállalók aránya össz munkavállalói létszám (fő)</t>
  </si>
  <si>
    <t>sorszám</t>
  </si>
  <si>
    <t>Bruttó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</si>
  <si>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</si>
  <si>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</si>
  <si>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</si>
  <si>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</si>
  <si>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</si>
  <si>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</si>
  <si>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</si>
  <si>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</si>
  <si>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</si>
  <si>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</si>
  <si>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</si>
  <si>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</si>
  <si>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</si>
  <si>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</si>
  <si>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</si>
  <si>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</si>
  <si>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</si>
  <si>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</si>
  <si>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</si>
  <si>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</si>
  <si>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</si>
  <si>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</si>
  <si>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</si>
  <si>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Fenntartási időszak</t>
  </si>
  <si>
    <t>Célérték</t>
  </si>
  <si>
    <t>Dunaharaszti Önkormányzat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</si>
  <si>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</si>
  <si>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elektronikus pénzeszközök egyenlege</t>
    </r>
  </si>
  <si>
    <t>Költségvetési bevételek   ( + )</t>
  </si>
  <si>
    <t>Finanszírozási egyenleg (Finanszírozási bevétel - Finanszírozási kiadás)</t>
  </si>
  <si>
    <t>Költségvetési egyenleg (Költségvetési működési egyenleg + Költségvetési felhalmozási egyenleg)</t>
  </si>
  <si>
    <t>Költségvetési felhalmozási egyenleg</t>
  </si>
  <si>
    <t>Költségvetési felhalmozási kiadások</t>
  </si>
  <si>
    <t>Költségvetési felhalmozási bevételek</t>
  </si>
  <si>
    <t>Költségvetési működési egyenleg</t>
  </si>
  <si>
    <t>Költségvetési működési kiadások</t>
  </si>
  <si>
    <t>Költségvetési működési bevételek</t>
  </si>
  <si>
    <t>K1-K9</t>
  </si>
  <si>
    <t>TÁRGYÉVI KIADÁSOK ÖSSZESEN</t>
  </si>
  <si>
    <t>B1-B8</t>
  </si>
  <si>
    <t>TÁRGYÉVI BEVÉTELEK ÖSSZESEN</t>
  </si>
  <si>
    <t xml:space="preserve">    Ebből: Hitelfelvétel</t>
  </si>
  <si>
    <t xml:space="preserve">   Ebből: hitelfelvétellel kapcsolatos kiadások</t>
  </si>
  <si>
    <t xml:space="preserve">    Ebből: felhalmozási célú intézményfinanszírozás bevétele</t>
  </si>
  <si>
    <t xml:space="preserve">   Ebből felhalmozási célú intézményfinanszírozás kiadása</t>
  </si>
  <si>
    <t xml:space="preserve">    Ebből: működési célú intézményfinanszírozás bevétele</t>
  </si>
  <si>
    <t xml:space="preserve">   Ebből működési célú intézményfinanszírozás kiadása</t>
  </si>
  <si>
    <t xml:space="preserve">    Ebből: felhalmozási célú pénzmaradvány</t>
  </si>
  <si>
    <t xml:space="preserve">   Ebből: államháztartáson belüli megelőlegezések visszafizetése</t>
  </si>
  <si>
    <t xml:space="preserve">    Ebből: működési célú pénzmaradvány</t>
  </si>
  <si>
    <t>K9</t>
  </si>
  <si>
    <t>Finanszírozási kiadások</t>
  </si>
  <si>
    <t>B8</t>
  </si>
  <si>
    <t>Finanszírozási bevételek</t>
  </si>
  <si>
    <t xml:space="preserve"> ebből: költségvetési felhalmozási kiadások</t>
  </si>
  <si>
    <t xml:space="preserve"> ebből: költségvetési felhalmozási bevételek</t>
  </si>
  <si>
    <t xml:space="preserve"> ebből: költségvetési működési kiadások</t>
  </si>
  <si>
    <t xml:space="preserve"> ebből: költségvetési működési bevételek</t>
  </si>
  <si>
    <t>K1-K8</t>
  </si>
  <si>
    <t xml:space="preserve">Költségvetési kiadások </t>
  </si>
  <si>
    <t>B1-B7</t>
  </si>
  <si>
    <t xml:space="preserve">Költségvetési bevételek </t>
  </si>
  <si>
    <t>K8</t>
  </si>
  <si>
    <t xml:space="preserve">Egyéb felhalmozási célú kiadások </t>
  </si>
  <si>
    <t>K7</t>
  </si>
  <si>
    <t>Felújítások</t>
  </si>
  <si>
    <t>B7</t>
  </si>
  <si>
    <t xml:space="preserve">Felhalmozási célú átvett pénzeszközök </t>
  </si>
  <si>
    <t>K6</t>
  </si>
  <si>
    <t xml:space="preserve">Beruházások </t>
  </si>
  <si>
    <t>B6</t>
  </si>
  <si>
    <t xml:space="preserve">Működési célú átvett pénzeszközök </t>
  </si>
  <si>
    <t>K5</t>
  </si>
  <si>
    <t xml:space="preserve">Egyéb működési célú kiadások </t>
  </si>
  <si>
    <t>B5</t>
  </si>
  <si>
    <t xml:space="preserve">Felhalmozási bevételek </t>
  </si>
  <si>
    <t>K4</t>
  </si>
  <si>
    <t>Ellátottak pénzbeli juttatásai</t>
  </si>
  <si>
    <t>B4</t>
  </si>
  <si>
    <t xml:space="preserve">Működési bevételek </t>
  </si>
  <si>
    <t>K3</t>
  </si>
  <si>
    <t xml:space="preserve">Dologi kiadások </t>
  </si>
  <si>
    <t>B3</t>
  </si>
  <si>
    <t xml:space="preserve">Közhatalmi bevételek </t>
  </si>
  <si>
    <t>K2</t>
  </si>
  <si>
    <t xml:space="preserve">Munkaadókat terhelő járulékok és szociális hozzájárulási adó                                                                            </t>
  </si>
  <si>
    <t>B2</t>
  </si>
  <si>
    <t xml:space="preserve">Felhalmozási célú támogatások államháztartáson belülről </t>
  </si>
  <si>
    <t>K1</t>
  </si>
  <si>
    <t>Személyi juttatások</t>
  </si>
  <si>
    <t>B1</t>
  </si>
  <si>
    <t xml:space="preserve">Működési célú támogatások államháztartáson belülről </t>
  </si>
  <si>
    <t>Rovat</t>
  </si>
  <si>
    <t>Kiadások</t>
  </si>
  <si>
    <t>Bevételek</t>
  </si>
  <si>
    <t>Helyi adók</t>
  </si>
  <si>
    <t>Osztalékok, koncessziós díjak, hozambevételek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</si>
  <si>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</si>
  <si>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</si>
  <si>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</si>
  <si>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</si>
  <si>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</si>
  <si>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 (01.+…+07.)</t>
  </si>
  <si>
    <t xml:space="preserve">Saját bevételek (08. sor) 50 %-a </t>
  </si>
  <si>
    <t>Előző év(ek)ben keletkezett tárgyévet terhelő fizetési kötelezettség (11+14+…+20)</t>
  </si>
  <si>
    <t>Hitelből eredő fizetési kötelezettség (12+13)</t>
  </si>
  <si>
    <t xml:space="preserve">   - ebből: Tőketörlesztés (12.a.+12.b.+12.c.)</t>
  </si>
  <si>
    <t>12.a.</t>
  </si>
  <si>
    <t xml:space="preserve">        1-2-13-8400-1237-9-01 hitelszerződés: 2014. évi útépítések</t>
  </si>
  <si>
    <t>12.b.</t>
  </si>
  <si>
    <t xml:space="preserve">        1-2-13-8400-1237-9-01/1 hitelszerződés: 2014. évi csapadékvíz elvezetések</t>
  </si>
  <si>
    <t>12.c.</t>
  </si>
  <si>
    <t xml:space="preserve">       ÖB 8400 2013 0098 hitelszerződés: Szivárvány Óvoda építése</t>
  </si>
  <si>
    <t xml:space="preserve">   - ebből: Kamatfizetés (13.a.+13.b.+13.c.)</t>
  </si>
  <si>
    <t>13.a.</t>
  </si>
  <si>
    <t>13.b.</t>
  </si>
  <si>
    <t>13.c.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</si>
  <si>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</si>
  <si>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</si>
  <si>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</si>
  <si>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</si>
  <si>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 részletfizetés fizetési kötelezettsége</t>
  </si>
  <si>
    <t>Szerződésben kikötött visszavásárlási kötelezettség</t>
  </si>
  <si>
    <t>Kezesség-, és garanciavállalásból eredő fizetési kötelezettség</t>
  </si>
  <si>
    <t>Tárgyévben keletkezett illetve keletkező, tárgyévet terhelő fizetési kötelezettség (22+25+…+33)</t>
  </si>
  <si>
    <t>Hitelből eredő fizetési kötelezettség (23+24)</t>
  </si>
  <si>
    <t xml:space="preserve">   - ebből: Tőketörlesztés (23.a.+23.b.+23.c.)</t>
  </si>
  <si>
    <t>23.a.</t>
  </si>
  <si>
    <t>23.b.</t>
  </si>
  <si>
    <t>23.c.</t>
  </si>
  <si>
    <t xml:space="preserve">   - ebből: Kamatfizetés (24.a.+24.b.+24.c.)</t>
  </si>
  <si>
    <t>24.a.</t>
  </si>
  <si>
    <t>24.b.</t>
  </si>
  <si>
    <t>24.c.</t>
  </si>
  <si>
    <t>Fizetési kötelezettség összesen (10+21)</t>
  </si>
  <si>
    <t>Fizetési kötelezettséggel csökkentett saját bevétel (9-38)</t>
  </si>
  <si>
    <t>1. sor</t>
  </si>
  <si>
    <t>Építményadó</t>
  </si>
  <si>
    <t>TelekDÓ</t>
  </si>
  <si>
    <t>Kommadó</t>
  </si>
  <si>
    <t>053 Laffert</t>
  </si>
  <si>
    <t>Idegenforg.adó</t>
  </si>
  <si>
    <t>054 Sírhely</t>
  </si>
  <si>
    <t>Iparűzési adó</t>
  </si>
  <si>
    <t>előző évi hátralék</t>
  </si>
  <si>
    <t>3. sor</t>
  </si>
  <si>
    <t>Egyéb adóbev Pótlék, bírság (119)</t>
  </si>
  <si>
    <t>PMH B3 bírság, elj.díj</t>
  </si>
  <si>
    <t>4. sor</t>
  </si>
  <si>
    <t>052 Lakás</t>
  </si>
  <si>
    <t>Művház</t>
  </si>
  <si>
    <t>Művház hátralék</t>
  </si>
  <si>
    <t>110 Közter, reklámtábla</t>
  </si>
  <si>
    <t>120 Bizonytalan bev B4</t>
  </si>
  <si>
    <t>5. sor</t>
  </si>
  <si>
    <t>Részvény értékesítés (112)</t>
  </si>
  <si>
    <t xml:space="preserve">4. </t>
  </si>
  <si>
    <t>Teljesítés</t>
  </si>
  <si>
    <t>Eredeti előirányzat</t>
  </si>
  <si>
    <t>Módosított előirányzat</t>
  </si>
  <si>
    <t>2. Mérlegben következő évet terhelő kötött tételek</t>
  </si>
  <si>
    <t>II.</t>
  </si>
  <si>
    <t>Működési maradvány</t>
  </si>
  <si>
    <t>Felhalm.maradvány</t>
  </si>
  <si>
    <t>Maradvány összesen</t>
  </si>
  <si>
    <t>A/NEMZETI VAGYONBA TARTOZÓ BEFEKTETETT ESZKÖZÖK</t>
  </si>
  <si>
    <t>I. Immateriális javak</t>
  </si>
  <si>
    <t>1.1. Korlátozottan forgalomképes immateriális javak</t>
  </si>
  <si>
    <t>1.2. Forgalomképes immateriális javak</t>
  </si>
  <si>
    <t>II. Tárgyi eszközök</t>
  </si>
  <si>
    <t>1. Ingatlanok és a kapcsolódó vagyoni értékű jogok</t>
  </si>
  <si>
    <t>1.1.Forgalomképtelen ingatlanok és a kapcsolódó vagyoni értékű jogok</t>
  </si>
  <si>
    <t>1.2. Nemzetgazdasági szempontból kiemelt jelentőségű  ingatlanok és kapcsolódó vagyoni értékű jogok</t>
  </si>
  <si>
    <t>1.3. Korlátozottan forgalomképes ingatlanok és a kapcsolódó vagyoni értékű jogok</t>
  </si>
  <si>
    <t>1.4. Üzleti (forgalomképes) ingatlanok és a kapcsolódó vagyoni értékű jogok</t>
  </si>
  <si>
    <t>2. Gépek, berendezések, felszerelések, járművek</t>
  </si>
  <si>
    <t>2.1. Forgalomképtelen gépek, berendezések, felszerelések, járművek</t>
  </si>
  <si>
    <t>2.2. Nemzetgazdasági szempontból kiemelt jelentőségű gépek, berendezések, felszerelések, járművek</t>
  </si>
  <si>
    <t>2.3. Korlátozottan forgalomképes gépek, berendezések, felszerelések, járművek</t>
  </si>
  <si>
    <t>2.4. Üzleti (forgalomképes) gépek, berendezések, felszerelések, járművek</t>
  </si>
  <si>
    <t xml:space="preserve">3. Tenyészállatok </t>
  </si>
  <si>
    <t xml:space="preserve">3.1. Forgalomképtelen tenyészállatok </t>
  </si>
  <si>
    <t xml:space="preserve">3.2. Nemzetgazdasági szempontból kiemelt jelentőségű tenyészállatok </t>
  </si>
  <si>
    <t xml:space="preserve">3.3. Korlátozottan forgalomképes tenyészállatok </t>
  </si>
  <si>
    <t xml:space="preserve">3.4. Üzleti tenyészállatok </t>
  </si>
  <si>
    <t xml:space="preserve">4. Beruházások, felújítások </t>
  </si>
  <si>
    <t>4.1. Forgalomképtelen beruházások, felújítások</t>
  </si>
  <si>
    <t>4.2.  Nemzetgazdasági szempontból kiemelt jelentőségű beruházások, felújítások</t>
  </si>
  <si>
    <t>4.3. Korlátozottan forgalomképes  beruházások, felújítások</t>
  </si>
  <si>
    <t>4.4. Üzlet (forgalomképes) beruházások, felújítások</t>
  </si>
  <si>
    <t>5. Tárgyi eszközök értékhelyesbítése</t>
  </si>
  <si>
    <t>5.1. Forgalomképtelen tárgyi eszközök értékhelyesbítése</t>
  </si>
  <si>
    <t>5.2.  Nemzetgazdasági szempontból kiemelt jelentőségű tárgyi eszközök értékhelyesbítése</t>
  </si>
  <si>
    <t>5.3. Korlátozottan forgalomképes tárgyi eszközök értékhelyesbítése</t>
  </si>
  <si>
    <t>5.4. Üzlet (forgalomképes) tárgyi eszközök értékhelyesbítése</t>
  </si>
  <si>
    <t>III. Befektetett pénzügyi eszközök</t>
  </si>
  <si>
    <t xml:space="preserve">1. Tartós részesedések </t>
  </si>
  <si>
    <t>1.1. Forgalomképtelen tartós részesedések</t>
  </si>
  <si>
    <t>1.2. Nemzetgazdasági szempontból kiemelt jelentőségű tartós részesedések</t>
  </si>
  <si>
    <t>1.3. Korlátozottan forgalmoképes tartós részesedés</t>
  </si>
  <si>
    <t>1.4. Üzlet (forgalomképes) tartós részesedés</t>
  </si>
  <si>
    <t xml:space="preserve">2. Tartós hitelviszonyt megtestesítő értékpapír </t>
  </si>
  <si>
    <t xml:space="preserve">2.1. Forgalomképtelen tartós hitelviszonyt megtestesítő értékpapír </t>
  </si>
  <si>
    <t xml:space="preserve">2.2. Nemzetgazdasági szempontból kiemelt jelentőségű tartós hitelviszonyt megtestesítő értékpapír </t>
  </si>
  <si>
    <t xml:space="preserve">2.3. Korlátozottan forgalmoképes tartós hitelviszonyt megtestesítő értékpapír </t>
  </si>
  <si>
    <t xml:space="preserve">2.4. Üzleti (forgalomképes) tartós hitelviszonyt megtestesítő értékpapír </t>
  </si>
  <si>
    <t>3. Befektetett pénzügyi eszközök értékhelyesbítése</t>
  </si>
  <si>
    <t xml:space="preserve">3.1. Forgalomképtelen  befektetett pénzügyi eszközök értékhelyesbítése </t>
  </si>
  <si>
    <t xml:space="preserve">3.2. Nemzetgazdasági szempontból kiemelt jelentőségű befektetett pénzügyi eszközök értékhelyesbítése </t>
  </si>
  <si>
    <t xml:space="preserve">3.3. Korlátozottan forgalmoképes befektetett pénzügyi eszközök értékhelyesbítése </t>
  </si>
  <si>
    <t xml:space="preserve">3.4. Üzleti (forgalomképes) befektetett pénzügyi eszközök értékhelyesbítése </t>
  </si>
  <si>
    <t xml:space="preserve">IV. Koncesszióba, vagyonkezelésbe adott eszközök </t>
  </si>
  <si>
    <t>1. Koncesszióba, vagyonkezelésbe adott forgalomképtelen eszköz</t>
  </si>
  <si>
    <t>2. Koncesszióba, vagyonkezelésbe adott nemzetgazdasági szempontból kiemelt jelentőségű eszköz</t>
  </si>
  <si>
    <t>3. Koncesszióba, vagyonkezelésbe adott korlátozottan forgalomképes eszköz</t>
  </si>
  <si>
    <t>4. Koncesszióba, vagyonkezelésbe adott üzleti (forgalomképes) eszköz</t>
  </si>
  <si>
    <t>B/ NEMZETI VAGYONBA TARTOZÓ FORGÓESZKÖZÖK</t>
  </si>
  <si>
    <t>I. Készletek (forgalomképes)</t>
  </si>
  <si>
    <t xml:space="preserve">II. Értékpapírok </t>
  </si>
  <si>
    <t xml:space="preserve">C/ PÉNZESZKÖZÖK </t>
  </si>
  <si>
    <t>I. Hosszú lejáratú betétek</t>
  </si>
  <si>
    <t>II. Pénztárak, csekkek, betétkönyvek</t>
  </si>
  <si>
    <t xml:space="preserve">III. Forintszámlák </t>
  </si>
  <si>
    <t>IV. Devizaszámlák</t>
  </si>
  <si>
    <t>V. Idegen pénzeszközök</t>
  </si>
  <si>
    <t xml:space="preserve">D/ KÖVETELÉSEK  </t>
  </si>
  <si>
    <t xml:space="preserve">I. Költségvetési évben esedékes követelések </t>
  </si>
  <si>
    <t>II. Költségvetési évet követő évben esedékes követelések</t>
  </si>
  <si>
    <t>III. Követelés jellegű sajátos elszámolás</t>
  </si>
  <si>
    <t>E/ EGYÉB SAJÁTOS ESZKÖZOLDALI ELSZÁMOLÁSOK</t>
  </si>
  <si>
    <t>F/ AKTÍV IDŐBELI  ELHATÁROLÁSOK</t>
  </si>
  <si>
    <t>ESZKÖZÖK MINDÖSSZESEN</t>
  </si>
  <si>
    <t>G/ SAJÁT TŐKE</t>
  </si>
  <si>
    <t>I.  Nemzeti vagyon induláskori értéke</t>
  </si>
  <si>
    <t>II. Nemzeti vagyon változásai</t>
  </si>
  <si>
    <t>III. Egyéb eszközök induláskori értéke és változ.</t>
  </si>
  <si>
    <t>IV. Felhalmozott eredmény</t>
  </si>
  <si>
    <t>V. Eszközök értékhelyesbítésének forrása</t>
  </si>
  <si>
    <t>VI. Mérleg szerinti eredmény</t>
  </si>
  <si>
    <t>H/ KÖTELEZETTSÉGEK</t>
  </si>
  <si>
    <t xml:space="preserve">I. Költségvetési évben esedékes kötelezettségek  </t>
  </si>
  <si>
    <t>II. Költségvetési évet követően esedékes kötelezettségek</t>
  </si>
  <si>
    <t>III. Kötelezettség jellegű sajátos elszámolások</t>
  </si>
  <si>
    <t xml:space="preserve">FORRÁSOK MINDÖSSZESEN </t>
  </si>
  <si>
    <t>Mérték-egység</t>
  </si>
  <si>
    <t>Bázisérték</t>
  </si>
  <si>
    <t>fő</t>
  </si>
  <si>
    <t>db</t>
  </si>
  <si>
    <t>m2</t>
  </si>
  <si>
    <t>Ft</t>
  </si>
  <si>
    <r>
      <t xml:space="preserve">Projekt menedzser: </t>
    </r>
    <r>
      <rPr>
        <b/>
        <sz val="12"/>
        <rFont val="Garamond"/>
        <family val="1"/>
        <charset val="238"/>
      </rPr>
      <t>Corex Projektfejlesztési Kft.</t>
    </r>
  </si>
  <si>
    <t>2016. ktgvetében szerepel</t>
  </si>
  <si>
    <t>2016. ktgvetében rögzítendő szabad tétel 13. d űrlap</t>
  </si>
  <si>
    <t>2016. ktgvetében rögzítendő kötött tétel</t>
  </si>
  <si>
    <t>kötött maradvány</t>
  </si>
  <si>
    <t>Összes maradvány</t>
  </si>
  <si>
    <t>I/ KINCSTÁRI SZÁMLAVEZETÉSSEL KAPCSOLATOS ELSZÁMOLÁS</t>
  </si>
  <si>
    <t>J/ PASSZÍV IDŐBELI ELHATÁROLÁSOK</t>
  </si>
  <si>
    <t>EGYÉB SAJÁTOS FORRÁSOLDALI ELSZÁMOLÁSOK</t>
  </si>
  <si>
    <t>0,000….</t>
  </si>
  <si>
    <t>2013.07.03-2015.</t>
  </si>
  <si>
    <t>2014.12.10-2015.</t>
  </si>
  <si>
    <t>* konszolidált összeg</t>
  </si>
  <si>
    <t>2014.*</t>
  </si>
  <si>
    <t>38.</t>
  </si>
  <si>
    <t xml:space="preserve">Intézményi ingatlanok különféle karbantartási kerete </t>
  </si>
  <si>
    <t>Városgazdálkodás: üzemeltetés, karbantartás biztonsági tartalék</t>
  </si>
  <si>
    <t>Dunaharaszti Város Önkormányzata SZABAD MARADVÁNY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</si>
  <si>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</si>
  <si>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</si>
  <si>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</si>
  <si>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</si>
  <si>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</si>
  <si>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</si>
  <si>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</si>
  <si>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</si>
  <si>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</si>
  <si>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</si>
  <si>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</si>
  <si>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</si>
  <si>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</si>
  <si>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</si>
  <si>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</si>
  <si>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</si>
  <si>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</si>
  <si>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</si>
  <si>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</si>
  <si>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</si>
  <si>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</si>
  <si>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</si>
  <si>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</si>
  <si>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</si>
  <si>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</si>
  <si>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</si>
  <si>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</si>
  <si>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</si>
  <si>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</si>
  <si>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244</t>
  </si>
  <si>
    <t>245</t>
  </si>
  <si>
    <t>246</t>
  </si>
  <si>
    <t>247</t>
  </si>
  <si>
    <t>248</t>
  </si>
  <si>
    <t>249</t>
  </si>
  <si>
    <t>250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</si>
  <si>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</si>
  <si>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</si>
  <si>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</si>
  <si>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</si>
  <si>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</si>
  <si>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</si>
  <si>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</si>
  <si>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</si>
  <si>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</si>
  <si>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</si>
  <si>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</si>
  <si>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</si>
  <si>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</si>
  <si>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</si>
  <si>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</si>
  <si>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</si>
  <si>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</si>
  <si>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</si>
  <si>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</si>
  <si>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</si>
  <si>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</si>
  <si>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</si>
  <si>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</si>
  <si>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</si>
  <si>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</si>
  <si>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</si>
  <si>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</si>
  <si>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</si>
  <si>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</si>
  <si>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</si>
  <si>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</si>
  <si>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</si>
  <si>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</si>
  <si>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</si>
  <si>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</si>
  <si>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</si>
  <si>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</si>
  <si>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</si>
  <si>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</si>
  <si>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</si>
  <si>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</si>
  <si>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</si>
  <si>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>e) az egyéb nyújtott kedvezmény vagy kölcsön elengedésének összege nemleges</t>
  </si>
  <si>
    <t>Összesen:</t>
  </si>
  <si>
    <t>Önkormányzati tulajdonban álló helyiségek</t>
  </si>
  <si>
    <t>Közterület rendjének fenntartása</t>
  </si>
  <si>
    <t>Feladat típusa</t>
  </si>
  <si>
    <t>Halasztott tételek</t>
  </si>
  <si>
    <t>Módosított Működési célú pénzeszköz átadás államháztartáson kívülre</t>
  </si>
  <si>
    <t>Eredeti                                          Működési célú pénzeszköz átadás államháztartáson kívülre</t>
  </si>
  <si>
    <t>Módosított Támogatásértékű működési kiadás</t>
  </si>
  <si>
    <t>Eredeti Támogatásértékű működési kiadás</t>
  </si>
  <si>
    <t>Szervezet neve</t>
  </si>
  <si>
    <t>d)  a helyiségek, eszközök hasznosításából származó bevételből nyújtott kedvezmény, mentesség összege</t>
  </si>
  <si>
    <t>Bírság</t>
  </si>
  <si>
    <t>Késedelmi pótlék</t>
  </si>
  <si>
    <t>Gépjárműadó</t>
  </si>
  <si>
    <t>Kommunális adó</t>
  </si>
  <si>
    <t>Telekadó</t>
  </si>
  <si>
    <t>Rovatrend száma</t>
  </si>
  <si>
    <t xml:space="preserve">c)  a helyi adónál, gépjárműadónál biztosított kedvezmény, mentesség összege adónemenként </t>
  </si>
  <si>
    <t>b)  lakosság részére lakásépítéshez, lakásfelújításhoz nyújtott kölcsönök elengedésének összege nemleges</t>
  </si>
  <si>
    <t>Közoktatás</t>
  </si>
  <si>
    <t>Szociális (Városi Bölcsőde)</t>
  </si>
  <si>
    <t>Szociális (Gondozási Központ)</t>
  </si>
  <si>
    <t>adatok Ft-ban</t>
  </si>
  <si>
    <t>a)  ellátottak térítési díjának,  kártérítésének méltányossági alapon történő elengedésének összege</t>
  </si>
  <si>
    <t>szabad maradvány felhasználás</t>
  </si>
  <si>
    <r>
      <t>Projekt címe.</t>
    </r>
    <r>
      <rPr>
        <b/>
        <u/>
        <sz val="12"/>
        <rFont val="Garamond"/>
        <family val="1"/>
        <charset val="238"/>
      </rPr>
      <t xml:space="preserve"> „Hétszínvirág Óvoda napelemes korszerűsítése"</t>
    </r>
  </si>
  <si>
    <r>
      <t xml:space="preserve">Projekt azonosítószáma: </t>
    </r>
    <r>
      <rPr>
        <b/>
        <sz val="12"/>
        <rFont val="Garamond"/>
        <family val="1"/>
        <charset val="238"/>
      </rPr>
      <t>KMOP-3.3.3-13-2013-0075</t>
    </r>
  </si>
  <si>
    <t>Megújuló energiahordozó bázisú villamosenergiatermelés növekedése (GWh/év)
(A megújuló energiahordozó felhasználásának növekedése indikátoron belül)
(amennyiben releváns)</t>
  </si>
  <si>
    <t>22. Gyesről, gyedről, ápolási díjról visszatérők alkalmazása az elmúlt 5 évben (fő)</t>
  </si>
  <si>
    <r>
      <t>Projekt címe.</t>
    </r>
    <r>
      <rPr>
        <b/>
        <u/>
        <sz val="12"/>
        <rFont val="Garamond"/>
        <family val="1"/>
        <charset val="238"/>
      </rPr>
      <t xml:space="preserve"> „Kőrösi Csoma Sándor Általános Iskola napelemes korszerűsítése""</t>
    </r>
  </si>
  <si>
    <r>
      <t xml:space="preserve">Projekt azonosítószáma: </t>
    </r>
    <r>
      <rPr>
        <b/>
        <sz val="12"/>
        <rFont val="Garamond"/>
        <family val="1"/>
        <charset val="238"/>
      </rPr>
      <t>KMOP-3.3.3-13-2013-0080</t>
    </r>
  </si>
  <si>
    <r>
      <t>Projekt címe.</t>
    </r>
    <r>
      <rPr>
        <b/>
        <u/>
        <sz val="12"/>
        <rFont val="Garamond"/>
        <family val="1"/>
        <charset val="238"/>
      </rPr>
      <t xml:space="preserve"> „Dunaharaszti Mese Óvoda fejlesztése a Szivárvány Óvoda tagintézmény létrehozásával, 6 csoportos új épület építésével"</t>
    </r>
  </si>
  <si>
    <r>
      <t xml:space="preserve">Projekt azonosítószáma: </t>
    </r>
    <r>
      <rPr>
        <b/>
        <sz val="12"/>
        <rFont val="Garamond"/>
        <family val="1"/>
        <charset val="238"/>
      </rPr>
      <t>KMOP-4.6.1-11-2012-2025</t>
    </r>
  </si>
  <si>
    <t>Eredmény/Mutató/Indikátor neve</t>
  </si>
  <si>
    <t>Mérték-</t>
  </si>
  <si>
    <t>Megvalósítási</t>
  </si>
  <si>
    <t>Fenntartási időszak (célérték)</t>
  </si>
  <si>
    <t>egység</t>
  </si>
  <si>
    <t>időszak (célérték)</t>
  </si>
  <si>
    <t>(db, fő, %)</t>
  </si>
  <si>
    <t>Output indikátor</t>
  </si>
  <si>
    <t>A közoktatási intézmények fejlesztéssel érintett telephelyeinek száma</t>
  </si>
  <si>
    <t>A projekt eredményeképpen létrejött, újonnan kialakított és működésbe bevont csoportszobák száma</t>
  </si>
  <si>
    <t>A projekt eredményeképpen létrejött, újonnan kialakított és működésbe bevont csoportszobákban létesített férőhelyek száma</t>
  </si>
  <si>
    <t>Akadálymentes épített vagy felújított helyiségek száma</t>
  </si>
  <si>
    <t>Fejlesztéssel érintett/Fejlesztett udvarok száma</t>
  </si>
  <si>
    <t>Eredmény indikátor</t>
  </si>
  <si>
    <t>A támogatott intézményben ellátott gyerekek átlagos létszámának összege</t>
  </si>
  <si>
    <t>A támogatott intézményekben ellátott/tanuló hátrányos helyzetű gyerekek átlagos létszámának összege</t>
  </si>
  <si>
    <t>A támogatott intézményekben ellátott/tanuló gyerekek átlagos létszámának összege - ebből sajátos nevelési igényű</t>
  </si>
  <si>
    <t>A programok által érintett tanulók között a 11/1994 (VI.8) MKM rendelet 39/E §. értelmében integrációs nevelésbe bevont tanulók száma</t>
  </si>
  <si>
    <t xml:space="preserve">    Ebből: államháztartáson belüli megelőlegezések</t>
  </si>
  <si>
    <t>Alaptevékenység kötelezettvállalással terhelt maradvány (részletezve 13.c tábla)</t>
  </si>
  <si>
    <t>2014. évi hitel lehívás előírása</t>
  </si>
  <si>
    <t>Dh.középületek ép.energ.fejl.közbesz.</t>
  </si>
  <si>
    <t>Dunaharaszti József Attila Művelődési Ház</t>
  </si>
  <si>
    <t xml:space="preserve">Dunaharaszti Városi Könyvtár </t>
  </si>
  <si>
    <t>Dunaharaszti Szivárvány Óvoda</t>
  </si>
  <si>
    <t>Köztéri szemétgyűjtők beszerzése</t>
  </si>
  <si>
    <t>Iskolák különféle karbantartási tartalék</t>
  </si>
  <si>
    <t xml:space="preserve"> 2019. évi eredeti előirányzatok között maradvány igénybevételként szerepel</t>
  </si>
  <si>
    <t>2019. évi eredeti előirányzatok között maradvány igénybevételként szerepel</t>
  </si>
  <si>
    <t>Kőrösi konyha gázdíj 170403-170630</t>
  </si>
  <si>
    <t>BEG gázdíj 2019 január</t>
  </si>
  <si>
    <t>Rákóczi isk. gázdíj 2019 január</t>
  </si>
  <si>
    <t>Kőrösi konyha gázdíj 2019 január</t>
  </si>
  <si>
    <t>Hunyadi csat. áramdíj 20181109-20181208</t>
  </si>
  <si>
    <t>Kőrösi konyha áramdíj 2018 november</t>
  </si>
  <si>
    <t>Védőnők gázdíj 20181117-20181216</t>
  </si>
  <si>
    <t>Földváry konyha vízdíj 181101-181201</t>
  </si>
  <si>
    <t>Gyermekorv. rendelő vízdíj 181112-181201</t>
  </si>
  <si>
    <t>Vészjelző bérleti díj 2018 december</t>
  </si>
  <si>
    <t>ÖNO felvágott</t>
  </si>
  <si>
    <t>2018 dec. vezetőorv. és nőgy. koord. díj</t>
  </si>
  <si>
    <t>Vesz. hull. szállítás 2018 december</t>
  </si>
  <si>
    <t>BEG áramdíj 20181023-20181122</t>
  </si>
  <si>
    <t>Rákóczi konyha áramdíj 181010-181122</t>
  </si>
  <si>
    <t>ÖNO áramdíj 20181123-20181222</t>
  </si>
  <si>
    <t>Védőnők áramdjíj 181123-181222</t>
  </si>
  <si>
    <t>Földváry konyha áramdíj 20181123-2018122</t>
  </si>
  <si>
    <t>Földváry konyha áramdíj 181123-181222</t>
  </si>
  <si>
    <t>Védőnők áramdíj 20181123-20181222</t>
  </si>
  <si>
    <t>Posta ktg</t>
  </si>
  <si>
    <t>ÖNO tejtermék</t>
  </si>
  <si>
    <t>Hétszínvirág ovi 2018/50 hét étk. junior</t>
  </si>
  <si>
    <t>Százszorszép ovi 2018/50 hét étk. junior</t>
  </si>
  <si>
    <t>Szivárvány ovi 2018/50 hét étk. junior</t>
  </si>
  <si>
    <t>Mese ovi 2018/50 hét étk junior</t>
  </si>
  <si>
    <t>Napsugár ovi 2018/50 hét étk junior</t>
  </si>
  <si>
    <t>Hunyadi csat. par 2018/50 étkezés junior</t>
  </si>
  <si>
    <t>Hunyadi felső 2018/50 hét étk. junior</t>
  </si>
  <si>
    <t>Hunyadi alsó 2018/50 hét étk. junior</t>
  </si>
  <si>
    <t>Rákóczi 2018/50 hét étk. junior</t>
  </si>
  <si>
    <t>Kőrösi isk. 2018/50 hét étk. junior</t>
  </si>
  <si>
    <t>BEG 2018/50 hét étk. junior</t>
  </si>
  <si>
    <t>Felnőtt étk. 2018/50 hét étk.</t>
  </si>
  <si>
    <t>Öno szoc. ebéd 2018/50</t>
  </si>
  <si>
    <t>ÖNO pékáru</t>
  </si>
  <si>
    <t>Védőnők gázdíj 20181217-20190116</t>
  </si>
  <si>
    <t>Védőnők gázdíj 190117-190216</t>
  </si>
  <si>
    <t>OMV területi 2018 december</t>
  </si>
  <si>
    <t>ÖNO felvágott, szalonna, sonka</t>
  </si>
  <si>
    <t>Szikvíz konyhákra</t>
  </si>
  <si>
    <t>Posta ktg 2018 december</t>
  </si>
  <si>
    <t>Folyóirat, szállítás</t>
  </si>
  <si>
    <t>Családs. vízdíj 20181101-20181201</t>
  </si>
  <si>
    <t>villanyszerelés és bojler csere</t>
  </si>
  <si>
    <t>Csop.élet bizt.2018.11.30-2019.11.29.</t>
  </si>
  <si>
    <t>belső ellenőrzés 2018.december</t>
  </si>
  <si>
    <t>HP utángyártott toner</t>
  </si>
  <si>
    <t>bélyegzők, irodaszer</t>
  </si>
  <si>
    <t>TÜSZ díj 70% 2018.okt.</t>
  </si>
  <si>
    <t>Mese ovi klíma szerelés</t>
  </si>
  <si>
    <t>Vezetési és nevelési módszer. tanácsadó</t>
  </si>
  <si>
    <t>Posta ktg mese ovi</t>
  </si>
  <si>
    <t>Telefonszámla 2018 december</t>
  </si>
  <si>
    <t>Tanórán kívüli oktatás Bárány Annamária</t>
  </si>
  <si>
    <t>Mese ovi vízdíj 20181110-20181201</t>
  </si>
  <si>
    <t>Napsugár ovi gázdíj 20181118-20181217</t>
  </si>
  <si>
    <t>Mese ovi vízdíj 181110-181201</t>
  </si>
  <si>
    <t>Mese ovi vízdíj 180802-180831</t>
  </si>
  <si>
    <t>Napsugár ovi gázdíj 181218-190117</t>
  </si>
  <si>
    <t>Napsugár ovi gázdíj 190118-190217</t>
  </si>
  <si>
    <t>telefon ktg.</t>
  </si>
  <si>
    <t>tűzvéd.rendsz.karb.2018.II.f.év+napló</t>
  </si>
  <si>
    <t>gázdíj 2018.10.31-11.30.</t>
  </si>
  <si>
    <t>posta ktg. 2018.12.01-15.</t>
  </si>
  <si>
    <t>Műv. ház postaköltség</t>
  </si>
  <si>
    <t>Laffert fűtéskarb.</t>
  </si>
  <si>
    <t>Százszorszép ovi telefonktg 2018 december</t>
  </si>
  <si>
    <t>TÜSZ díj 2018.november</t>
  </si>
  <si>
    <t>gázdíj 2018.11.17-12.16.</t>
  </si>
  <si>
    <t>fedő gumi tömítéssel</t>
  </si>
  <si>
    <t>konyhatechnológia eszközök beszerzése</t>
  </si>
  <si>
    <t>sertéshús</t>
  </si>
  <si>
    <t>marhahús</t>
  </si>
  <si>
    <t>tűztávfelügyelet tagint.2018.12.17-31.</t>
  </si>
  <si>
    <t>Jogi képviselet ellátása</t>
  </si>
  <si>
    <t>Rágcsálóírtás</t>
  </si>
  <si>
    <t>Dh Piac tér takarítás</t>
  </si>
  <si>
    <t>Állati tetem begyűjtése</t>
  </si>
  <si>
    <t>Kóbor állatok befogása</t>
  </si>
  <si>
    <t>DMTK tám 2016. évi maradvány</t>
  </si>
  <si>
    <t>Előirányzat maradvány DMTK</t>
  </si>
  <si>
    <t>Piac területéről hulladék szállítás</t>
  </si>
  <si>
    <t>Új Bölcsőde építés projektmend.felada</t>
  </si>
  <si>
    <t>Némedi úti kerékpárút közbesz</t>
  </si>
  <si>
    <t>Kaszálás lakossági kérésre</t>
  </si>
  <si>
    <t>Rotavírus oltóanyag</t>
  </si>
  <si>
    <t>Baross u. burkolat felj.közbesz.elj.</t>
  </si>
  <si>
    <t>Kül-és belterületi nyílt ár és belvízelv</t>
  </si>
  <si>
    <t>Zárd csapadékvíz elv.rend.fenntart.munká</t>
  </si>
  <si>
    <t>Kegyeleti Parkban emlékmű karbantart.</t>
  </si>
  <si>
    <t>Dh. A3 belvízcsatorna kitűzése</t>
  </si>
  <si>
    <t>Fő út 8-10.sz.alatti e-töltő karbantart,</t>
  </si>
  <si>
    <t>ASP ingatlan migráció</t>
  </si>
  <si>
    <t>A3 bel és csapvíz.elv.csat jókarba helye</t>
  </si>
  <si>
    <t>Kisposta telefon 11 előf.12</t>
  </si>
  <si>
    <t>Sportcs,tárgyaló gépészeti átal.</t>
  </si>
  <si>
    <t>Sportcs.térelv.szerk.készítés</t>
  </si>
  <si>
    <t>Sportcs.akusztikai burk.a bordásfalak al</t>
  </si>
  <si>
    <t>Sportcs.küzdőtér burkolat kial.</t>
  </si>
  <si>
    <t>0168/21,22 hrsz vázrajz</t>
  </si>
  <si>
    <t>0146/5 vázrajz</t>
  </si>
  <si>
    <t>014;017;081;083 vázrajz</t>
  </si>
  <si>
    <t>Barna Olivér kedv.étk.11</t>
  </si>
  <si>
    <t>Temető telefon 12</t>
  </si>
  <si>
    <t>Autó ajtó és termosztát jav.</t>
  </si>
  <si>
    <t>Sportlétesítmény működtetése, fejlesztés</t>
  </si>
  <si>
    <t>Versenysp. utánpótl nev, terembérlet</t>
  </si>
  <si>
    <t>Orvosi rendelő műszaki ellenőri feladato</t>
  </si>
  <si>
    <t>Orvosi rendelő bővítése</t>
  </si>
  <si>
    <t>Sportcsarnok asztalvásárlás</t>
  </si>
  <si>
    <t>Bölcsőde új tagintézmény építés</t>
  </si>
  <si>
    <t>510.főút, DTCS-Taksony víz,csat terv</t>
  </si>
  <si>
    <t>KEHOP-5.2.9. épületenergetikai pályázat</t>
  </si>
  <si>
    <t>Rendőrség épületének külső felújítási mu</t>
  </si>
  <si>
    <t>Dózsa 26. épület felújítása</t>
  </si>
  <si>
    <t>Hétszínvirág Óvoda kerítés felújítása</t>
  </si>
  <si>
    <t>Gyermektábor gépészeti eng.és kiv. munká</t>
  </si>
  <si>
    <t>Lakásszámot meghat.döntés elők.tan.HÉSZ</t>
  </si>
  <si>
    <t>Okoszebra</t>
  </si>
  <si>
    <t>Dózsa 26. csap.víz.elvez.munkák</t>
  </si>
  <si>
    <t>Dh,Kiskertek vízellátás,szennyvíz elv.te</t>
  </si>
  <si>
    <t>Sportcsarnok kerékpár tároló ép.</t>
  </si>
  <si>
    <t>Sportcsarnok büfé térelválasztó kész.</t>
  </si>
  <si>
    <t>Sportcsarnok beép.tárgyaló bútor kész</t>
  </si>
  <si>
    <t>Sportcs. iroda reluxa, szalagf.kész.</t>
  </si>
  <si>
    <t>Közlekedési inf.rendszer</t>
  </si>
  <si>
    <t>Útfenntartás 2018-2019</t>
  </si>
  <si>
    <t>A3 mederburkolás pály.belüli</t>
  </si>
  <si>
    <t>A3 mederburkolás műszaki ellenőrzése</t>
  </si>
  <si>
    <t>A3 burkolása 2.rész</t>
  </si>
  <si>
    <t>MávHáz légtech.kiviteli terv</t>
  </si>
  <si>
    <t>Kerékpártárolók iskolákba,Sportcsarnokba</t>
  </si>
  <si>
    <t>Új bölcsőde padlástéri részében tároló h</t>
  </si>
  <si>
    <t>Orvosi rendelő fafödém bontási munkái</t>
  </si>
  <si>
    <t>Kaszala, Mindszenty víz-és sz.v.beköt</t>
  </si>
  <si>
    <t>Szennyvíz közművek felújítás</t>
  </si>
  <si>
    <t>Orvosi rend.előre nem látott bontási és</t>
  </si>
  <si>
    <t>Új bölcsőde szőnyegvásárlás</t>
  </si>
  <si>
    <t>Társ. Összefogás.megv.közműfejl.lebony</t>
  </si>
  <si>
    <t xml:space="preserve">Bérlakás értékesítés </t>
  </si>
  <si>
    <t>Víziközmű számla</t>
  </si>
  <si>
    <t>Környezetvédelmi szla</t>
  </si>
  <si>
    <t>Parkolóhely megváltás számla</t>
  </si>
  <si>
    <t>Vízi közmű bérleti díj elkül. Szla (kiadási oldala 069, 105 részgazda)</t>
  </si>
  <si>
    <t>Magyar Államkincstárnál vezetett Bölcsődei pályázathoz kapcsolódó számla</t>
  </si>
  <si>
    <t>Adós idegen szla</t>
  </si>
  <si>
    <t>Új tagintézmény bölcsőde építése áfája (fordított áfa)</t>
  </si>
  <si>
    <t>A3 mederburkolás pályázaton belüli (fordított áfa)</t>
  </si>
  <si>
    <t>A3 mederburkolás pályázaton kívüli (fordított áfa)</t>
  </si>
  <si>
    <t>Orvosi rendelő bővítése (fordított áfa)</t>
  </si>
  <si>
    <t>Tervek, műszaki ellenőrzés, eljárási díjak, engedélyek</t>
  </si>
  <si>
    <t>Hóeltakarítás opció</t>
  </si>
  <si>
    <t>Óvodák játszóeszköz  és zöldterület fejlesztése</t>
  </si>
  <si>
    <t>Intézményvezetők jutalmazási kerete</t>
  </si>
  <si>
    <t>Nyári napközis tábor kiadásai</t>
  </si>
  <si>
    <t xml:space="preserve">Oktatási-nevelési intézmények kulturális programjának támogatása </t>
  </si>
  <si>
    <t>Köztisztviselők felmentése, végkielégítése</t>
  </si>
  <si>
    <t>Törvény által kötelezően kifizetendő jubileumi jutalom</t>
  </si>
  <si>
    <t>Városi szintű gyesen, gyeden lévő munkavállalók visszatérési tartaléka</t>
  </si>
  <si>
    <t>Közalkalmazottak jutalom kerete</t>
  </si>
  <si>
    <t>A beruházásokhoz kapcsolódó EU támogatások és hitelek kockázati fedezete</t>
  </si>
  <si>
    <t>Építési beruházásokhoz tartaléka</t>
  </si>
  <si>
    <t>ASP program indításával kapcsolatos tartalék (bér, járulék, dologi)</t>
  </si>
  <si>
    <t>Civil szervezetek, egyházak támogatása és helyi DMTK keretein kívül működő egyéb sportok támogatása (civil pályázat)</t>
  </si>
  <si>
    <t>Civil szervezetek, egyházak támogatása (Művészeti, oktatási, kulturális év közben belépő feladatok)</t>
  </si>
  <si>
    <t>Városi civil sport- és kulturális rendezvények kiadásainak valamint DMTK-n kívüli sportegyesületek kiadásainak finanszírozási kerete</t>
  </si>
  <si>
    <t>Útfenntartás rendkívüli kiadásai (útfenntartási opció)</t>
  </si>
  <si>
    <t>Vis maior tartalék</t>
  </si>
  <si>
    <t xml:space="preserve">Normatíva felülvizsgálat tartalék </t>
  </si>
  <si>
    <t>12. havi áfa bevallás önkormányzat</t>
  </si>
  <si>
    <t>Mozgáskorlátozottak Egyesületének internet kiadások támogatása</t>
  </si>
  <si>
    <t>Dunaharaszti Vöröskereszt szervezetének támogatása</t>
  </si>
  <si>
    <t>Bárka Alapítvány</t>
  </si>
  <si>
    <t>Péter Cerny Alapítvány</t>
  </si>
  <si>
    <t>Beszélj Velem Alapítvány</t>
  </si>
  <si>
    <t>Mályvavirág Központ (Alapítvány) támogatása</t>
  </si>
  <si>
    <t>Polgárőr Egyesület működési költség támogatása</t>
  </si>
  <si>
    <t>VAGABOND Korzó támogatása</t>
  </si>
  <si>
    <t>Fásítási program</t>
  </si>
  <si>
    <t>Kiemelt állami és önkormányzati rendezvények</t>
  </si>
  <si>
    <t>Művészeti Alkotótábor</t>
  </si>
  <si>
    <t>Mobil jégpálya üzemeltetése</t>
  </si>
  <si>
    <t>Várossá válás szeptemberi ünnepsége</t>
  </si>
  <si>
    <t>Közúti káresemények</t>
  </si>
  <si>
    <t>Hátrányos helyzetű gyermekek üdültetése</t>
  </si>
  <si>
    <t>Helyi közutak fenntartása, rendkívüli síkosságmentesítés</t>
  </si>
  <si>
    <t>Vagyongazdálkodási kiadások</t>
  </si>
  <si>
    <t>Játszóterek felülvizsgálata</t>
  </si>
  <si>
    <t>Terület előkészítés, földmérés és eljárási díjak</t>
  </si>
  <si>
    <t>Intézményi ad hoc feladatainak ellátása</t>
  </si>
  <si>
    <t>Sportcsarnok működtetése</t>
  </si>
  <si>
    <t>Millenium utca útépítése</t>
  </si>
  <si>
    <t xml:space="preserve">Némedi út páratlan oldali járda </t>
  </si>
  <si>
    <t>Andrássy utca déli oldal járdaépítése</t>
  </si>
  <si>
    <t>Damjanich utcai rendelő előtt kétoldali párhuzamos parkoló, várakozó sáv kiépítése</t>
  </si>
  <si>
    <t>Burkolt árok építése 200 fm</t>
  </si>
  <si>
    <t>Földárok építése 200 fm</t>
  </si>
  <si>
    <t>Határ út - Kócsag utca sarok csapadékvíz elvezetése</t>
  </si>
  <si>
    <t>Csapadékvíz beruházások lakossági kérésre</t>
  </si>
  <si>
    <t>510-es főút mentén a DTCS és Taksony közti szakaszon a vízellátás és szennyvízelvezetés tervezése</t>
  </si>
  <si>
    <t>Csokonai utca végén 3 db ingatlan közműbekötése</t>
  </si>
  <si>
    <t>Zajtérkép és intézkedési terv (elnyert támogatás)</t>
  </si>
  <si>
    <t>Sportcsarnokhoz napelem tervezés</t>
  </si>
  <si>
    <t>Dózsa György u. 26. csapadékvíz elvezetési munkái</t>
  </si>
  <si>
    <t>Lakás vásárlás</t>
  </si>
  <si>
    <t>Játszóterek fejlesztése</t>
  </si>
  <si>
    <t xml:space="preserve">Közvilágítás bővítése lakossági igény szerint </t>
  </si>
  <si>
    <t>Piac eszközbeszerzés</t>
  </si>
  <si>
    <t>Temető fenntartás eszközbeszerzés</t>
  </si>
  <si>
    <t>Temetkezés eszközbeszerzés</t>
  </si>
  <si>
    <t>Temetőben utak aszfaltozása</t>
  </si>
  <si>
    <t>Kisposta</t>
  </si>
  <si>
    <t>Baktay tér szökőkút felújítás</t>
  </si>
  <si>
    <t>Kegyeleti park szökőkút felújítás</t>
  </si>
  <si>
    <t>Kőrösi Csoma Sándor utca útfelújítása (Csokonai-MÁV átjáró)</t>
  </si>
  <si>
    <t>Határ út útfelújítás (MÁV átjáró - Táncsics szakasz)</t>
  </si>
  <si>
    <t>Jedlik Ányos utca felújítása</t>
  </si>
  <si>
    <t>Paradicsom sziget útépítése</t>
  </si>
  <si>
    <t>Temető utca csapadékvíz elvezető rendszer felújítása</t>
  </si>
  <si>
    <t>Lakossági járdaépítés költsége</t>
  </si>
  <si>
    <t>Felhalmozási célú pénzeszköz átadás lakosságnak: Első lakáshoz jutók támogatása</t>
  </si>
  <si>
    <t>Pest Megyei Katasztrófavédelmi Igazgatóság eszközfejlesztési támogatása</t>
  </si>
  <si>
    <t>Szigetszentmiklósi Szakorvosi rendelő eszközpark korszerűsítés</t>
  </si>
  <si>
    <t>Német Nemzetiségi Önkormányzat lakás vásárlás támogatása</t>
  </si>
  <si>
    <t>Dunaharaszti Ipartestület analóg adásról digitális adásra való átálláshoz szükséges egység beszerzésének támogatása</t>
  </si>
  <si>
    <t>Egyházak eszközfejlesztésének támogatása (Dunaharaszti Evangélikus Egyházközség épületének felújítása)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</si>
  <si>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</si>
  <si>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</si>
  <si>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</si>
  <si>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</si>
  <si>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</si>
  <si>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</si>
  <si>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</si>
  <si>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</si>
  <si>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</si>
  <si>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</si>
  <si>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</si>
  <si>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</si>
  <si>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</si>
  <si>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</si>
  <si>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</si>
  <si>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</si>
  <si>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</si>
  <si>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</si>
  <si>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</si>
  <si>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</si>
  <si>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</si>
  <si>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</si>
  <si>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</si>
  <si>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</si>
  <si>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</si>
  <si>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</si>
  <si>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</si>
  <si>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</si>
  <si>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</si>
  <si>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</si>
  <si>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</si>
  <si>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</si>
  <si>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2018. évi maradvány terhére képzett tartalék</t>
  </si>
  <si>
    <t>85.</t>
  </si>
  <si>
    <t>86.</t>
  </si>
  <si>
    <t>Magyar Úszószövetség támogatás</t>
  </si>
  <si>
    <t>87.</t>
  </si>
  <si>
    <t>DMTK-KVSE Aquasport Egyesület támogatás</t>
  </si>
  <si>
    <t>Sportlétesítmények müködtetése rezsi</t>
  </si>
  <si>
    <t>Mérlegben következő évet terhelő kötött tételek*</t>
  </si>
  <si>
    <t>Alszámlák (kötött)*</t>
  </si>
  <si>
    <t>Dunaharaszti        Szivárvány Óvoda</t>
  </si>
  <si>
    <t>* A költségvetési rendeletben nem az intézményi maradvánnyal szemben került tervezésre.</t>
  </si>
  <si>
    <t>** A Dunaharaszti Városi Könyvtár alszámlája az önkormányzati maradvánnyal szemben került beemelésre.</t>
  </si>
  <si>
    <t>Alaptevékenység korrigált szabad maradványa**</t>
  </si>
  <si>
    <t>Dunaharaszti Önkormányzat 2018. december 31-i vagyonkimutatása részletezése</t>
  </si>
  <si>
    <t>Könyvsz.érték 2018. december 31.</t>
  </si>
  <si>
    <t>Össznévérték 2017. december 31.            (Előző év)</t>
  </si>
  <si>
    <t>Össznévérték                2018. december 31.</t>
  </si>
  <si>
    <t>Szerződés tárgya/ Feladat</t>
  </si>
  <si>
    <t>Dunaharaszti Intézmények</t>
  </si>
  <si>
    <t>Dunaharaszti Polgármesteri Hivatal bér és járulék kiegészítése</t>
  </si>
  <si>
    <t>Szabad maradvány mindösszesen</t>
  </si>
  <si>
    <t>Zárszámadási rendelet elfogadását követően kerül beemelésre a 2019. évi költségvetésbe a szabad maradvány terhére</t>
  </si>
  <si>
    <t>Sportcsarnok bér és járulék kiegészítése</t>
  </si>
  <si>
    <t>Kitüntetői díjak keretének bér és járulék kiegészítése</t>
  </si>
  <si>
    <t>Többéves kihatással járó döntések számszerűsítése évenkénti bontásban és összesítve célok szerint</t>
  </si>
  <si>
    <t>Sor-
szám</t>
  </si>
  <si>
    <t>Kötelezettség jogcíme</t>
  </si>
  <si>
    <t>Kiadás vonzata évenként</t>
  </si>
  <si>
    <t>2021. év után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</si>
  <si>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</si>
  <si>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</si>
  <si>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</si>
  <si>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</si>
  <si>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</si>
  <si>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</si>
  <si>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</si>
  <si>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</si>
  <si>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</si>
  <si>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</si>
  <si>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Felhalmozási célú finanszírozási kiadások
(hiteltörlesztés, értékpapír vásárlás, stb.)</t>
  </si>
  <si>
    <t>7.2 hitelcél: Közoktatási feladatellátás int…</t>
  </si>
  <si>
    <t>2013</t>
  </si>
  <si>
    <t>5.1 hitelcél: Helyi közutak építése, felújítása</t>
  </si>
  <si>
    <t>2014</t>
  </si>
  <si>
    <t>6.3 hitelcél: Csapadék-vízelvezetés</t>
  </si>
  <si>
    <t>Beruházási kiadások beruházásonként</t>
  </si>
  <si>
    <t>Dunaharaszti Városi Bölcsőde új tagintézményének építése VEKOP-6.1.1-15-PT1-2016-00076</t>
  </si>
  <si>
    <t>2016</t>
  </si>
  <si>
    <t>Felújítási kiadások felújításonként</t>
  </si>
  <si>
    <t>Egyéb (Pl.: garancia és kezességvállalás, stb.)</t>
  </si>
  <si>
    <t>Összesen (1+2+3+4+5)</t>
  </si>
  <si>
    <t>2017. évről technikai okok miatt 2018. évre áthúzódó</t>
  </si>
  <si>
    <t>2018. évről technikai okok miatt 2019. évre áthúzódó</t>
  </si>
  <si>
    <t>Nem teljesített törlesztések 
2018. december 31.</t>
  </si>
  <si>
    <t>Móricz Zsigmond utca burkolat erősítési munkái</t>
  </si>
  <si>
    <t>Jedlik Ányos utca közvilágítás fejlesztése</t>
  </si>
  <si>
    <t>Kötelezettség-vállalás éve</t>
  </si>
  <si>
    <t>Dunaharaszti Városi Könyvtár</t>
  </si>
  <si>
    <t>Szivárvány Óvoda</t>
  </si>
  <si>
    <t>Művelődési Ház</t>
  </si>
  <si>
    <t xml:space="preserve">Záró állomány : 2018.12.31.        </t>
  </si>
  <si>
    <r>
      <t>Pénzkészlet 2018. január 1-jén
e</t>
    </r>
    <r>
      <rPr>
        <i/>
        <sz val="10"/>
        <rFont val="Times New Roman CE"/>
        <charset val="238"/>
      </rPr>
      <t>bből:</t>
    </r>
  </si>
  <si>
    <r>
      <t xml:space="preserve"> </t>
    </r>
    <r>
      <rPr>
        <sz val="10"/>
        <rFont val="Times New Roman CE"/>
        <family val="1"/>
        <charset val="238"/>
      </rPr>
      <t>Pénztárak és  elektronikus pénzeszközök egyenlege</t>
    </r>
  </si>
  <si>
    <t>ebből: Idegen pénzeszköz záró pénzkészlet: letéti számla</t>
  </si>
  <si>
    <r>
      <t>Záró pénzkészlet 2018. december 31-én
e</t>
    </r>
    <r>
      <rPr>
        <i/>
        <sz val="10"/>
        <rFont val="Times New Roman CE"/>
        <charset val="238"/>
      </rPr>
      <t>bből:</t>
    </r>
  </si>
  <si>
    <t>Költségvetési kiadások    ( - )</t>
  </si>
  <si>
    <t>Pénzeszközök változása  2018. évben</t>
  </si>
  <si>
    <t>Pénzkészlet</t>
  </si>
  <si>
    <t>Pénzkészlet-7. sor</t>
  </si>
  <si>
    <t>36* számlák forgalma (egyéb sajátos elszámolások)</t>
  </si>
  <si>
    <t>G/III Egyéb eszközök induláskori értéke és változásai</t>
  </si>
  <si>
    <t>21b - ebből: egyéb pénzeszközök és sajátos elszámolások mérlegfordulónapi értékelése során megállapított (nem realizált) árfolyamnyeresége</t>
  </si>
  <si>
    <t>26b - ebből: egyéb pénzeszközök és sajátos elszámolások  mérlegfordulónapi értékelése során megállapított (nem realizált) árfolyamvesztesége</t>
  </si>
  <si>
    <t xml:space="preserve">Dunaharaszti Város Önkormányzat 2018. évi működési, felhalmozási bevételeinek és kiadásainak mérlegszerű bemutatása </t>
  </si>
  <si>
    <t xml:space="preserve">   Ebből: Magyar Államkötvény vásárlás</t>
  </si>
  <si>
    <t xml:space="preserve">    Ebből: Magyar Államkötvény eladás</t>
  </si>
  <si>
    <t>2018. évi költségvetés egyenlege (Költségvetési egyenleg + Finanszírozási egyenleg)</t>
  </si>
  <si>
    <t>Dunaharaszti Önkormányzat közvetett támogatásainak részletezése 2018. évben az Ávr.  28 §-a szerint, amelyről rendelkezik az Áht. 24 § (4) bekezdés c) pontja</t>
  </si>
  <si>
    <t>Dunaharaszti Város Önkormányzat saját bevételeinek és a Stabilitási törvény 3. § (1) bekezdése szerinti adósságot keletkeztető ügyleteiből eredő fizetési kötelezettségeinek várható összege a futamidő végéig (Áht. 29/A. §) Ft-ban</t>
  </si>
  <si>
    <t>2019. év</t>
  </si>
  <si>
    <t>2020. év</t>
  </si>
  <si>
    <t>2021. év</t>
  </si>
  <si>
    <t>2022. év</t>
  </si>
  <si>
    <t>2023. év</t>
  </si>
  <si>
    <t>2024. év</t>
  </si>
  <si>
    <t>2025. év</t>
  </si>
  <si>
    <t>2026. év</t>
  </si>
  <si>
    <t>2027. év</t>
  </si>
  <si>
    <t>2028. év</t>
  </si>
  <si>
    <t>2029. év</t>
  </si>
  <si>
    <t>2030. év</t>
  </si>
  <si>
    <t>2031. év</t>
  </si>
  <si>
    <t>2032. év</t>
  </si>
  <si>
    <t>2033. év</t>
  </si>
  <si>
    <t>2034. év</t>
  </si>
  <si>
    <t>2035. év</t>
  </si>
  <si>
    <t>2036. év</t>
  </si>
  <si>
    <t>2037. év</t>
  </si>
  <si>
    <t>2038. év</t>
  </si>
  <si>
    <t>051 nem lakásc. Önk ing</t>
  </si>
  <si>
    <t>3. sor PMH B355 és B36</t>
  </si>
  <si>
    <t>052 lakás</t>
  </si>
  <si>
    <t>119 egyéb adóbev Bírság pólék</t>
  </si>
  <si>
    <t>Összesen2015</t>
  </si>
  <si>
    <t>069 szennyv bérleti díj</t>
  </si>
  <si>
    <t>köv években Br 142840 nettó 112472000</t>
  </si>
  <si>
    <t>Mese</t>
  </si>
  <si>
    <t>előző évi hátralék Önk</t>
  </si>
  <si>
    <t>Hétszínvirág</t>
  </si>
  <si>
    <t>előző évi hátralék PMH</t>
  </si>
  <si>
    <t>080 Kőrösi</t>
  </si>
  <si>
    <t>Össesen</t>
  </si>
  <si>
    <t>081 BEG</t>
  </si>
  <si>
    <t>Előző évi egyéb adóbev Pótlék, bírság</t>
  </si>
  <si>
    <t>Előző évi PMH B3  bírság elj.díj</t>
  </si>
  <si>
    <t>DPMV is benne van</t>
  </si>
  <si>
    <t>051 Ingatlan ért.</t>
  </si>
  <si>
    <t>051  előző évi hátralék</t>
  </si>
  <si>
    <t>051 Terembér</t>
  </si>
  <si>
    <t>052 előző évi hátralék</t>
  </si>
  <si>
    <t>069, 105 Bérleti díj</t>
  </si>
  <si>
    <t>110 előző évi hátralék</t>
  </si>
  <si>
    <t>119 Telekeladás hátralék</t>
  </si>
  <si>
    <t>2018. év</t>
  </si>
  <si>
    <r>
      <t xml:space="preserve">Alszámlák (kötött) </t>
    </r>
    <r>
      <rPr>
        <sz val="18"/>
        <color indexed="8"/>
        <rFont val="Garamond"/>
        <family val="1"/>
        <charset val="238"/>
      </rPr>
      <t>(részletezve 13.c tábla)</t>
    </r>
  </si>
  <si>
    <r>
      <t xml:space="preserve">KÖTÖTT MARADVÁNY MINDÖSSZESEN </t>
    </r>
    <r>
      <rPr>
        <sz val="18"/>
        <color theme="1"/>
        <rFont val="Garamond"/>
        <family val="1"/>
        <charset val="238"/>
      </rPr>
      <t>(13.b. tábla 11. és 14. sora összesen)</t>
    </r>
  </si>
  <si>
    <t>Alszámlák (kötött) összesen</t>
  </si>
  <si>
    <t>DUNAHARASZTI VÁROS ÖNKORMÁNYZATA MINDÖSSZESEN</t>
  </si>
  <si>
    <t>Kötelezettvállalással terhelt maradvány összesen</t>
  </si>
  <si>
    <t>Zárszámadási rendelet elfogadását követően kerül beemelésre a 2019. évi költségvetésbe a szabad maradvány terhére összesen</t>
  </si>
  <si>
    <t>2019. évi  eredeti költségvetésbe beemelésre került szabad maradvány</t>
  </si>
  <si>
    <t>Dunaharaszti Város Önkormányzata ASP Központhoz való csatlakozása</t>
  </si>
  <si>
    <t>KÖFOP-1.2.1-VEKOP-16-2017-01053</t>
  </si>
  <si>
    <r>
      <t xml:space="preserve">Elszámolható összköltség: </t>
    </r>
    <r>
      <rPr>
        <b/>
        <sz val="12"/>
        <color theme="1"/>
        <rFont val="Calibri"/>
        <family val="2"/>
        <charset val="238"/>
        <scheme val="minor"/>
      </rPr>
      <t>9 000 000 Ft</t>
    </r>
  </si>
  <si>
    <t>Támogatói Okirat</t>
  </si>
  <si>
    <t>Támogatási előleg
összege</t>
  </si>
  <si>
    <t>Ebből pénzforglamilag teljesült 2017.12.31-ig</t>
  </si>
  <si>
    <t>Ebből pénzforglamilag teljesült 2018.12.31-ig</t>
  </si>
  <si>
    <t>Következő évre
áthúzódó összeg</t>
  </si>
  <si>
    <t>Támogatás intenzítása 100%</t>
  </si>
  <si>
    <t>Kiadások szerződés szerinti megoszlása</t>
  </si>
  <si>
    <t>Projekt teljes összege</t>
  </si>
  <si>
    <t>Pénzforgalmi teljesítés
2017.12.31-ig</t>
  </si>
  <si>
    <t>Pénzforgalmi teljesítés
2018.12.31-ig</t>
  </si>
  <si>
    <t>Projekt menedzsment költségei</t>
  </si>
  <si>
    <t>Eszköz beszerés költségei</t>
  </si>
  <si>
    <t>Szakértői díjak</t>
  </si>
  <si>
    <t>Képzéshez kapcsolódó költségek</t>
  </si>
  <si>
    <t>Nyílvánosság költségei</t>
  </si>
  <si>
    <t>Szakmai jellegű munkabér</t>
  </si>
  <si>
    <t>Projekt minősszesen:</t>
  </si>
  <si>
    <t>Dunaharaszti Városi Bölcsőde új tagintézményének építése</t>
  </si>
  <si>
    <t>VEKOP-6.1.1.-15-PT1-2015-00076</t>
  </si>
  <si>
    <t>Elszámolható összköltség: 397 909 188 Ft</t>
  </si>
  <si>
    <t>Támogatási szerződés</t>
  </si>
  <si>
    <t>Ebből pénzforglamilag teljesült 2016.12.31-ig</t>
  </si>
  <si>
    <t>2016 évben teljesült</t>
  </si>
  <si>
    <t>Műszaki ellenőr</t>
  </si>
  <si>
    <t>Terület előkészítés</t>
  </si>
  <si>
    <t>Engedélyezési terv</t>
  </si>
  <si>
    <t>Előzetes tanulmány megvalósuláshoz</t>
  </si>
  <si>
    <t xml:space="preserve">Előzetes szakértői díj </t>
  </si>
  <si>
    <t>Kisgyermek területén jártas szakember díja</t>
  </si>
  <si>
    <t>Rehabilitációs környezettervező szakértő díja</t>
  </si>
  <si>
    <t>Közbeszerzési költség</t>
  </si>
  <si>
    <t>Műszaki tervek, tenderterv, kiviteli terv</t>
  </si>
  <si>
    <t>Projektm.szakértői díj</t>
  </si>
  <si>
    <t>Építéshez kapcsolódó költség</t>
  </si>
  <si>
    <t>Nyílvánosság</t>
  </si>
  <si>
    <t>Eszközbeszerzés</t>
  </si>
  <si>
    <t>Maradvány</t>
  </si>
  <si>
    <t>*A 2019. évre áthúzódó összeg 55.000 Ft-tal eltér a MÁK-nál vezetett számlától, mert 2018. évben tévesen az Önkormányzat elszámoló számlájáról került elutalásra kiadás, ami csak a 2019. évben került átvezetésre erről a számláról.</t>
  </si>
  <si>
    <t>** A MÁK-os számlán maradó 476.355 Ft-ból 162.316 Ft a végelszámolás során visszautalásra fog kerülni.</t>
  </si>
  <si>
    <t xml:space="preserve"> Fő út - Károlyi Mihály utca fejlesztése</t>
  </si>
  <si>
    <t>PM_ONKOMUT_2016/122</t>
  </si>
  <si>
    <r>
      <t xml:space="preserve">Elszámolható összköltség: </t>
    </r>
    <r>
      <rPr>
        <b/>
        <sz val="12"/>
        <color theme="1"/>
        <rFont val="Calibri"/>
        <family val="2"/>
        <charset val="238"/>
        <scheme val="minor"/>
      </rPr>
      <t>125 771 671 Ft</t>
    </r>
  </si>
  <si>
    <t>Támogatás intenzítása 85 %
saját forrás: 18 865 751 Ft</t>
  </si>
  <si>
    <t>Beruházás előkészítéséhez kapcsolódó költségek</t>
  </si>
  <si>
    <t>Közbeszerzési eljárás költségei</t>
  </si>
  <si>
    <t>Főtevékenységhez kapcsolódó költség</t>
  </si>
  <si>
    <t>Műszaki ellenőrzés költségei</t>
  </si>
  <si>
    <t>Projektmenedzsmenthez kapcsolódó költségek</t>
  </si>
  <si>
    <t>Dunaharaszti Város Önkormányzatának Pest Megyei Területfejlesztési Programja 
keretében megvalósult beruházása</t>
  </si>
  <si>
    <r>
      <t>Pályázat címe.</t>
    </r>
    <r>
      <rPr>
        <b/>
        <u/>
        <sz val="12"/>
        <rFont val="Garamond"/>
        <family val="1"/>
        <charset val="238"/>
      </rPr>
      <t xml:space="preserve"> „Dunaharaszti Fő út - Károlyi Mihály utca felújítása"</t>
    </r>
  </si>
  <si>
    <r>
      <t xml:space="preserve">Szerződésszám: </t>
    </r>
    <r>
      <rPr>
        <b/>
        <sz val="12"/>
        <rFont val="Garamond"/>
        <family val="1"/>
        <charset val="238"/>
      </rPr>
      <t>PM_ONKORMUT_2016/122</t>
    </r>
  </si>
  <si>
    <t>A beruházás fenntartási időszakára vállalt számszerűsíthető eredmények:</t>
  </si>
  <si>
    <t>Felújított, szilárd burkolattal rendelkező belterületi utak hossza</t>
  </si>
  <si>
    <t>m</t>
  </si>
  <si>
    <t>Megvalósult közlekedésbiztonsági elemek száma</t>
  </si>
  <si>
    <t>Kihelyezésre kerülő jelzőtáblák száma</t>
  </si>
  <si>
    <t>Az útburkolati jelekkel felfestett útszakaszok hossza</t>
  </si>
  <si>
    <t>km/m</t>
  </si>
  <si>
    <t>A fejlesztéssel érintett útszegély hossza</t>
  </si>
  <si>
    <t>A fejlesztés révén megvalósult vízelvezetés hossza</t>
  </si>
  <si>
    <t>Elektromos töltőállomás létesítése</t>
  </si>
  <si>
    <t>GZR-T-Ö-2016-0030</t>
  </si>
  <si>
    <r>
      <t xml:space="preserve">Összköltség: </t>
    </r>
    <r>
      <rPr>
        <b/>
        <sz val="12"/>
        <color theme="1"/>
        <rFont val="Calibri"/>
        <family val="2"/>
        <charset val="238"/>
        <scheme val="minor"/>
      </rPr>
      <t>5 235 608 Ft</t>
    </r>
  </si>
  <si>
    <t>Támogatás intenzítása 52.72 %
saját forrás: 2 475 608 Ft</t>
  </si>
  <si>
    <t>Töltőoszlop</t>
  </si>
  <si>
    <t>Villamoshálózati csatlakozási díj</t>
  </si>
  <si>
    <t>Töltőhely kialakításához kapcsolódó költségek</t>
  </si>
  <si>
    <t>Dunaharaszti Város Önkormányzatának Nemzetgazdasági Minisztérium
 támogatásával megvalósult beruházása</t>
  </si>
  <si>
    <r>
      <t>Pályázat címe.</t>
    </r>
    <r>
      <rPr>
        <b/>
        <u/>
        <sz val="12"/>
        <rFont val="Garamond"/>
        <family val="1"/>
        <charset val="238"/>
      </rPr>
      <t xml:space="preserve"> „Jedlik Ányos Terv - Elektromos töltőállomás létesítése"</t>
    </r>
  </si>
  <si>
    <r>
      <t xml:space="preserve">Szerződésszám: </t>
    </r>
    <r>
      <rPr>
        <b/>
        <sz val="12"/>
        <rFont val="Garamond"/>
        <family val="1"/>
        <charset val="238"/>
      </rPr>
      <t>GZR-T-Ö-2016-0030</t>
    </r>
  </si>
  <si>
    <t>"A" tipuső töltőberendezés</t>
  </si>
  <si>
    <t xml:space="preserve">db </t>
  </si>
  <si>
    <t>A Dunaharaszti MTK részére teniszpálya építése</t>
  </si>
  <si>
    <t>BMSK-III-010/0214/2017</t>
  </si>
  <si>
    <r>
      <t xml:space="preserve">Elszámolható összköltség: </t>
    </r>
    <r>
      <rPr>
        <b/>
        <sz val="12"/>
        <color theme="1"/>
        <rFont val="Calibri"/>
        <family val="2"/>
        <charset val="238"/>
        <scheme val="minor"/>
      </rPr>
      <t>8 763 000 Ft</t>
    </r>
  </si>
  <si>
    <t>Támogatás intenzítása 34,23 %
saját forrás: 5 763 000 Ft</t>
  </si>
  <si>
    <t>Sportpálya szabványosítás (Támogatáson belüli tételek: alépítvényi munka, salakréteg, salak örlemény)</t>
  </si>
  <si>
    <t>Sportpálya szabványosítás (Támogatáson kívüli tételek)</t>
  </si>
  <si>
    <t>Lapdafogó háló és kerítés építese</t>
  </si>
  <si>
    <t>Dunaharaszti Város Önkormányzatának Nemzeti Fejlesztési Minisztérium 
támogatásával megvalósult beruházása</t>
  </si>
  <si>
    <r>
      <t>Pályázat címe.</t>
    </r>
    <r>
      <rPr>
        <b/>
        <u/>
        <sz val="12"/>
        <rFont val="Garamond"/>
        <family val="1"/>
        <charset val="238"/>
      </rPr>
      <t xml:space="preserve"> „A Dunaharaszti MTK részére teniszpálya építése"</t>
    </r>
  </si>
  <si>
    <r>
      <t xml:space="preserve">Szerződésszám: </t>
    </r>
    <r>
      <rPr>
        <b/>
        <sz val="12"/>
        <rFont val="Garamond"/>
        <family val="1"/>
        <charset val="238"/>
      </rPr>
      <t xml:space="preserve"> BMSK-III-010/0214/2017</t>
    </r>
  </si>
  <si>
    <t xml:space="preserve">Szabadtéri pálya bővítése szabványos méretre </t>
  </si>
  <si>
    <t>Várható üzemeltetés költségei</t>
  </si>
  <si>
    <t>Saját forrásból megvalósuló védőháló</t>
  </si>
  <si>
    <t>51. számú Fő út - Gábor Áron utca körforgalmú csomópont kiépítése</t>
  </si>
  <si>
    <t>BMÖGF/367-2/2017</t>
  </si>
  <si>
    <t>Támogatási Okirat</t>
  </si>
  <si>
    <t>Előkészítő és földmunkák</t>
  </si>
  <si>
    <t>Útépítés és egyéb pályaszerkezet építés</t>
  </si>
  <si>
    <t>Forgalomtechnikai létesítmények</t>
  </si>
  <si>
    <t>Vízépítés</t>
  </si>
  <si>
    <t>Növénytelepítés, környezetvédelem</t>
  </si>
  <si>
    <t>Egészségügyi alapellátást nyújtó intézmény fejlesztése</t>
  </si>
  <si>
    <t>PM_EUALAPELLATAS_2017/52</t>
  </si>
  <si>
    <t>Támogatási Szerződés</t>
  </si>
  <si>
    <t>Támogatás intenzítása 85%</t>
  </si>
  <si>
    <t>Jelenleg is azonos funkciót betöltő helyiségek/épületek felújítása</t>
  </si>
  <si>
    <t>Megelőző ellátások nyűjtására, egészségfejlesztési
 feladatok ellátásához kapcsolódó költségek</t>
  </si>
  <si>
    <t>Családbarát funkciók kialakításához kapcsolódó költségek</t>
  </si>
  <si>
    <t>Előzetes tanulmányok, engedélyezési
dokumentumok költsége</t>
  </si>
  <si>
    <t>Pályázati dokumentáció összeállításának költsége</t>
  </si>
  <si>
    <t>Műszaki tervek, kiviteli és tendertervek, ezek hatósági díja</t>
  </si>
  <si>
    <t>Közbeszerzési dokumentáció összeállítása</t>
  </si>
  <si>
    <t>Műszaki ellenőri szolgátatás költsége</t>
  </si>
  <si>
    <t>Személyi jellegű ráfordítás</t>
  </si>
  <si>
    <t>Tájékoztató táblák elkészítése és kihelyezése</t>
  </si>
  <si>
    <t>Sajtómegjelenés költsége</t>
  </si>
  <si>
    <t>Zárórendezvény költsége</t>
  </si>
  <si>
    <t xml:space="preserve"> Dunaharaszti A3 belvízelvezető mederburkolat kialakítása</t>
  </si>
  <si>
    <t>PM_CSAPVIZGAZD_2017/39</t>
  </si>
  <si>
    <t>Belterület védelmét szolgáló vízelvezető hálózat létesítése,
fejlesztése, rekonstrukciója</t>
  </si>
  <si>
    <t>Pályázati dokumentáció összeállítása, műszaki tervdokumentcáiók elkészítése, tervezés, engedélyezés és hatósági eljárások</t>
  </si>
  <si>
    <t>Személyi jellegű ráfordítás - számlás</t>
  </si>
  <si>
    <t xml:space="preserve"> Dunaharaszti Szívárvány Óvoda Százszorszép Tagóvodája fejlesztése (felújítása, korszerűsítése)</t>
  </si>
  <si>
    <t>PM_OVODAFEJLESZTES_2017/46</t>
  </si>
  <si>
    <t>Támogatás intenzítása 70%</t>
  </si>
  <si>
    <t>Óvodai ellátást biztosító helyek, helyiségek, épületek felújítása átépítése</t>
  </si>
  <si>
    <t>Eszközbeszerzés költségei</t>
  </si>
  <si>
    <t>Parkoló-férőhely és akadálymentes parkoló férőhely létesítéséhez kapcsolódó költségek</t>
  </si>
  <si>
    <t>Előzetes tanulmányok, engedélyezési
dokumentumok költsége, pályázati dokumentáció összeállításának költsége, műszaki tervek, kiviteli és tendertervek, ezek hatósági díja</t>
  </si>
  <si>
    <t>Közbeszerzési dokumentáció összeállítása, 
közbeszerzési eljárás költsége</t>
  </si>
  <si>
    <t>Tájékoztató táblák elkészítése és kihelyezése, 
sajtómegjelenés költsége, zárórendezvény költsége</t>
  </si>
  <si>
    <t xml:space="preserve"> Dunaharaszti Temető utca szilárd burkolatának cseréje</t>
  </si>
  <si>
    <t>PM_ONKORMUT_2018/79</t>
  </si>
  <si>
    <t>Támogatás intenzítása 59%</t>
  </si>
  <si>
    <t>Önkormányzati tulajdonú belt.utak szilárd burkolattal történő kiépítése, felújítása, korszerűsítése</t>
  </si>
  <si>
    <t>Az út tartozékainak felújítása, korszerűsítése kapcsán például jelzőtáblák, jelzőlámpák telepítése, cseréje</t>
  </si>
  <si>
    <t>Forgalomtechnikai létesítmények és közlekedésbiztonsági elemek</t>
  </si>
  <si>
    <t>Közterület rendezés, zöldfelület létesítése</t>
  </si>
  <si>
    <t>Pályázati dokumentáció összeállításának költségei, műszaki tervdokumentációk elkészítésének költségei, tervezési engedélyezési költségek, hatósági eljárások költségei</t>
  </si>
  <si>
    <t>Tájékoztató táblák elkészítése és kihelyezése, 
sajtómegjelenés költsége, nyító- és zárórendezvény költsége</t>
  </si>
  <si>
    <t>Zajcsökkentési intézkedési terv készítése</t>
  </si>
  <si>
    <t>KmF/281/2018</t>
  </si>
  <si>
    <t>Irodaszer</t>
  </si>
  <si>
    <t>Zajcsökkentési intézkedési terv</t>
  </si>
  <si>
    <t>TESTO 815 decibel mérő</t>
  </si>
  <si>
    <t>13.a - 13.d mellékletek, 1-10. tájékoztató táblák és 1-18. függelékek</t>
  </si>
  <si>
    <t>Dunaharaszti Város Önkormányzata 2018. évi költségvetésének végrehajtásáról szóló beszámoló (zárszámadás) egyes mellékletei, tájékoztató táblái és függelékei</t>
  </si>
  <si>
    <t>Konyha tervezési és kivitelezési költségei</t>
  </si>
  <si>
    <t>Parkoló-férőhely és akadálymentes parkolóférőhely létesítéséhez</t>
  </si>
  <si>
    <t>Önkormányzat tulajdoni hányada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</si>
</sst>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#,##0\ &quot;Ft&quot;;[Red]\-#,##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_-* #,##0\ _F_t_-;\-* #,##0\ _F_t_-;_-* &quot;-&quot;??\ _F_t_-;_-@_-"/>
    <numFmt numFmtId="166" formatCode="_-* #,##0.0\ _F_t_-;\-* #,##0.0\ _F_t_-;_-* &quot;-&quot;??\ _F_t_-;_-@_-"/>
    <numFmt numFmtId="167" formatCode="#,##0\ &quot;Ft&quot;"/>
    <numFmt numFmtId="168" formatCode="_-* #,##0.000\ &quot;Ft&quot;_-;\-* #,##0.000\ &quot;Ft&quot;_-;_-* &quot;-&quot;??\ &quot;Ft&quot;_-;_-@_-"/>
    <numFmt numFmtId="169" formatCode="_-* #,##0.0\ &quot;Ft&quot;_-;\-* #,##0.0\ &quot;Ft&quot;_-;_-* &quot;-&quot;??\ &quot;Ft&quot;_-;_-@_-"/>
    <numFmt numFmtId="170" formatCode="_-* #,##0\ &quot;Ft&quot;_-;\-* #,##0\ &quot;Ft&quot;_-;_-* &quot;-&quot;???\ &quot;Ft&quot;_-;_-@_-"/>
    <numFmt numFmtId="171" formatCode="#,###__"/>
    <numFmt numFmtId="172" formatCode="#,##0_ ;\-#,##0\ "/>
    <numFmt numFmtId="173" formatCode="_-* #,##0\ _F_t_-;\-* #,##0\ _F_t_-;_-* \-??\ _F_t_-;_-@_-"/>
    <numFmt numFmtId="174" formatCode="#,##0_ ;[Red]\-#,##0\ "/>
    <numFmt numFmtId="175" formatCode="0.000"/>
    <numFmt numFmtId="176" formatCode="#,###"/>
    <numFmt numFmtId="177" formatCode="#,##0\ _F_t"/>
  </numFmts>
  <fonts count="1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indexed="8"/>
      <name val="Garamond"/>
      <family val="1"/>
      <charset val="238"/>
    </font>
    <font>
      <b/>
      <sz val="18"/>
      <color indexed="8"/>
      <name val="Garamond"/>
      <family val="1"/>
      <charset val="238"/>
    </font>
    <font>
      <sz val="15"/>
      <color indexed="8"/>
      <name val="Garamond"/>
      <family val="1"/>
      <charset val="238"/>
    </font>
    <font>
      <b/>
      <sz val="16"/>
      <color indexed="8"/>
      <name val="Garamond"/>
      <family val="1"/>
      <charset val="238"/>
    </font>
    <font>
      <sz val="18"/>
      <color indexed="8"/>
      <name val="Garamond"/>
      <family val="1"/>
      <charset val="238"/>
    </font>
    <font>
      <b/>
      <i/>
      <sz val="14"/>
      <color indexed="8"/>
      <name val="Garamond"/>
      <family val="1"/>
      <charset val="238"/>
    </font>
    <font>
      <b/>
      <i/>
      <sz val="18"/>
      <color indexed="8"/>
      <name val="Garamond"/>
      <family val="1"/>
      <charset val="238"/>
    </font>
    <font>
      <i/>
      <sz val="18"/>
      <color indexed="8"/>
      <name val="Garamond"/>
      <family val="1"/>
      <charset val="238"/>
    </font>
    <font>
      <b/>
      <i/>
      <sz val="15"/>
      <color indexed="8"/>
      <name val="Garamond"/>
      <family val="1"/>
      <charset val="238"/>
    </font>
    <font>
      <b/>
      <i/>
      <sz val="16"/>
      <color indexed="8"/>
      <name val="Garamond"/>
      <family val="1"/>
      <charset val="238"/>
    </font>
    <font>
      <b/>
      <sz val="14"/>
      <color indexed="8"/>
      <name val="Garamond"/>
      <family val="1"/>
      <charset val="238"/>
    </font>
    <font>
      <b/>
      <sz val="15"/>
      <color indexed="8"/>
      <name val="Garamond"/>
      <family val="1"/>
      <charset val="238"/>
    </font>
    <font>
      <i/>
      <sz val="15"/>
      <color indexed="8"/>
      <name val="Garamond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sz val="20"/>
      <color theme="1"/>
      <name val="Garamond"/>
      <family val="1"/>
      <charset val="238"/>
    </font>
    <font>
      <sz val="18"/>
      <color theme="1"/>
      <name val="Garamond"/>
      <family val="1"/>
      <charset val="238"/>
    </font>
    <font>
      <b/>
      <sz val="18"/>
      <color theme="1"/>
      <name val="Garamond"/>
      <family val="1"/>
      <charset val="238"/>
    </font>
    <font>
      <i/>
      <sz val="18"/>
      <color theme="1"/>
      <name val="Garamond"/>
      <family val="1"/>
      <charset val="238"/>
    </font>
    <font>
      <b/>
      <sz val="18"/>
      <name val="Garamond"/>
      <family val="1"/>
      <charset val="238"/>
    </font>
    <font>
      <sz val="18"/>
      <name val="Garamond"/>
      <family val="1"/>
      <charset val="238"/>
    </font>
    <font>
      <i/>
      <sz val="18"/>
      <name val="Garamond"/>
      <family val="1"/>
      <charset val="238"/>
    </font>
    <font>
      <sz val="14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4"/>
      <name val="Garamond"/>
      <family val="1"/>
      <charset val="238"/>
    </font>
    <font>
      <sz val="1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2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Garamond"/>
      <family val="1"/>
      <charset val="238"/>
    </font>
    <font>
      <b/>
      <sz val="16"/>
      <name val="Garamond"/>
      <family val="1"/>
      <charset val="238"/>
    </font>
    <font>
      <b/>
      <u/>
      <sz val="14"/>
      <name val="Garamond"/>
      <family val="1"/>
      <charset val="238"/>
    </font>
    <font>
      <b/>
      <u/>
      <sz val="12"/>
      <name val="Garamond"/>
      <family val="1"/>
      <charset val="238"/>
    </font>
    <font>
      <b/>
      <sz val="12"/>
      <color indexed="10"/>
      <name val="Garamond"/>
      <family val="1"/>
      <charset val="238"/>
    </font>
    <font>
      <sz val="12"/>
      <color indexed="10"/>
      <name val="Garamond"/>
      <family val="1"/>
      <charset val="238"/>
    </font>
    <font>
      <sz val="9"/>
      <color theme="1"/>
      <name val="Garamond"/>
      <family val="1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i/>
      <sz val="7"/>
      <name val="Arial CE"/>
      <charset val="238"/>
    </font>
    <font>
      <b/>
      <i/>
      <sz val="9"/>
      <name val="Arial CE"/>
      <charset val="238"/>
    </font>
    <font>
      <b/>
      <i/>
      <sz val="8"/>
      <name val="Arial CE"/>
      <charset val="238"/>
    </font>
    <font>
      <b/>
      <sz val="13"/>
      <color theme="1"/>
      <name val="Calibri"/>
      <family val="2"/>
      <charset val="238"/>
      <scheme val="minor"/>
    </font>
    <font>
      <u/>
      <sz val="12"/>
      <name val="Garamond"/>
      <family val="1"/>
      <charset val="238"/>
    </font>
    <font>
      <b/>
      <sz val="10"/>
      <name val="Arial"/>
      <family val="2"/>
      <charset val="238"/>
    </font>
    <font>
      <b/>
      <sz val="13"/>
      <name val="Garamond"/>
      <family val="1"/>
      <charset val="238"/>
    </font>
    <font>
      <b/>
      <i/>
      <u/>
      <sz val="12"/>
      <name val="Garamond"/>
      <family val="1"/>
      <charset val="238"/>
    </font>
    <font>
      <sz val="10"/>
      <color theme="1"/>
      <name val="Bookman Old Style"/>
      <family val="1"/>
      <charset val="238"/>
    </font>
    <font>
      <sz val="9"/>
      <name val="Verdana"/>
      <family val="2"/>
      <charset val="238"/>
    </font>
    <font>
      <sz val="10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7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10"/>
      <name val="Times New Roman CE"/>
      <family val="1"/>
      <charset val="238"/>
    </font>
    <font>
      <sz val="9"/>
      <name val="Times New Roman CE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u/>
      <sz val="11"/>
      <color theme="1"/>
      <name val="Garamond"/>
      <family val="1"/>
      <charset val="238"/>
    </font>
    <font>
      <sz val="11"/>
      <name val="Calibri"/>
      <family val="2"/>
      <charset val="238"/>
      <scheme val="minor"/>
    </font>
    <font>
      <b/>
      <sz val="10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b/>
      <i/>
      <sz val="10"/>
      <name val="Garamond"/>
      <family val="1"/>
      <charset val="238"/>
    </font>
    <font>
      <i/>
      <sz val="10"/>
      <name val="Garamond"/>
      <family val="1"/>
      <charset val="238"/>
    </font>
    <font>
      <sz val="15"/>
      <name val="Garamond"/>
      <family val="1"/>
      <charset val="238"/>
    </font>
    <font>
      <sz val="12"/>
      <color rgb="FF000000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9"/>
      <color theme="1"/>
      <name val="Garamond"/>
      <family val="1"/>
      <charset val="238"/>
    </font>
    <font>
      <b/>
      <i/>
      <sz val="12"/>
      <color theme="1"/>
      <name val="Garamond"/>
      <family val="1"/>
      <charset val="238"/>
    </font>
    <font>
      <i/>
      <sz val="12"/>
      <color theme="1"/>
      <name val="Garamond"/>
      <family val="1"/>
      <charset val="238"/>
    </font>
    <font>
      <sz val="11"/>
      <color rgb="FFFF0000"/>
      <name val="Calibri"/>
      <family val="2"/>
      <charset val="238"/>
      <scheme val="minor"/>
    </font>
    <font>
      <b/>
      <i/>
      <sz val="16"/>
      <color theme="1"/>
      <name val="Garamond"/>
      <family val="1"/>
      <charset val="238"/>
    </font>
    <font>
      <b/>
      <i/>
      <sz val="14"/>
      <color theme="1"/>
      <name val="Garamond"/>
      <family val="1"/>
      <charset val="238"/>
    </font>
    <font>
      <b/>
      <sz val="16"/>
      <color theme="1"/>
      <name val="Garamond"/>
      <family val="1"/>
      <charset val="238"/>
    </font>
    <font>
      <b/>
      <i/>
      <sz val="10"/>
      <name val="Times New Roman CE"/>
      <family val="1"/>
      <charset val="238"/>
    </font>
    <font>
      <b/>
      <sz val="11"/>
      <color indexed="8"/>
      <name val="Garamond"/>
      <family val="1"/>
      <charset val="238"/>
    </font>
    <font>
      <b/>
      <sz val="11"/>
      <color indexed="10"/>
      <name val="Garamond"/>
      <family val="1"/>
      <charset val="238"/>
    </font>
    <font>
      <sz val="11"/>
      <color indexed="8"/>
      <name val="Garamond"/>
      <family val="1"/>
      <charset val="238"/>
    </font>
    <font>
      <sz val="11"/>
      <color rgb="FFFF0000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66"/>
        <bgColor indexed="64"/>
      </patternFill>
    </fill>
  </fills>
  <borders count="1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4" applyNumberFormat="0" applyAlignment="0" applyProtection="0"/>
    <xf numFmtId="0" fontId="20" fillId="21" borderId="15" applyNumberFormat="0" applyAlignment="0" applyProtection="0"/>
    <xf numFmtId="0" fontId="21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3" fillId="0" borderId="0" applyFont="0" applyFill="0" applyAlignment="0" applyProtection="0"/>
    <xf numFmtId="165" fontId="23" fillId="0" borderId="0" applyFont="0" applyFill="0" applyAlignment="0" applyProtection="0"/>
    <xf numFmtId="166" fontId="23" fillId="0" borderId="0" applyFont="0" applyFill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5" fillId="0" borderId="0" applyFill="0" applyBorder="0" applyAlignment="0" applyProtection="0"/>
    <xf numFmtId="43" fontId="16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4" applyNumberFormat="0" applyAlignment="0" applyProtection="0"/>
    <xf numFmtId="0" fontId="31" fillId="0" borderId="19" applyNumberFormat="0" applyFill="0" applyAlignment="0" applyProtection="0"/>
    <xf numFmtId="0" fontId="32" fillId="22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0" fontId="16" fillId="0" borderId="0"/>
    <xf numFmtId="0" fontId="24" fillId="0" borderId="0"/>
    <xf numFmtId="0" fontId="22" fillId="0" borderId="0"/>
    <xf numFmtId="0" fontId="25" fillId="0" borderId="0"/>
    <xf numFmtId="0" fontId="25" fillId="0" borderId="0"/>
    <xf numFmtId="0" fontId="24" fillId="23" borderId="20" applyNumberFormat="0" applyFont="0" applyAlignment="0" applyProtection="0"/>
    <xf numFmtId="0" fontId="33" fillId="20" borderId="21" applyNumberFormat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55" fillId="0" borderId="0"/>
    <xf numFmtId="0" fontId="23" fillId="0" borderId="0"/>
    <xf numFmtId="9" fontId="1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43" fontId="16" fillId="0" borderId="0" applyFont="0" applyFill="0" applyBorder="0" applyAlignment="0" applyProtection="0"/>
    <xf numFmtId="0" fontId="24" fillId="0" borderId="0"/>
    <xf numFmtId="44" fontId="22" fillId="0" borderId="0" applyFont="0" applyFill="0" applyBorder="0" applyAlignment="0" applyProtection="0"/>
  </cellStyleXfs>
  <cellXfs count="952">
    <xf numFmtId="0" fontId="0" fillId="0" borderId="0" xfId="0"/>
    <xf numFmtId="0" fontId="0" fillId="0" borderId="0" xfId="0" applyFill="1"/>
    <xf numFmtId="0" fontId="5" fillId="0" borderId="3" xfId="0" applyFont="1" applyFill="1" applyBorder="1" applyAlignment="1">
      <alignment horizontal="center"/>
    </xf>
    <xf numFmtId="0" fontId="7" fillId="0" borderId="0" xfId="0" applyFont="1" applyFill="1"/>
    <xf numFmtId="0" fontId="7" fillId="0" borderId="5" xfId="0" applyFont="1" applyFill="1" applyBorder="1" applyAlignment="1">
      <alignment horizontal="center"/>
    </xf>
    <xf numFmtId="164" fontId="4" fillId="0" borderId="6" xfId="2" applyNumberFormat="1" applyFont="1" applyFill="1" applyBorder="1" applyAlignment="1">
      <alignment horizontal="center" vertical="center"/>
    </xf>
    <xf numFmtId="164" fontId="4" fillId="0" borderId="7" xfId="2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/>
    <xf numFmtId="0" fontId="4" fillId="0" borderId="5" xfId="0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164" fontId="9" fillId="0" borderId="6" xfId="2" applyNumberFormat="1" applyFont="1" applyFill="1" applyBorder="1" applyAlignment="1">
      <alignment horizontal="center" vertical="center"/>
    </xf>
    <xf numFmtId="164" fontId="9" fillId="0" borderId="7" xfId="2" applyNumberFormat="1" applyFont="1" applyFill="1" applyBorder="1" applyAlignment="1">
      <alignment horizontal="center" vertical="center"/>
    </xf>
    <xf numFmtId="0" fontId="38" fillId="0" borderId="0" xfId="0" applyFont="1" applyFill="1"/>
    <xf numFmtId="164" fontId="38" fillId="0" borderId="0" xfId="0" applyNumberFormat="1" applyFont="1" applyFill="1"/>
    <xf numFmtId="0" fontId="37" fillId="0" borderId="0" xfId="0" applyFont="1" applyFill="1"/>
    <xf numFmtId="165" fontId="2" fillId="0" borderId="0" xfId="1" applyNumberFormat="1" applyFont="1" applyFill="1"/>
    <xf numFmtId="0" fontId="39" fillId="0" borderId="0" xfId="0" applyFont="1" applyFill="1"/>
    <xf numFmtId="164" fontId="39" fillId="0" borderId="0" xfId="0" applyNumberFormat="1" applyFont="1" applyFill="1"/>
    <xf numFmtId="0" fontId="9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/>
    <xf numFmtId="0" fontId="42" fillId="0" borderId="0" xfId="0" applyFont="1" applyFill="1"/>
    <xf numFmtId="164" fontId="41" fillId="0" borderId="0" xfId="0" applyNumberFormat="1" applyFont="1" applyFill="1"/>
    <xf numFmtId="0" fontId="45" fillId="0" borderId="1" xfId="0" applyFont="1" applyFill="1" applyBorder="1" applyAlignment="1">
      <alignment horizontal="left" vertical="center" wrapText="1"/>
    </xf>
    <xf numFmtId="167" fontId="41" fillId="0" borderId="0" xfId="0" applyNumberFormat="1" applyFont="1" applyFill="1"/>
    <xf numFmtId="0" fontId="46" fillId="0" borderId="23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1" fillId="0" borderId="1" xfId="0" applyFont="1" applyFill="1" applyBorder="1"/>
    <xf numFmtId="170" fontId="41" fillId="0" borderId="0" xfId="0" applyNumberFormat="1" applyFont="1" applyFill="1"/>
    <xf numFmtId="164" fontId="2" fillId="0" borderId="0" xfId="0" applyNumberFormat="1" applyFont="1" applyFill="1"/>
    <xf numFmtId="164" fontId="42" fillId="0" borderId="0" xfId="0" applyNumberFormat="1" applyFont="1" applyFill="1"/>
    <xf numFmtId="0" fontId="52" fillId="0" borderId="0" xfId="67" applyFont="1"/>
    <xf numFmtId="0" fontId="56" fillId="0" borderId="0" xfId="67" applyFont="1" applyAlignment="1"/>
    <xf numFmtId="0" fontId="56" fillId="0" borderId="0" xfId="67" applyFont="1" applyAlignment="1">
      <alignment horizontal="center"/>
    </xf>
    <xf numFmtId="0" fontId="56" fillId="0" borderId="0" xfId="67" applyFont="1"/>
    <xf numFmtId="0" fontId="59" fillId="0" borderId="0" xfId="67" applyFont="1"/>
    <xf numFmtId="165" fontId="59" fillId="0" borderId="0" xfId="32" applyNumberFormat="1" applyFont="1"/>
    <xf numFmtId="165" fontId="59" fillId="0" borderId="0" xfId="32" applyNumberFormat="1" applyFont="1" applyAlignment="1">
      <alignment horizontal="center"/>
    </xf>
    <xf numFmtId="14" fontId="56" fillId="0" borderId="0" xfId="67" applyNumberFormat="1" applyFont="1" applyAlignment="1">
      <alignment horizontal="center"/>
    </xf>
    <xf numFmtId="165" fontId="56" fillId="0" borderId="1" xfId="32" applyNumberFormat="1" applyFont="1" applyBorder="1" applyAlignment="1">
      <alignment horizontal="center" wrapText="1"/>
    </xf>
    <xf numFmtId="0" fontId="56" fillId="0" borderId="0" xfId="68" applyFont="1" applyBorder="1" applyAlignment="1">
      <alignment horizontal="center"/>
    </xf>
    <xf numFmtId="0" fontId="56" fillId="0" borderId="1" xfId="68" applyFont="1" applyBorder="1" applyAlignment="1">
      <alignment horizontal="center" vertical="center" wrapText="1"/>
    </xf>
    <xf numFmtId="165" fontId="56" fillId="0" borderId="1" xfId="32" applyNumberFormat="1" applyFont="1" applyBorder="1" applyAlignment="1">
      <alignment horizontal="center" vertical="center"/>
    </xf>
    <xf numFmtId="0" fontId="52" fillId="0" borderId="0" xfId="68" applyFont="1" applyBorder="1"/>
    <xf numFmtId="0" fontId="52" fillId="0" borderId="0" xfId="68" applyFont="1"/>
    <xf numFmtId="49" fontId="52" fillId="0" borderId="1" xfId="68" applyNumberFormat="1" applyFont="1" applyBorder="1" applyAlignment="1">
      <alignment horizontal="center" vertical="center"/>
    </xf>
    <xf numFmtId="164" fontId="56" fillId="0" borderId="1" xfId="59" applyNumberFormat="1" applyFont="1" applyFill="1" applyBorder="1" applyAlignment="1">
      <alignment horizontal="center" vertical="center"/>
    </xf>
    <xf numFmtId="9" fontId="56" fillId="0" borderId="1" xfId="69" applyFont="1" applyFill="1" applyBorder="1" applyAlignment="1">
      <alignment horizontal="center" vertical="center"/>
    </xf>
    <xf numFmtId="165" fontId="56" fillId="0" borderId="1" xfId="32" applyNumberFormat="1" applyFont="1" applyFill="1" applyBorder="1" applyAlignment="1">
      <alignment horizontal="center" vertical="center"/>
    </xf>
    <xf numFmtId="14" fontId="56" fillId="0" borderId="1" xfId="68" applyNumberFormat="1" applyFont="1" applyFill="1" applyBorder="1" applyAlignment="1">
      <alignment horizontal="center" vertical="center"/>
    </xf>
    <xf numFmtId="0" fontId="56" fillId="0" borderId="1" xfId="68" applyFont="1" applyFill="1" applyBorder="1" applyAlignment="1">
      <alignment vertical="center"/>
    </xf>
    <xf numFmtId="0" fontId="56" fillId="0" borderId="0" xfId="68" applyFont="1" applyFill="1" applyBorder="1" applyAlignment="1">
      <alignment vertical="center"/>
    </xf>
    <xf numFmtId="0" fontId="56" fillId="0" borderId="0" xfId="68" applyFont="1" applyAlignment="1">
      <alignment horizontal="center" vertical="center"/>
    </xf>
    <xf numFmtId="0" fontId="56" fillId="0" borderId="0" xfId="67" applyFont="1" applyFill="1" applyAlignment="1">
      <alignment horizontal="center" vertical="center"/>
    </xf>
    <xf numFmtId="0" fontId="56" fillId="0" borderId="0" xfId="67" applyFont="1" applyFill="1" applyBorder="1" applyAlignment="1">
      <alignment horizontal="center" vertical="center"/>
    </xf>
    <xf numFmtId="165" fontId="56" fillId="0" borderId="0" xfId="32" applyNumberFormat="1" applyFont="1" applyFill="1" applyBorder="1" applyAlignment="1">
      <alignment horizontal="center" vertical="center"/>
    </xf>
    <xf numFmtId="14" fontId="56" fillId="0" borderId="0" xfId="67" applyNumberFormat="1" applyFont="1" applyFill="1" applyBorder="1" applyAlignment="1">
      <alignment horizontal="center" vertical="center"/>
    </xf>
    <xf numFmtId="0" fontId="52" fillId="0" borderId="0" xfId="67" applyFont="1" applyBorder="1"/>
    <xf numFmtId="0" fontId="56" fillId="0" borderId="0" xfId="67" applyFont="1" applyBorder="1"/>
    <xf numFmtId="165" fontId="56" fillId="0" borderId="0" xfId="32" applyNumberFormat="1" applyFont="1" applyBorder="1"/>
    <xf numFmtId="165" fontId="56" fillId="0" borderId="0" xfId="32" applyNumberFormat="1" applyFont="1" applyBorder="1" applyAlignment="1">
      <alignment horizontal="center"/>
    </xf>
    <xf numFmtId="14" fontId="56" fillId="0" borderId="0" xfId="67" applyNumberFormat="1" applyFont="1" applyBorder="1" applyAlignment="1">
      <alignment horizontal="center"/>
    </xf>
    <xf numFmtId="0" fontId="56" fillId="0" borderId="0" xfId="67" applyFont="1" applyBorder="1" applyAlignment="1">
      <alignment horizontal="center"/>
    </xf>
    <xf numFmtId="0" fontId="52" fillId="0" borderId="0" xfId="67" applyFont="1" applyFill="1" applyBorder="1"/>
    <xf numFmtId="0" fontId="56" fillId="0" borderId="0" xfId="67" applyFont="1" applyFill="1"/>
    <xf numFmtId="0" fontId="56" fillId="0" borderId="0" xfId="67" applyFont="1" applyFill="1" applyBorder="1"/>
    <xf numFmtId="0" fontId="52" fillId="0" borderId="0" xfId="67" applyFont="1" applyFill="1"/>
    <xf numFmtId="0" fontId="60" fillId="0" borderId="0" xfId="67" applyFont="1" applyFill="1"/>
    <xf numFmtId="0" fontId="61" fillId="0" borderId="0" xfId="67" applyFont="1" applyFill="1" applyBorder="1" applyAlignment="1">
      <alignment horizontal="center"/>
    </xf>
    <xf numFmtId="165" fontId="61" fillId="0" borderId="0" xfId="32" applyNumberFormat="1" applyFont="1" applyFill="1" applyBorder="1" applyAlignment="1">
      <alignment horizontal="center"/>
    </xf>
    <xf numFmtId="14" fontId="61" fillId="0" borderId="0" xfId="67" applyNumberFormat="1" applyFont="1" applyFill="1" applyBorder="1" applyAlignment="1">
      <alignment horizontal="center"/>
    </xf>
    <xf numFmtId="0" fontId="61" fillId="0" borderId="0" xfId="67" applyFont="1" applyFill="1"/>
    <xf numFmtId="165" fontId="56" fillId="0" borderId="0" xfId="32" applyNumberFormat="1" applyFont="1" applyFill="1" applyBorder="1"/>
    <xf numFmtId="165" fontId="56" fillId="0" borderId="0" xfId="32" applyNumberFormat="1" applyFont="1" applyFill="1" applyBorder="1" applyAlignment="1">
      <alignment horizontal="center"/>
    </xf>
    <xf numFmtId="14" fontId="56" fillId="0" borderId="0" xfId="67" applyNumberFormat="1" applyFont="1" applyFill="1" applyBorder="1" applyAlignment="1">
      <alignment horizontal="center"/>
    </xf>
    <xf numFmtId="0" fontId="56" fillId="0" borderId="0" xfId="67" applyFont="1" applyFill="1" applyBorder="1" applyAlignment="1">
      <alignment horizontal="center"/>
    </xf>
    <xf numFmtId="165" fontId="52" fillId="0" borderId="0" xfId="32" applyNumberFormat="1" applyFont="1"/>
    <xf numFmtId="165" fontId="52" fillId="0" borderId="0" xfId="32" applyNumberFormat="1" applyFont="1" applyAlignment="1">
      <alignment horizontal="center"/>
    </xf>
    <xf numFmtId="14" fontId="52" fillId="0" borderId="0" xfId="67" applyNumberFormat="1" applyFont="1" applyAlignment="1">
      <alignment horizontal="center"/>
    </xf>
    <xf numFmtId="0" fontId="52" fillId="0" borderId="0" xfId="67" applyFont="1" applyAlignment="1">
      <alignment horizontal="center"/>
    </xf>
    <xf numFmtId="0" fontId="65" fillId="0" borderId="0" xfId="49" applyFont="1" applyFill="1" applyBorder="1" applyAlignment="1">
      <alignment horizontal="center"/>
    </xf>
    <xf numFmtId="0" fontId="66" fillId="0" borderId="0" xfId="49" applyFont="1" applyFill="1" applyBorder="1"/>
    <xf numFmtId="0" fontId="66" fillId="0" borderId="31" xfId="49" applyFont="1" applyFill="1" applyBorder="1"/>
    <xf numFmtId="0" fontId="66" fillId="0" borderId="32" xfId="49" applyFont="1" applyFill="1" applyBorder="1"/>
    <xf numFmtId="0" fontId="67" fillId="0" borderId="0" xfId="49" applyFont="1" applyFill="1" applyBorder="1"/>
    <xf numFmtId="0" fontId="66" fillId="0" borderId="0" xfId="49" applyFont="1" applyFill="1" applyBorder="1" applyAlignment="1">
      <alignment horizontal="center"/>
    </xf>
    <xf numFmtId="0" fontId="66" fillId="0" borderId="0" xfId="49" applyFont="1" applyFill="1" applyBorder="1" applyAlignment="1">
      <alignment horizontal="right"/>
    </xf>
    <xf numFmtId="0" fontId="66" fillId="0" borderId="33" xfId="49" applyFont="1" applyFill="1" applyBorder="1"/>
    <xf numFmtId="3" fontId="66" fillId="0" borderId="1" xfId="49" applyNumberFormat="1" applyFont="1" applyFill="1" applyBorder="1" applyAlignment="1">
      <alignment horizontal="center" vertical="center"/>
    </xf>
    <xf numFmtId="0" fontId="66" fillId="0" borderId="34" xfId="49" applyFont="1" applyFill="1" applyBorder="1"/>
    <xf numFmtId="0" fontId="66" fillId="0" borderId="1" xfId="49" applyFont="1" applyFill="1" applyBorder="1" applyAlignment="1">
      <alignment horizontal="center" vertical="center"/>
    </xf>
    <xf numFmtId="3" fontId="71" fillId="0" borderId="1" xfId="49" applyNumberFormat="1" applyFont="1" applyFill="1" applyBorder="1" applyAlignment="1">
      <alignment horizontal="center" vertical="center" wrapText="1"/>
    </xf>
    <xf numFmtId="0" fontId="66" fillId="0" borderId="35" xfId="49" applyFont="1" applyFill="1" applyBorder="1"/>
    <xf numFmtId="14" fontId="66" fillId="0" borderId="1" xfId="49" applyNumberFormat="1" applyFont="1" applyFill="1" applyBorder="1" applyAlignment="1">
      <alignment horizontal="center" vertical="center" wrapText="1"/>
    </xf>
    <xf numFmtId="0" fontId="66" fillId="0" borderId="1" xfId="49" applyFont="1" applyFill="1" applyBorder="1" applyAlignment="1">
      <alignment horizontal="center" vertical="center" wrapText="1"/>
    </xf>
    <xf numFmtId="3" fontId="72" fillId="0" borderId="1" xfId="49" applyNumberFormat="1" applyFont="1" applyFill="1" applyBorder="1" applyAlignment="1">
      <alignment horizontal="center" vertical="center" wrapText="1"/>
    </xf>
    <xf numFmtId="0" fontId="66" fillId="0" borderId="1" xfId="49" applyFont="1" applyFill="1" applyBorder="1" applyAlignment="1">
      <alignment horizontal="center"/>
    </xf>
    <xf numFmtId="0" fontId="66" fillId="0" borderId="1" xfId="49" applyNumberFormat="1" applyFont="1" applyFill="1" applyBorder="1" applyAlignment="1">
      <alignment horizontal="center" vertical="center"/>
    </xf>
    <xf numFmtId="3" fontId="73" fillId="0" borderId="1" xfId="49" applyNumberFormat="1" applyFont="1" applyFill="1" applyBorder="1" applyAlignment="1">
      <alignment horizontal="center" vertical="center"/>
    </xf>
    <xf numFmtId="0" fontId="73" fillId="0" borderId="0" xfId="49" applyFont="1" applyFill="1" applyBorder="1" applyAlignment="1">
      <alignment horizontal="center"/>
    </xf>
    <xf numFmtId="0" fontId="73" fillId="0" borderId="35" xfId="49" applyFont="1" applyFill="1" applyBorder="1" applyAlignment="1">
      <alignment horizontal="center"/>
    </xf>
    <xf numFmtId="3" fontId="73" fillId="0" borderId="1" xfId="49" applyNumberFormat="1" applyFont="1" applyFill="1" applyBorder="1" applyAlignment="1">
      <alignment horizontal="center" vertical="center" wrapText="1"/>
    </xf>
    <xf numFmtId="0" fontId="72" fillId="0" borderId="0" xfId="49" applyFont="1" applyFill="1" applyBorder="1"/>
    <xf numFmtId="0" fontId="72" fillId="0" borderId="36" xfId="49" applyFont="1" applyFill="1" applyBorder="1"/>
    <xf numFmtId="3" fontId="66" fillId="0" borderId="1" xfId="49" applyNumberFormat="1" applyFont="1" applyFill="1" applyBorder="1" applyAlignment="1">
      <alignment horizontal="center" vertical="center" wrapText="1"/>
    </xf>
    <xf numFmtId="3" fontId="69" fillId="0" borderId="1" xfId="49" applyNumberFormat="1" applyFont="1" applyFill="1" applyBorder="1" applyAlignment="1">
      <alignment horizontal="center" vertical="center" wrapText="1"/>
    </xf>
    <xf numFmtId="3" fontId="72" fillId="0" borderId="1" xfId="49" applyNumberFormat="1" applyFont="1" applyFill="1" applyBorder="1" applyAlignment="1">
      <alignment horizontal="center" vertical="center"/>
    </xf>
    <xf numFmtId="0" fontId="72" fillId="0" borderId="31" xfId="49" applyFont="1" applyFill="1" applyBorder="1"/>
    <xf numFmtId="164" fontId="66" fillId="0" borderId="1" xfId="59" applyNumberFormat="1" applyFont="1" applyFill="1" applyBorder="1" applyAlignment="1">
      <alignment horizontal="center" vertical="center"/>
    </xf>
    <xf numFmtId="164" fontId="69" fillId="0" borderId="1" xfId="59" applyNumberFormat="1" applyFont="1" applyFill="1" applyBorder="1" applyAlignment="1">
      <alignment horizontal="center" vertical="center"/>
    </xf>
    <xf numFmtId="3" fontId="73" fillId="0" borderId="37" xfId="49" applyNumberFormat="1" applyFont="1" applyFill="1" applyBorder="1" applyAlignment="1">
      <alignment horizontal="center" vertical="center"/>
    </xf>
    <xf numFmtId="3" fontId="73" fillId="0" borderId="38" xfId="49" applyNumberFormat="1" applyFont="1" applyFill="1" applyBorder="1" applyAlignment="1">
      <alignment horizontal="center" vertical="center"/>
    </xf>
    <xf numFmtId="3" fontId="73" fillId="0" borderId="39" xfId="49" applyNumberFormat="1" applyFont="1" applyFill="1" applyBorder="1" applyAlignment="1">
      <alignment horizontal="center" vertical="center"/>
    </xf>
    <xf numFmtId="3" fontId="73" fillId="0" borderId="40" xfId="49" applyNumberFormat="1" applyFont="1" applyFill="1" applyBorder="1" applyAlignment="1">
      <alignment horizontal="center" vertical="center"/>
    </xf>
    <xf numFmtId="3" fontId="73" fillId="0" borderId="0" xfId="49" applyNumberFormat="1" applyFont="1" applyFill="1" applyBorder="1" applyAlignment="1">
      <alignment horizontal="center" vertical="center"/>
    </xf>
    <xf numFmtId="3" fontId="66" fillId="0" borderId="41" xfId="49" applyNumberFormat="1" applyFont="1" applyFill="1" applyBorder="1" applyAlignment="1">
      <alignment horizontal="center" vertical="center"/>
    </xf>
    <xf numFmtId="164" fontId="66" fillId="0" borderId="35" xfId="59" applyNumberFormat="1" applyFont="1" applyFill="1" applyBorder="1" applyAlignment="1">
      <alignment horizontal="center" vertical="center"/>
    </xf>
    <xf numFmtId="164" fontId="66" fillId="0" borderId="0" xfId="59" applyNumberFormat="1" applyFont="1" applyFill="1" applyBorder="1" applyAlignment="1">
      <alignment horizontal="center" vertical="center"/>
    </xf>
    <xf numFmtId="0" fontId="74" fillId="26" borderId="42" xfId="49" applyFont="1" applyFill="1" applyBorder="1" applyAlignment="1">
      <alignment horizontal="center" vertical="center" wrapText="1"/>
    </xf>
    <xf numFmtId="164" fontId="70" fillId="26" borderId="43" xfId="59" applyNumberFormat="1" applyFont="1" applyFill="1" applyBorder="1" applyAlignment="1">
      <alignment horizontal="center" vertical="center"/>
    </xf>
    <xf numFmtId="3" fontId="70" fillId="26" borderId="0" xfId="49" applyNumberFormat="1" applyFont="1" applyFill="1" applyBorder="1"/>
    <xf numFmtId="0" fontId="70" fillId="26" borderId="0" xfId="49" applyFont="1" applyFill="1" applyBorder="1"/>
    <xf numFmtId="0" fontId="70" fillId="26" borderId="32" xfId="49" applyFont="1" applyFill="1" applyBorder="1"/>
    <xf numFmtId="0" fontId="75" fillId="27" borderId="0" xfId="49" applyFont="1" applyFill="1" applyBorder="1" applyAlignment="1">
      <alignment horizontal="center" vertical="center" wrapText="1"/>
    </xf>
    <xf numFmtId="164" fontId="75" fillId="27" borderId="44" xfId="59" applyNumberFormat="1" applyFont="1" applyFill="1" applyBorder="1" applyAlignment="1">
      <alignment vertical="center"/>
    </xf>
    <xf numFmtId="3" fontId="76" fillId="27" borderId="0" xfId="49" applyNumberFormat="1" applyFont="1" applyFill="1" applyBorder="1"/>
    <xf numFmtId="0" fontId="76" fillId="27" borderId="0" xfId="49" applyFont="1" applyFill="1" applyBorder="1"/>
    <xf numFmtId="164" fontId="75" fillId="27" borderId="44" xfId="59" applyNumberFormat="1" applyFont="1" applyFill="1" applyBorder="1" applyAlignment="1">
      <alignment horizontal="center" vertical="center"/>
    </xf>
    <xf numFmtId="0" fontId="66" fillId="0" borderId="45" xfId="49" applyFont="1" applyFill="1" applyBorder="1"/>
    <xf numFmtId="164" fontId="76" fillId="0" borderId="0" xfId="59" applyNumberFormat="1" applyFont="1" applyFill="1" applyBorder="1" applyAlignment="1">
      <alignment vertical="center" wrapText="1"/>
    </xf>
    <xf numFmtId="164" fontId="66" fillId="0" borderId="0" xfId="49" applyNumberFormat="1" applyFont="1" applyFill="1" applyBorder="1"/>
    <xf numFmtId="0" fontId="76" fillId="0" borderId="0" xfId="49" applyFont="1" applyFill="1" applyBorder="1" applyAlignment="1">
      <alignment vertical="center" wrapText="1"/>
    </xf>
    <xf numFmtId="0" fontId="76" fillId="0" borderId="0" xfId="49" applyFont="1" applyFill="1" applyBorder="1"/>
    <xf numFmtId="3" fontId="76" fillId="0" borderId="0" xfId="49" applyNumberFormat="1" applyFont="1" applyFill="1" applyBorder="1"/>
    <xf numFmtId="0" fontId="76" fillId="0" borderId="0" xfId="49" applyFont="1" applyFill="1" applyBorder="1" applyAlignment="1">
      <alignment horizontal="center" wrapText="1"/>
    </xf>
    <xf numFmtId="0" fontId="76" fillId="0" borderId="0" xfId="49" applyFont="1" applyFill="1" applyBorder="1" applyAlignment="1">
      <alignment horizontal="center"/>
    </xf>
    <xf numFmtId="3" fontId="76" fillId="0" borderId="0" xfId="49" applyNumberFormat="1" applyFont="1" applyFill="1" applyBorder="1" applyAlignment="1"/>
    <xf numFmtId="0" fontId="76" fillId="0" borderId="0" xfId="49" applyFont="1" applyFill="1" applyBorder="1" applyAlignment="1"/>
    <xf numFmtId="0" fontId="69" fillId="0" borderId="0" xfId="49" applyFont="1" applyFill="1" applyBorder="1"/>
    <xf numFmtId="3" fontId="66" fillId="0" borderId="0" xfId="49" applyNumberFormat="1" applyFont="1" applyFill="1" applyBorder="1" applyAlignment="1">
      <alignment horizontal="center"/>
    </xf>
    <xf numFmtId="3" fontId="66" fillId="0" borderId="0" xfId="49" applyNumberFormat="1" applyFont="1" applyFill="1" applyBorder="1"/>
    <xf numFmtId="0" fontId="66" fillId="0" borderId="36" xfId="49" applyFont="1" applyFill="1" applyBorder="1"/>
    <xf numFmtId="0" fontId="66" fillId="0" borderId="46" xfId="49" applyFont="1" applyFill="1" applyBorder="1"/>
    <xf numFmtId="0" fontId="66" fillId="0" borderId="47" xfId="49" applyFont="1" applyFill="1" applyBorder="1"/>
    <xf numFmtId="0" fontId="77" fillId="0" borderId="0" xfId="0" applyFont="1" applyFill="1" applyAlignment="1"/>
    <xf numFmtId="0" fontId="0" fillId="0" borderId="0" xfId="0" applyAlignment="1">
      <alignment wrapText="1"/>
    </xf>
    <xf numFmtId="0" fontId="80" fillId="0" borderId="0" xfId="71" applyFont="1" applyBorder="1" applyAlignment="1">
      <alignment vertical="center" wrapText="1"/>
    </xf>
    <xf numFmtId="0" fontId="24" fillId="0" borderId="0" xfId="70"/>
    <xf numFmtId="0" fontId="78" fillId="0" borderId="0" xfId="70" applyFont="1" applyAlignment="1"/>
    <xf numFmtId="0" fontId="81" fillId="0" borderId="0" xfId="70" applyFont="1" applyAlignment="1"/>
    <xf numFmtId="0" fontId="52" fillId="0" borderId="0" xfId="70" applyFont="1" applyAlignment="1"/>
    <xf numFmtId="0" fontId="24" fillId="0" borderId="0" xfId="70" applyFont="1"/>
    <xf numFmtId="0" fontId="59" fillId="0" borderId="0" xfId="72" applyFont="1" applyAlignment="1"/>
    <xf numFmtId="0" fontId="56" fillId="0" borderId="0" xfId="71" applyFont="1" applyFill="1" applyBorder="1" applyAlignment="1">
      <alignment horizontal="center" wrapText="1"/>
    </xf>
    <xf numFmtId="0" fontId="0" fillId="0" borderId="1" xfId="0" applyBorder="1"/>
    <xf numFmtId="0" fontId="8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56" fillId="0" borderId="0" xfId="71" applyFont="1" applyBorder="1" applyAlignment="1">
      <alignment vertical="center" wrapText="1"/>
    </xf>
    <xf numFmtId="0" fontId="83" fillId="0" borderId="0" xfId="73" applyFont="1"/>
    <xf numFmtId="0" fontId="52" fillId="0" borderId="0" xfId="72" applyFont="1" applyAlignment="1"/>
    <xf numFmtId="0" fontId="52" fillId="0" borderId="0" xfId="72" applyFont="1"/>
    <xf numFmtId="0" fontId="24" fillId="0" borderId="0" xfId="72"/>
    <xf numFmtId="14" fontId="54" fillId="0" borderId="1" xfId="0" applyNumberFormat="1" applyFont="1" applyBorder="1"/>
    <xf numFmtId="0" fontId="0" fillId="28" borderId="0" xfId="0" applyFill="1"/>
    <xf numFmtId="0" fontId="24" fillId="0" borderId="0" xfId="74"/>
    <xf numFmtId="0" fontId="0" fillId="0" borderId="0" xfId="0" applyAlignment="1">
      <alignment horizontal="center" vertical="center"/>
    </xf>
    <xf numFmtId="0" fontId="24" fillId="0" borderId="0" xfId="78"/>
    <xf numFmtId="0" fontId="52" fillId="0" borderId="0" xfId="78" applyFont="1" applyAlignment="1"/>
    <xf numFmtId="0" fontId="59" fillId="0" borderId="0" xfId="78" applyFont="1" applyAlignment="1"/>
    <xf numFmtId="0" fontId="45" fillId="0" borderId="0" xfId="0" applyFont="1" applyFill="1"/>
    <xf numFmtId="170" fontId="45" fillId="0" borderId="0" xfId="0" applyNumberFormat="1" applyFont="1" applyFill="1"/>
    <xf numFmtId="0" fontId="103" fillId="0" borderId="0" xfId="0" applyFont="1" applyFill="1"/>
    <xf numFmtId="164" fontId="0" fillId="0" borderId="0" xfId="0" applyNumberFormat="1" applyFill="1"/>
    <xf numFmtId="0" fontId="44" fillId="0" borderId="1" xfId="0" applyFont="1" applyFill="1" applyBorder="1" applyAlignment="1">
      <alignment horizontal="center" vertical="center" wrapText="1"/>
    </xf>
    <xf numFmtId="42" fontId="56" fillId="0" borderId="0" xfId="32" applyNumberFormat="1" applyFont="1" applyFill="1" applyBorder="1" applyAlignment="1">
      <alignment horizontal="center"/>
    </xf>
    <xf numFmtId="0" fontId="60" fillId="0" borderId="0" xfId="67" applyFont="1" applyFill="1" applyBorder="1"/>
    <xf numFmtId="164" fontId="76" fillId="0" borderId="1" xfId="2" applyNumberFormat="1" applyFont="1" applyFill="1" applyBorder="1" applyAlignment="1">
      <alignment horizontal="center" vertical="center"/>
    </xf>
    <xf numFmtId="164" fontId="9" fillId="28" borderId="12" xfId="2" applyNumberFormat="1" applyFont="1" applyFill="1" applyBorder="1" applyAlignment="1">
      <alignment horizontal="center" vertical="center"/>
    </xf>
    <xf numFmtId="164" fontId="4" fillId="28" borderId="0" xfId="2" applyNumberFormat="1" applyFont="1" applyFill="1" applyBorder="1" applyAlignment="1">
      <alignment horizontal="center" vertical="center"/>
    </xf>
    <xf numFmtId="0" fontId="41" fillId="30" borderId="0" xfId="0" applyFont="1" applyFill="1"/>
    <xf numFmtId="0" fontId="42" fillId="30" borderId="0" xfId="0" applyFont="1" applyFill="1"/>
    <xf numFmtId="0" fontId="45" fillId="30" borderId="0" xfId="0" applyFont="1" applyFill="1"/>
    <xf numFmtId="0" fontId="0" fillId="30" borderId="0" xfId="0" applyFill="1"/>
    <xf numFmtId="0" fontId="45" fillId="0" borderId="1" xfId="0" applyFont="1" applyFill="1" applyBorder="1" applyAlignment="1">
      <alignment vertical="center" wrapText="1"/>
    </xf>
    <xf numFmtId="0" fontId="41" fillId="30" borderId="0" xfId="0" applyFont="1" applyFill="1" applyBorder="1"/>
    <xf numFmtId="0" fontId="42" fillId="30" borderId="0" xfId="0" applyFont="1" applyFill="1" applyBorder="1"/>
    <xf numFmtId="0" fontId="45" fillId="30" borderId="0" xfId="0" applyFont="1" applyFill="1" applyBorder="1"/>
    <xf numFmtId="0" fontId="0" fillId="30" borderId="0" xfId="0" applyFill="1" applyBorder="1"/>
    <xf numFmtId="0" fontId="46" fillId="0" borderId="1" xfId="0" applyFont="1" applyFill="1" applyBorder="1" applyAlignment="1">
      <alignment vertical="center" wrapText="1"/>
    </xf>
    <xf numFmtId="0" fontId="48" fillId="28" borderId="0" xfId="0" applyFont="1" applyFill="1"/>
    <xf numFmtId="0" fontId="49" fillId="28" borderId="1" xfId="0" applyFont="1" applyFill="1" applyBorder="1" applyAlignment="1">
      <alignment horizontal="center" vertical="center" wrapText="1"/>
    </xf>
    <xf numFmtId="164" fontId="49" fillId="28" borderId="1" xfId="2" applyNumberFormat="1" applyFont="1" applyFill="1" applyBorder="1" applyAlignment="1">
      <alignment horizontal="center" vertical="center" wrapText="1"/>
    </xf>
    <xf numFmtId="164" fontId="0" fillId="28" borderId="0" xfId="0" applyNumberFormat="1" applyFill="1"/>
    <xf numFmtId="164" fontId="0" fillId="28" borderId="0" xfId="2" applyNumberFormat="1" applyFont="1" applyFill="1"/>
    <xf numFmtId="14" fontId="54" fillId="0" borderId="1" xfId="0" applyNumberFormat="1" applyFont="1" applyBorder="1" applyAlignment="1">
      <alignment horizontal="right"/>
    </xf>
    <xf numFmtId="14" fontId="54" fillId="0" borderId="1" xfId="0" applyNumberFormat="1" applyFont="1" applyFill="1" applyBorder="1" applyAlignment="1">
      <alignment horizontal="right"/>
    </xf>
    <xf numFmtId="175" fontId="0" fillId="0" borderId="1" xfId="0" applyNumberFormat="1" applyBorder="1"/>
    <xf numFmtId="2" fontId="0" fillId="0" borderId="1" xfId="0" applyNumberFormat="1" applyBorder="1"/>
    <xf numFmtId="0" fontId="100" fillId="31" borderId="1" xfId="0" applyFont="1" applyFill="1" applyBorder="1" applyAlignment="1">
      <alignment horizontal="center" vertical="center" wrapText="1"/>
    </xf>
    <xf numFmtId="0" fontId="53" fillId="0" borderId="0" xfId="0" applyFont="1"/>
    <xf numFmtId="0" fontId="109" fillId="31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left" vertical="center" wrapText="1"/>
    </xf>
    <xf numFmtId="0" fontId="53" fillId="0" borderId="1" xfId="0" applyFont="1" applyBorder="1" applyAlignment="1">
      <alignment horizontal="center" vertical="center" wrapText="1"/>
    </xf>
    <xf numFmtId="0" fontId="109" fillId="0" borderId="1" xfId="0" applyFont="1" applyBorder="1" applyAlignment="1">
      <alignment horizontal="center" vertical="center" wrapText="1"/>
    </xf>
    <xf numFmtId="0" fontId="53" fillId="31" borderId="1" xfId="0" applyFont="1" applyFill="1" applyBorder="1" applyAlignment="1">
      <alignment horizontal="center" vertical="center" wrapText="1"/>
    </xf>
    <xf numFmtId="0" fontId="109" fillId="32" borderId="1" xfId="0" applyFont="1" applyFill="1" applyBorder="1" applyAlignment="1">
      <alignment horizontal="center" vertical="center" wrapText="1"/>
    </xf>
    <xf numFmtId="0" fontId="53" fillId="32" borderId="1" xfId="0" applyFont="1" applyFill="1" applyBorder="1" applyAlignment="1">
      <alignment horizontal="center" vertical="center" wrapText="1"/>
    </xf>
    <xf numFmtId="0" fontId="48" fillId="0" borderId="0" xfId="0" applyFont="1"/>
    <xf numFmtId="0" fontId="103" fillId="28" borderId="0" xfId="0" applyFont="1" applyFill="1"/>
    <xf numFmtId="0" fontId="42" fillId="0" borderId="5" xfId="0" applyFont="1" applyFill="1" applyBorder="1" applyAlignment="1">
      <alignment horizontal="center"/>
    </xf>
    <xf numFmtId="164" fontId="42" fillId="0" borderId="6" xfId="2" applyNumberFormat="1" applyFont="1" applyFill="1" applyBorder="1" applyAlignment="1">
      <alignment horizontal="center" vertical="center"/>
    </xf>
    <xf numFmtId="164" fontId="42" fillId="0" borderId="7" xfId="2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10" fillId="25" borderId="0" xfId="49" applyFont="1" applyFill="1" applyBorder="1" applyAlignment="1">
      <alignment vertical="center" wrapText="1"/>
    </xf>
    <xf numFmtId="0" fontId="98" fillId="0" borderId="0" xfId="49" applyFont="1" applyAlignment="1">
      <alignment wrapText="1"/>
    </xf>
    <xf numFmtId="0" fontId="99" fillId="0" borderId="0" xfId="49" applyFont="1" applyAlignment="1">
      <alignment horizontal="center" vertical="center" wrapText="1"/>
    </xf>
    <xf numFmtId="0" fontId="98" fillId="0" borderId="30" xfId="49" applyFont="1" applyBorder="1" applyAlignment="1">
      <alignment wrapText="1"/>
    </xf>
    <xf numFmtId="0" fontId="98" fillId="0" borderId="30" xfId="49" applyFont="1" applyBorder="1" applyAlignment="1">
      <alignment horizontal="right" wrapText="1"/>
    </xf>
    <xf numFmtId="0" fontId="110" fillId="0" borderId="8" xfId="49" applyFont="1" applyBorder="1" applyAlignment="1">
      <alignment horizontal="center" vertical="center" wrapText="1"/>
    </xf>
    <xf numFmtId="0" fontId="110" fillId="0" borderId="28" xfId="49" applyFont="1" applyBorder="1" applyAlignment="1">
      <alignment horizontal="center" vertical="center" wrapText="1"/>
    </xf>
    <xf numFmtId="0" fontId="99" fillId="0" borderId="1" xfId="49" applyFont="1" applyBorder="1" applyAlignment="1">
      <alignment horizontal="center" vertical="center" wrapText="1"/>
    </xf>
    <xf numFmtId="0" fontId="99" fillId="0" borderId="28" xfId="49" applyFont="1" applyBorder="1" applyAlignment="1">
      <alignment horizontal="center" vertical="center" wrapText="1"/>
    </xf>
    <xf numFmtId="0" fontId="98" fillId="0" borderId="1" xfId="49" applyFont="1" applyBorder="1" applyAlignment="1">
      <alignment horizontal="center" vertical="center" wrapText="1"/>
    </xf>
    <xf numFmtId="0" fontId="53" fillId="25" borderId="1" xfId="49" applyFont="1" applyFill="1" applyBorder="1" applyAlignment="1">
      <alignment horizontal="left" vertical="center" wrapText="1"/>
    </xf>
    <xf numFmtId="0" fontId="100" fillId="25" borderId="1" xfId="49" applyFont="1" applyFill="1" applyBorder="1" applyAlignment="1">
      <alignment horizontal="left" vertical="center" wrapText="1"/>
    </xf>
    <xf numFmtId="165" fontId="53" fillId="25" borderId="1" xfId="1" applyNumberFormat="1" applyFont="1" applyFill="1" applyBorder="1" applyAlignment="1">
      <alignment horizontal="right" vertical="center" wrapText="1"/>
    </xf>
    <xf numFmtId="165" fontId="53" fillId="0" borderId="1" xfId="1" applyNumberFormat="1" applyFont="1" applyBorder="1" applyAlignment="1">
      <alignment horizontal="right" vertical="center" wrapText="1"/>
    </xf>
    <xf numFmtId="3" fontId="53" fillId="0" borderId="28" xfId="49" applyNumberFormat="1" applyFont="1" applyBorder="1" applyAlignment="1">
      <alignment vertical="center" wrapText="1"/>
    </xf>
    <xf numFmtId="0" fontId="53" fillId="25" borderId="1" xfId="49" applyFont="1" applyFill="1" applyBorder="1" applyAlignment="1">
      <alignment vertical="center" wrapText="1"/>
    </xf>
    <xf numFmtId="0" fontId="100" fillId="25" borderId="1" xfId="49" applyFont="1" applyFill="1" applyBorder="1" applyAlignment="1">
      <alignment vertical="center" wrapText="1"/>
    </xf>
    <xf numFmtId="165" fontId="100" fillId="25" borderId="1" xfId="1" applyNumberFormat="1" applyFont="1" applyFill="1" applyBorder="1" applyAlignment="1">
      <alignment horizontal="right" vertical="center" wrapText="1"/>
    </xf>
    <xf numFmtId="3" fontId="100" fillId="0" borderId="28" xfId="49" applyNumberFormat="1" applyFont="1" applyBorder="1" applyAlignment="1">
      <alignment vertical="center" wrapText="1"/>
    </xf>
    <xf numFmtId="0" fontId="99" fillId="0" borderId="0" xfId="49" applyFont="1" applyAlignment="1">
      <alignment wrapText="1"/>
    </xf>
    <xf numFmtId="0" fontId="53" fillId="25" borderId="1" xfId="76" applyFont="1" applyFill="1" applyBorder="1" applyAlignment="1">
      <alignment horizontal="left" vertical="center" wrapText="1"/>
    </xf>
    <xf numFmtId="0" fontId="112" fillId="25" borderId="1" xfId="76" applyFont="1" applyFill="1" applyBorder="1" applyAlignment="1">
      <alignment horizontal="left" vertical="center" wrapText="1"/>
    </xf>
    <xf numFmtId="165" fontId="113" fillId="25" borderId="1" xfId="1" applyNumberFormat="1" applyFont="1" applyFill="1" applyBorder="1" applyAlignment="1">
      <alignment horizontal="right" vertical="center" wrapText="1"/>
    </xf>
    <xf numFmtId="0" fontId="112" fillId="25" borderId="1" xfId="49" applyFont="1" applyFill="1" applyBorder="1" applyAlignment="1">
      <alignment horizontal="left" vertical="center" wrapText="1"/>
    </xf>
    <xf numFmtId="0" fontId="100" fillId="29" borderId="1" xfId="49" applyFont="1" applyFill="1" applyBorder="1" applyAlignment="1">
      <alignment horizontal="left" vertical="center" wrapText="1"/>
    </xf>
    <xf numFmtId="0" fontId="100" fillId="24" borderId="1" xfId="49" applyFont="1" applyFill="1" applyBorder="1" applyAlignment="1">
      <alignment horizontal="left" wrapText="1"/>
    </xf>
    <xf numFmtId="165" fontId="100" fillId="24" borderId="1" xfId="1" applyNumberFormat="1" applyFont="1" applyFill="1" applyBorder="1" applyAlignment="1">
      <alignment horizontal="right" wrapText="1"/>
    </xf>
    <xf numFmtId="3" fontId="100" fillId="0" borderId="10" xfId="49" applyNumberFormat="1" applyFont="1" applyBorder="1" applyAlignment="1">
      <alignment vertical="center" wrapText="1"/>
    </xf>
    <xf numFmtId="0" fontId="100" fillId="24" borderId="1" xfId="49" applyFont="1" applyFill="1" applyBorder="1" applyAlignment="1">
      <alignment horizontal="left" vertical="center" wrapText="1"/>
    </xf>
    <xf numFmtId="165" fontId="100" fillId="24" borderId="1" xfId="1" applyNumberFormat="1" applyFont="1" applyFill="1" applyBorder="1" applyAlignment="1">
      <alignment horizontal="right" vertical="center" wrapText="1"/>
    </xf>
    <xf numFmtId="0" fontId="99" fillId="0" borderId="0" xfId="49" applyFont="1" applyBorder="1" applyAlignment="1">
      <alignment horizontal="center" vertical="center" wrapText="1"/>
    </xf>
    <xf numFmtId="165" fontId="53" fillId="0" borderId="0" xfId="49" applyNumberFormat="1" applyFont="1" applyFill="1" applyBorder="1" applyAlignment="1">
      <alignment horizontal="right" vertical="center"/>
    </xf>
    <xf numFmtId="0" fontId="53" fillId="0" borderId="0" xfId="49" applyFont="1" applyFill="1" applyBorder="1" applyAlignment="1">
      <alignment horizontal="right" vertical="center"/>
    </xf>
    <xf numFmtId="165" fontId="100" fillId="0" borderId="0" xfId="49" applyNumberFormat="1" applyFont="1" applyFill="1" applyBorder="1" applyAlignment="1">
      <alignment horizontal="right" vertical="center"/>
    </xf>
    <xf numFmtId="0" fontId="100" fillId="0" borderId="0" xfId="49" applyFont="1" applyFill="1" applyBorder="1" applyAlignment="1">
      <alignment horizontal="right" vertical="center"/>
    </xf>
    <xf numFmtId="0" fontId="53" fillId="0" borderId="0" xfId="49" applyFont="1" applyFill="1" applyBorder="1" applyAlignment="1">
      <alignment horizontal="right" vertical="center" wrapText="1"/>
    </xf>
    <xf numFmtId="0" fontId="99" fillId="0" borderId="0" xfId="49" applyFont="1" applyAlignment="1">
      <alignment horizontal="center" wrapText="1"/>
    </xf>
    <xf numFmtId="165" fontId="98" fillId="0" borderId="0" xfId="49" applyNumberFormat="1" applyFont="1" applyAlignment="1">
      <alignment wrapText="1"/>
    </xf>
    <xf numFmtId="0" fontId="67" fillId="0" borderId="0" xfId="49" applyFont="1"/>
    <xf numFmtId="164" fontId="44" fillId="0" borderId="99" xfId="2" applyNumberFormat="1" applyFont="1" applyFill="1" applyBorder="1" applyAlignment="1">
      <alignment horizontal="center" vertical="center" wrapText="1"/>
    </xf>
    <xf numFmtId="164" fontId="45" fillId="0" borderId="99" xfId="2" applyNumberFormat="1" applyFont="1" applyFill="1" applyBorder="1" applyAlignment="1">
      <alignment horizontal="center" vertical="center" wrapText="1"/>
    </xf>
    <xf numFmtId="167" fontId="45" fillId="0" borderId="99" xfId="0" applyNumberFormat="1" applyFont="1" applyFill="1" applyBorder="1" applyAlignment="1">
      <alignment wrapText="1"/>
    </xf>
    <xf numFmtId="164" fontId="45" fillId="0" borderId="99" xfId="2" applyNumberFormat="1" applyFont="1" applyFill="1" applyBorder="1" applyAlignment="1">
      <alignment vertical="center" wrapText="1"/>
    </xf>
    <xf numFmtId="164" fontId="44" fillId="0" borderId="50" xfId="2" applyNumberFormat="1" applyFont="1" applyFill="1" applyBorder="1" applyAlignment="1">
      <alignment horizontal="center" vertical="center" wrapText="1"/>
    </xf>
    <xf numFmtId="164" fontId="44" fillId="0" borderId="99" xfId="0" applyNumberFormat="1" applyFont="1" applyFill="1" applyBorder="1"/>
    <xf numFmtId="164" fontId="44" fillId="0" borderId="98" xfId="2" applyNumberFormat="1" applyFont="1" applyFill="1" applyBorder="1" applyAlignment="1">
      <alignment horizontal="center" vertical="center" wrapText="1"/>
    </xf>
    <xf numFmtId="0" fontId="46" fillId="0" borderId="98" xfId="0" applyFont="1" applyFill="1" applyBorder="1" applyAlignment="1">
      <alignment horizontal="left" vertical="center" wrapText="1"/>
    </xf>
    <xf numFmtId="164" fontId="45" fillId="0" borderId="98" xfId="2" applyNumberFormat="1" applyFont="1" applyFill="1" applyBorder="1" applyAlignment="1">
      <alignment horizontal="center" vertical="center" wrapText="1"/>
    </xf>
    <xf numFmtId="0" fontId="41" fillId="0" borderId="98" xfId="0" applyFont="1" applyFill="1" applyBorder="1"/>
    <xf numFmtId="164" fontId="46" fillId="0" borderId="98" xfId="2" applyNumberFormat="1" applyFont="1" applyFill="1" applyBorder="1" applyAlignment="1">
      <alignment vertical="center" wrapText="1"/>
    </xf>
    <xf numFmtId="168" fontId="46" fillId="0" borderId="98" xfId="2" applyNumberFormat="1" applyFont="1" applyFill="1" applyBorder="1" applyAlignment="1">
      <alignment vertical="center" wrapText="1"/>
    </xf>
    <xf numFmtId="169" fontId="46" fillId="0" borderId="98" xfId="2" applyNumberFormat="1" applyFont="1" applyFill="1" applyBorder="1" applyAlignment="1">
      <alignment vertical="center" wrapText="1"/>
    </xf>
    <xf numFmtId="164" fontId="41" fillId="0" borderId="98" xfId="2" applyNumberFormat="1" applyFont="1" applyFill="1" applyBorder="1"/>
    <xf numFmtId="164" fontId="41" fillId="0" borderId="98" xfId="2" applyNumberFormat="1" applyFont="1" applyFill="1" applyBorder="1" applyAlignment="1">
      <alignment horizontal="center" vertical="center" wrapText="1"/>
    </xf>
    <xf numFmtId="0" fontId="41" fillId="0" borderId="103" xfId="0" applyFont="1" applyFill="1" applyBorder="1"/>
    <xf numFmtId="0" fontId="41" fillId="0" borderId="0" xfId="0" applyFont="1" applyFill="1" applyBorder="1"/>
    <xf numFmtId="164" fontId="45" fillId="0" borderId="0" xfId="2" applyNumberFormat="1" applyFont="1" applyFill="1" applyBorder="1" applyAlignment="1">
      <alignment vertical="center" wrapText="1"/>
    </xf>
    <xf numFmtId="0" fontId="41" fillId="0" borderId="29" xfId="0" applyFont="1" applyFill="1" applyBorder="1"/>
    <xf numFmtId="0" fontId="41" fillId="0" borderId="102" xfId="0" applyFont="1" applyFill="1" applyBorder="1"/>
    <xf numFmtId="0" fontId="46" fillId="0" borderId="98" xfId="0" applyFont="1" applyFill="1" applyBorder="1" applyAlignment="1">
      <alignment vertical="center" wrapText="1"/>
    </xf>
    <xf numFmtId="0" fontId="41" fillId="0" borderId="10" xfId="0" applyFont="1" applyFill="1" applyBorder="1"/>
    <xf numFmtId="0" fontId="41" fillId="0" borderId="99" xfId="0" applyFont="1" applyFill="1" applyBorder="1"/>
    <xf numFmtId="0" fontId="46" fillId="0" borderId="101" xfId="0" applyFont="1" applyFill="1" applyBorder="1" applyAlignment="1">
      <alignment horizontal="left" vertical="center" wrapText="1"/>
    </xf>
    <xf numFmtId="0" fontId="41" fillId="0" borderId="105" xfId="0" applyFont="1" applyFill="1" applyBorder="1"/>
    <xf numFmtId="0" fontId="46" fillId="0" borderId="103" xfId="0" applyFont="1" applyFill="1" applyBorder="1" applyAlignment="1">
      <alignment horizontal="left" vertical="center" wrapText="1"/>
    </xf>
    <xf numFmtId="0" fontId="41" fillId="30" borderId="29" xfId="0" applyFont="1" applyFill="1" applyBorder="1"/>
    <xf numFmtId="0" fontId="45" fillId="30" borderId="29" xfId="0" applyFont="1" applyFill="1" applyBorder="1"/>
    <xf numFmtId="0" fontId="45" fillId="0" borderId="0" xfId="0" applyFont="1" applyFill="1" applyBorder="1"/>
    <xf numFmtId="164" fontId="49" fillId="28" borderId="99" xfId="2" applyNumberFormat="1" applyFont="1" applyFill="1" applyBorder="1" applyAlignment="1">
      <alignment horizontal="center" vertical="center" wrapText="1"/>
    </xf>
    <xf numFmtId="164" fontId="48" fillId="28" borderId="107" xfId="0" applyNumberFormat="1" applyFont="1" applyFill="1" applyBorder="1"/>
    <xf numFmtId="0" fontId="48" fillId="28" borderId="29" xfId="0" applyFont="1" applyFill="1" applyBorder="1"/>
    <xf numFmtId="0" fontId="48" fillId="28" borderId="0" xfId="0" applyFont="1" applyFill="1" applyBorder="1"/>
    <xf numFmtId="0" fontId="48" fillId="28" borderId="106" xfId="0" applyFont="1" applyFill="1" applyBorder="1"/>
    <xf numFmtId="169" fontId="45" fillId="0" borderId="98" xfId="2" applyNumberFormat="1" applyFont="1" applyFill="1" applyBorder="1" applyAlignment="1">
      <alignment horizontal="center" vertical="center" wrapText="1"/>
    </xf>
    <xf numFmtId="0" fontId="41" fillId="0" borderId="98" xfId="0" applyFont="1" applyFill="1" applyBorder="1" applyAlignment="1">
      <alignment horizontal="center" vertical="center" textRotation="90"/>
    </xf>
    <xf numFmtId="0" fontId="46" fillId="0" borderId="0" xfId="0" applyFont="1" applyFill="1" applyBorder="1" applyAlignment="1">
      <alignment vertical="center" wrapText="1"/>
    </xf>
    <xf numFmtId="169" fontId="46" fillId="0" borderId="29" xfId="2" applyNumberFormat="1" applyFont="1" applyFill="1" applyBorder="1" applyAlignment="1">
      <alignment vertical="center" wrapText="1"/>
    </xf>
    <xf numFmtId="0" fontId="41" fillId="0" borderId="1" xfId="0" applyFont="1" applyFill="1" applyBorder="1" applyAlignment="1">
      <alignment vertical="center"/>
    </xf>
    <xf numFmtId="164" fontId="45" fillId="0" borderId="99" xfId="2" applyNumberFormat="1" applyFont="1" applyFill="1" applyBorder="1" applyAlignment="1">
      <alignment vertical="center"/>
    </xf>
    <xf numFmtId="164" fontId="45" fillId="0" borderId="100" xfId="2" applyNumberFormat="1" applyFont="1" applyFill="1" applyBorder="1" applyAlignment="1">
      <alignment horizontal="center" vertical="center" wrapText="1"/>
    </xf>
    <xf numFmtId="164" fontId="45" fillId="0" borderId="100" xfId="2" applyNumberFormat="1" applyFont="1" applyFill="1" applyBorder="1" applyAlignment="1">
      <alignment vertical="center" wrapText="1"/>
    </xf>
    <xf numFmtId="168" fontId="45" fillId="0" borderId="100" xfId="2" applyNumberFormat="1" applyFont="1" applyFill="1" applyBorder="1" applyAlignment="1">
      <alignment vertical="center" wrapText="1"/>
    </xf>
    <xf numFmtId="164" fontId="45" fillId="0" borderId="98" xfId="2" applyNumberFormat="1" applyFont="1" applyFill="1" applyBorder="1" applyAlignment="1">
      <alignment vertical="center" wrapText="1"/>
    </xf>
    <xf numFmtId="169" fontId="45" fillId="0" borderId="100" xfId="2" applyNumberFormat="1" applyFont="1" applyFill="1" applyBorder="1" applyAlignment="1">
      <alignment vertical="center" wrapText="1"/>
    </xf>
    <xf numFmtId="0" fontId="48" fillId="28" borderId="1" xfId="0" applyFont="1" applyFill="1" applyBorder="1" applyAlignment="1">
      <alignment horizontal="center" vertical="center"/>
    </xf>
    <xf numFmtId="0" fontId="51" fillId="28" borderId="98" xfId="0" applyFont="1" applyFill="1" applyBorder="1" applyAlignment="1">
      <alignment horizontal="center" vertical="center" wrapText="1"/>
    </xf>
    <xf numFmtId="0" fontId="43" fillId="0" borderId="98" xfId="0" applyFont="1" applyFill="1" applyBorder="1"/>
    <xf numFmtId="0" fontId="45" fillId="0" borderId="98" xfId="0" applyFont="1" applyFill="1" applyBorder="1"/>
    <xf numFmtId="164" fontId="44" fillId="0" borderId="98" xfId="2" applyNumberFormat="1" applyFont="1" applyFill="1" applyBorder="1"/>
    <xf numFmtId="164" fontId="45" fillId="0" borderId="98" xfId="2" applyNumberFormat="1" applyFont="1" applyFill="1" applyBorder="1"/>
    <xf numFmtId="0" fontId="48" fillId="28" borderId="104" xfId="0" applyFont="1" applyFill="1" applyBorder="1"/>
    <xf numFmtId="0" fontId="48" fillId="28" borderId="108" xfId="0" applyFont="1" applyFill="1" applyBorder="1"/>
    <xf numFmtId="167" fontId="45" fillId="0" borderId="99" xfId="0" applyNumberFormat="1" applyFont="1" applyFill="1" applyBorder="1" applyAlignment="1">
      <alignment vertical="center" wrapText="1"/>
    </xf>
    <xf numFmtId="0" fontId="41" fillId="0" borderId="1" xfId="0" applyFont="1" applyFill="1" applyBorder="1" applyAlignment="1">
      <alignment horizontal="center" vertical="center" textRotation="90"/>
    </xf>
    <xf numFmtId="164" fontId="114" fillId="24" borderId="0" xfId="2" applyNumberFormat="1" applyFont="1" applyFill="1"/>
    <xf numFmtId="164" fontId="0" fillId="24" borderId="0" xfId="2" applyNumberFormat="1" applyFont="1" applyFill="1"/>
    <xf numFmtId="0" fontId="0" fillId="33" borderId="0" xfId="0" applyFill="1"/>
    <xf numFmtId="164" fontId="114" fillId="30" borderId="0" xfId="2" applyNumberFormat="1" applyFont="1" applyFill="1"/>
    <xf numFmtId="0" fontId="48" fillId="28" borderId="98" xfId="0" applyFont="1" applyFill="1" applyBorder="1"/>
    <xf numFmtId="0" fontId="63" fillId="28" borderId="98" xfId="0" applyFont="1" applyFill="1" applyBorder="1" applyAlignment="1">
      <alignment horizontal="left" vertical="center" wrapText="1"/>
    </xf>
    <xf numFmtId="0" fontId="63" fillId="28" borderId="98" xfId="0" applyFont="1" applyFill="1" applyBorder="1" applyAlignment="1">
      <alignment vertical="center"/>
    </xf>
    <xf numFmtId="0" fontId="63" fillId="28" borderId="98" xfId="0" applyFont="1" applyFill="1" applyBorder="1" applyAlignment="1">
      <alignment horizontal="left" vertical="center"/>
    </xf>
    <xf numFmtId="0" fontId="52" fillId="28" borderId="98" xfId="0" applyFont="1" applyFill="1" applyBorder="1" applyAlignment="1">
      <alignment vertical="center" wrapText="1"/>
    </xf>
    <xf numFmtId="0" fontId="63" fillId="28" borderId="98" xfId="0" applyFont="1" applyFill="1" applyBorder="1" applyAlignment="1">
      <alignment vertical="center" wrapText="1"/>
    </xf>
    <xf numFmtId="0" fontId="63" fillId="28" borderId="98" xfId="0" applyFont="1" applyFill="1" applyBorder="1" applyAlignment="1">
      <alignment wrapText="1"/>
    </xf>
    <xf numFmtId="167" fontId="63" fillId="28" borderId="98" xfId="38" applyNumberFormat="1" applyFont="1" applyFill="1" applyBorder="1" applyAlignment="1">
      <alignment horizontal="right" vertical="center"/>
    </xf>
    <xf numFmtId="167" fontId="50" fillId="28" borderId="98" xfId="2" applyNumberFormat="1" applyFont="1" applyFill="1" applyBorder="1" applyAlignment="1">
      <alignment horizontal="right"/>
    </xf>
    <xf numFmtId="167" fontId="48" fillId="28" borderId="98" xfId="2" applyNumberFormat="1" applyFont="1" applyFill="1" applyBorder="1" applyAlignment="1">
      <alignment horizontal="right"/>
    </xf>
    <xf numFmtId="0" fontId="42" fillId="28" borderId="0" xfId="0" applyFont="1" applyFill="1" applyAlignment="1">
      <alignment horizontal="center"/>
    </xf>
    <xf numFmtId="0" fontId="49" fillId="28" borderId="98" xfId="0" applyFont="1" applyFill="1" applyBorder="1" applyAlignment="1">
      <alignment horizontal="center" vertical="center" wrapText="1"/>
    </xf>
    <xf numFmtId="0" fontId="23" fillId="0" borderId="0" xfId="49"/>
    <xf numFmtId="0" fontId="7" fillId="0" borderId="0" xfId="0" applyFont="1" applyFill="1" applyAlignment="1">
      <alignment horizontal="left"/>
    </xf>
    <xf numFmtId="164" fontId="5" fillId="0" borderId="97" xfId="2" applyNumberFormat="1" applyFont="1" applyFill="1" applyBorder="1" applyAlignment="1">
      <alignment vertical="center" wrapText="1"/>
    </xf>
    <xf numFmtId="164" fontId="14" fillId="0" borderId="97" xfId="2" applyNumberFormat="1" applyFont="1" applyFill="1" applyBorder="1" applyAlignment="1">
      <alignment vertical="center" wrapText="1"/>
    </xf>
    <xf numFmtId="164" fontId="7" fillId="0" borderId="97" xfId="2" applyNumberFormat="1" applyFont="1" applyFill="1" applyBorder="1" applyAlignment="1">
      <alignment vertical="center"/>
    </xf>
    <xf numFmtId="164" fontId="10" fillId="0" borderId="97" xfId="2" applyNumberFormat="1" applyFont="1" applyFill="1" applyBorder="1" applyAlignment="1">
      <alignment vertical="center"/>
    </xf>
    <xf numFmtId="164" fontId="4" fillId="0" borderId="110" xfId="2" applyNumberFormat="1" applyFont="1" applyFill="1" applyBorder="1" applyAlignment="1">
      <alignment horizontal="center" vertical="center"/>
    </xf>
    <xf numFmtId="167" fontId="0" fillId="28" borderId="0" xfId="0" applyNumberFormat="1" applyFill="1"/>
    <xf numFmtId="164" fontId="45" fillId="0" borderId="0" xfId="0" applyNumberFormat="1" applyFont="1" applyFill="1"/>
    <xf numFmtId="164" fontId="4" fillId="0" borderId="111" xfId="2" applyNumberFormat="1" applyFont="1" applyFill="1" applyBorder="1" applyAlignment="1">
      <alignment horizontal="center" vertical="center"/>
    </xf>
    <xf numFmtId="164" fontId="49" fillId="28" borderId="98" xfId="2" applyNumberFormat="1" applyFont="1" applyFill="1" applyBorder="1" applyAlignment="1">
      <alignment horizontal="center" vertical="center" wrapText="1"/>
    </xf>
    <xf numFmtId="6" fontId="48" fillId="28" borderId="98" xfId="0" applyNumberFormat="1" applyFont="1" applyFill="1" applyBorder="1"/>
    <xf numFmtId="6" fontId="0" fillId="28" borderId="0" xfId="0" applyNumberFormat="1" applyFill="1"/>
    <xf numFmtId="0" fontId="41" fillId="28" borderId="106" xfId="0" applyFont="1" applyFill="1" applyBorder="1"/>
    <xf numFmtId="0" fontId="42" fillId="28" borderId="0" xfId="0" applyFont="1" applyFill="1" applyBorder="1"/>
    <xf numFmtId="0" fontId="41" fillId="28" borderId="0" xfId="0" applyFont="1" applyFill="1" applyBorder="1"/>
    <xf numFmtId="0" fontId="41" fillId="28" borderId="29" xfId="0" applyFont="1" applyFill="1" applyBorder="1"/>
    <xf numFmtId="0" fontId="48" fillId="28" borderId="107" xfId="0" applyFont="1" applyFill="1" applyBorder="1"/>
    <xf numFmtId="0" fontId="0" fillId="28" borderId="98" xfId="0" applyFill="1" applyBorder="1"/>
    <xf numFmtId="164" fontId="110" fillId="34" borderId="98" xfId="0" applyNumberFormat="1" applyFont="1" applyFill="1" applyBorder="1"/>
    <xf numFmtId="164" fontId="110" fillId="28" borderId="0" xfId="0" applyNumberFormat="1" applyFont="1" applyFill="1"/>
    <xf numFmtId="176" fontId="23" fillId="28" borderId="0" xfId="49" applyNumberFormat="1" applyFill="1" applyAlignment="1">
      <alignment horizontal="center" vertical="center" wrapText="1"/>
    </xf>
    <xf numFmtId="176" fontId="23" fillId="28" borderId="0" xfId="49" applyNumberFormat="1" applyFill="1" applyAlignment="1">
      <alignment vertical="center" wrapText="1"/>
    </xf>
    <xf numFmtId="176" fontId="118" fillId="28" borderId="0" xfId="49" applyNumberFormat="1" applyFont="1" applyFill="1" applyAlignment="1">
      <alignment horizontal="right"/>
    </xf>
    <xf numFmtId="176" fontId="64" fillId="28" borderId="98" xfId="49" applyNumberFormat="1" applyFont="1" applyFill="1" applyBorder="1" applyAlignment="1">
      <alignment horizontal="center" vertical="center"/>
    </xf>
    <xf numFmtId="176" fontId="64" fillId="28" borderId="98" xfId="49" applyNumberFormat="1" applyFont="1" applyFill="1" applyBorder="1" applyAlignment="1">
      <alignment horizontal="center" vertical="center" wrapText="1"/>
    </xf>
    <xf numFmtId="176" fontId="64" fillId="28" borderId="61" xfId="49" applyNumberFormat="1" applyFont="1" applyFill="1" applyBorder="1" applyAlignment="1">
      <alignment horizontal="center" vertical="center" wrapText="1"/>
    </xf>
    <xf numFmtId="176" fontId="64" fillId="28" borderId="63" xfId="49" applyNumberFormat="1" applyFont="1" applyFill="1" applyBorder="1" applyAlignment="1">
      <alignment horizontal="center" vertical="center" wrapText="1"/>
    </xf>
    <xf numFmtId="176" fontId="64" fillId="28" borderId="98" xfId="49" applyNumberFormat="1" applyFont="1" applyFill="1" applyBorder="1" applyAlignment="1">
      <alignment horizontal="left" vertical="center" wrapText="1" indent="1"/>
    </xf>
    <xf numFmtId="49" fontId="63" fillId="28" borderId="98" xfId="49" applyNumberFormat="1" applyFont="1" applyFill="1" applyBorder="1" applyAlignment="1" applyProtection="1">
      <alignment horizontal="center" vertical="center" wrapText="1"/>
      <protection locked="0"/>
    </xf>
    <xf numFmtId="176" fontId="63" fillId="28" borderId="98" xfId="49" applyNumberFormat="1" applyFont="1" applyFill="1" applyBorder="1" applyAlignment="1">
      <alignment vertical="center" wrapText="1"/>
    </xf>
    <xf numFmtId="176" fontId="63" fillId="28" borderId="63" xfId="49" applyNumberFormat="1" applyFont="1" applyFill="1" applyBorder="1" applyAlignment="1">
      <alignment vertical="center" wrapText="1"/>
    </xf>
    <xf numFmtId="0" fontId="23" fillId="28" borderId="0" xfId="49" applyFill="1"/>
    <xf numFmtId="176" fontId="106" fillId="28" borderId="98" xfId="49" applyNumberFormat="1" applyFont="1" applyFill="1" applyBorder="1" applyAlignment="1" applyProtection="1">
      <alignment horizontal="left" vertical="center" wrapText="1" indent="1"/>
      <protection locked="0"/>
    </xf>
    <xf numFmtId="176" fontId="63" fillId="28" borderId="98" xfId="49" applyNumberFormat="1" applyFont="1" applyFill="1" applyBorder="1" applyAlignment="1" applyProtection="1">
      <alignment vertical="center" wrapText="1"/>
      <protection locked="0"/>
    </xf>
    <xf numFmtId="176" fontId="106" fillId="28" borderId="98" xfId="49" applyNumberFormat="1" applyFont="1" applyFill="1" applyBorder="1" applyAlignment="1">
      <alignment horizontal="left" vertical="center" wrapText="1" indent="1"/>
    </xf>
    <xf numFmtId="176" fontId="64" fillId="28" borderId="113" xfId="49" applyNumberFormat="1" applyFont="1" applyFill="1" applyBorder="1" applyAlignment="1">
      <alignment vertical="center" wrapText="1"/>
    </xf>
    <xf numFmtId="176" fontId="64" fillId="28" borderId="114" xfId="49" applyNumberFormat="1" applyFont="1" applyFill="1" applyBorder="1" applyAlignment="1">
      <alignment vertical="center" wrapText="1"/>
    </xf>
    <xf numFmtId="165" fontId="48" fillId="28" borderId="98" xfId="1" applyNumberFormat="1" applyFont="1" applyFill="1" applyBorder="1" applyAlignment="1">
      <alignment horizontal="center" vertical="center" wrapText="1"/>
    </xf>
    <xf numFmtId="165" fontId="51" fillId="28" borderId="98" xfId="1" applyNumberFormat="1" applyFont="1" applyFill="1" applyBorder="1" applyAlignment="1">
      <alignment vertical="center" wrapText="1"/>
    </xf>
    <xf numFmtId="0" fontId="51" fillId="28" borderId="98" xfId="0" applyFont="1" applyFill="1" applyBorder="1" applyAlignment="1">
      <alignment vertical="center" wrapText="1"/>
    </xf>
    <xf numFmtId="0" fontId="48" fillId="28" borderId="98" xfId="0" applyFont="1" applyFill="1" applyBorder="1" applyAlignment="1">
      <alignment vertical="center" wrapText="1"/>
    </xf>
    <xf numFmtId="0" fontId="101" fillId="28" borderId="98" xfId="0" applyFont="1" applyFill="1" applyBorder="1" applyAlignment="1">
      <alignment vertical="center" wrapText="1"/>
    </xf>
    <xf numFmtId="165" fontId="48" fillId="28" borderId="98" xfId="1" applyNumberFormat="1" applyFont="1" applyFill="1" applyBorder="1" applyAlignment="1">
      <alignment vertical="center" wrapText="1"/>
    </xf>
    <xf numFmtId="165" fontId="50" fillId="28" borderId="98" xfId="1" applyNumberFormat="1" applyFont="1" applyFill="1" applyBorder="1" applyAlignment="1">
      <alignment vertical="center" wrapText="1"/>
    </xf>
    <xf numFmtId="0" fontId="101" fillId="28" borderId="98" xfId="0" applyFont="1" applyFill="1" applyBorder="1" applyAlignment="1">
      <alignment horizontal="center" vertical="center" wrapText="1"/>
    </xf>
    <xf numFmtId="165" fontId="0" fillId="28" borderId="0" xfId="0" applyNumberFormat="1" applyFill="1"/>
    <xf numFmtId="0" fontId="102" fillId="28" borderId="98" xfId="0" applyFont="1" applyFill="1" applyBorder="1" applyAlignment="1">
      <alignment vertical="center" wrapText="1"/>
    </xf>
    <xf numFmtId="0" fontId="0" fillId="28" borderId="98" xfId="0" applyFont="1" applyFill="1" applyBorder="1"/>
    <xf numFmtId="0" fontId="23" fillId="0" borderId="0" xfId="49"/>
    <xf numFmtId="0" fontId="66" fillId="0" borderId="115" xfId="49" applyFont="1" applyFill="1" applyBorder="1"/>
    <xf numFmtId="0" fontId="84" fillId="28" borderId="0" xfId="75" applyFill="1"/>
    <xf numFmtId="0" fontId="85" fillId="28" borderId="0" xfId="75" applyFont="1" applyFill="1" applyAlignment="1">
      <alignment horizontal="right"/>
    </xf>
    <xf numFmtId="0" fontId="86" fillId="28" borderId="0" xfId="75" applyFont="1" applyFill="1" applyAlignment="1" applyProtection="1">
      <alignment vertical="center" wrapText="1"/>
      <protection locked="0"/>
    </xf>
    <xf numFmtId="0" fontId="86" fillId="28" borderId="0" xfId="75" applyFont="1" applyFill="1" applyAlignment="1" applyProtection="1">
      <alignment horizontal="center" vertical="top" wrapText="1"/>
      <protection locked="0"/>
    </xf>
    <xf numFmtId="0" fontId="84" fillId="28" borderId="0" xfId="75" applyFill="1" applyBorder="1" applyAlignment="1">
      <alignment horizontal="right" wrapText="1"/>
    </xf>
    <xf numFmtId="0" fontId="84" fillId="28" borderId="0" xfId="75" applyFill="1" applyBorder="1" applyAlignment="1">
      <alignment horizontal="center"/>
    </xf>
    <xf numFmtId="0" fontId="89" fillId="28" borderId="0" xfId="75" applyFont="1" applyFill="1" applyBorder="1" applyAlignment="1">
      <alignment horizontal="center" vertical="center" wrapText="1"/>
    </xf>
    <xf numFmtId="0" fontId="84" fillId="28" borderId="0" xfId="75" applyFill="1" applyAlignment="1">
      <alignment horizontal="center"/>
    </xf>
    <xf numFmtId="0" fontId="84" fillId="28" borderId="116" xfId="75" applyFill="1" applyBorder="1" applyAlignment="1">
      <alignment horizontal="center" vertical="center"/>
    </xf>
    <xf numFmtId="164" fontId="84" fillId="28" borderId="0" xfId="75" applyNumberFormat="1" applyFill="1"/>
    <xf numFmtId="171" fontId="91" fillId="28" borderId="0" xfId="75" applyNumberFormat="1" applyFont="1" applyFill="1" applyBorder="1" applyAlignment="1" applyProtection="1">
      <alignment horizontal="right" vertical="center"/>
    </xf>
    <xf numFmtId="171" fontId="84" fillId="28" borderId="0" xfId="75" applyNumberFormat="1" applyFill="1"/>
    <xf numFmtId="0" fontId="92" fillId="28" borderId="97" xfId="75" applyFont="1" applyFill="1" applyBorder="1" applyAlignment="1">
      <alignment horizontal="left" vertical="center" indent="5"/>
    </xf>
    <xf numFmtId="164" fontId="94" fillId="28" borderId="97" xfId="2" applyNumberFormat="1" applyFont="1" applyFill="1" applyBorder="1" applyAlignment="1" applyProtection="1">
      <alignment horizontal="right" vertical="center"/>
      <protection locked="0"/>
    </xf>
    <xf numFmtId="164" fontId="94" fillId="28" borderId="97" xfId="2" applyNumberFormat="1" applyFont="1" applyFill="1" applyBorder="1" applyAlignment="1">
      <alignment vertical="center"/>
    </xf>
    <xf numFmtId="172" fontId="94" fillId="28" borderId="0" xfId="36" applyNumberFormat="1" applyFont="1" applyFill="1" applyBorder="1" applyAlignment="1">
      <alignment vertical="center"/>
    </xf>
    <xf numFmtId="0" fontId="84" fillId="28" borderId="117" xfId="75" applyFill="1" applyBorder="1" applyAlignment="1">
      <alignment horizontal="center" vertical="center"/>
    </xf>
    <xf numFmtId="0" fontId="92" fillId="28" borderId="118" xfId="75" applyFont="1" applyFill="1" applyBorder="1" applyAlignment="1">
      <alignment horizontal="left" vertical="center" wrapText="1" indent="5"/>
    </xf>
    <xf numFmtId="164" fontId="94" fillId="28" borderId="118" xfId="2" applyNumberFormat="1" applyFont="1" applyFill="1" applyBorder="1" applyAlignment="1" applyProtection="1">
      <alignment horizontal="right" vertical="center"/>
      <protection locked="0"/>
    </xf>
    <xf numFmtId="164" fontId="94" fillId="28" borderId="118" xfId="2" applyNumberFormat="1" applyFont="1" applyFill="1" applyBorder="1" applyAlignment="1">
      <alignment vertical="center"/>
    </xf>
    <xf numFmtId="0" fontId="84" fillId="28" borderId="2" xfId="75" applyFill="1" applyBorder="1" applyAlignment="1">
      <alignment horizontal="center" vertical="center"/>
    </xf>
    <xf numFmtId="0" fontId="84" fillId="28" borderId="3" xfId="75" applyFont="1" applyFill="1" applyBorder="1" applyAlignment="1">
      <alignment horizontal="left" vertical="center" indent="1"/>
    </xf>
    <xf numFmtId="164" fontId="94" fillId="28" borderId="3" xfId="2" applyNumberFormat="1" applyFont="1" applyFill="1" applyBorder="1" applyAlignment="1" applyProtection="1">
      <alignment horizontal="right" vertical="center"/>
      <protection locked="0"/>
    </xf>
    <xf numFmtId="164" fontId="94" fillId="28" borderId="3" xfId="2" applyNumberFormat="1" applyFont="1" applyFill="1" applyBorder="1" applyAlignment="1">
      <alignment vertical="center"/>
    </xf>
    <xf numFmtId="164" fontId="94" fillId="28" borderId="119" xfId="2" applyNumberFormat="1" applyFont="1" applyFill="1" applyBorder="1" applyAlignment="1">
      <alignment vertical="center"/>
    </xf>
    <xf numFmtId="164" fontId="94" fillId="28" borderId="4" xfId="2" applyNumberFormat="1" applyFont="1" applyFill="1" applyBorder="1" applyAlignment="1">
      <alignment vertical="center"/>
    </xf>
    <xf numFmtId="172" fontId="95" fillId="28" borderId="0" xfId="36" applyNumberFormat="1" applyFont="1" applyFill="1" applyBorder="1" applyAlignment="1">
      <alignment vertical="center"/>
    </xf>
    <xf numFmtId="0" fontId="84" fillId="28" borderId="97" xfId="75" applyFont="1" applyFill="1" applyBorder="1" applyAlignment="1">
      <alignment horizontal="left" vertical="center" indent="1"/>
    </xf>
    <xf numFmtId="164" fontId="94" fillId="28" borderId="120" xfId="2" applyNumberFormat="1" applyFont="1" applyFill="1" applyBorder="1" applyAlignment="1">
      <alignment vertical="center"/>
    </xf>
    <xf numFmtId="164" fontId="94" fillId="28" borderId="121" xfId="2" applyNumberFormat="1" applyFont="1" applyFill="1" applyBorder="1" applyAlignment="1">
      <alignment vertical="center"/>
    </xf>
    <xf numFmtId="0" fontId="84" fillId="28" borderId="122" xfId="75" applyFill="1" applyBorder="1" applyAlignment="1">
      <alignment horizontal="center" vertical="center"/>
    </xf>
    <xf numFmtId="0" fontId="84" fillId="28" borderId="110" xfId="75" applyFont="1" applyFill="1" applyBorder="1" applyAlignment="1">
      <alignment horizontal="left" vertical="center" wrapText="1" indent="1"/>
    </xf>
    <xf numFmtId="164" fontId="94" fillId="28" borderId="110" xfId="2" applyNumberFormat="1" applyFont="1" applyFill="1" applyBorder="1" applyAlignment="1" applyProtection="1">
      <alignment horizontal="right" vertical="center"/>
      <protection locked="0"/>
    </xf>
    <xf numFmtId="164" fontId="94" fillId="28" borderId="110" xfId="2" applyNumberFormat="1" applyFont="1" applyFill="1" applyBorder="1" applyAlignment="1">
      <alignment vertical="center"/>
    </xf>
    <xf numFmtId="164" fontId="94" fillId="28" borderId="123" xfId="2" applyNumberFormat="1" applyFont="1" applyFill="1" applyBorder="1" applyAlignment="1">
      <alignment vertical="center"/>
    </xf>
    <xf numFmtId="164" fontId="94" fillId="28" borderId="111" xfId="2" applyNumberFormat="1" applyFont="1" applyFill="1" applyBorder="1" applyAlignment="1">
      <alignment vertical="center"/>
    </xf>
    <xf numFmtId="0" fontId="84" fillId="28" borderId="48" xfId="75" applyFill="1" applyBorder="1" applyAlignment="1">
      <alignment horizontal="center" vertical="center"/>
    </xf>
    <xf numFmtId="0" fontId="84" fillId="28" borderId="49" xfId="75" applyFill="1" applyBorder="1" applyAlignment="1" applyProtection="1">
      <alignment horizontal="left" vertical="center" wrapText="1" indent="1"/>
      <protection locked="0"/>
    </xf>
    <xf numFmtId="164" fontId="91" fillId="28" borderId="49" xfId="2" applyNumberFormat="1" applyFont="1" applyFill="1" applyBorder="1" applyAlignment="1" applyProtection="1">
      <alignment horizontal="right" vertical="center"/>
    </xf>
    <xf numFmtId="172" fontId="96" fillId="28" borderId="0" xfId="36" applyNumberFormat="1" applyFont="1" applyFill="1" applyBorder="1" applyAlignment="1">
      <alignment vertical="center"/>
    </xf>
    <xf numFmtId="164" fontId="84" fillId="28" borderId="97" xfId="2" applyNumberFormat="1" applyFont="1" applyFill="1" applyBorder="1"/>
    <xf numFmtId="0" fontId="92" fillId="28" borderId="110" xfId="75" applyFont="1" applyFill="1" applyBorder="1" applyAlignment="1">
      <alignment horizontal="left" vertical="center" wrapText="1" indent="5"/>
    </xf>
    <xf numFmtId="164" fontId="84" fillId="28" borderId="110" xfId="2" applyNumberFormat="1" applyFont="1" applyFill="1" applyBorder="1"/>
    <xf numFmtId="164" fontId="97" fillId="28" borderId="0" xfId="2" applyNumberFormat="1" applyFont="1" applyFill="1"/>
    <xf numFmtId="164" fontId="84" fillId="28" borderId="0" xfId="2" applyNumberFormat="1" applyFont="1" applyFill="1"/>
    <xf numFmtId="172" fontId="84" fillId="28" borderId="0" xfId="75" applyNumberFormat="1" applyFill="1"/>
    <xf numFmtId="44" fontId="84" fillId="28" borderId="0" xfId="2" applyFont="1" applyFill="1"/>
    <xf numFmtId="165" fontId="97" fillId="28" borderId="0" xfId="75" applyNumberFormat="1" applyFont="1" applyFill="1"/>
    <xf numFmtId="165" fontId="84" fillId="28" borderId="0" xfId="75" applyNumberFormat="1" applyFill="1"/>
    <xf numFmtId="0" fontId="53" fillId="25" borderId="98" xfId="49" applyFont="1" applyFill="1" applyBorder="1" applyAlignment="1">
      <alignment horizontal="left" vertical="center" wrapText="1"/>
    </xf>
    <xf numFmtId="165" fontId="53" fillId="25" borderId="98" xfId="1" applyNumberFormat="1" applyFont="1" applyFill="1" applyBorder="1" applyAlignment="1">
      <alignment horizontal="right" vertical="center" wrapText="1"/>
    </xf>
    <xf numFmtId="165" fontId="53" fillId="0" borderId="98" xfId="1" applyNumberFormat="1" applyFont="1" applyBorder="1" applyAlignment="1">
      <alignment horizontal="right" vertical="center" wrapText="1"/>
    </xf>
    <xf numFmtId="3" fontId="53" fillId="0" borderId="107" xfId="49" applyNumberFormat="1" applyFont="1" applyBorder="1" applyAlignment="1">
      <alignment vertical="center" wrapText="1"/>
    </xf>
    <xf numFmtId="0" fontId="100" fillId="25" borderId="98" xfId="49" applyFont="1" applyFill="1" applyBorder="1" applyAlignment="1">
      <alignment horizontal="left" vertical="center" wrapText="1"/>
    </xf>
    <xf numFmtId="0" fontId="112" fillId="25" borderId="98" xfId="49" applyFont="1" applyFill="1" applyBorder="1" applyAlignment="1">
      <alignment horizontal="left" vertical="center" wrapText="1"/>
    </xf>
    <xf numFmtId="165" fontId="113" fillId="25" borderId="98" xfId="1" applyNumberFormat="1" applyFont="1" applyFill="1" applyBorder="1" applyAlignment="1">
      <alignment horizontal="right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2" fillId="28" borderId="0" xfId="0" applyFont="1" applyFill="1" applyAlignment="1">
      <alignment horizontal="center"/>
    </xf>
    <xf numFmtId="0" fontId="23" fillId="0" borderId="0" xfId="49"/>
    <xf numFmtId="0" fontId="51" fillId="28" borderId="98" xfId="0" applyFont="1" applyFill="1" applyBorder="1" applyAlignment="1">
      <alignment horizontal="left" vertical="center" wrapText="1"/>
    </xf>
    <xf numFmtId="0" fontId="119" fillId="0" borderId="0" xfId="77" applyFont="1" applyAlignment="1">
      <alignment vertical="center" wrapText="1"/>
    </xf>
    <xf numFmtId="0" fontId="120" fillId="0" borderId="0" xfId="77" applyFont="1" applyAlignment="1">
      <alignment vertical="center" wrapText="1"/>
    </xf>
    <xf numFmtId="0" fontId="119" fillId="0" borderId="1" xfId="77" applyFont="1" applyBorder="1" applyAlignment="1">
      <alignment horizontal="center" vertical="center" wrapText="1"/>
    </xf>
    <xf numFmtId="0" fontId="119" fillId="0" borderId="1" xfId="77" applyFont="1" applyBorder="1" applyAlignment="1">
      <alignment vertical="center" wrapText="1"/>
    </xf>
    <xf numFmtId="0" fontId="121" fillId="0" borderId="1" xfId="77" applyFont="1" applyFill="1" applyBorder="1" applyAlignment="1">
      <alignment vertical="center" wrapText="1"/>
    </xf>
    <xf numFmtId="3" fontId="121" fillId="0" borderId="1" xfId="77" applyNumberFormat="1" applyFont="1" applyFill="1" applyBorder="1" applyAlignment="1">
      <alignment vertical="center" wrapText="1"/>
    </xf>
    <xf numFmtId="3" fontId="119" fillId="0" borderId="1" xfId="77" applyNumberFormat="1" applyFont="1" applyFill="1" applyBorder="1" applyAlignment="1">
      <alignment vertical="center" wrapText="1"/>
    </xf>
    <xf numFmtId="0" fontId="23" fillId="24" borderId="0" xfId="49" applyFill="1"/>
    <xf numFmtId="0" fontId="121" fillId="28" borderId="1" xfId="77" applyFont="1" applyFill="1" applyBorder="1" applyAlignment="1">
      <alignment vertical="center" wrapText="1"/>
    </xf>
    <xf numFmtId="3" fontId="121" fillId="28" borderId="1" xfId="77" applyNumberFormat="1" applyFont="1" applyFill="1" applyBorder="1" applyAlignment="1">
      <alignment vertical="center" wrapText="1"/>
    </xf>
    <xf numFmtId="3" fontId="119" fillId="28" borderId="1" xfId="77" applyNumberFormat="1" applyFont="1" applyFill="1" applyBorder="1" applyAlignment="1">
      <alignment vertical="center" wrapText="1"/>
    </xf>
    <xf numFmtId="0" fontId="119" fillId="0" borderId="1" xfId="77" applyFont="1" applyFill="1" applyBorder="1" applyAlignment="1">
      <alignment vertical="center" wrapText="1"/>
    </xf>
    <xf numFmtId="0" fontId="121" fillId="0" borderId="1" xfId="77" applyFont="1" applyBorder="1" applyAlignment="1">
      <alignment vertical="center" wrapText="1"/>
    </xf>
    <xf numFmtId="3" fontId="119" fillId="0" borderId="1" xfId="77" applyNumberFormat="1" applyFont="1" applyBorder="1" applyAlignment="1">
      <alignment vertical="center" wrapText="1"/>
    </xf>
    <xf numFmtId="3" fontId="23" fillId="0" borderId="0" xfId="49" applyNumberFormat="1"/>
    <xf numFmtId="0" fontId="23" fillId="0" borderId="0" xfId="49" applyFill="1"/>
    <xf numFmtId="3" fontId="121" fillId="0" borderId="1" xfId="77" applyNumberFormat="1" applyFont="1" applyBorder="1" applyAlignment="1">
      <alignment vertical="center" wrapText="1"/>
    </xf>
    <xf numFmtId="0" fontId="121" fillId="0" borderId="0" xfId="77" applyFont="1" applyAlignment="1">
      <alignment vertical="center" wrapText="1"/>
    </xf>
    <xf numFmtId="3" fontId="121" fillId="0" borderId="0" xfId="77" applyNumberFormat="1" applyFont="1" applyAlignment="1">
      <alignment vertical="center" wrapText="1"/>
    </xf>
    <xf numFmtId="3" fontId="119" fillId="0" borderId="0" xfId="77" applyNumberFormat="1" applyFont="1" applyAlignment="1">
      <alignment vertical="center" wrapText="1"/>
    </xf>
    <xf numFmtId="3" fontId="121" fillId="0" borderId="27" xfId="77" applyNumberFormat="1" applyFont="1" applyBorder="1" applyAlignment="1">
      <alignment vertical="center" wrapText="1"/>
    </xf>
    <xf numFmtId="0" fontId="121" fillId="0" borderId="124" xfId="77" applyFont="1" applyBorder="1" applyAlignment="1">
      <alignment vertical="center" wrapText="1"/>
    </xf>
    <xf numFmtId="3" fontId="121" fillId="0" borderId="25" xfId="77" applyNumberFormat="1" applyFont="1" applyBorder="1" applyAlignment="1">
      <alignment vertical="center" wrapText="1"/>
    </xf>
    <xf numFmtId="3" fontId="121" fillId="0" borderId="124" xfId="77" applyNumberFormat="1" applyFont="1" applyBorder="1" applyAlignment="1">
      <alignment vertical="center" wrapText="1"/>
    </xf>
    <xf numFmtId="3" fontId="121" fillId="0" borderId="0" xfId="77" applyNumberFormat="1" applyFont="1" applyBorder="1" applyAlignment="1">
      <alignment vertical="center" wrapText="1"/>
    </xf>
    <xf numFmtId="3" fontId="121" fillId="0" borderId="29" xfId="77" applyNumberFormat="1" applyFont="1" applyBorder="1" applyAlignment="1">
      <alignment vertical="center" wrapText="1"/>
    </xf>
    <xf numFmtId="3" fontId="121" fillId="0" borderId="106" xfId="77" applyNumberFormat="1" applyFont="1" applyBorder="1" applyAlignment="1">
      <alignment vertical="center" wrapText="1"/>
    </xf>
    <xf numFmtId="0" fontId="121" fillId="0" borderId="106" xfId="77" applyFont="1" applyBorder="1" applyAlignment="1">
      <alignment vertical="center" wrapText="1"/>
    </xf>
    <xf numFmtId="3" fontId="121" fillId="0" borderId="50" xfId="77" applyNumberFormat="1" applyFont="1" applyBorder="1" applyAlignment="1">
      <alignment vertical="center" wrapText="1"/>
    </xf>
    <xf numFmtId="3" fontId="121" fillId="0" borderId="51" xfId="77" applyNumberFormat="1" applyFont="1" applyBorder="1" applyAlignment="1">
      <alignment vertical="center" wrapText="1"/>
    </xf>
    <xf numFmtId="0" fontId="119" fillId="0" borderId="106" xfId="77" applyFont="1" applyBorder="1" applyAlignment="1">
      <alignment vertical="center" wrapText="1"/>
    </xf>
    <xf numFmtId="3" fontId="121" fillId="0" borderId="30" xfId="77" applyNumberFormat="1" applyFont="1" applyBorder="1" applyAlignment="1">
      <alignment vertical="center" wrapText="1"/>
    </xf>
    <xf numFmtId="0" fontId="121" fillId="0" borderId="50" xfId="77" applyFont="1" applyBorder="1" applyAlignment="1">
      <alignment vertical="center" wrapText="1"/>
    </xf>
    <xf numFmtId="0" fontId="122" fillId="0" borderId="0" xfId="77" applyFont="1" applyAlignment="1">
      <alignment vertical="center" wrapText="1"/>
    </xf>
    <xf numFmtId="165" fontId="121" fillId="0" borderId="1" xfId="1" applyNumberFormat="1" applyFont="1" applyFill="1" applyBorder="1" applyAlignment="1">
      <alignment vertical="center" wrapText="1"/>
    </xf>
    <xf numFmtId="165" fontId="121" fillId="0" borderId="0" xfId="1" applyNumberFormat="1" applyFont="1" applyAlignment="1">
      <alignment vertical="center" wrapText="1"/>
    </xf>
    <xf numFmtId="165" fontId="119" fillId="0" borderId="0" xfId="1" applyNumberFormat="1" applyFont="1" applyAlignment="1">
      <alignment vertical="center" wrapText="1"/>
    </xf>
    <xf numFmtId="165" fontId="122" fillId="0" borderId="0" xfId="1" applyNumberFormat="1" applyFont="1" applyAlignment="1">
      <alignment vertical="center" wrapText="1"/>
    </xf>
    <xf numFmtId="165" fontId="121" fillId="28" borderId="1" xfId="77" applyNumberFormat="1" applyFont="1" applyFill="1" applyBorder="1" applyAlignment="1">
      <alignment vertical="center" wrapText="1"/>
    </xf>
    <xf numFmtId="165" fontId="121" fillId="0" borderId="1" xfId="77" applyNumberFormat="1" applyFont="1" applyFill="1" applyBorder="1" applyAlignment="1">
      <alignment vertical="center" wrapText="1"/>
    </xf>
    <xf numFmtId="164" fontId="44" fillId="28" borderId="7" xfId="2" applyNumberFormat="1" applyFont="1" applyFill="1" applyBorder="1" applyAlignment="1">
      <alignment horizontal="center" vertical="center"/>
    </xf>
    <xf numFmtId="164" fontId="4" fillId="28" borderId="7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4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4" fillId="0" borderId="125" xfId="2" applyNumberFormat="1" applyFont="1" applyFill="1" applyBorder="1" applyAlignment="1">
      <alignment horizontal="center" vertical="center" wrapText="1"/>
    </xf>
    <xf numFmtId="3" fontId="0" fillId="28" borderId="0" xfId="0" applyNumberFormat="1" applyFill="1"/>
    <xf numFmtId="174" fontId="0" fillId="28" borderId="0" xfId="0" applyNumberFormat="1" applyFill="1" applyAlignment="1">
      <alignment horizontal="center" vertical="center"/>
    </xf>
    <xf numFmtId="0" fontId="124" fillId="0" borderId="0" xfId="0" applyFont="1" applyAlignment="1">
      <alignment horizontal="left" indent="2"/>
    </xf>
    <xf numFmtId="0" fontId="124" fillId="0" borderId="0" xfId="0" applyFont="1"/>
    <xf numFmtId="0" fontId="54" fillId="0" borderId="60" xfId="0" applyFont="1" applyBorder="1" applyAlignment="1">
      <alignment horizontal="center" vertical="center" wrapText="1"/>
    </xf>
    <xf numFmtId="0" fontId="54" fillId="0" borderId="62" xfId="0" applyFont="1" applyBorder="1" applyAlignment="1">
      <alignment horizontal="center" vertical="center" wrapText="1"/>
    </xf>
    <xf numFmtId="42" fontId="0" fillId="0" borderId="113" xfId="0" applyNumberFormat="1" applyBorder="1" applyAlignment="1">
      <alignment horizontal="center" vertical="center"/>
    </xf>
    <xf numFmtId="42" fontId="0" fillId="0" borderId="130" xfId="0" applyNumberFormat="1" applyBorder="1" applyAlignment="1">
      <alignment horizontal="center" vertical="center"/>
    </xf>
    <xf numFmtId="42" fontId="0" fillId="0" borderId="114" xfId="0" applyNumberFormat="1" applyBorder="1" applyAlignment="1">
      <alignment horizontal="center" vertical="center"/>
    </xf>
    <xf numFmtId="0" fontId="54" fillId="0" borderId="60" xfId="0" applyFont="1" applyBorder="1" applyAlignment="1">
      <alignment horizontal="right" vertical="center" wrapText="1"/>
    </xf>
    <xf numFmtId="0" fontId="0" fillId="0" borderId="61" xfId="0" applyBorder="1"/>
    <xf numFmtId="0" fontId="0" fillId="0" borderId="125" xfId="0" applyBorder="1" applyAlignment="1">
      <alignment horizontal="center" vertical="center"/>
    </xf>
    <xf numFmtId="42" fontId="0" fillId="0" borderId="125" xfId="0" applyNumberFormat="1" applyBorder="1" applyAlignment="1">
      <alignment horizontal="center" vertical="center"/>
    </xf>
    <xf numFmtId="0" fontId="0" fillId="0" borderId="125" xfId="0" applyBorder="1"/>
    <xf numFmtId="0" fontId="0" fillId="0" borderId="131" xfId="0" applyBorder="1"/>
    <xf numFmtId="42" fontId="0" fillId="0" borderId="63" xfId="0" applyNumberForma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3" xfId="0" applyBorder="1"/>
    <xf numFmtId="0" fontId="0" fillId="0" borderId="130" xfId="0" applyBorder="1"/>
    <xf numFmtId="42" fontId="54" fillId="0" borderId="134" xfId="0" applyNumberFormat="1" applyFont="1" applyBorder="1" applyAlignment="1">
      <alignment horizontal="center" vertical="center"/>
    </xf>
    <xf numFmtId="0" fontId="54" fillId="0" borderId="134" xfId="0" applyFont="1" applyBorder="1"/>
    <xf numFmtId="0" fontId="54" fillId="0" borderId="135" xfId="0" applyFont="1" applyBorder="1"/>
    <xf numFmtId="42" fontId="54" fillId="0" borderId="136" xfId="0" applyNumberFormat="1" applyFont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42" fontId="0" fillId="0" borderId="138" xfId="0" applyNumberFormat="1" applyBorder="1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0" fontId="54" fillId="0" borderId="139" xfId="0" applyFont="1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42" fontId="0" fillId="0" borderId="131" xfId="0" applyNumberFormat="1" applyBorder="1" applyAlignment="1">
      <alignment horizontal="center" vertical="center"/>
    </xf>
    <xf numFmtId="42" fontId="0" fillId="0" borderId="0" xfId="0" applyNumberFormat="1"/>
    <xf numFmtId="0" fontId="0" fillId="0" borderId="140" xfId="0" applyBorder="1"/>
    <xf numFmtId="0" fontId="0" fillId="0" borderId="124" xfId="0" applyBorder="1" applyAlignment="1">
      <alignment horizontal="center" vertical="center" wrapText="1"/>
    </xf>
    <xf numFmtId="42" fontId="0" fillId="0" borderId="8" xfId="0" applyNumberFormat="1" applyBorder="1" applyAlignment="1">
      <alignment horizontal="center" vertical="center"/>
    </xf>
    <xf numFmtId="42" fontId="0" fillId="0" borderId="25" xfId="0" applyNumberFormat="1" applyBorder="1" applyAlignment="1">
      <alignment horizontal="center" vertical="center"/>
    </xf>
    <xf numFmtId="42" fontId="0" fillId="0" borderId="141" xfId="0" applyNumberFormat="1" applyBorder="1" applyAlignment="1">
      <alignment horizontal="center" vertical="center"/>
    </xf>
    <xf numFmtId="167" fontId="54" fillId="0" borderId="113" xfId="0" applyNumberFormat="1" applyFont="1" applyBorder="1" applyAlignment="1">
      <alignment horizontal="center" vertical="center"/>
    </xf>
    <xf numFmtId="167" fontId="0" fillId="0" borderId="0" xfId="0" applyNumberFormat="1"/>
    <xf numFmtId="42" fontId="103" fillId="0" borderId="125" xfId="0" applyNumberFormat="1" applyFont="1" applyBorder="1" applyAlignment="1">
      <alignment horizontal="center" vertical="center"/>
    </xf>
    <xf numFmtId="42" fontId="103" fillId="0" borderId="131" xfId="0" applyNumberFormat="1" applyFont="1" applyBorder="1" applyAlignment="1">
      <alignment horizontal="center" vertical="center"/>
    </xf>
    <xf numFmtId="42" fontId="54" fillId="0" borderId="144" xfId="0" applyNumberFormat="1" applyFont="1" applyBorder="1" applyAlignment="1">
      <alignment horizontal="center" vertical="center"/>
    </xf>
    <xf numFmtId="42" fontId="54" fillId="0" borderId="145" xfId="0" applyNumberFormat="1" applyFont="1" applyBorder="1" applyAlignment="1">
      <alignment horizontal="center" vertical="center"/>
    </xf>
    <xf numFmtId="42" fontId="54" fillId="0" borderId="146" xfId="0" applyNumberFormat="1" applyFont="1" applyBorder="1" applyAlignment="1">
      <alignment horizontal="center" vertical="center"/>
    </xf>
    <xf numFmtId="0" fontId="52" fillId="0" borderId="0" xfId="78" applyFont="1"/>
    <xf numFmtId="0" fontId="59" fillId="0" borderId="0" xfId="78" applyFont="1"/>
    <xf numFmtId="0" fontId="109" fillId="31" borderId="125" xfId="0" applyFont="1" applyFill="1" applyBorder="1" applyAlignment="1">
      <alignment horizontal="center" vertical="center" wrapText="1"/>
    </xf>
    <xf numFmtId="0" fontId="53" fillId="0" borderId="125" xfId="0" applyFont="1" applyBorder="1" applyAlignment="1">
      <alignment horizontal="left" vertical="center" wrapText="1"/>
    </xf>
    <xf numFmtId="0" fontId="53" fillId="0" borderId="125" xfId="0" applyFont="1" applyBorder="1" applyAlignment="1">
      <alignment horizontal="center" vertical="center" wrapText="1"/>
    </xf>
    <xf numFmtId="0" fontId="109" fillId="0" borderId="125" xfId="0" applyFont="1" applyBorder="1" applyAlignment="1">
      <alignment horizontal="center" vertical="center" wrapText="1"/>
    </xf>
    <xf numFmtId="177" fontId="109" fillId="0" borderId="125" xfId="0" applyNumberFormat="1" applyFont="1" applyBorder="1" applyAlignment="1">
      <alignment horizontal="center" vertical="center" wrapText="1"/>
    </xf>
    <xf numFmtId="0" fontId="0" fillId="0" borderId="125" xfId="0" applyBorder="1" applyAlignment="1">
      <alignment vertical="center" wrapText="1"/>
    </xf>
    <xf numFmtId="167" fontId="0" fillId="0" borderId="125" xfId="0" applyNumberFormat="1" applyBorder="1" applyAlignment="1">
      <alignment vertical="center"/>
    </xf>
    <xf numFmtId="167" fontId="0" fillId="0" borderId="131" xfId="0" applyNumberFormat="1" applyBorder="1" applyAlignment="1">
      <alignment vertical="center"/>
    </xf>
    <xf numFmtId="167" fontId="0" fillId="0" borderId="63" xfId="0" applyNumberFormat="1" applyBorder="1" applyAlignment="1">
      <alignment horizontal="center" vertical="center"/>
    </xf>
    <xf numFmtId="0" fontId="0" fillId="0" borderId="150" xfId="0" applyBorder="1" applyAlignment="1">
      <alignment vertical="center" wrapText="1"/>
    </xf>
    <xf numFmtId="0" fontId="0" fillId="0" borderId="150" xfId="0" applyBorder="1" applyAlignment="1">
      <alignment vertical="center"/>
    </xf>
    <xf numFmtId="0" fontId="0" fillId="0" borderId="125" xfId="0" applyBorder="1" applyAlignment="1">
      <alignment vertical="center"/>
    </xf>
    <xf numFmtId="167" fontId="54" fillId="0" borderId="144" xfId="0" applyNumberFormat="1" applyFont="1" applyBorder="1" applyAlignment="1">
      <alignment horizontal="center" vertical="center"/>
    </xf>
    <xf numFmtId="167" fontId="54" fillId="0" borderId="146" xfId="0" applyNumberFormat="1" applyFont="1" applyBorder="1" applyAlignment="1">
      <alignment horizontal="center" vertical="center"/>
    </xf>
    <xf numFmtId="0" fontId="0" fillId="0" borderId="148" xfId="0" applyBorder="1" applyAlignment="1">
      <alignment vertical="center"/>
    </xf>
    <xf numFmtId="0" fontId="0" fillId="0" borderId="12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125" xfId="0" applyBorder="1" applyAlignment="1">
      <alignment horizontal="left" vertical="center"/>
    </xf>
    <xf numFmtId="42" fontId="0" fillId="0" borderId="131" xfId="0" applyNumberFormat="1" applyBorder="1" applyAlignment="1">
      <alignment vertical="center"/>
    </xf>
    <xf numFmtId="167" fontId="0" fillId="0" borderId="63" xfId="0" applyNumberFormat="1" applyBorder="1" applyAlignment="1">
      <alignment vertical="center"/>
    </xf>
    <xf numFmtId="42" fontId="0" fillId="0" borderId="125" xfId="0" applyNumberFormat="1" applyBorder="1" applyAlignment="1">
      <alignment vertical="center"/>
    </xf>
    <xf numFmtId="42" fontId="0" fillId="0" borderId="106" xfId="0" applyNumberFormat="1" applyBorder="1" applyAlignment="1">
      <alignment vertical="center"/>
    </xf>
    <xf numFmtId="167" fontId="54" fillId="0" borderId="144" xfId="0" applyNumberFormat="1" applyFont="1" applyBorder="1" applyAlignment="1">
      <alignment vertical="center"/>
    </xf>
    <xf numFmtId="0" fontId="63" fillId="28" borderId="0" xfId="49" applyFont="1" applyFill="1"/>
    <xf numFmtId="0" fontId="104" fillId="28" borderId="96" xfId="79" applyFont="1" applyFill="1" applyBorder="1" applyAlignment="1"/>
    <xf numFmtId="0" fontId="104" fillId="28" borderId="0" xfId="79" applyFont="1" applyFill="1" applyBorder="1" applyAlignment="1"/>
    <xf numFmtId="0" fontId="63" fillId="28" borderId="0" xfId="79" applyFont="1" applyFill="1"/>
    <xf numFmtId="0" fontId="63" fillId="28" borderId="0" xfId="49" applyFont="1" applyFill="1" applyAlignment="1">
      <alignment horizontal="right"/>
    </xf>
    <xf numFmtId="0" fontId="105" fillId="28" borderId="75" xfId="79" applyFont="1" applyFill="1" applyBorder="1" applyAlignment="1">
      <alignment horizontal="center" vertical="center" textRotation="90"/>
    </xf>
    <xf numFmtId="0" fontId="105" fillId="28" borderId="32" xfId="79" applyFont="1" applyFill="1" applyBorder="1" applyAlignment="1">
      <alignment horizontal="center" vertical="center" wrapText="1"/>
    </xf>
    <xf numFmtId="0" fontId="105" fillId="28" borderId="31" xfId="79" applyFont="1" applyFill="1" applyBorder="1" applyAlignment="1">
      <alignment horizontal="center" vertical="center" wrapText="1"/>
    </xf>
    <xf numFmtId="0" fontId="63" fillId="28" borderId="71" xfId="49" applyFont="1" applyFill="1" applyBorder="1" applyAlignment="1">
      <alignment horizontal="center" vertical="center" wrapText="1"/>
    </xf>
    <xf numFmtId="0" fontId="105" fillId="28" borderId="1" xfId="79" applyFont="1" applyFill="1" applyBorder="1" applyAlignment="1">
      <alignment horizontal="center" vertical="center" wrapText="1"/>
    </xf>
    <xf numFmtId="0" fontId="105" fillId="28" borderId="95" xfId="79" applyFont="1" applyFill="1" applyBorder="1" applyAlignment="1">
      <alignment horizontal="center" vertical="center"/>
    </xf>
    <xf numFmtId="173" fontId="106" fillId="28" borderId="52" xfId="80" applyNumberFormat="1" applyFont="1" applyFill="1" applyBorder="1" applyAlignment="1" applyProtection="1">
      <alignment vertical="center"/>
    </xf>
    <xf numFmtId="173" fontId="106" fillId="28" borderId="53" xfId="80" applyNumberFormat="1" applyFont="1" applyFill="1" applyBorder="1" applyAlignment="1" applyProtection="1">
      <alignment vertical="center"/>
    </xf>
    <xf numFmtId="173" fontId="106" fillId="28" borderId="54" xfId="80" applyNumberFormat="1" applyFont="1" applyFill="1" applyBorder="1" applyAlignment="1" applyProtection="1">
      <alignment vertical="center"/>
    </xf>
    <xf numFmtId="173" fontId="63" fillId="28" borderId="53" xfId="80" applyNumberFormat="1" applyFont="1" applyFill="1" applyBorder="1" applyAlignment="1" applyProtection="1">
      <alignment vertical="center"/>
    </xf>
    <xf numFmtId="173" fontId="63" fillId="28" borderId="54" xfId="80" applyNumberFormat="1" applyFont="1" applyFill="1" applyBorder="1" applyAlignment="1" applyProtection="1">
      <alignment vertical="center"/>
    </xf>
    <xf numFmtId="173" fontId="106" fillId="28" borderId="93" xfId="80" applyNumberFormat="1" applyFont="1" applyFill="1" applyBorder="1" applyAlignment="1" applyProtection="1">
      <alignment vertical="center"/>
    </xf>
    <xf numFmtId="173" fontId="106" fillId="28" borderId="92" xfId="80" applyNumberFormat="1" applyFont="1" applyFill="1" applyBorder="1" applyAlignment="1" applyProtection="1">
      <alignment vertical="center"/>
    </xf>
    <xf numFmtId="0" fontId="105" fillId="28" borderId="91" xfId="79" applyFont="1" applyFill="1" applyBorder="1" applyAlignment="1">
      <alignment horizontal="center" vertical="center"/>
    </xf>
    <xf numFmtId="173" fontId="106" fillId="28" borderId="55" xfId="80" applyNumberFormat="1" applyFont="1" applyFill="1" applyBorder="1" applyAlignment="1" applyProtection="1">
      <alignment vertical="center"/>
    </xf>
    <xf numFmtId="173" fontId="106" fillId="28" borderId="38" xfId="80" applyNumberFormat="1" applyFont="1" applyFill="1" applyBorder="1" applyAlignment="1" applyProtection="1">
      <alignment vertical="center"/>
    </xf>
    <xf numFmtId="173" fontId="106" fillId="28" borderId="40" xfId="80" applyNumberFormat="1" applyFont="1" applyFill="1" applyBorder="1" applyAlignment="1" applyProtection="1">
      <alignment vertical="center"/>
    </xf>
    <xf numFmtId="173" fontId="106" fillId="28" borderId="90" xfId="80" applyNumberFormat="1" applyFont="1" applyFill="1" applyBorder="1" applyAlignment="1" applyProtection="1">
      <alignment vertical="center"/>
    </xf>
    <xf numFmtId="173" fontId="106" fillId="28" borderId="89" xfId="80" applyNumberFormat="1" applyFont="1" applyFill="1" applyBorder="1" applyAlignment="1" applyProtection="1">
      <alignment vertical="center"/>
    </xf>
    <xf numFmtId="0" fontId="105" fillId="28" borderId="88" xfId="79" applyFont="1" applyFill="1" applyBorder="1" applyAlignment="1">
      <alignment horizontal="center" vertical="center"/>
    </xf>
    <xf numFmtId="173" fontId="106" fillId="28" borderId="56" xfId="80" applyNumberFormat="1" applyFont="1" applyFill="1" applyBorder="1" applyAlignment="1" applyProtection="1">
      <alignment vertical="center"/>
    </xf>
    <xf numFmtId="173" fontId="106" fillId="28" borderId="57" xfId="80" applyNumberFormat="1" applyFont="1" applyFill="1" applyBorder="1" applyAlignment="1" applyProtection="1">
      <alignment vertical="center"/>
    </xf>
    <xf numFmtId="173" fontId="106" fillId="28" borderId="58" xfId="80" applyNumberFormat="1" applyFont="1" applyFill="1" applyBorder="1" applyAlignment="1" applyProtection="1">
      <alignment vertical="center"/>
    </xf>
    <xf numFmtId="173" fontId="106" fillId="28" borderId="86" xfId="80" applyNumberFormat="1" applyFont="1" applyFill="1" applyBorder="1" applyAlignment="1" applyProtection="1">
      <alignment vertical="center"/>
    </xf>
    <xf numFmtId="173" fontId="106" fillId="28" borderId="85" xfId="80" applyNumberFormat="1" applyFont="1" applyFill="1" applyBorder="1" applyAlignment="1" applyProtection="1">
      <alignment vertical="center"/>
    </xf>
    <xf numFmtId="173" fontId="104" fillId="28" borderId="83" xfId="79" applyNumberFormat="1" applyFont="1" applyFill="1" applyBorder="1" applyAlignment="1">
      <alignment horizontal="left"/>
    </xf>
    <xf numFmtId="173" fontId="104" fillId="28" borderId="82" xfId="79" applyNumberFormat="1" applyFont="1" applyFill="1" applyBorder="1" applyAlignment="1">
      <alignment horizontal="left"/>
    </xf>
    <xf numFmtId="173" fontId="104" fillId="28" borderId="81" xfId="79" applyNumberFormat="1" applyFont="1" applyFill="1" applyBorder="1" applyAlignment="1">
      <alignment horizontal="left"/>
    </xf>
    <xf numFmtId="173" fontId="104" fillId="28" borderId="80" xfId="79" applyNumberFormat="1" applyFont="1" applyFill="1" applyBorder="1" applyAlignment="1">
      <alignment horizontal="left"/>
    </xf>
    <xf numFmtId="0" fontId="105" fillId="28" borderId="69" xfId="79" applyFont="1" applyFill="1" applyBorder="1" applyAlignment="1">
      <alignment horizontal="center"/>
    </xf>
    <xf numFmtId="0" fontId="105" fillId="28" borderId="69" xfId="79" applyFont="1" applyFill="1" applyBorder="1" applyAlignment="1">
      <alignment horizontal="left"/>
    </xf>
    <xf numFmtId="173" fontId="105" fillId="28" borderId="0" xfId="79" applyNumberFormat="1" applyFont="1" applyFill="1" applyBorder="1" applyAlignment="1">
      <alignment horizontal="left"/>
    </xf>
    <xf numFmtId="0" fontId="105" fillId="28" borderId="0" xfId="79" applyFont="1" applyFill="1" applyBorder="1" applyAlignment="1"/>
    <xf numFmtId="0" fontId="104" fillId="28" borderId="79" xfId="79" applyFont="1" applyFill="1" applyBorder="1" applyAlignment="1"/>
    <xf numFmtId="0" fontId="105" fillId="28" borderId="0" xfId="79" applyFont="1" applyFill="1" applyBorder="1" applyAlignment="1">
      <alignment horizontal="left"/>
    </xf>
    <xf numFmtId="0" fontId="104" fillId="28" borderId="30" xfId="79" applyFont="1" applyFill="1" applyBorder="1" applyAlignment="1"/>
    <xf numFmtId="0" fontId="105" fillId="28" borderId="1" xfId="79" applyFont="1" applyFill="1" applyBorder="1" applyAlignment="1">
      <alignment horizontal="center" vertical="center" textRotation="90"/>
    </xf>
    <xf numFmtId="0" fontId="105" fillId="28" borderId="78" xfId="79" applyFont="1" applyFill="1" applyBorder="1" applyAlignment="1">
      <alignment horizontal="center" vertical="center" wrapText="1"/>
    </xf>
    <xf numFmtId="0" fontId="63" fillId="28" borderId="64" xfId="49" applyFont="1" applyFill="1" applyBorder="1" applyAlignment="1">
      <alignment horizontal="center" vertical="center" wrapText="1"/>
    </xf>
    <xf numFmtId="0" fontId="63" fillId="28" borderId="1" xfId="49" applyFont="1" applyFill="1" applyBorder="1"/>
    <xf numFmtId="0" fontId="105" fillId="28" borderId="1" xfId="79" applyFont="1" applyFill="1" applyBorder="1" applyAlignment="1">
      <alignment horizontal="center" wrapText="1"/>
    </xf>
    <xf numFmtId="0" fontId="105" fillId="28" borderId="64" xfId="79" applyFont="1" applyFill="1" applyBorder="1" applyAlignment="1">
      <alignment horizontal="center" vertical="center"/>
    </xf>
    <xf numFmtId="173" fontId="106" fillId="28" borderId="2" xfId="80" applyNumberFormat="1" applyFont="1" applyFill="1" applyBorder="1" applyAlignment="1" applyProtection="1">
      <alignment vertical="center"/>
    </xf>
    <xf numFmtId="173" fontId="106" fillId="28" borderId="3" xfId="80" applyNumberFormat="1" applyFont="1" applyFill="1" applyBorder="1" applyAlignment="1" applyProtection="1">
      <alignment vertical="center"/>
    </xf>
    <xf numFmtId="173" fontId="106" fillId="28" borderId="4" xfId="80" applyNumberFormat="1" applyFont="1" applyFill="1" applyBorder="1" applyAlignment="1" applyProtection="1">
      <alignment vertical="center"/>
    </xf>
    <xf numFmtId="173" fontId="63" fillId="28" borderId="2" xfId="80" applyNumberFormat="1" applyFont="1" applyFill="1" applyBorder="1" applyAlignment="1">
      <alignment horizontal="right"/>
    </xf>
    <xf numFmtId="173" fontId="63" fillId="28" borderId="4" xfId="80" applyNumberFormat="1" applyFont="1" applyFill="1" applyBorder="1" applyAlignment="1">
      <alignment horizontal="right"/>
    </xf>
    <xf numFmtId="173" fontId="106" fillId="28" borderId="64" xfId="80" applyNumberFormat="1" applyFont="1" applyFill="1" applyBorder="1" applyAlignment="1" applyProtection="1">
      <alignment vertical="center"/>
    </xf>
    <xf numFmtId="0" fontId="105" fillId="28" borderId="65" xfId="79" applyFont="1" applyFill="1" applyBorder="1" applyAlignment="1">
      <alignment horizontal="center" vertical="center"/>
    </xf>
    <xf numFmtId="173" fontId="106" fillId="28" borderId="5" xfId="80" applyNumberFormat="1" applyFont="1" applyFill="1" applyBorder="1" applyAlignment="1" applyProtection="1">
      <alignment vertical="center"/>
    </xf>
    <xf numFmtId="173" fontId="106" fillId="28" borderId="67" xfId="80" applyNumberFormat="1" applyFont="1" applyFill="1" applyBorder="1" applyAlignment="1" applyProtection="1">
      <alignment vertical="center"/>
    </xf>
    <xf numFmtId="173" fontId="106" fillId="28" borderId="7" xfId="80" applyNumberFormat="1" applyFont="1" applyFill="1" applyBorder="1" applyAlignment="1" applyProtection="1">
      <alignment vertical="center"/>
    </xf>
    <xf numFmtId="173" fontId="63" fillId="28" borderId="5" xfId="80" applyNumberFormat="1" applyFont="1" applyFill="1" applyBorder="1" applyAlignment="1">
      <alignment horizontal="right"/>
    </xf>
    <xf numFmtId="173" fontId="63" fillId="28" borderId="7" xfId="80" applyNumberFormat="1" applyFont="1" applyFill="1" applyBorder="1" applyAlignment="1">
      <alignment horizontal="right"/>
    </xf>
    <xf numFmtId="173" fontId="106" fillId="28" borderId="65" xfId="80" applyNumberFormat="1" applyFont="1" applyFill="1" applyBorder="1" applyAlignment="1" applyProtection="1">
      <alignment vertical="center"/>
    </xf>
    <xf numFmtId="0" fontId="105" fillId="28" borderId="66" xfId="79" applyFont="1" applyFill="1" applyBorder="1" applyAlignment="1">
      <alignment horizontal="center" vertical="center"/>
    </xf>
    <xf numFmtId="173" fontId="106" fillId="28" borderId="11" xfId="80" applyNumberFormat="1" applyFont="1" applyFill="1" applyBorder="1" applyAlignment="1" applyProtection="1">
      <alignment vertical="center"/>
    </xf>
    <xf numFmtId="173" fontId="106" fillId="28" borderId="68" xfId="80" applyNumberFormat="1" applyFont="1" applyFill="1" applyBorder="1" applyAlignment="1" applyProtection="1">
      <alignment vertical="center"/>
    </xf>
    <xf numFmtId="173" fontId="106" fillId="28" borderId="13" xfId="80" applyNumberFormat="1" applyFont="1" applyFill="1" applyBorder="1" applyAlignment="1" applyProtection="1">
      <alignment vertical="center"/>
    </xf>
    <xf numFmtId="173" fontId="63" fillId="28" borderId="11" xfId="80" applyNumberFormat="1" applyFont="1" applyFill="1" applyBorder="1" applyAlignment="1">
      <alignment horizontal="right"/>
    </xf>
    <xf numFmtId="173" fontId="63" fillId="28" borderId="13" xfId="80" applyNumberFormat="1" applyFont="1" applyFill="1" applyBorder="1" applyAlignment="1">
      <alignment horizontal="right"/>
    </xf>
    <xf numFmtId="173" fontId="106" fillId="28" borderId="66" xfId="80" applyNumberFormat="1" applyFont="1" applyFill="1" applyBorder="1" applyAlignment="1" applyProtection="1">
      <alignment vertical="center"/>
    </xf>
    <xf numFmtId="173" fontId="64" fillId="28" borderId="10" xfId="80" applyNumberFormat="1" applyFont="1" applyFill="1" applyBorder="1" applyAlignment="1">
      <alignment horizontal="right"/>
    </xf>
    <xf numFmtId="173" fontId="64" fillId="28" borderId="1" xfId="80" applyNumberFormat="1" applyFont="1" applyFill="1" applyBorder="1" applyAlignment="1">
      <alignment horizontal="right"/>
    </xf>
    <xf numFmtId="0" fontId="105" fillId="28" borderId="73" xfId="79" applyFont="1" applyFill="1" applyBorder="1" applyAlignment="1">
      <alignment horizontal="center" vertical="center" wrapText="1"/>
    </xf>
    <xf numFmtId="0" fontId="105" fillId="28" borderId="72" xfId="79" applyFont="1" applyFill="1" applyBorder="1" applyAlignment="1">
      <alignment horizontal="center" vertical="center" wrapText="1"/>
    </xf>
    <xf numFmtId="0" fontId="63" fillId="28" borderId="70" xfId="81" applyFont="1" applyFill="1" applyBorder="1" applyAlignment="1">
      <alignment horizontal="center" vertical="center"/>
    </xf>
    <xf numFmtId="173" fontId="63" fillId="28" borderId="2" xfId="80" applyNumberFormat="1" applyFont="1" applyFill="1" applyBorder="1" applyAlignment="1" applyProtection="1">
      <alignment vertical="center"/>
    </xf>
    <xf numFmtId="173" fontId="63" fillId="28" borderId="3" xfId="80" applyNumberFormat="1" applyFont="1" applyFill="1" applyBorder="1" applyAlignment="1" applyProtection="1">
      <alignment vertical="center"/>
    </xf>
    <xf numFmtId="173" fontId="63" fillId="28" borderId="4" xfId="80" applyNumberFormat="1" applyFont="1" applyFill="1" applyBorder="1" applyAlignment="1" applyProtection="1">
      <alignment vertical="center"/>
    </xf>
    <xf numFmtId="173" fontId="63" fillId="28" borderId="64" xfId="80" applyNumberFormat="1" applyFont="1" applyFill="1" applyBorder="1" applyAlignment="1" applyProtection="1">
      <alignment vertical="center"/>
    </xf>
    <xf numFmtId="0" fontId="23" fillId="28" borderId="0" xfId="49" applyFont="1" applyFill="1"/>
    <xf numFmtId="0" fontId="63" fillId="28" borderId="66" xfId="81" applyFont="1" applyFill="1" applyBorder="1" applyAlignment="1">
      <alignment horizontal="center" vertical="center"/>
    </xf>
    <xf numFmtId="173" fontId="107" fillId="28" borderId="11" xfId="80" applyNumberFormat="1" applyFont="1" applyFill="1" applyBorder="1" applyAlignment="1" applyProtection="1">
      <alignment vertical="center"/>
    </xf>
    <xf numFmtId="0" fontId="23" fillId="28" borderId="68" xfId="49" applyFill="1" applyBorder="1"/>
    <xf numFmtId="0" fontId="23" fillId="28" borderId="13" xfId="49" applyFill="1" applyBorder="1"/>
    <xf numFmtId="173" fontId="63" fillId="28" borderId="68" xfId="80" applyNumberFormat="1" applyFont="1" applyFill="1" applyBorder="1" applyAlignment="1" applyProtection="1">
      <alignment vertical="center"/>
    </xf>
    <xf numFmtId="173" fontId="63" fillId="28" borderId="13" xfId="80" applyNumberFormat="1" applyFont="1" applyFill="1" applyBorder="1" applyAlignment="1" applyProtection="1">
      <alignment vertical="center"/>
    </xf>
    <xf numFmtId="173" fontId="107" fillId="28" borderId="66" xfId="80" applyNumberFormat="1" applyFont="1" applyFill="1" applyBorder="1" applyAlignment="1" applyProtection="1">
      <alignment vertical="center"/>
    </xf>
    <xf numFmtId="173" fontId="106" fillId="28" borderId="1" xfId="80" applyNumberFormat="1" applyFont="1" applyFill="1" applyBorder="1" applyAlignment="1" applyProtection="1">
      <alignment vertical="center"/>
    </xf>
    <xf numFmtId="173" fontId="64" fillId="28" borderId="1" xfId="80" applyNumberFormat="1" applyFont="1" applyFill="1" applyBorder="1" applyAlignment="1" applyProtection="1">
      <alignment vertical="center"/>
    </xf>
    <xf numFmtId="0" fontId="63" fillId="28" borderId="69" xfId="81" applyFont="1" applyFill="1" applyBorder="1" applyAlignment="1">
      <alignment horizontal="center"/>
    </xf>
    <xf numFmtId="0" fontId="64" fillId="28" borderId="69" xfId="81" applyFont="1" applyFill="1" applyBorder="1"/>
    <xf numFmtId="173" fontId="63" fillId="28" borderId="69" xfId="80" applyNumberFormat="1" applyFont="1" applyFill="1" applyBorder="1" applyAlignment="1" applyProtection="1"/>
    <xf numFmtId="0" fontId="105" fillId="28" borderId="0" xfId="79" applyFont="1" applyFill="1" applyBorder="1" applyAlignment="1">
      <alignment horizontal="left" vertical="center" wrapText="1"/>
    </xf>
    <xf numFmtId="0" fontId="52" fillId="0" borderId="1" xfId="68" applyFont="1" applyBorder="1" applyAlignment="1">
      <alignment horizontal="center" vertical="center"/>
    </xf>
    <xf numFmtId="0" fontId="3" fillId="0" borderId="125" xfId="0" applyFont="1" applyFill="1" applyBorder="1" applyAlignment="1">
      <alignment horizontal="center"/>
    </xf>
    <xf numFmtId="0" fontId="8" fillId="0" borderId="125" xfId="0" applyFont="1" applyFill="1" applyBorder="1" applyAlignment="1">
      <alignment horizontal="center"/>
    </xf>
    <xf numFmtId="164" fontId="11" fillId="0" borderId="97" xfId="2" applyNumberFormat="1" applyFont="1" applyFill="1" applyBorder="1" applyAlignment="1">
      <alignment vertical="center" wrapText="1"/>
    </xf>
    <xf numFmtId="0" fontId="13" fillId="0" borderId="125" xfId="0" applyFont="1" applyFill="1" applyBorder="1" applyAlignment="1">
      <alignment horizontal="center"/>
    </xf>
    <xf numFmtId="164" fontId="4" fillId="0" borderId="97" xfId="2" applyNumberFormat="1" applyFont="1" applyFill="1" applyBorder="1" applyAlignment="1">
      <alignment vertical="center"/>
    </xf>
    <xf numFmtId="164" fontId="9" fillId="0" borderId="97" xfId="2" applyNumberFormat="1" applyFont="1" applyFill="1" applyBorder="1" applyAlignment="1">
      <alignment vertical="center"/>
    </xf>
    <xf numFmtId="0" fontId="49" fillId="28" borderId="125" xfId="0" applyFont="1" applyFill="1" applyBorder="1" applyAlignment="1">
      <alignment horizontal="center"/>
    </xf>
    <xf numFmtId="164" fontId="44" fillId="28" borderId="97" xfId="2" applyNumberFormat="1" applyFont="1" applyFill="1" applyBorder="1" applyAlignment="1">
      <alignment vertical="center"/>
    </xf>
    <xf numFmtId="164" fontId="45" fillId="0" borderId="110" xfId="2" applyNumberFormat="1" applyFont="1" applyFill="1" applyBorder="1" applyAlignment="1">
      <alignment vertical="center"/>
    </xf>
    <xf numFmtId="164" fontId="7" fillId="0" borderId="110" xfId="2" applyNumberFormat="1" applyFont="1" applyFill="1" applyBorder="1" applyAlignment="1">
      <alignment vertical="center"/>
    </xf>
    <xf numFmtId="164" fontId="5" fillId="0" borderId="120" xfId="2" applyNumberFormat="1" applyFont="1" applyFill="1" applyBorder="1" applyAlignment="1">
      <alignment vertical="center" wrapText="1"/>
    </xf>
    <xf numFmtId="164" fontId="11" fillId="0" borderId="120" xfId="2" applyNumberFormat="1" applyFont="1" applyFill="1" applyBorder="1" applyAlignment="1">
      <alignment vertical="center" wrapText="1"/>
    </xf>
    <xf numFmtId="164" fontId="14" fillId="0" borderId="120" xfId="2" applyNumberFormat="1" applyFont="1" applyFill="1" applyBorder="1" applyAlignment="1">
      <alignment vertical="center" wrapText="1"/>
    </xf>
    <xf numFmtId="164" fontId="4" fillId="0" borderId="120" xfId="2" applyNumberFormat="1" applyFont="1" applyFill="1" applyBorder="1" applyAlignment="1">
      <alignment vertical="center"/>
    </xf>
    <xf numFmtId="164" fontId="7" fillId="0" borderId="120" xfId="2" applyNumberFormat="1" applyFont="1" applyFill="1" applyBorder="1" applyAlignment="1">
      <alignment vertical="center"/>
    </xf>
    <xf numFmtId="164" fontId="10" fillId="0" borderId="120" xfId="2" applyNumberFormat="1" applyFont="1" applyFill="1" applyBorder="1" applyAlignment="1">
      <alignment vertical="center"/>
    </xf>
    <xf numFmtId="164" fontId="9" fillId="0" borderId="120" xfId="2" applyNumberFormat="1" applyFont="1" applyFill="1" applyBorder="1" applyAlignment="1">
      <alignment vertical="center"/>
    </xf>
    <xf numFmtId="164" fontId="44" fillId="28" borderId="120" xfId="2" applyNumberFormat="1" applyFont="1" applyFill="1" applyBorder="1" applyAlignment="1">
      <alignment vertical="center"/>
    </xf>
    <xf numFmtId="164" fontId="7" fillId="0" borderId="123" xfId="2" applyNumberFormat="1" applyFont="1" applyFill="1" applyBorder="1" applyAlignment="1">
      <alignment vertical="center"/>
    </xf>
    <xf numFmtId="164" fontId="6" fillId="0" borderId="155" xfId="2" applyNumberFormat="1" applyFont="1" applyFill="1" applyBorder="1" applyAlignment="1">
      <alignment horizontal="center" vertical="center"/>
    </xf>
    <xf numFmtId="164" fontId="12" fillId="0" borderId="155" xfId="2" applyNumberFormat="1" applyFont="1" applyFill="1" applyBorder="1" applyAlignment="1">
      <alignment horizontal="center" vertical="center"/>
    </xf>
    <xf numFmtId="164" fontId="57" fillId="28" borderId="155" xfId="2" applyNumberFormat="1" applyFont="1" applyFill="1" applyBorder="1" applyAlignment="1">
      <alignment horizontal="center" vertical="center"/>
    </xf>
    <xf numFmtId="164" fontId="6" fillId="0" borderId="156" xfId="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64" fontId="5" fillId="0" borderId="49" xfId="2" applyNumberFormat="1" applyFont="1" applyFill="1" applyBorder="1" applyAlignment="1">
      <alignment vertical="center" wrapText="1"/>
    </xf>
    <xf numFmtId="164" fontId="5" fillId="0" borderId="157" xfId="2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/>
    </xf>
    <xf numFmtId="0" fontId="5" fillId="0" borderId="110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0" fontId="86" fillId="28" borderId="158" xfId="75" applyFont="1" applyFill="1" applyBorder="1" applyAlignment="1">
      <alignment horizontal="center" vertical="center"/>
    </xf>
    <xf numFmtId="0" fontId="88" fillId="28" borderId="158" xfId="75" applyFont="1" applyFill="1" applyBorder="1" applyAlignment="1">
      <alignment horizontal="center" vertical="center" wrapText="1"/>
    </xf>
    <xf numFmtId="0" fontId="89" fillId="28" borderId="158" xfId="75" applyFont="1" applyFill="1" applyBorder="1" applyAlignment="1">
      <alignment horizontal="center" vertical="center" wrapText="1"/>
    </xf>
    <xf numFmtId="0" fontId="87" fillId="28" borderId="159" xfId="75" applyFont="1" applyFill="1" applyBorder="1" applyAlignment="1">
      <alignment horizontal="center" vertical="center" textRotation="90" wrapText="1"/>
    </xf>
    <xf numFmtId="0" fontId="89" fillId="28" borderId="160" xfId="75" applyFont="1" applyFill="1" applyBorder="1" applyAlignment="1">
      <alignment horizontal="center" vertical="center" wrapText="1"/>
    </xf>
    <xf numFmtId="164" fontId="91" fillId="28" borderId="161" xfId="2" applyNumberFormat="1" applyFont="1" applyFill="1" applyBorder="1" applyAlignment="1" applyProtection="1">
      <alignment horizontal="right" vertical="center"/>
    </xf>
    <xf numFmtId="164" fontId="94" fillId="28" borderId="162" xfId="2" applyNumberFormat="1" applyFont="1" applyFill="1" applyBorder="1" applyAlignment="1">
      <alignment vertical="center"/>
    </xf>
    <xf numFmtId="164" fontId="84" fillId="28" borderId="121" xfId="2" applyNumberFormat="1" applyFont="1" applyFill="1" applyBorder="1"/>
    <xf numFmtId="164" fontId="84" fillId="28" borderId="111" xfId="2" applyNumberFormat="1" applyFont="1" applyFill="1" applyBorder="1"/>
    <xf numFmtId="0" fontId="24" fillId="0" borderId="116" xfId="49" applyFont="1" applyBorder="1" applyAlignment="1">
      <alignment horizontal="center" vertical="top" wrapText="1"/>
    </xf>
    <xf numFmtId="0" fontId="24" fillId="0" borderId="97" xfId="49" applyFont="1" applyBorder="1" applyAlignment="1">
      <alignment horizontal="left" vertical="top" wrapText="1"/>
    </xf>
    <xf numFmtId="3" fontId="24" fillId="0" borderId="97" xfId="49" applyNumberFormat="1" applyFont="1" applyBorder="1" applyAlignment="1">
      <alignment horizontal="right" vertical="top" wrapText="1"/>
    </xf>
    <xf numFmtId="3" fontId="24" fillId="0" borderId="121" xfId="49" applyNumberFormat="1" applyFont="1" applyBorder="1" applyAlignment="1">
      <alignment horizontal="right" vertical="top" wrapText="1"/>
    </xf>
    <xf numFmtId="0" fontId="79" fillId="0" borderId="116" xfId="49" applyFont="1" applyBorder="1" applyAlignment="1">
      <alignment horizontal="center" vertical="top" wrapText="1"/>
    </xf>
    <xf numFmtId="0" fontId="79" fillId="0" borderId="97" xfId="49" applyFont="1" applyBorder="1" applyAlignment="1">
      <alignment horizontal="left" vertical="top" wrapText="1"/>
    </xf>
    <xf numFmtId="3" fontId="79" fillId="0" borderId="97" xfId="49" applyNumberFormat="1" applyFont="1" applyBorder="1" applyAlignment="1">
      <alignment horizontal="right" vertical="top" wrapText="1"/>
    </xf>
    <xf numFmtId="3" fontId="79" fillId="0" borderId="121" xfId="49" applyNumberFormat="1" applyFont="1" applyBorder="1" applyAlignment="1">
      <alignment horizontal="right" vertical="top" wrapText="1"/>
    </xf>
    <xf numFmtId="0" fontId="79" fillId="0" borderId="122" xfId="49" applyFont="1" applyBorder="1" applyAlignment="1">
      <alignment horizontal="center" vertical="top" wrapText="1"/>
    </xf>
    <xf numFmtId="0" fontId="79" fillId="0" borderId="110" xfId="49" applyFont="1" applyBorder="1" applyAlignment="1">
      <alignment horizontal="left" vertical="top" wrapText="1"/>
    </xf>
    <xf numFmtId="3" fontId="79" fillId="0" borderId="110" xfId="49" applyNumberFormat="1" applyFont="1" applyBorder="1" applyAlignment="1">
      <alignment horizontal="right" vertical="top" wrapText="1"/>
    </xf>
    <xf numFmtId="3" fontId="79" fillId="0" borderId="111" xfId="49" applyNumberFormat="1" applyFont="1" applyBorder="1" applyAlignment="1">
      <alignment horizontal="right" vertical="top" wrapText="1"/>
    </xf>
    <xf numFmtId="0" fontId="24" fillId="0" borderId="48" xfId="49" applyFont="1" applyBorder="1" applyAlignment="1">
      <alignment horizontal="center" vertical="top" wrapText="1"/>
    </xf>
    <xf numFmtId="0" fontId="24" fillId="0" borderId="49" xfId="49" applyFont="1" applyBorder="1" applyAlignment="1">
      <alignment horizontal="left" vertical="top" wrapText="1"/>
    </xf>
    <xf numFmtId="3" fontId="24" fillId="0" borderId="49" xfId="49" applyNumberFormat="1" applyFont="1" applyBorder="1" applyAlignment="1">
      <alignment horizontal="right" vertical="top" wrapText="1"/>
    </xf>
    <xf numFmtId="3" fontId="24" fillId="0" borderId="161" xfId="49" applyNumberFormat="1" applyFont="1" applyBorder="1" applyAlignment="1">
      <alignment horizontal="right" vertical="top" wrapText="1"/>
    </xf>
    <xf numFmtId="0" fontId="55" fillId="0" borderId="2" xfId="49" applyFont="1" applyFill="1" applyBorder="1" applyAlignment="1">
      <alignment horizontal="center" vertical="top" wrapText="1"/>
    </xf>
    <xf numFmtId="0" fontId="55" fillId="0" borderId="3" xfId="49" applyFont="1" applyFill="1" applyBorder="1" applyAlignment="1">
      <alignment horizontal="center" vertical="top" wrapText="1"/>
    </xf>
    <xf numFmtId="0" fontId="55" fillId="0" borderId="4" xfId="49" applyFont="1" applyFill="1" applyBorder="1" applyAlignment="1">
      <alignment horizontal="center" vertical="top" wrapText="1"/>
    </xf>
    <xf numFmtId="0" fontId="55" fillId="0" borderId="122" xfId="49" applyFont="1" applyFill="1" applyBorder="1" applyAlignment="1">
      <alignment horizontal="center" vertical="top" wrapText="1"/>
    </xf>
    <xf numFmtId="0" fontId="55" fillId="0" borderId="110" xfId="49" applyFont="1" applyFill="1" applyBorder="1" applyAlignment="1">
      <alignment horizontal="center" vertical="top" wrapText="1"/>
    </xf>
    <xf numFmtId="0" fontId="55" fillId="0" borderId="111" xfId="49" applyFont="1" applyFill="1" applyBorder="1" applyAlignment="1">
      <alignment horizontal="center" vertical="top" wrapText="1"/>
    </xf>
    <xf numFmtId="0" fontId="0" fillId="0" borderId="61" xfId="0" applyBorder="1" applyAlignment="1">
      <alignment horizontal="center"/>
    </xf>
    <xf numFmtId="0" fontId="0" fillId="0" borderId="112" xfId="0" applyBorder="1" applyAlignment="1">
      <alignment horizontal="center"/>
    </xf>
    <xf numFmtId="42" fontId="0" fillId="0" borderId="163" xfId="0" applyNumberFormat="1" applyBorder="1" applyAlignment="1">
      <alignment horizontal="center" vertical="center"/>
    </xf>
    <xf numFmtId="167" fontId="54" fillId="0" borderId="113" xfId="0" applyNumberFormat="1" applyFont="1" applyFill="1" applyBorder="1" applyAlignment="1">
      <alignment horizontal="center" vertical="center"/>
    </xf>
    <xf numFmtId="167" fontId="54" fillId="0" borderId="114" xfId="0" applyNumberFormat="1" applyFont="1" applyFill="1" applyBorder="1" applyAlignment="1">
      <alignment horizontal="center" vertical="center"/>
    </xf>
    <xf numFmtId="42" fontId="0" fillId="0" borderId="63" xfId="0" applyNumberForma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167" fontId="0" fillId="0" borderId="63" xfId="0" applyNumberFormat="1" applyBorder="1" applyAlignment="1">
      <alignment horizontal="right" vertical="center"/>
    </xf>
    <xf numFmtId="167" fontId="54" fillId="0" borderId="146" xfId="0" applyNumberFormat="1" applyFont="1" applyBorder="1" applyAlignment="1">
      <alignment horizontal="right" vertical="center"/>
    </xf>
    <xf numFmtId="167" fontId="0" fillId="0" borderId="125" xfId="0" applyNumberFormat="1" applyBorder="1" applyAlignment="1">
      <alignment horizontal="right" vertical="center"/>
    </xf>
    <xf numFmtId="42" fontId="0" fillId="0" borderId="131" xfId="0" applyNumberFormat="1" applyBorder="1" applyAlignment="1">
      <alignment horizontal="right" vertical="center"/>
    </xf>
    <xf numFmtId="167" fontId="0" fillId="0" borderId="8" xfId="0" applyNumberFormat="1" applyBorder="1" applyAlignment="1">
      <alignment horizontal="right" vertical="center"/>
    </xf>
    <xf numFmtId="167" fontId="54" fillId="0" borderId="144" xfId="0" applyNumberFormat="1" applyFont="1" applyBorder="1" applyAlignment="1">
      <alignment horizontal="right" vertical="center"/>
    </xf>
    <xf numFmtId="42" fontId="54" fillId="0" borderId="145" xfId="0" applyNumberFormat="1" applyFont="1" applyBorder="1" applyAlignment="1">
      <alignment horizontal="right" vertical="center"/>
    </xf>
    <xf numFmtId="167" fontId="54" fillId="0" borderId="146" xfId="0" applyNumberFormat="1" applyFont="1" applyBorder="1" applyAlignment="1">
      <alignment vertical="center"/>
    </xf>
    <xf numFmtId="0" fontId="52" fillId="0" borderId="1" xfId="68" applyFont="1" applyBorder="1" applyAlignment="1">
      <alignment vertical="center"/>
    </xf>
    <xf numFmtId="164" fontId="56" fillId="0" borderId="1" xfId="59" applyNumberFormat="1" applyFont="1" applyBorder="1" applyAlignment="1">
      <alignment vertical="center"/>
    </xf>
    <xf numFmtId="9" fontId="56" fillId="0" borderId="1" xfId="69" applyFont="1" applyBorder="1" applyAlignment="1">
      <alignment vertical="center"/>
    </xf>
    <xf numFmtId="164" fontId="52" fillId="0" borderId="1" xfId="59" applyNumberFormat="1" applyFont="1" applyBorder="1" applyAlignment="1">
      <alignment horizontal="center" vertical="center"/>
    </xf>
    <xf numFmtId="14" fontId="52" fillId="0" borderId="1" xfId="68" applyNumberFormat="1" applyFont="1" applyBorder="1" applyAlignment="1">
      <alignment horizontal="center" vertical="center"/>
    </xf>
    <xf numFmtId="9" fontId="56" fillId="0" borderId="1" xfId="69" applyNumberFormat="1" applyFont="1" applyBorder="1" applyAlignment="1">
      <alignment vertical="center"/>
    </xf>
    <xf numFmtId="0" fontId="0" fillId="0" borderId="0" xfId="0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0" borderId="153" xfId="0" applyFont="1" applyFill="1" applyBorder="1" applyAlignment="1">
      <alignment horizontal="left" vertical="center" wrapText="1"/>
    </xf>
    <xf numFmtId="0" fontId="10" fillId="0" borderId="154" xfId="0" applyFont="1" applyFill="1" applyBorder="1" applyAlignment="1">
      <alignment horizontal="left" vertical="center" wrapText="1"/>
    </xf>
    <xf numFmtId="0" fontId="5" fillId="0" borderId="122" xfId="0" applyFont="1" applyFill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153" xfId="0" applyFont="1" applyFill="1" applyBorder="1" applyAlignment="1">
      <alignment horizontal="center" vertical="center" wrapText="1"/>
    </xf>
    <xf numFmtId="0" fontId="4" fillId="0" borderId="154" xfId="0" applyFont="1" applyFill="1" applyBorder="1" applyAlignment="1">
      <alignment horizontal="center" vertical="center" wrapText="1"/>
    </xf>
    <xf numFmtId="0" fontId="14" fillId="0" borderId="116" xfId="0" applyFont="1" applyFill="1" applyBorder="1" applyAlignment="1">
      <alignment horizontal="center" vertical="center" wrapText="1"/>
    </xf>
    <xf numFmtId="0" fontId="14" fillId="0" borderId="97" xfId="0" applyFont="1" applyFill="1" applyBorder="1" applyAlignment="1">
      <alignment horizontal="center" vertical="center" wrapText="1"/>
    </xf>
    <xf numFmtId="0" fontId="108" fillId="28" borderId="116" xfId="0" applyFont="1" applyFill="1" applyBorder="1" applyAlignment="1">
      <alignment horizontal="center" vertical="center" wrapText="1"/>
    </xf>
    <xf numFmtId="0" fontId="108" fillId="28" borderId="97" xfId="0" applyFont="1" applyFill="1" applyBorder="1" applyAlignment="1">
      <alignment horizontal="center" vertical="center" wrapText="1"/>
    </xf>
    <xf numFmtId="0" fontId="4" fillId="0" borderId="116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5" fillId="0" borderId="97" xfId="0" applyFont="1" applyFill="1" applyBorder="1" applyAlignment="1">
      <alignment horizontal="center" vertical="center" wrapText="1"/>
    </xf>
    <xf numFmtId="0" fontId="7" fillId="0" borderId="116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2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2" xfId="0" applyFont="1" applyFill="1" applyBorder="1" applyAlignment="1">
      <alignment horizontal="center" vertical="center" wrapText="1"/>
    </xf>
    <xf numFmtId="0" fontId="4" fillId="0" borderId="110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9" fillId="0" borderId="116" xfId="0" applyFont="1" applyFill="1" applyBorder="1" applyAlignment="1">
      <alignment horizontal="center" vertical="center" wrapText="1"/>
    </xf>
    <xf numFmtId="0" fontId="9" fillId="0" borderId="9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wrapText="1"/>
    </xf>
    <xf numFmtId="0" fontId="42" fillId="0" borderId="24" xfId="0" applyFont="1" applyFill="1" applyBorder="1" applyAlignment="1">
      <alignment horizontal="center" wrapText="1"/>
    </xf>
    <xf numFmtId="0" fontId="44" fillId="0" borderId="1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textRotation="90"/>
    </xf>
    <xf numFmtId="0" fontId="41" fillId="0" borderId="107" xfId="0" applyFont="1" applyFill="1" applyBorder="1" applyAlignment="1">
      <alignment horizontal="center" vertical="center" textRotation="90"/>
    </xf>
    <xf numFmtId="164" fontId="41" fillId="0" borderId="98" xfId="2" applyNumberFormat="1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1" fillId="0" borderId="98" xfId="0" applyFont="1" applyFill="1" applyBorder="1" applyAlignment="1">
      <alignment horizontal="center" vertical="center" textRotation="90"/>
    </xf>
    <xf numFmtId="169" fontId="45" fillId="0" borderId="98" xfId="2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1" fillId="0" borderId="103" xfId="0" applyFont="1" applyFill="1" applyBorder="1" applyAlignment="1">
      <alignment horizontal="center" vertical="center" textRotation="90"/>
    </xf>
    <xf numFmtId="0" fontId="41" fillId="0" borderId="109" xfId="0" applyFont="1" applyFill="1" applyBorder="1" applyAlignment="1">
      <alignment horizontal="center" vertical="center" textRotation="90"/>
    </xf>
    <xf numFmtId="0" fontId="41" fillId="0" borderId="98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textRotation="90"/>
    </xf>
    <xf numFmtId="0" fontId="47" fillId="0" borderId="8" xfId="0" applyFont="1" applyFill="1" applyBorder="1" applyAlignment="1">
      <alignment horizontal="center" vertical="center" textRotation="90"/>
    </xf>
    <xf numFmtId="0" fontId="47" fillId="0" borderId="28" xfId="0" applyFont="1" applyFill="1" applyBorder="1" applyAlignment="1">
      <alignment horizontal="center" vertical="center" textRotation="90"/>
    </xf>
    <xf numFmtId="0" fontId="47" fillId="0" borderId="107" xfId="0" applyFont="1" applyFill="1" applyBorder="1" applyAlignment="1">
      <alignment horizontal="center" vertical="center" textRotation="90"/>
    </xf>
    <xf numFmtId="0" fontId="41" fillId="0" borderId="98" xfId="0" applyFont="1" applyFill="1" applyBorder="1" applyAlignment="1">
      <alignment horizontal="center" vertical="center" textRotation="90" wrapText="1"/>
    </xf>
    <xf numFmtId="164" fontId="45" fillId="0" borderId="103" xfId="2" applyNumberFormat="1" applyFont="1" applyFill="1" applyBorder="1" applyAlignment="1">
      <alignment horizontal="center" vertical="center" wrapText="1"/>
    </xf>
    <xf numFmtId="164" fontId="45" fillId="0" borderId="107" xfId="2" applyNumberFormat="1" applyFont="1" applyFill="1" applyBorder="1" applyAlignment="1">
      <alignment horizontal="center" vertical="center" wrapText="1"/>
    </xf>
    <xf numFmtId="164" fontId="45" fillId="0" borderId="109" xfId="2" applyNumberFormat="1" applyFont="1" applyFill="1" applyBorder="1" applyAlignment="1">
      <alignment horizontal="center" vertical="center" wrapText="1"/>
    </xf>
    <xf numFmtId="0" fontId="44" fillId="0" borderId="103" xfId="0" applyFont="1" applyFill="1" applyBorder="1" applyAlignment="1">
      <alignment horizontal="center" vertical="center" wrapText="1"/>
    </xf>
    <xf numFmtId="0" fontId="46" fillId="0" borderId="98" xfId="0" applyFont="1" applyFill="1" applyBorder="1" applyAlignment="1">
      <alignment horizontal="center" vertical="center" wrapText="1"/>
    </xf>
    <xf numFmtId="0" fontId="42" fillId="28" borderId="0" xfId="0" applyFont="1" applyFill="1" applyAlignment="1">
      <alignment horizontal="center"/>
    </xf>
    <xf numFmtId="0" fontId="115" fillId="30" borderId="0" xfId="0" applyFont="1" applyFill="1" applyAlignment="1">
      <alignment horizontal="center" wrapText="1"/>
    </xf>
    <xf numFmtId="0" fontId="48" fillId="28" borderId="8" xfId="0" applyFont="1" applyFill="1" applyBorder="1" applyAlignment="1">
      <alignment horizontal="center" vertical="center" textRotation="90"/>
    </xf>
    <xf numFmtId="0" fontId="48" fillId="28" borderId="28" xfId="0" applyFont="1" applyFill="1" applyBorder="1" applyAlignment="1">
      <alignment horizontal="center" vertical="center" textRotation="90"/>
    </xf>
    <xf numFmtId="0" fontId="48" fillId="28" borderId="107" xfId="0" applyFont="1" applyFill="1" applyBorder="1" applyAlignment="1">
      <alignment horizontal="center" vertical="center" textRotation="90"/>
    </xf>
    <xf numFmtId="0" fontId="116" fillId="34" borderId="98" xfId="0" applyFont="1" applyFill="1" applyBorder="1" applyAlignment="1">
      <alignment horizontal="left" wrapText="1"/>
    </xf>
    <xf numFmtId="0" fontId="117" fillId="34" borderId="98" xfId="0" applyFont="1" applyFill="1" applyBorder="1" applyAlignment="1">
      <alignment horizontal="center"/>
    </xf>
    <xf numFmtId="0" fontId="48" fillId="28" borderId="103" xfId="0" applyFont="1" applyFill="1" applyBorder="1" applyAlignment="1">
      <alignment horizontal="center" vertical="center" wrapText="1"/>
    </xf>
    <xf numFmtId="0" fontId="48" fillId="28" borderId="107" xfId="0" applyFont="1" applyFill="1" applyBorder="1" applyAlignment="1">
      <alignment horizontal="center" vertical="center" wrapText="1"/>
    </xf>
    <xf numFmtId="0" fontId="48" fillId="28" borderId="98" xfId="0" applyFont="1" applyFill="1" applyBorder="1" applyAlignment="1">
      <alignment horizontal="center" vertical="center" wrapText="1"/>
    </xf>
    <xf numFmtId="0" fontId="42" fillId="28" borderId="106" xfId="0" applyFont="1" applyFill="1" applyBorder="1" applyAlignment="1">
      <alignment horizontal="center"/>
    </xf>
    <xf numFmtId="0" fontId="42" fillId="28" borderId="0" xfId="0" applyFont="1" applyFill="1" applyBorder="1" applyAlignment="1">
      <alignment horizontal="center"/>
    </xf>
    <xf numFmtId="0" fontId="42" fillId="28" borderId="29" xfId="0" applyFont="1" applyFill="1" applyBorder="1" applyAlignment="1">
      <alignment horizontal="center"/>
    </xf>
    <xf numFmtId="0" fontId="49" fillId="28" borderId="98" xfId="0" applyFont="1" applyFill="1" applyBorder="1" applyAlignment="1">
      <alignment horizontal="center" vertical="center" wrapText="1"/>
    </xf>
    <xf numFmtId="0" fontId="48" fillId="28" borderId="103" xfId="0" applyFont="1" applyFill="1" applyBorder="1" applyAlignment="1">
      <alignment horizontal="center" vertical="center" textRotation="90"/>
    </xf>
    <xf numFmtId="0" fontId="56" fillId="0" borderId="0" xfId="67" applyFont="1" applyFill="1" applyBorder="1" applyAlignment="1">
      <alignment horizontal="center"/>
    </xf>
    <xf numFmtId="49" fontId="56" fillId="0" borderId="0" xfId="32" applyNumberFormat="1" applyFont="1" applyFill="1" applyBorder="1" applyAlignment="1">
      <alignment horizontal="center"/>
    </xf>
    <xf numFmtId="0" fontId="56" fillId="0" borderId="1" xfId="68" applyFont="1" applyFill="1" applyBorder="1" applyAlignment="1">
      <alignment horizontal="center" vertical="center"/>
    </xf>
    <xf numFmtId="0" fontId="58" fillId="0" borderId="0" xfId="67" applyFont="1" applyFill="1" applyBorder="1" applyAlignment="1">
      <alignment horizontal="left" vertical="center"/>
    </xf>
    <xf numFmtId="0" fontId="57" fillId="0" borderId="0" xfId="67" applyFont="1" applyBorder="1" applyAlignment="1">
      <alignment horizontal="center" vertical="center"/>
    </xf>
    <xf numFmtId="0" fontId="49" fillId="0" borderId="0" xfId="67" applyFont="1" applyBorder="1" applyAlignment="1">
      <alignment horizontal="center"/>
    </xf>
    <xf numFmtId="165" fontId="56" fillId="0" borderId="0" xfId="32" applyNumberFormat="1" applyFont="1" applyFill="1" applyBorder="1" applyAlignment="1">
      <alignment horizontal="center"/>
    </xf>
    <xf numFmtId="0" fontId="57" fillId="0" borderId="0" xfId="67" applyFont="1" applyAlignment="1">
      <alignment horizontal="center"/>
    </xf>
    <xf numFmtId="0" fontId="56" fillId="0" borderId="1" xfId="68" applyFont="1" applyBorder="1" applyAlignment="1">
      <alignment horizontal="center" vertical="center" textRotation="90"/>
    </xf>
    <xf numFmtId="0" fontId="52" fillId="0" borderId="1" xfId="68" applyFont="1" applyBorder="1" applyAlignment="1">
      <alignment horizontal="center" vertical="center" textRotation="90"/>
    </xf>
    <xf numFmtId="0" fontId="56" fillId="0" borderId="1" xfId="68" applyFont="1" applyBorder="1" applyAlignment="1">
      <alignment horizontal="center" vertical="center"/>
    </xf>
    <xf numFmtId="0" fontId="52" fillId="0" borderId="1" xfId="68" applyFont="1" applyBorder="1" applyAlignment="1">
      <alignment horizontal="center" vertical="center"/>
    </xf>
    <xf numFmtId="0" fontId="56" fillId="0" borderId="1" xfId="68" applyFont="1" applyBorder="1" applyAlignment="1">
      <alignment horizontal="center" vertical="center" wrapText="1"/>
    </xf>
    <xf numFmtId="0" fontId="56" fillId="0" borderId="23" xfId="68" applyFont="1" applyBorder="1" applyAlignment="1">
      <alignment horizontal="center" vertical="center" wrapText="1"/>
    </xf>
    <xf numFmtId="0" fontId="56" fillId="0" borderId="24" xfId="68" applyFont="1" applyBorder="1" applyAlignment="1">
      <alignment horizontal="center" vertical="center" wrapText="1"/>
    </xf>
    <xf numFmtId="14" fontId="56" fillId="0" borderId="1" xfId="32" applyNumberFormat="1" applyFont="1" applyBorder="1" applyAlignment="1">
      <alignment horizontal="center" vertical="center" wrapText="1"/>
    </xf>
    <xf numFmtId="0" fontId="56" fillId="0" borderId="8" xfId="68" applyFont="1" applyBorder="1" applyAlignment="1">
      <alignment horizontal="center" vertical="center" wrapText="1"/>
    </xf>
    <xf numFmtId="0" fontId="56" fillId="0" borderId="10" xfId="68" applyFont="1" applyBorder="1" applyAlignment="1">
      <alignment horizontal="center" vertical="center" wrapText="1"/>
    </xf>
    <xf numFmtId="165" fontId="98" fillId="28" borderId="98" xfId="1" applyNumberFormat="1" applyFont="1" applyFill="1" applyBorder="1" applyAlignment="1">
      <alignment horizontal="center" vertical="center" wrapText="1"/>
    </xf>
    <xf numFmtId="0" fontId="51" fillId="28" borderId="98" xfId="0" applyFont="1" applyFill="1" applyBorder="1" applyAlignment="1">
      <alignment horizontal="left" vertical="center" wrapText="1"/>
    </xf>
    <xf numFmtId="0" fontId="51" fillId="28" borderId="98" xfId="0" applyFont="1" applyFill="1" applyBorder="1" applyAlignment="1">
      <alignment horizontal="center" vertical="center" wrapText="1"/>
    </xf>
    <xf numFmtId="165" fontId="62" fillId="28" borderId="98" xfId="1" applyNumberFormat="1" applyFont="1" applyFill="1" applyBorder="1" applyAlignment="1">
      <alignment horizontal="center" vertical="center" wrapText="1"/>
    </xf>
    <xf numFmtId="0" fontId="99" fillId="28" borderId="98" xfId="0" applyFont="1" applyFill="1" applyBorder="1" applyAlignment="1">
      <alignment horizontal="left" vertical="center" wrapText="1"/>
    </xf>
    <xf numFmtId="176" fontId="64" fillId="28" borderId="112" xfId="49" applyNumberFormat="1" applyFont="1" applyFill="1" applyBorder="1" applyAlignment="1">
      <alignment horizontal="left" vertical="center" wrapText="1" indent="2"/>
    </xf>
    <xf numFmtId="176" fontId="64" fillId="28" borderId="113" xfId="49" applyNumberFormat="1" applyFont="1" applyFill="1" applyBorder="1" applyAlignment="1">
      <alignment horizontal="left" vertical="center" wrapText="1" indent="2"/>
    </xf>
    <xf numFmtId="176" fontId="56" fillId="28" borderId="0" xfId="49" applyNumberFormat="1" applyFont="1" applyFill="1" applyAlignment="1">
      <alignment horizontal="center" vertical="center" wrapText="1"/>
    </xf>
    <xf numFmtId="176" fontId="64" fillId="28" borderId="59" xfId="49" applyNumberFormat="1" applyFont="1" applyFill="1" applyBorder="1" applyAlignment="1">
      <alignment horizontal="center" vertical="center" wrapText="1"/>
    </xf>
    <xf numFmtId="176" fontId="64" fillId="28" borderId="61" xfId="49" applyNumberFormat="1" applyFont="1" applyFill="1" applyBorder="1" applyAlignment="1">
      <alignment horizontal="center" vertical="center" wrapText="1"/>
    </xf>
    <xf numFmtId="176" fontId="64" fillId="28" borderId="60" xfId="49" applyNumberFormat="1" applyFont="1" applyFill="1" applyBorder="1" applyAlignment="1">
      <alignment horizontal="center" vertical="center"/>
    </xf>
    <xf numFmtId="176" fontId="64" fillId="28" borderId="98" xfId="49" applyNumberFormat="1" applyFont="1" applyFill="1" applyBorder="1" applyAlignment="1">
      <alignment horizontal="center" vertical="center"/>
    </xf>
    <xf numFmtId="176" fontId="64" fillId="28" borderId="60" xfId="49" applyNumberFormat="1" applyFont="1" applyFill="1" applyBorder="1" applyAlignment="1">
      <alignment horizontal="center" vertical="center" wrapText="1"/>
    </xf>
    <xf numFmtId="176" fontId="64" fillId="28" borderId="98" xfId="49" applyNumberFormat="1" applyFont="1" applyFill="1" applyBorder="1" applyAlignment="1">
      <alignment horizontal="center" vertical="center" wrapText="1"/>
    </xf>
    <xf numFmtId="176" fontId="64" fillId="28" borderId="62" xfId="49" applyNumberFormat="1" applyFont="1" applyFill="1" applyBorder="1" applyAlignment="1">
      <alignment horizontal="center" vertical="center"/>
    </xf>
    <xf numFmtId="176" fontId="64" fillId="28" borderId="63" xfId="49" applyNumberFormat="1" applyFont="1" applyFill="1" applyBorder="1" applyAlignment="1">
      <alignment horizontal="center" vertical="center"/>
    </xf>
    <xf numFmtId="0" fontId="76" fillId="0" borderId="0" xfId="49" applyFont="1" applyFill="1" applyBorder="1" applyAlignment="1">
      <alignment horizontal="left" wrapText="1"/>
    </xf>
    <xf numFmtId="0" fontId="65" fillId="0" borderId="0" xfId="49" applyFont="1" applyFill="1" applyBorder="1" applyAlignment="1">
      <alignment horizontal="center" wrapText="1"/>
    </xf>
    <xf numFmtId="0" fontId="65" fillId="0" borderId="0" xfId="49" applyFont="1" applyFill="1" applyBorder="1" applyAlignment="1">
      <alignment horizontal="center"/>
    </xf>
    <xf numFmtId="3" fontId="68" fillId="0" borderId="1" xfId="49" applyNumberFormat="1" applyFont="1" applyFill="1" applyBorder="1" applyAlignment="1">
      <alignment horizontal="center" vertical="center"/>
    </xf>
    <xf numFmtId="3" fontId="66" fillId="0" borderId="1" xfId="49" applyNumberFormat="1" applyFont="1" applyFill="1" applyBorder="1" applyAlignment="1">
      <alignment horizontal="center" vertical="center"/>
    </xf>
    <xf numFmtId="3" fontId="69" fillId="0" borderId="8" xfId="49" applyNumberFormat="1" applyFont="1" applyFill="1" applyBorder="1" applyAlignment="1">
      <alignment horizontal="center" vertical="center" wrapText="1"/>
    </xf>
    <xf numFmtId="3" fontId="69" fillId="0" borderId="28" xfId="49" applyNumberFormat="1" applyFont="1" applyFill="1" applyBorder="1" applyAlignment="1">
      <alignment horizontal="center" vertical="center" wrapText="1"/>
    </xf>
    <xf numFmtId="3" fontId="69" fillId="0" borderId="10" xfId="49" applyNumberFormat="1" applyFont="1" applyFill="1" applyBorder="1" applyAlignment="1">
      <alignment horizontal="center" vertical="center" wrapText="1"/>
    </xf>
    <xf numFmtId="0" fontId="86" fillId="28" borderId="0" xfId="75" applyFont="1" applyFill="1" applyAlignment="1" applyProtection="1">
      <alignment horizontal="center" vertical="center" wrapText="1"/>
      <protection locked="0"/>
    </xf>
    <xf numFmtId="0" fontId="84" fillId="28" borderId="102" xfId="75" applyFill="1" applyBorder="1" applyAlignment="1">
      <alignment horizontal="center"/>
    </xf>
    <xf numFmtId="0" fontId="97" fillId="28" borderId="27" xfId="75" applyFont="1" applyFill="1" applyBorder="1" applyAlignment="1">
      <alignment horizontal="right" wrapText="1"/>
    </xf>
    <xf numFmtId="0" fontId="55" fillId="0" borderId="0" xfId="49" applyFont="1" applyFill="1" applyAlignment="1">
      <alignment horizontal="center" vertical="top" wrapText="1"/>
    </xf>
    <xf numFmtId="0" fontId="23" fillId="0" borderId="0" xfId="49" applyFill="1"/>
    <xf numFmtId="0" fontId="110" fillId="0" borderId="23" xfId="49" applyFont="1" applyBorder="1" applyAlignment="1">
      <alignment horizontal="center" vertical="center" wrapText="1"/>
    </xf>
    <xf numFmtId="0" fontId="110" fillId="0" borderId="26" xfId="49" applyFont="1" applyBorder="1" applyAlignment="1">
      <alignment horizontal="center" vertical="center" wrapText="1"/>
    </xf>
    <xf numFmtId="0" fontId="110" fillId="0" borderId="24" xfId="49" applyFont="1" applyBorder="1" applyAlignment="1">
      <alignment horizontal="center" vertical="center" wrapText="1"/>
    </xf>
    <xf numFmtId="0" fontId="99" fillId="0" borderId="8" xfId="49" applyFont="1" applyBorder="1" applyAlignment="1">
      <alignment horizontal="center" vertical="center" wrapText="1"/>
    </xf>
    <xf numFmtId="0" fontId="99" fillId="0" borderId="10" xfId="49" applyFont="1" applyBorder="1" applyAlignment="1">
      <alignment horizontal="center" vertical="center" wrapText="1"/>
    </xf>
    <xf numFmtId="0" fontId="111" fillId="0" borderId="1" xfId="49" applyFont="1" applyBorder="1" applyAlignment="1">
      <alignment horizontal="center" vertical="center" wrapText="1"/>
    </xf>
    <xf numFmtId="0" fontId="110" fillId="25" borderId="0" xfId="49" applyFont="1" applyFill="1" applyBorder="1" applyAlignment="1">
      <alignment horizontal="center" vertical="center" wrapText="1"/>
    </xf>
    <xf numFmtId="0" fontId="110" fillId="0" borderId="1" xfId="49" applyFont="1" applyBorder="1" applyAlignment="1">
      <alignment horizontal="center" vertical="center" wrapText="1"/>
    </xf>
    <xf numFmtId="0" fontId="100" fillId="0" borderId="0" xfId="49" applyFont="1" applyFill="1" applyBorder="1" applyAlignment="1">
      <alignment horizontal="right" vertical="center"/>
    </xf>
    <xf numFmtId="0" fontId="53" fillId="0" borderId="0" xfId="49" applyFont="1" applyFill="1" applyBorder="1" applyAlignment="1">
      <alignment horizontal="right" vertical="center" wrapText="1"/>
    </xf>
    <xf numFmtId="0" fontId="100" fillId="0" borderId="0" xfId="49" applyFont="1" applyFill="1" applyBorder="1" applyAlignment="1">
      <alignment horizontal="right" vertical="center" wrapText="1"/>
    </xf>
    <xf numFmtId="0" fontId="53" fillId="0" borderId="0" xfId="49" applyFont="1" applyFill="1" applyBorder="1" applyAlignment="1">
      <alignment horizontal="right" vertical="center"/>
    </xf>
    <xf numFmtId="0" fontId="119" fillId="0" borderId="30" xfId="77" applyFont="1" applyBorder="1" applyAlignment="1">
      <alignment horizontal="center" vertical="center" wrapText="1"/>
    </xf>
    <xf numFmtId="0" fontId="121" fillId="0" borderId="25" xfId="77" applyFont="1" applyBorder="1" applyAlignment="1">
      <alignment horizontal="center" vertical="center" wrapText="1"/>
    </xf>
    <xf numFmtId="0" fontId="121" fillId="0" borderId="106" xfId="77" applyFont="1" applyBorder="1" applyAlignment="1">
      <alignment horizontal="center" vertical="center" wrapText="1"/>
    </xf>
    <xf numFmtId="0" fontId="105" fillId="28" borderId="9" xfId="79" applyFont="1" applyFill="1" applyBorder="1" applyAlignment="1">
      <alignment horizontal="left"/>
    </xf>
    <xf numFmtId="0" fontId="105" fillId="28" borderId="67" xfId="79" applyFont="1" applyFill="1" applyBorder="1" applyAlignment="1">
      <alignment horizontal="left"/>
    </xf>
    <xf numFmtId="0" fontId="105" fillId="28" borderId="7" xfId="79" applyFont="1" applyFill="1" applyBorder="1" applyAlignment="1">
      <alignment horizontal="left"/>
    </xf>
    <xf numFmtId="0" fontId="104" fillId="28" borderId="23" xfId="79" applyFont="1" applyFill="1" applyBorder="1" applyAlignment="1">
      <alignment horizontal="center"/>
    </xf>
    <xf numFmtId="0" fontId="104" fillId="28" borderId="26" xfId="79" applyFont="1" applyFill="1" applyBorder="1" applyAlignment="1">
      <alignment horizontal="center"/>
    </xf>
    <xf numFmtId="0" fontId="104" fillId="28" borderId="24" xfId="79" applyFont="1" applyFill="1" applyBorder="1" applyAlignment="1">
      <alignment horizontal="center"/>
    </xf>
    <xf numFmtId="0" fontId="105" fillId="28" borderId="76" xfId="79" applyFont="1" applyFill="1" applyBorder="1" applyAlignment="1">
      <alignment horizontal="left"/>
    </xf>
    <xf numFmtId="0" fontId="105" fillId="28" borderId="68" xfId="79" applyFont="1" applyFill="1" applyBorder="1" applyAlignment="1">
      <alignment horizontal="left"/>
    </xf>
    <xf numFmtId="0" fontId="105" fillId="28" borderId="13" xfId="79" applyFont="1" applyFill="1" applyBorder="1" applyAlignment="1">
      <alignment horizontal="left"/>
    </xf>
    <xf numFmtId="0" fontId="64" fillId="28" borderId="0" xfId="49" applyFont="1" applyFill="1" applyAlignment="1">
      <alignment horizontal="center" wrapText="1"/>
    </xf>
    <xf numFmtId="0" fontId="105" fillId="28" borderId="37" xfId="79" applyFont="1" applyFill="1" applyBorder="1" applyAlignment="1">
      <alignment horizontal="left"/>
    </xf>
    <xf numFmtId="0" fontId="105" fillId="28" borderId="38" xfId="79" applyFont="1" applyFill="1" applyBorder="1" applyAlignment="1">
      <alignment horizontal="left"/>
    </xf>
    <xf numFmtId="0" fontId="105" fillId="28" borderId="40" xfId="79" applyFont="1" applyFill="1" applyBorder="1" applyAlignment="1">
      <alignment horizontal="left"/>
    </xf>
    <xf numFmtId="0" fontId="105" fillId="28" borderId="94" xfId="79" applyFont="1" applyFill="1" applyBorder="1" applyAlignment="1">
      <alignment horizontal="left"/>
    </xf>
    <xf numFmtId="0" fontId="105" fillId="28" borderId="53" xfId="79" applyFont="1" applyFill="1" applyBorder="1" applyAlignment="1">
      <alignment horizontal="left"/>
    </xf>
    <xf numFmtId="0" fontId="105" fillId="28" borderId="54" xfId="79" applyFont="1" applyFill="1" applyBorder="1" applyAlignment="1">
      <alignment horizontal="left"/>
    </xf>
    <xf numFmtId="0" fontId="105" fillId="28" borderId="74" xfId="79" applyFont="1" applyFill="1" applyBorder="1" applyAlignment="1">
      <alignment horizontal="center" vertical="center"/>
    </xf>
    <xf numFmtId="0" fontId="105" fillId="28" borderId="46" xfId="79" applyFont="1" applyFill="1" applyBorder="1" applyAlignment="1">
      <alignment horizontal="center" vertical="center"/>
    </xf>
    <xf numFmtId="0" fontId="104" fillId="28" borderId="84" xfId="79" applyFont="1" applyFill="1" applyBorder="1" applyAlignment="1">
      <alignment horizontal="center"/>
    </xf>
    <xf numFmtId="0" fontId="104" fillId="28" borderId="74" xfId="79" applyFont="1" applyFill="1" applyBorder="1" applyAlignment="1">
      <alignment horizontal="center"/>
    </xf>
    <xf numFmtId="0" fontId="104" fillId="28" borderId="46" xfId="79" applyFont="1" applyFill="1" applyBorder="1" applyAlignment="1">
      <alignment horizontal="center"/>
    </xf>
    <xf numFmtId="0" fontId="105" fillId="28" borderId="1" xfId="79" applyFont="1" applyFill="1" applyBorder="1" applyAlignment="1">
      <alignment horizontal="center" vertical="center"/>
    </xf>
    <xf numFmtId="0" fontId="105" fillId="28" borderId="87" xfId="79" applyFont="1" applyFill="1" applyBorder="1" applyAlignment="1">
      <alignment horizontal="left"/>
    </xf>
    <xf numFmtId="0" fontId="105" fillId="28" borderId="57" xfId="79" applyFont="1" applyFill="1" applyBorder="1" applyAlignment="1">
      <alignment horizontal="left"/>
    </xf>
    <xf numFmtId="0" fontId="105" fillId="28" borderId="58" xfId="79" applyFont="1" applyFill="1" applyBorder="1" applyAlignment="1">
      <alignment horizontal="left"/>
    </xf>
    <xf numFmtId="0" fontId="105" fillId="28" borderId="1" xfId="79" applyFont="1" applyFill="1" applyBorder="1" applyAlignment="1">
      <alignment horizontal="center"/>
    </xf>
    <xf numFmtId="0" fontId="105" fillId="28" borderId="77" xfId="79" applyFont="1" applyFill="1" applyBorder="1" applyAlignment="1">
      <alignment horizontal="left"/>
    </xf>
    <xf numFmtId="0" fontId="105" fillId="28" borderId="3" xfId="79" applyFont="1" applyFill="1" applyBorder="1" applyAlignment="1">
      <alignment horizontal="left"/>
    </xf>
    <xf numFmtId="0" fontId="105" fillId="28" borderId="4" xfId="79" applyFont="1" applyFill="1" applyBorder="1" applyAlignment="1">
      <alignment horizontal="left"/>
    </xf>
    <xf numFmtId="0" fontId="64" fillId="28" borderId="1" xfId="81" applyFont="1" applyFill="1" applyBorder="1" applyAlignment="1">
      <alignment horizontal="center" vertical="center"/>
    </xf>
    <xf numFmtId="0" fontId="105" fillId="28" borderId="66" xfId="79" applyFont="1" applyFill="1" applyBorder="1" applyAlignment="1">
      <alignment horizontal="left" vertical="center" wrapText="1"/>
    </xf>
    <xf numFmtId="0" fontId="63" fillId="28" borderId="70" xfId="79" applyFont="1" applyFill="1" applyBorder="1" applyAlignment="1">
      <alignment horizontal="left" vertical="center"/>
    </xf>
    <xf numFmtId="0" fontId="104" fillId="28" borderId="0" xfId="79" applyFont="1" applyFill="1" applyBorder="1" applyAlignment="1">
      <alignment horizontal="left"/>
    </xf>
    <xf numFmtId="0" fontId="54" fillId="0" borderId="132" xfId="0" applyFont="1" applyBorder="1" applyAlignment="1">
      <alignment horizontal="center" vertical="center"/>
    </xf>
    <xf numFmtId="0" fontId="54" fillId="0" borderId="133" xfId="0" applyFont="1" applyBorder="1" applyAlignment="1">
      <alignment horizontal="center" vertical="center"/>
    </xf>
    <xf numFmtId="0" fontId="12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124" fillId="0" borderId="0" xfId="0" applyFont="1" applyAlignment="1">
      <alignment horizontal="center"/>
    </xf>
    <xf numFmtId="0" fontId="54" fillId="0" borderId="126" xfId="0" applyFont="1" applyBorder="1" applyAlignment="1">
      <alignment horizontal="center" vertical="center"/>
    </xf>
    <xf numFmtId="0" fontId="54" fillId="0" borderId="127" xfId="0" applyFont="1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0" fontId="54" fillId="0" borderId="60" xfId="0" applyFont="1" applyBorder="1" applyAlignment="1">
      <alignment horizontal="center" vertical="center"/>
    </xf>
    <xf numFmtId="0" fontId="54" fillId="0" borderId="128" xfId="0" applyFont="1" applyBorder="1" applyAlignment="1">
      <alignment horizontal="center" vertical="center"/>
    </xf>
    <xf numFmtId="0" fontId="54" fillId="0" borderId="12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54" fillId="0" borderId="142" xfId="0" applyFont="1" applyBorder="1" applyAlignment="1">
      <alignment horizontal="center" vertical="center"/>
    </xf>
    <xf numFmtId="0" fontId="54" fillId="0" borderId="143" xfId="0" applyFont="1" applyBorder="1" applyAlignment="1">
      <alignment horizontal="center" vertical="center"/>
    </xf>
    <xf numFmtId="0" fontId="0" fillId="0" borderId="128" xfId="0" applyBorder="1" applyAlignment="1">
      <alignment horizontal="center" vertical="center" wrapText="1"/>
    </xf>
    <xf numFmtId="0" fontId="0" fillId="0" borderId="1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56" fillId="0" borderId="0" xfId="71" applyFont="1" applyFill="1" applyBorder="1" applyAlignment="1">
      <alignment horizontal="left" wrapText="1"/>
    </xf>
    <xf numFmtId="0" fontId="77" fillId="0" borderId="0" xfId="0" applyFont="1" applyFill="1" applyAlignment="1">
      <alignment horizontal="center"/>
    </xf>
    <xf numFmtId="0" fontId="100" fillId="0" borderId="1" xfId="0" applyFont="1" applyBorder="1" applyAlignment="1">
      <alignment horizontal="center" vertical="center" wrapText="1"/>
    </xf>
    <xf numFmtId="0" fontId="49" fillId="0" borderId="0" xfId="71" applyFont="1" applyBorder="1" applyAlignment="1">
      <alignment horizontal="center" vertical="center" wrapText="1"/>
    </xf>
    <xf numFmtId="0" fontId="52" fillId="0" borderId="0" xfId="78" applyFont="1" applyAlignment="1">
      <alignment horizontal="left" wrapText="1"/>
    </xf>
    <xf numFmtId="0" fontId="80" fillId="0" borderId="0" xfId="78" applyFont="1" applyBorder="1" applyAlignment="1">
      <alignment horizontal="center"/>
    </xf>
    <xf numFmtId="0" fontId="100" fillId="31" borderId="1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wrapText="1"/>
    </xf>
    <xf numFmtId="0" fontId="77" fillId="0" borderId="0" xfId="0" applyFont="1" applyAlignment="1">
      <alignment horizontal="center"/>
    </xf>
    <xf numFmtId="0" fontId="49" fillId="0" borderId="0" xfId="71" applyFont="1" applyAlignment="1">
      <alignment horizontal="center" vertical="center" wrapText="1"/>
    </xf>
    <xf numFmtId="0" fontId="80" fillId="0" borderId="0" xfId="78" applyFont="1" applyAlignment="1">
      <alignment horizontal="center"/>
    </xf>
    <xf numFmtId="0" fontId="100" fillId="31" borderId="125" xfId="0" applyFont="1" applyFill="1" applyBorder="1" applyAlignment="1">
      <alignment horizontal="center" vertical="center" wrapText="1"/>
    </xf>
    <xf numFmtId="0" fontId="100" fillId="31" borderId="8" xfId="0" applyFont="1" applyFill="1" applyBorder="1" applyAlignment="1">
      <alignment horizontal="center" vertical="center" wrapText="1"/>
    </xf>
    <xf numFmtId="0" fontId="100" fillId="31" borderId="107" xfId="0" applyFont="1" applyFill="1" applyBorder="1" applyAlignment="1">
      <alignment horizontal="center" vertical="center" wrapText="1"/>
    </xf>
    <xf numFmtId="0" fontId="100" fillId="31" borderId="109" xfId="0" applyFont="1" applyFill="1" applyBorder="1" applyAlignment="1">
      <alignment horizontal="center" vertical="center" wrapText="1"/>
    </xf>
    <xf numFmtId="0" fontId="100" fillId="31" borderId="25" xfId="0" applyFont="1" applyFill="1" applyBorder="1" applyAlignment="1">
      <alignment horizontal="center" vertical="center" wrapText="1"/>
    </xf>
    <xf numFmtId="0" fontId="100" fillId="31" borderId="27" xfId="0" applyFont="1" applyFill="1" applyBorder="1" applyAlignment="1">
      <alignment horizontal="center" vertical="center" wrapText="1"/>
    </xf>
    <xf numFmtId="0" fontId="100" fillId="31" borderId="124" xfId="0" applyFont="1" applyFill="1" applyBorder="1" applyAlignment="1">
      <alignment horizontal="center" vertical="center" wrapText="1"/>
    </xf>
    <xf numFmtId="0" fontId="100" fillId="31" borderId="108" xfId="0" applyFont="1" applyFill="1" applyBorder="1" applyAlignment="1">
      <alignment horizontal="center" vertical="center" wrapText="1"/>
    </xf>
    <xf numFmtId="0" fontId="100" fillId="31" borderId="102" xfId="0" applyFont="1" applyFill="1" applyBorder="1" applyAlignment="1">
      <alignment horizontal="center" vertical="center" wrapText="1"/>
    </xf>
    <xf numFmtId="0" fontId="100" fillId="31" borderId="147" xfId="0" applyFont="1" applyFill="1" applyBorder="1" applyAlignment="1">
      <alignment horizontal="center" vertical="center" wrapText="1"/>
    </xf>
  </cellXfs>
  <cellStyles count="8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Ezres" xfId="1" builtinId="3"/>
    <cellStyle name="Ezres [0] 2" xfId="31"/>
    <cellStyle name="Ezres 2" xfId="32"/>
    <cellStyle name="Ezres 2 2" xfId="80"/>
    <cellStyle name="Ezres 3" xfId="33"/>
    <cellStyle name="Ezres 3 2" xfId="34"/>
    <cellStyle name="Ezres 3_célhitel állomány 2010 tervezéshez" xfId="35"/>
    <cellStyle name="Ezres 4" xfId="36"/>
    <cellStyle name="Ezres 4 2" xfId="37"/>
    <cellStyle name="Ezres 5" xfId="38"/>
    <cellStyle name="Ezres 6" xfId="39"/>
    <cellStyle name="Ezres 7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rmál" xfId="0" builtinId="0"/>
    <cellStyle name="Normál 2" xfId="49"/>
    <cellStyle name="Normál 2 2" xfId="50"/>
    <cellStyle name="Normál 2 4" xfId="51"/>
    <cellStyle name="Normál 2_4.4.5 utca Könyvvizsgálói tábla" xfId="52"/>
    <cellStyle name="Normál 3" xfId="53"/>
    <cellStyle name="Normál 4" xfId="54"/>
    <cellStyle name="Normál 4 2" xfId="79"/>
    <cellStyle name="Normál 5" xfId="55"/>
    <cellStyle name="Normál 5 2" xfId="56"/>
    <cellStyle name="Normál 5 3" xfId="77"/>
    <cellStyle name="Normál 7 2" xfId="76"/>
    <cellStyle name="Normál_2005.2.a-2.etábl. terv" xfId="81"/>
    <cellStyle name="Normál_2012 Költségvetés pályázatok" xfId="71"/>
    <cellStyle name="Normál_5 utca indikátor" xfId="72"/>
    <cellStyle name="Normál_Hunyadi indikátor" xfId="70"/>
    <cellStyle name="Normál_Indikatorok_2012_130411" xfId="73"/>
    <cellStyle name="Normál_Másolat eredetijeZARSZREND11" xfId="75"/>
    <cellStyle name="Normál_Mese indikátor" xfId="78"/>
    <cellStyle name="Normál_Részesedések a mérlegalátámasztás 2.sz. melléklete" xfId="67"/>
    <cellStyle name="Normál_Támop indikátor" xfId="74"/>
    <cellStyle name="Normál_vagyon, egyszerűsített mérleg 2007. dec 31." xfId="68"/>
    <cellStyle name="Note" xfId="57"/>
    <cellStyle name="Output" xfId="58"/>
    <cellStyle name="Pénznem" xfId="2" builtinId="4"/>
    <cellStyle name="Pénznem 2" xfId="59"/>
    <cellStyle name="Pénznem 3" xfId="60"/>
    <cellStyle name="Pénznem 3 2" xfId="82"/>
    <cellStyle name="Százalék 2" xfId="61"/>
    <cellStyle name="Százalék 2 2" xfId="62"/>
    <cellStyle name="Százalék 2_zárszámadás 0407.II" xfId="63"/>
    <cellStyle name="Százalék 3" xfId="69"/>
    <cellStyle name="Title" xfId="64"/>
    <cellStyle name="Total" xfId="65"/>
    <cellStyle name="Warning Text" xfId="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hivatal\P&#233;nz&#252;gy\2016\2016.%20z&#225;rsz&#225;mad&#225;s\Besz&#225;mol&#243;%20v&#233;gleges\Maradv&#225;ny%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hivatal\Test&#252;leti\2014.%20z&#225;rsz&#225;mad&#225;s%20otthon\P&#233;nzmaradv&#225;n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hivatal\P&#233;nz&#252;gy\2016\2016.%20z&#225;rsz&#225;mad&#225;s\Besz&#225;mol&#243;%20v&#233;gleges\Maradv&#225;ny%20mell&#233;kletek%20j&#24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z&#246;s/K&#201;PVISEL&#336;-TEST&#220;LET%20IRATAI/EL&#336;TERJESZT&#201;SEK/2019/2019.%2002.%2025/3.%20napirendi%20pont%20mell&#233;kle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hivatal\P&#233;nz&#252;gy\2018\Z&#193;RSZ&#193;MAD&#193;S\J&#243;\V&#233;ge\1.%20napirendi%20pont%20mell&#233;klete%20teljes&#237;t&#233;sj&#24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a.sz.m.Maradvány - int"/>
      <sheetName val="13.b.sz.m.Maradványkim.-Önk"/>
      <sheetName val="13.c.sz.m.Kötött maradvány"/>
      <sheetName val="13.d.sz.m.Szabad maradvány"/>
    </sheetNames>
    <sheetDataSet>
      <sheetData sheetId="0">
        <row r="5">
          <cell r="K5">
            <v>221601436</v>
          </cell>
        </row>
      </sheetData>
      <sheetData sheetId="1"/>
      <sheetData sheetId="2">
        <row r="90">
          <cell r="C90">
            <v>6134100</v>
          </cell>
        </row>
      </sheetData>
      <sheetData sheetId="3">
        <row r="14">
          <cell r="F14">
            <v>179000000</v>
          </cell>
        </row>
        <row r="74">
          <cell r="D74">
            <v>3756000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ézmények"/>
      <sheetName val="Önkormányzat"/>
      <sheetName val="Kötött maradvány"/>
      <sheetName val="Szabad maradvány"/>
    </sheetNames>
    <sheetDataSet>
      <sheetData sheetId="0">
        <row r="3">
          <cell r="K3">
            <v>240744425</v>
          </cell>
        </row>
      </sheetData>
      <sheetData sheetId="1">
        <row r="13">
          <cell r="F13">
            <v>41881489</v>
          </cell>
        </row>
        <row r="17">
          <cell r="F17">
            <v>74838106</v>
          </cell>
        </row>
        <row r="20">
          <cell r="F20">
            <v>14585521</v>
          </cell>
        </row>
      </sheetData>
      <sheetData sheetId="2">
        <row r="23">
          <cell r="D23">
            <v>20966606</v>
          </cell>
        </row>
      </sheetData>
      <sheetData sheetId="3">
        <row r="12">
          <cell r="E12">
            <v>461549155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a.sz.m.Maradvány - int"/>
      <sheetName val="13.b.sz.m.Maradványkim.-Önk"/>
      <sheetName val="13.c.sz.m.Kötött maradvány"/>
      <sheetName val="13.d.sz.m.Szabad maradvány"/>
    </sheetNames>
    <sheetDataSet>
      <sheetData sheetId="0" refreshError="1"/>
      <sheetData sheetId="1">
        <row r="29">
          <cell r="F29">
            <v>898334622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Önkormányzat 2019. "/>
      <sheetName val="2.1. sz. PMH"/>
      <sheetName val="2.2. sz. Hétszínvirág Óvoda"/>
      <sheetName val="2.3. sz. Mese Óvoda"/>
      <sheetName val="2.4. sz. Bölcsőde"/>
      <sheetName val="2.5. sz. Gyermekjóléti"/>
      <sheetName val="2.6 sz. Területi"/>
      <sheetName val="2.7. sz. Könyvtár"/>
      <sheetName val="2.8. sz. Műv.Ház"/>
      <sheetName val="2.9. sz. Szivárvány Ó."/>
      <sheetName val="2.10. sz. Intézmények összesen"/>
      <sheetName val="3. sz.Városi szintű összesen"/>
      <sheetName val="4.sz.Felhalm.c.pe.átadás"/>
      <sheetName val="5.sz.Műk.c.pe.átadás"/>
      <sheetName val="6.sz. Beruházások"/>
      <sheetName val="7. sz. Felújítások"/>
      <sheetName val="8.sz.Tartalékok"/>
      <sheetName val="9.sz. Szociális"/>
      <sheetName val="10.sz.Intézményfinanszírozás"/>
      <sheetName val="11.sz. Állami támogatás"/>
      <sheetName val="12.sz.mell. Létszámtábla"/>
      <sheetName val="1.sz.tájék.tábla Közvetett tám"/>
      <sheetName val="2.sz.tájék.tábla Mérlegszerű"/>
      <sheetName val="3.sz.tájék.tábla Gördülő"/>
      <sheetName val="4.sz.tájék.táb. Többéves"/>
      <sheetName val="5.sz.tájék.táb Adósságszolgálat"/>
      <sheetName val="6.sz.tájék.tábla Hitelképesség"/>
      <sheetName val="7.sz.tájék.táb.Likviditási terv"/>
      <sheetName val="8.sz.tájék.tábla Ütemterv"/>
      <sheetName val="9. sz. tájék.tábla EU-s pály."/>
      <sheetName val="10. sz.tájék.Nem EU-s pály. "/>
    </sheetNames>
    <sheetDataSet>
      <sheetData sheetId="0">
        <row r="32">
          <cell r="EB32">
            <v>510000000</v>
          </cell>
          <cell r="EC32">
            <v>135000000</v>
          </cell>
          <cell r="ED32">
            <v>22200000</v>
          </cell>
          <cell r="EE32">
            <v>160000</v>
          </cell>
          <cell r="EF32">
            <v>2950000000</v>
          </cell>
          <cell r="EI32">
            <v>69188198</v>
          </cell>
        </row>
        <row r="33">
          <cell r="AT33">
            <v>10432495</v>
          </cell>
          <cell r="AU33">
            <v>979980</v>
          </cell>
          <cell r="AV33">
            <v>3810000</v>
          </cell>
          <cell r="BI33">
            <v>82628999</v>
          </cell>
          <cell r="BK33">
            <v>47371000</v>
          </cell>
        </row>
      </sheetData>
      <sheetData sheetId="1"/>
      <sheetData sheetId="2">
        <row r="33">
          <cell r="E33">
            <v>500000</v>
          </cell>
        </row>
      </sheetData>
      <sheetData sheetId="3">
        <row r="33">
          <cell r="E33">
            <v>500000</v>
          </cell>
        </row>
      </sheetData>
      <sheetData sheetId="4"/>
      <sheetData sheetId="5"/>
      <sheetData sheetId="6"/>
      <sheetData sheetId="7"/>
      <sheetData sheetId="8">
        <row r="33">
          <cell r="E33">
            <v>1900000</v>
          </cell>
          <cell r="F33">
            <v>6000000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Önkormányzat 2018. "/>
      <sheetName val="1. sz. Önkormányzat 2018. B"/>
      <sheetName val="2.1. sz. PMH"/>
      <sheetName val="2.2. sz. Hétszínvirág Óvoda"/>
      <sheetName val="2.3. sz. Mese Óvoda"/>
      <sheetName val="2.4. sz. Bölcsőde"/>
      <sheetName val="2.5. sz. Gyermekjóléti"/>
      <sheetName val="2.6 sz. Területi"/>
      <sheetName val="2.7. sz. Könyvtár"/>
      <sheetName val="2.8. sz. Műv.Ház"/>
      <sheetName val="2.9. sz. Szivárvány Ó."/>
      <sheetName val="2.10. sz. Intézmények összesen"/>
      <sheetName val="3. sz.Városi szintű összesen"/>
      <sheetName val="4.sz.Felhalm.c.pe.átadás"/>
      <sheetName val="5.sz.Műk.c.pe.átadás"/>
      <sheetName val="6.sz. Beruházások"/>
      <sheetName val="7. sz. Felújítások"/>
      <sheetName val="8.sz.Tartalékok"/>
      <sheetName val="9.sz. Szociális"/>
      <sheetName val="10.sz.Intézményfinanszírozás"/>
      <sheetName val="11.sz. Állami támogatás"/>
      <sheetName val="12.sz.mell. Létszámtábla"/>
    </sheetNames>
    <sheetDataSet>
      <sheetData sheetId="0"/>
      <sheetData sheetId="1"/>
      <sheetData sheetId="2">
        <row r="33">
          <cell r="I33">
            <v>202390</v>
          </cell>
          <cell r="L33">
            <v>163202</v>
          </cell>
          <cell r="O33">
            <v>1015000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D23"/>
  <sheetViews>
    <sheetView zoomScaleNormal="100" workbookViewId="0">
      <selection activeCell="F22" sqref="F22"/>
    </sheetView>
  </sheetViews>
  <sheetFormatPr defaultRowHeight="14.4" x14ac:dyDescent="0.3"/>
  <cols>
    <col min="2" max="4" width="16.6640625" customWidth="1"/>
  </cols>
  <sheetData>
    <row r="11" spans="2:4" ht="57.75" customHeight="1" x14ac:dyDescent="0.3">
      <c r="B11" s="730" t="s">
        <v>1568</v>
      </c>
      <c r="C11" s="730"/>
      <c r="D11" s="730"/>
    </row>
    <row r="12" spans="2:4" hidden="1" x14ac:dyDescent="0.3">
      <c r="B12" s="730"/>
      <c r="C12" s="730"/>
      <c r="D12" s="730"/>
    </row>
    <row r="17" spans="2:4" x14ac:dyDescent="0.3">
      <c r="C17" s="173" t="s">
        <v>789</v>
      </c>
    </row>
    <row r="20" spans="2:4" ht="24.75" customHeight="1" x14ac:dyDescent="0.3"/>
    <row r="22" spans="2:4" x14ac:dyDescent="0.3">
      <c r="B22" s="730" t="s">
        <v>1567</v>
      </c>
      <c r="C22" s="730"/>
      <c r="D22" s="730"/>
    </row>
    <row r="23" spans="2:4" x14ac:dyDescent="0.3">
      <c r="B23" s="730"/>
      <c r="C23" s="730"/>
      <c r="D23" s="730"/>
    </row>
  </sheetData>
  <mergeCells count="2">
    <mergeCell ref="B11:D12"/>
    <mergeCell ref="B22:D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0"/>
  <sheetViews>
    <sheetView view="pageBreakPreview" zoomScaleNormal="100" zoomScaleSheetLayoutView="100" workbookViewId="0">
      <selection activeCell="K8" sqref="K8:K9"/>
    </sheetView>
  </sheetViews>
  <sheetFormatPr defaultColWidth="8" defaultRowHeight="13.2" x14ac:dyDescent="0.25"/>
  <cols>
    <col min="1" max="1" width="3.44140625" style="382" customWidth="1"/>
    <col min="2" max="2" width="32.6640625" style="382" customWidth="1"/>
    <col min="3" max="3" width="16.109375" style="382" bestFit="1" customWidth="1"/>
    <col min="4" max="7" width="14" style="382" bestFit="1" customWidth="1"/>
    <col min="8" max="11" width="13.44140625" style="382" customWidth="1"/>
    <col min="12" max="12" width="14" style="382" bestFit="1" customWidth="1"/>
    <col min="13" max="13" width="15.5546875" style="382" bestFit="1" customWidth="1"/>
    <col min="14" max="14" width="10" style="382" bestFit="1" customWidth="1"/>
    <col min="15" max="15" width="12.44140625" style="382" bestFit="1" customWidth="1"/>
    <col min="16" max="16384" width="8" style="382"/>
  </cols>
  <sheetData>
    <row r="1" spans="1:18" ht="14.4" x14ac:dyDescent="0.3">
      <c r="C1" s="383"/>
    </row>
    <row r="2" spans="1:18" ht="14.4" x14ac:dyDescent="0.3">
      <c r="C2" s="383"/>
    </row>
    <row r="3" spans="1:18" ht="24.75" customHeight="1" x14ac:dyDescent="0.25">
      <c r="A3" s="856" t="s">
        <v>1362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384"/>
      <c r="N3" s="385"/>
    </row>
    <row r="4" spans="1:18" ht="18" customHeight="1" x14ac:dyDescent="0.25">
      <c r="A4" s="385"/>
      <c r="B4" s="385"/>
      <c r="C4" s="385"/>
      <c r="J4" s="857"/>
      <c r="K4" s="857"/>
      <c r="L4" s="857"/>
      <c r="M4" s="386"/>
      <c r="N4" s="386"/>
    </row>
    <row r="5" spans="1:18" s="389" customFormat="1" ht="71.25" customHeight="1" x14ac:dyDescent="0.25">
      <c r="A5" s="681" t="s">
        <v>63</v>
      </c>
      <c r="B5" s="678" t="s">
        <v>2</v>
      </c>
      <c r="C5" s="679" t="s">
        <v>653</v>
      </c>
      <c r="D5" s="680" t="s">
        <v>11</v>
      </c>
      <c r="E5" s="680" t="s">
        <v>12</v>
      </c>
      <c r="F5" s="680" t="s">
        <v>13</v>
      </c>
      <c r="G5" s="680" t="s">
        <v>14</v>
      </c>
      <c r="H5" s="680" t="s">
        <v>1031</v>
      </c>
      <c r="I5" s="680" t="s">
        <v>1030</v>
      </c>
      <c r="J5" s="680" t="s">
        <v>39</v>
      </c>
      <c r="K5" s="680" t="s">
        <v>1032</v>
      </c>
      <c r="L5" s="682" t="s">
        <v>15</v>
      </c>
      <c r="M5" s="387"/>
      <c r="N5" s="388"/>
    </row>
    <row r="6" spans="1:18" ht="51" customHeight="1" x14ac:dyDescent="0.25">
      <c r="A6" s="418" t="s">
        <v>3</v>
      </c>
      <c r="B6" s="419" t="s">
        <v>1357</v>
      </c>
      <c r="C6" s="420">
        <f>SUM(C7:C8)</f>
        <v>1655015416</v>
      </c>
      <c r="D6" s="420">
        <f t="shared" ref="D6:L6" si="0">SUM(D7:D8)</f>
        <v>29062454</v>
      </c>
      <c r="E6" s="420">
        <f t="shared" si="0"/>
        <v>3961775</v>
      </c>
      <c r="F6" s="420">
        <f t="shared" si="0"/>
        <v>58654134</v>
      </c>
      <c r="G6" s="420">
        <f t="shared" si="0"/>
        <v>5776918</v>
      </c>
      <c r="H6" s="420">
        <f t="shared" si="0"/>
        <v>1856338</v>
      </c>
      <c r="I6" s="420">
        <f t="shared" si="0"/>
        <v>1478100</v>
      </c>
      <c r="J6" s="420">
        <f t="shared" si="0"/>
        <v>2221441</v>
      </c>
      <c r="K6" s="420">
        <f t="shared" si="0"/>
        <v>6585887</v>
      </c>
      <c r="L6" s="683">
        <f t="shared" si="0"/>
        <v>6853780</v>
      </c>
      <c r="M6" s="391">
        <f>SUM(C6:L6)</f>
        <v>1771466243</v>
      </c>
      <c r="N6" s="392"/>
      <c r="O6" s="393"/>
    </row>
    <row r="7" spans="1:18" ht="31.5" customHeight="1" x14ac:dyDescent="0.25">
      <c r="A7" s="390" t="s">
        <v>4</v>
      </c>
      <c r="B7" s="394" t="s">
        <v>654</v>
      </c>
      <c r="C7" s="395">
        <v>1654860746</v>
      </c>
      <c r="D7" s="396">
        <v>28893250</v>
      </c>
      <c r="E7" s="396">
        <v>3875010</v>
      </c>
      <c r="F7" s="396">
        <v>58578244</v>
      </c>
      <c r="G7" s="396">
        <v>5776918</v>
      </c>
      <c r="H7" s="396">
        <v>1822335</v>
      </c>
      <c r="I7" s="396">
        <v>1384214</v>
      </c>
      <c r="J7" s="396">
        <v>2117090</v>
      </c>
      <c r="K7" s="396">
        <v>6569116</v>
      </c>
      <c r="L7" s="411">
        <v>6782180</v>
      </c>
      <c r="M7" s="391">
        <f t="shared" ref="M7:M15" si="1">SUM(C7:L7)</f>
        <v>1770659103</v>
      </c>
      <c r="N7" s="397"/>
      <c r="O7" s="393">
        <f>2688681962-429994427</f>
        <v>2258687535</v>
      </c>
    </row>
    <row r="8" spans="1:18" ht="35.25" customHeight="1" x14ac:dyDescent="0.25">
      <c r="A8" s="398" t="s">
        <v>5</v>
      </c>
      <c r="B8" s="399" t="s">
        <v>655</v>
      </c>
      <c r="C8" s="400">
        <v>154670</v>
      </c>
      <c r="D8" s="401">
        <v>169204</v>
      </c>
      <c r="E8" s="401">
        <v>86765</v>
      </c>
      <c r="F8" s="401">
        <v>75890</v>
      </c>
      <c r="G8" s="401"/>
      <c r="H8" s="401">
        <v>34003</v>
      </c>
      <c r="I8" s="401">
        <v>93886</v>
      </c>
      <c r="J8" s="401">
        <v>104351</v>
      </c>
      <c r="K8" s="401">
        <v>16771</v>
      </c>
      <c r="L8" s="684">
        <v>71600</v>
      </c>
      <c r="M8" s="391">
        <f t="shared" si="1"/>
        <v>807140</v>
      </c>
      <c r="N8" s="397"/>
      <c r="O8" s="393">
        <v>-1649987969</v>
      </c>
    </row>
    <row r="9" spans="1:18" ht="33.75" customHeight="1" x14ac:dyDescent="0.25">
      <c r="A9" s="402" t="s">
        <v>6</v>
      </c>
      <c r="B9" s="403" t="s">
        <v>656</v>
      </c>
      <c r="C9" s="404">
        <f>5788133628+2933589340</f>
        <v>8721722968</v>
      </c>
      <c r="D9" s="405">
        <f>13512340+531074712</f>
        <v>544587052</v>
      </c>
      <c r="E9" s="405">
        <f>8683394+167693032</f>
        <v>176376426</v>
      </c>
      <c r="F9" s="405">
        <f>209574973+448127284</f>
        <v>657702257</v>
      </c>
      <c r="G9" s="405">
        <f>1600717+379821115</f>
        <v>381421832</v>
      </c>
      <c r="H9" s="405">
        <f>2439293+48113290</f>
        <v>50552583</v>
      </c>
      <c r="I9" s="405">
        <f>11046176+82230697</f>
        <v>93276873</v>
      </c>
      <c r="J9" s="405">
        <f>3185047+57241398</f>
        <v>60426445</v>
      </c>
      <c r="K9" s="406">
        <f>4+197544281</f>
        <v>197544285</v>
      </c>
      <c r="L9" s="407">
        <f>1773057+248536750</f>
        <v>250309807</v>
      </c>
      <c r="M9" s="391">
        <f t="shared" si="1"/>
        <v>11133920528</v>
      </c>
      <c r="N9" s="408">
        <f>+C9-C10</f>
        <v>608699566</v>
      </c>
      <c r="O9" s="393">
        <f>SUM(O7:O8)</f>
        <v>608699566</v>
      </c>
    </row>
    <row r="10" spans="1:18" ht="33.75" customHeight="1" x14ac:dyDescent="0.25">
      <c r="A10" s="390" t="s">
        <v>7</v>
      </c>
      <c r="B10" s="409" t="s">
        <v>1361</v>
      </c>
      <c r="C10" s="395">
        <f>3099451666+3363583767+1649987969</f>
        <v>8113023402</v>
      </c>
      <c r="D10" s="396">
        <f>498563274+29827887</f>
        <v>528391161</v>
      </c>
      <c r="E10" s="396">
        <f>154398087+4037516</f>
        <v>158435603</v>
      </c>
      <c r="F10" s="396">
        <f>616929732+58811267</f>
        <v>675740999</v>
      </c>
      <c r="G10" s="396">
        <f>358958078+6051875</f>
        <v>365009953</v>
      </c>
      <c r="H10" s="396">
        <f>46235879+2584495</f>
        <v>48820374</v>
      </c>
      <c r="I10" s="396">
        <f>86081376+1478100</f>
        <v>87559476</v>
      </c>
      <c r="J10" s="396">
        <f>55033529+2221441</f>
        <v>57254970</v>
      </c>
      <c r="K10" s="410">
        <f>182250894+6666056</f>
        <v>188916950</v>
      </c>
      <c r="L10" s="411">
        <f>234780187+7116047</f>
        <v>241896234</v>
      </c>
      <c r="M10" s="391">
        <f t="shared" si="1"/>
        <v>10465049122</v>
      </c>
      <c r="N10" s="408"/>
      <c r="O10" s="393"/>
    </row>
    <row r="11" spans="1:18" ht="33.75" customHeight="1" x14ac:dyDescent="0.25">
      <c r="A11" s="412" t="s">
        <v>8</v>
      </c>
      <c r="B11" s="413" t="s">
        <v>1365</v>
      </c>
      <c r="C11" s="414">
        <v>65504721</v>
      </c>
      <c r="D11" s="415">
        <v>1954726</v>
      </c>
      <c r="E11" s="415">
        <v>-84727</v>
      </c>
      <c r="F11" s="415">
        <v>-319541</v>
      </c>
      <c r="G11" s="415">
        <v>-208291</v>
      </c>
      <c r="H11" s="415">
        <v>346527</v>
      </c>
      <c r="I11" s="415">
        <v>0</v>
      </c>
      <c r="J11" s="415">
        <v>14795</v>
      </c>
      <c r="K11" s="416">
        <v>-50169</v>
      </c>
      <c r="L11" s="417">
        <v>-262267</v>
      </c>
      <c r="M11" s="391">
        <f t="shared" si="1"/>
        <v>66895774</v>
      </c>
      <c r="N11" s="408"/>
      <c r="O11" s="393"/>
    </row>
    <row r="12" spans="1:18" ht="51" customHeight="1" x14ac:dyDescent="0.25">
      <c r="A12" s="418" t="s">
        <v>9</v>
      </c>
      <c r="B12" s="419" t="s">
        <v>1360</v>
      </c>
      <c r="C12" s="420">
        <f>+C6+C9-C10-C11</f>
        <v>2198210261</v>
      </c>
      <c r="D12" s="420">
        <f t="shared" ref="D12:L12" si="2">+D6+D9-D10-D11</f>
        <v>43303619</v>
      </c>
      <c r="E12" s="420">
        <f>+E6+E9-E10-E11</f>
        <v>21987325</v>
      </c>
      <c r="F12" s="420">
        <f t="shared" si="2"/>
        <v>40934933</v>
      </c>
      <c r="G12" s="420">
        <f t="shared" si="2"/>
        <v>22397088</v>
      </c>
      <c r="H12" s="420">
        <f t="shared" si="2"/>
        <v>3242020</v>
      </c>
      <c r="I12" s="420">
        <f t="shared" si="2"/>
        <v>7195497</v>
      </c>
      <c r="J12" s="420">
        <f t="shared" si="2"/>
        <v>5378121</v>
      </c>
      <c r="K12" s="420">
        <f t="shared" si="2"/>
        <v>15263391</v>
      </c>
      <c r="L12" s="683">
        <f t="shared" si="2"/>
        <v>15529620</v>
      </c>
      <c r="M12" s="391">
        <f>SUM(C12:L12)</f>
        <v>2373441875</v>
      </c>
      <c r="N12" s="421"/>
      <c r="O12" s="393"/>
    </row>
    <row r="13" spans="1:18" ht="31.5" customHeight="1" x14ac:dyDescent="0.25">
      <c r="A13" s="390" t="s">
        <v>23</v>
      </c>
      <c r="B13" s="394" t="s">
        <v>654</v>
      </c>
      <c r="C13" s="422">
        <v>2197973857</v>
      </c>
      <c r="D13" s="422">
        <v>43213729</v>
      </c>
      <c r="E13" s="422">
        <v>21916023</v>
      </c>
      <c r="F13" s="422">
        <v>40833663</v>
      </c>
      <c r="G13" s="422">
        <v>22397088</v>
      </c>
      <c r="H13" s="422">
        <v>3211872</v>
      </c>
      <c r="I13" s="422">
        <v>7082248</v>
      </c>
      <c r="J13" s="422">
        <v>5194512</v>
      </c>
      <c r="K13" s="422">
        <v>15205477</v>
      </c>
      <c r="L13" s="685">
        <v>15357416</v>
      </c>
      <c r="M13" s="391">
        <f t="shared" si="1"/>
        <v>2372385885</v>
      </c>
      <c r="N13" s="408"/>
      <c r="O13" s="393"/>
      <c r="R13" s="394"/>
    </row>
    <row r="14" spans="1:18" ht="43.5" customHeight="1" x14ac:dyDescent="0.25">
      <c r="A14" s="412" t="s">
        <v>25</v>
      </c>
      <c r="B14" s="423" t="s">
        <v>1358</v>
      </c>
      <c r="C14" s="424">
        <v>236404</v>
      </c>
      <c r="D14" s="424">
        <v>89890</v>
      </c>
      <c r="E14" s="424">
        <v>71302</v>
      </c>
      <c r="F14" s="424">
        <v>101270</v>
      </c>
      <c r="G14" s="424">
        <v>0</v>
      </c>
      <c r="H14" s="424">
        <v>30148</v>
      </c>
      <c r="I14" s="424">
        <v>113249</v>
      </c>
      <c r="J14" s="424">
        <v>183609</v>
      </c>
      <c r="K14" s="424">
        <v>57914</v>
      </c>
      <c r="L14" s="686">
        <v>172204</v>
      </c>
      <c r="M14" s="391">
        <f t="shared" si="1"/>
        <v>1055990</v>
      </c>
      <c r="N14" s="408"/>
      <c r="O14" s="393"/>
    </row>
    <row r="15" spans="1:18" ht="31.5" customHeight="1" x14ac:dyDescent="0.25">
      <c r="A15" s="858" t="s">
        <v>1359</v>
      </c>
      <c r="B15" s="858"/>
      <c r="C15" s="425">
        <v>2155730</v>
      </c>
      <c r="D15" s="426"/>
      <c r="E15" s="426"/>
      <c r="F15" s="426"/>
      <c r="G15" s="426"/>
      <c r="H15" s="426"/>
      <c r="I15" s="426"/>
      <c r="J15" s="426"/>
      <c r="K15" s="426"/>
      <c r="L15" s="426"/>
      <c r="M15" s="391">
        <f t="shared" si="1"/>
        <v>2155730</v>
      </c>
    </row>
    <row r="16" spans="1:18" x14ac:dyDescent="0.25">
      <c r="C16" s="391"/>
    </row>
    <row r="18" spans="2:14" x14ac:dyDescent="0.25">
      <c r="C18" s="427">
        <f t="shared" ref="C18:L18" si="3">+C6</f>
        <v>1655015416</v>
      </c>
      <c r="D18" s="427">
        <f t="shared" si="3"/>
        <v>29062454</v>
      </c>
      <c r="E18" s="427">
        <f t="shared" si="3"/>
        <v>3961775</v>
      </c>
      <c r="F18" s="427">
        <f t="shared" si="3"/>
        <v>58654134</v>
      </c>
      <c r="G18" s="427">
        <f t="shared" si="3"/>
        <v>5776918</v>
      </c>
      <c r="H18" s="427">
        <f t="shared" si="3"/>
        <v>1856338</v>
      </c>
      <c r="I18" s="427"/>
      <c r="J18" s="427">
        <f t="shared" si="3"/>
        <v>2221441</v>
      </c>
      <c r="K18" s="427"/>
      <c r="L18" s="427">
        <f t="shared" si="3"/>
        <v>6853780</v>
      </c>
      <c r="M18" s="427"/>
      <c r="N18" s="427"/>
    </row>
    <row r="19" spans="2:14" ht="7.5" customHeight="1" x14ac:dyDescent="0.25"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</row>
    <row r="20" spans="2:14" x14ac:dyDescent="0.25">
      <c r="C20" s="427">
        <f>+C9-C10+C11</f>
        <v>674204287</v>
      </c>
      <c r="D20" s="427">
        <f t="shared" ref="D20:L20" si="4">+D9-D10+D11</f>
        <v>18150617</v>
      </c>
      <c r="E20" s="427">
        <f t="shared" si="4"/>
        <v>17856096</v>
      </c>
      <c r="F20" s="427">
        <f t="shared" si="4"/>
        <v>-18358283</v>
      </c>
      <c r="G20" s="427">
        <f t="shared" si="4"/>
        <v>16203588</v>
      </c>
      <c r="H20" s="427">
        <f t="shared" si="4"/>
        <v>2078736</v>
      </c>
      <c r="I20" s="427"/>
      <c r="J20" s="427">
        <f t="shared" si="4"/>
        <v>3186270</v>
      </c>
      <c r="K20" s="427"/>
      <c r="L20" s="427">
        <f t="shared" si="4"/>
        <v>8151306</v>
      </c>
      <c r="M20" s="427"/>
      <c r="N20" s="427"/>
    </row>
    <row r="22" spans="2:14" x14ac:dyDescent="0.25">
      <c r="C22" s="427">
        <f>+C18+C20</f>
        <v>2329219703</v>
      </c>
      <c r="D22" s="427">
        <f>+D18+D20</f>
        <v>47213071</v>
      </c>
      <c r="E22" s="427">
        <f>+E18+E20</f>
        <v>21817871</v>
      </c>
      <c r="F22" s="427">
        <f t="shared" ref="F22:L22" si="5">+F18+F20</f>
        <v>40295851</v>
      </c>
      <c r="G22" s="427">
        <f t="shared" si="5"/>
        <v>21980506</v>
      </c>
      <c r="H22" s="427">
        <f t="shared" si="5"/>
        <v>3935074</v>
      </c>
      <c r="I22" s="427"/>
      <c r="J22" s="427">
        <f t="shared" si="5"/>
        <v>5407711</v>
      </c>
      <c r="K22" s="427"/>
      <c r="L22" s="427">
        <f t="shared" si="5"/>
        <v>15005086</v>
      </c>
    </row>
    <row r="24" spans="2:14" x14ac:dyDescent="0.25">
      <c r="C24" s="428">
        <f t="shared" ref="C24:L24" si="6">+C22-C12</f>
        <v>131009442</v>
      </c>
      <c r="D24" s="428">
        <f t="shared" si="6"/>
        <v>3909452</v>
      </c>
      <c r="E24" s="428">
        <f t="shared" si="6"/>
        <v>-169454</v>
      </c>
      <c r="F24" s="428">
        <f t="shared" si="6"/>
        <v>-639082</v>
      </c>
      <c r="G24" s="428">
        <f t="shared" si="6"/>
        <v>-416582</v>
      </c>
      <c r="H24" s="428">
        <f t="shared" si="6"/>
        <v>693054</v>
      </c>
      <c r="I24" s="428"/>
      <c r="J24" s="428">
        <f t="shared" si="6"/>
        <v>29590</v>
      </c>
      <c r="K24" s="428"/>
      <c r="L24" s="428">
        <f t="shared" si="6"/>
        <v>-524534</v>
      </c>
    </row>
    <row r="25" spans="2:14" x14ac:dyDescent="0.25">
      <c r="B25" s="382" t="s">
        <v>1363</v>
      </c>
      <c r="C25" s="429">
        <f>+C13+C14</f>
        <v>2198210261</v>
      </c>
      <c r="D25" s="429">
        <f t="shared" ref="D25:L25" si="7">+D13+D14</f>
        <v>43303619</v>
      </c>
      <c r="E25" s="429">
        <f t="shared" si="7"/>
        <v>21987325</v>
      </c>
      <c r="F25" s="429">
        <f t="shared" si="7"/>
        <v>40934933</v>
      </c>
      <c r="G25" s="429">
        <f t="shared" si="7"/>
        <v>22397088</v>
      </c>
      <c r="H25" s="429">
        <f t="shared" si="7"/>
        <v>3242020</v>
      </c>
      <c r="I25" s="429">
        <f t="shared" si="7"/>
        <v>7195497</v>
      </c>
      <c r="J25" s="429">
        <f t="shared" si="7"/>
        <v>5378121</v>
      </c>
      <c r="K25" s="429">
        <f t="shared" si="7"/>
        <v>15263391</v>
      </c>
      <c r="L25" s="429">
        <f t="shared" si="7"/>
        <v>15529620</v>
      </c>
      <c r="M25" s="429">
        <f>SUM(C25:L25)</f>
        <v>2373441875</v>
      </c>
    </row>
    <row r="26" spans="2:14" x14ac:dyDescent="0.25">
      <c r="B26" s="382" t="s">
        <v>1364</v>
      </c>
      <c r="C26" s="391">
        <f>+C12-C25</f>
        <v>0</v>
      </c>
      <c r="D26" s="391">
        <f t="shared" ref="D26:L26" si="8">+D12-D25</f>
        <v>0</v>
      </c>
      <c r="E26" s="391">
        <f>+E12-E25</f>
        <v>0</v>
      </c>
      <c r="F26" s="391">
        <f t="shared" si="8"/>
        <v>0</v>
      </c>
      <c r="G26" s="391">
        <f t="shared" si="8"/>
        <v>0</v>
      </c>
      <c r="H26" s="391">
        <f>+H12-H25</f>
        <v>0</v>
      </c>
      <c r="I26" s="391">
        <f t="shared" si="8"/>
        <v>0</v>
      </c>
      <c r="J26" s="391">
        <f t="shared" si="8"/>
        <v>0</v>
      </c>
      <c r="K26" s="391">
        <f t="shared" si="8"/>
        <v>0</v>
      </c>
      <c r="L26" s="391">
        <f t="shared" si="8"/>
        <v>0</v>
      </c>
    </row>
    <row r="27" spans="2:14" x14ac:dyDescent="0.25">
      <c r="C27" s="430"/>
    </row>
    <row r="29" spans="2:14" x14ac:dyDescent="0.25">
      <c r="C29" s="391">
        <f>+C9-C10</f>
        <v>608699566</v>
      </c>
    </row>
    <row r="31" spans="2:14" x14ac:dyDescent="0.25">
      <c r="C31" s="391">
        <f>+C9-C10</f>
        <v>608699566</v>
      </c>
      <c r="D31" s="391">
        <f>+D9-D10</f>
        <v>16195891</v>
      </c>
      <c r="E31" s="391">
        <f t="shared" ref="E31:L31" si="9">+E9-E10</f>
        <v>17940823</v>
      </c>
      <c r="F31" s="391">
        <f t="shared" si="9"/>
        <v>-18038742</v>
      </c>
      <c r="G31" s="391">
        <f>+G9-G10</f>
        <v>16411879</v>
      </c>
      <c r="H31" s="391">
        <f t="shared" si="9"/>
        <v>1732209</v>
      </c>
      <c r="I31" s="391">
        <f t="shared" si="9"/>
        <v>5717397</v>
      </c>
      <c r="J31" s="391">
        <f t="shared" si="9"/>
        <v>3171475</v>
      </c>
      <c r="K31" s="391">
        <f t="shared" si="9"/>
        <v>8627335</v>
      </c>
      <c r="L31" s="391">
        <f t="shared" si="9"/>
        <v>8413573</v>
      </c>
    </row>
    <row r="32" spans="2:14" x14ac:dyDescent="0.25">
      <c r="C32" s="391">
        <v>1649987969</v>
      </c>
      <c r="D32" s="391">
        <v>29827887</v>
      </c>
      <c r="E32" s="391">
        <v>4037516</v>
      </c>
      <c r="F32" s="391">
        <v>58811267</v>
      </c>
      <c r="G32" s="391">
        <v>6051875</v>
      </c>
      <c r="H32" s="391">
        <v>2584495</v>
      </c>
      <c r="I32" s="391">
        <v>1478100</v>
      </c>
      <c r="J32" s="391">
        <v>2221441</v>
      </c>
      <c r="K32" s="391">
        <v>6666056</v>
      </c>
      <c r="L32" s="391">
        <v>7116047</v>
      </c>
    </row>
    <row r="33" spans="3:12" x14ac:dyDescent="0.25">
      <c r="C33" s="391">
        <f>+C31+C32</f>
        <v>2258687535</v>
      </c>
      <c r="D33" s="391">
        <f>+D31+D32</f>
        <v>46023778</v>
      </c>
      <c r="E33" s="391">
        <f t="shared" ref="E33:L33" si="10">+E31+E32</f>
        <v>21978339</v>
      </c>
      <c r="F33" s="391">
        <f t="shared" si="10"/>
        <v>40772525</v>
      </c>
      <c r="G33" s="391">
        <f t="shared" si="10"/>
        <v>22463754</v>
      </c>
      <c r="H33" s="391">
        <f t="shared" si="10"/>
        <v>4316704</v>
      </c>
      <c r="I33" s="391">
        <f t="shared" si="10"/>
        <v>7195497</v>
      </c>
      <c r="J33" s="391">
        <f t="shared" si="10"/>
        <v>5392916</v>
      </c>
      <c r="K33" s="391">
        <f t="shared" si="10"/>
        <v>15293391</v>
      </c>
      <c r="L33" s="391">
        <f t="shared" si="10"/>
        <v>15529620</v>
      </c>
    </row>
    <row r="34" spans="3:12" x14ac:dyDescent="0.25">
      <c r="C34" s="426">
        <v>2258687535</v>
      </c>
      <c r="D34" s="426">
        <v>46023778</v>
      </c>
      <c r="E34" s="426">
        <v>21978339</v>
      </c>
      <c r="F34" s="426">
        <v>40772525</v>
      </c>
      <c r="G34" s="426">
        <v>22463754</v>
      </c>
      <c r="H34" s="426">
        <v>4316704</v>
      </c>
      <c r="I34" s="426">
        <v>7195497</v>
      </c>
      <c r="J34" s="426">
        <v>5392916</v>
      </c>
      <c r="K34" s="426">
        <v>15293391</v>
      </c>
      <c r="L34" s="426">
        <v>15529620</v>
      </c>
    </row>
    <row r="35" spans="3:12" x14ac:dyDescent="0.25">
      <c r="C35" s="391">
        <f>+C34-C33</f>
        <v>0</v>
      </c>
      <c r="D35" s="391">
        <f t="shared" ref="D35:L35" si="11">+D34-D33</f>
        <v>0</v>
      </c>
      <c r="E35" s="391">
        <f t="shared" si="11"/>
        <v>0</v>
      </c>
      <c r="F35" s="391">
        <f t="shared" si="11"/>
        <v>0</v>
      </c>
      <c r="G35" s="391">
        <f t="shared" si="11"/>
        <v>0</v>
      </c>
      <c r="H35" s="391">
        <f t="shared" si="11"/>
        <v>0</v>
      </c>
      <c r="I35" s="391">
        <f t="shared" si="11"/>
        <v>0</v>
      </c>
      <c r="J35" s="391">
        <f t="shared" si="11"/>
        <v>0</v>
      </c>
      <c r="K35" s="391">
        <f t="shared" si="11"/>
        <v>0</v>
      </c>
      <c r="L35" s="391">
        <f t="shared" si="11"/>
        <v>0</v>
      </c>
    </row>
    <row r="37" spans="3:12" x14ac:dyDescent="0.25">
      <c r="C37" s="391"/>
    </row>
    <row r="39" spans="3:12" x14ac:dyDescent="0.25">
      <c r="C39" s="391">
        <f>+C6+C9-C10</f>
        <v>2263714982</v>
      </c>
      <c r="D39" s="391">
        <f t="shared" ref="D39:L39" si="12">+D6+D9-D10</f>
        <v>45258345</v>
      </c>
      <c r="E39" s="391">
        <f t="shared" si="12"/>
        <v>21902598</v>
      </c>
      <c r="F39" s="391">
        <f t="shared" si="12"/>
        <v>40615392</v>
      </c>
      <c r="G39" s="391">
        <f t="shared" si="12"/>
        <v>22188797</v>
      </c>
      <c r="H39" s="391">
        <f t="shared" si="12"/>
        <v>3588547</v>
      </c>
      <c r="I39" s="391">
        <f t="shared" si="12"/>
        <v>7195497</v>
      </c>
      <c r="J39" s="391">
        <f t="shared" si="12"/>
        <v>5392916</v>
      </c>
      <c r="K39" s="391">
        <f t="shared" si="12"/>
        <v>15213222</v>
      </c>
      <c r="L39" s="391">
        <f t="shared" si="12"/>
        <v>15267353</v>
      </c>
    </row>
    <row r="40" spans="3:12" x14ac:dyDescent="0.25">
      <c r="C40" s="430">
        <f>+C39-C25</f>
        <v>65504721</v>
      </c>
      <c r="D40" s="430">
        <f t="shared" ref="D40:L40" si="13">+D39-D25</f>
        <v>1954726</v>
      </c>
      <c r="E40" s="430">
        <f t="shared" si="13"/>
        <v>-84727</v>
      </c>
      <c r="F40" s="430">
        <f t="shared" si="13"/>
        <v>-319541</v>
      </c>
      <c r="G40" s="430">
        <f t="shared" si="13"/>
        <v>-208291</v>
      </c>
      <c r="H40" s="430">
        <f t="shared" si="13"/>
        <v>346527</v>
      </c>
      <c r="I40" s="430">
        <f t="shared" si="13"/>
        <v>0</v>
      </c>
      <c r="J40" s="430">
        <f t="shared" si="13"/>
        <v>14795</v>
      </c>
      <c r="K40" s="430">
        <f t="shared" si="13"/>
        <v>-50169</v>
      </c>
      <c r="L40" s="430">
        <f t="shared" si="13"/>
        <v>-262267</v>
      </c>
    </row>
  </sheetData>
  <mergeCells count="3">
    <mergeCell ref="A3:L3"/>
    <mergeCell ref="J4:L4"/>
    <mergeCell ref="A15:B15"/>
  </mergeCells>
  <printOptions horizontalCentered="1"/>
  <pageMargins left="0.15748031496062992" right="0.15748031496062992" top="0.6692913385826772" bottom="0.74803149606299213" header="0.43307086614173229" footer="0.47244094488188981"/>
  <pageSetup paperSize="9" scale="82" orientation="landscape" r:id="rId1"/>
  <headerFooter alignWithMargins="0">
    <oddHeader>&amp;CDunaharaszti Város Önkormányzat 2018. évi zárszámadás&amp;R&amp;A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53"/>
  <sheetViews>
    <sheetView view="pageBreakPreview" zoomScale="60" zoomScaleNormal="100" workbookViewId="0">
      <pane ySplit="3" topLeftCell="A202" activePane="bottomLeft" state="frozen"/>
      <selection sqref="A1:E1"/>
      <selection pane="bottomLeft" activeCell="C210" sqref="C210"/>
    </sheetView>
  </sheetViews>
  <sheetFormatPr defaultRowHeight="13.2" x14ac:dyDescent="0.25"/>
  <cols>
    <col min="1" max="1" width="8.109375" style="380" customWidth="1"/>
    <col min="2" max="2" width="41" style="380" customWidth="1"/>
    <col min="3" max="3" width="20" style="380" customWidth="1"/>
    <col min="4" max="4" width="20.6640625" style="380" customWidth="1"/>
    <col min="5" max="5" width="22.88671875" style="380" customWidth="1"/>
    <col min="6" max="256" width="9.109375" style="380"/>
    <col min="257" max="257" width="8.109375" style="380" customWidth="1"/>
    <col min="258" max="258" width="41" style="380" customWidth="1"/>
    <col min="259" max="261" width="32.88671875" style="380" customWidth="1"/>
    <col min="262" max="512" width="9.109375" style="380"/>
    <col min="513" max="513" width="8.109375" style="380" customWidth="1"/>
    <col min="514" max="514" width="41" style="380" customWidth="1"/>
    <col min="515" max="517" width="32.88671875" style="380" customWidth="1"/>
    <col min="518" max="768" width="9.109375" style="380"/>
    <col min="769" max="769" width="8.109375" style="380" customWidth="1"/>
    <col min="770" max="770" width="41" style="380" customWidth="1"/>
    <col min="771" max="773" width="32.88671875" style="380" customWidth="1"/>
    <col min="774" max="1024" width="9.109375" style="380"/>
    <col min="1025" max="1025" width="8.109375" style="380" customWidth="1"/>
    <col min="1026" max="1026" width="41" style="380" customWidth="1"/>
    <col min="1027" max="1029" width="32.88671875" style="380" customWidth="1"/>
    <col min="1030" max="1280" width="9.109375" style="380"/>
    <col min="1281" max="1281" width="8.109375" style="380" customWidth="1"/>
    <col min="1282" max="1282" width="41" style="380" customWidth="1"/>
    <col min="1283" max="1285" width="32.88671875" style="380" customWidth="1"/>
    <col min="1286" max="1536" width="9.109375" style="380"/>
    <col min="1537" max="1537" width="8.109375" style="380" customWidth="1"/>
    <col min="1538" max="1538" width="41" style="380" customWidth="1"/>
    <col min="1539" max="1541" width="32.88671875" style="380" customWidth="1"/>
    <col min="1542" max="1792" width="9.109375" style="380"/>
    <col min="1793" max="1793" width="8.109375" style="380" customWidth="1"/>
    <col min="1794" max="1794" width="41" style="380" customWidth="1"/>
    <col min="1795" max="1797" width="32.88671875" style="380" customWidth="1"/>
    <col min="1798" max="2048" width="9.109375" style="380"/>
    <col min="2049" max="2049" width="8.109375" style="380" customWidth="1"/>
    <col min="2050" max="2050" width="41" style="380" customWidth="1"/>
    <col min="2051" max="2053" width="32.88671875" style="380" customWidth="1"/>
    <col min="2054" max="2304" width="9.109375" style="380"/>
    <col min="2305" max="2305" width="8.109375" style="380" customWidth="1"/>
    <col min="2306" max="2306" width="41" style="380" customWidth="1"/>
    <col min="2307" max="2309" width="32.88671875" style="380" customWidth="1"/>
    <col min="2310" max="2560" width="9.109375" style="380"/>
    <col min="2561" max="2561" width="8.109375" style="380" customWidth="1"/>
    <col min="2562" max="2562" width="41" style="380" customWidth="1"/>
    <col min="2563" max="2565" width="32.88671875" style="380" customWidth="1"/>
    <col min="2566" max="2816" width="9.109375" style="380"/>
    <col min="2817" max="2817" width="8.109375" style="380" customWidth="1"/>
    <col min="2818" max="2818" width="41" style="380" customWidth="1"/>
    <col min="2819" max="2821" width="32.88671875" style="380" customWidth="1"/>
    <col min="2822" max="3072" width="9.109375" style="380"/>
    <col min="3073" max="3073" width="8.109375" style="380" customWidth="1"/>
    <col min="3074" max="3074" width="41" style="380" customWidth="1"/>
    <col min="3075" max="3077" width="32.88671875" style="380" customWidth="1"/>
    <col min="3078" max="3328" width="9.109375" style="380"/>
    <col min="3329" max="3329" width="8.109375" style="380" customWidth="1"/>
    <col min="3330" max="3330" width="41" style="380" customWidth="1"/>
    <col min="3331" max="3333" width="32.88671875" style="380" customWidth="1"/>
    <col min="3334" max="3584" width="9.109375" style="380"/>
    <col min="3585" max="3585" width="8.109375" style="380" customWidth="1"/>
    <col min="3586" max="3586" width="41" style="380" customWidth="1"/>
    <col min="3587" max="3589" width="32.88671875" style="380" customWidth="1"/>
    <col min="3590" max="3840" width="9.109375" style="380"/>
    <col min="3841" max="3841" width="8.109375" style="380" customWidth="1"/>
    <col min="3842" max="3842" width="41" style="380" customWidth="1"/>
    <col min="3843" max="3845" width="32.88671875" style="380" customWidth="1"/>
    <col min="3846" max="4096" width="9.109375" style="380"/>
    <col min="4097" max="4097" width="8.109375" style="380" customWidth="1"/>
    <col min="4098" max="4098" width="41" style="380" customWidth="1"/>
    <col min="4099" max="4101" width="32.88671875" style="380" customWidth="1"/>
    <col min="4102" max="4352" width="9.109375" style="380"/>
    <col min="4353" max="4353" width="8.109375" style="380" customWidth="1"/>
    <col min="4354" max="4354" width="41" style="380" customWidth="1"/>
    <col min="4355" max="4357" width="32.88671875" style="380" customWidth="1"/>
    <col min="4358" max="4608" width="9.109375" style="380"/>
    <col min="4609" max="4609" width="8.109375" style="380" customWidth="1"/>
    <col min="4610" max="4610" width="41" style="380" customWidth="1"/>
    <col min="4611" max="4613" width="32.88671875" style="380" customWidth="1"/>
    <col min="4614" max="4864" width="9.109375" style="380"/>
    <col min="4865" max="4865" width="8.109375" style="380" customWidth="1"/>
    <col min="4866" max="4866" width="41" style="380" customWidth="1"/>
    <col min="4867" max="4869" width="32.88671875" style="380" customWidth="1"/>
    <col min="4870" max="5120" width="9.109375" style="380"/>
    <col min="5121" max="5121" width="8.109375" style="380" customWidth="1"/>
    <col min="5122" max="5122" width="41" style="380" customWidth="1"/>
    <col min="5123" max="5125" width="32.88671875" style="380" customWidth="1"/>
    <col min="5126" max="5376" width="9.109375" style="380"/>
    <col min="5377" max="5377" width="8.109375" style="380" customWidth="1"/>
    <col min="5378" max="5378" width="41" style="380" customWidth="1"/>
    <col min="5379" max="5381" width="32.88671875" style="380" customWidth="1"/>
    <col min="5382" max="5632" width="9.109375" style="380"/>
    <col min="5633" max="5633" width="8.109375" style="380" customWidth="1"/>
    <col min="5634" max="5634" width="41" style="380" customWidth="1"/>
    <col min="5635" max="5637" width="32.88671875" style="380" customWidth="1"/>
    <col min="5638" max="5888" width="9.109375" style="380"/>
    <col min="5889" max="5889" width="8.109375" style="380" customWidth="1"/>
    <col min="5890" max="5890" width="41" style="380" customWidth="1"/>
    <col min="5891" max="5893" width="32.88671875" style="380" customWidth="1"/>
    <col min="5894" max="6144" width="9.109375" style="380"/>
    <col min="6145" max="6145" width="8.109375" style="380" customWidth="1"/>
    <col min="6146" max="6146" width="41" style="380" customWidth="1"/>
    <col min="6147" max="6149" width="32.88671875" style="380" customWidth="1"/>
    <col min="6150" max="6400" width="9.109375" style="380"/>
    <col min="6401" max="6401" width="8.109375" style="380" customWidth="1"/>
    <col min="6402" max="6402" width="41" style="380" customWidth="1"/>
    <col min="6403" max="6405" width="32.88671875" style="380" customWidth="1"/>
    <col min="6406" max="6656" width="9.109375" style="380"/>
    <col min="6657" max="6657" width="8.109375" style="380" customWidth="1"/>
    <col min="6658" max="6658" width="41" style="380" customWidth="1"/>
    <col min="6659" max="6661" width="32.88671875" style="380" customWidth="1"/>
    <col min="6662" max="6912" width="9.109375" style="380"/>
    <col min="6913" max="6913" width="8.109375" style="380" customWidth="1"/>
    <col min="6914" max="6914" width="41" style="380" customWidth="1"/>
    <col min="6915" max="6917" width="32.88671875" style="380" customWidth="1"/>
    <col min="6918" max="7168" width="9.109375" style="380"/>
    <col min="7169" max="7169" width="8.109375" style="380" customWidth="1"/>
    <col min="7170" max="7170" width="41" style="380" customWidth="1"/>
    <col min="7171" max="7173" width="32.88671875" style="380" customWidth="1"/>
    <col min="7174" max="7424" width="9.109375" style="380"/>
    <col min="7425" max="7425" width="8.109375" style="380" customWidth="1"/>
    <col min="7426" max="7426" width="41" style="380" customWidth="1"/>
    <col min="7427" max="7429" width="32.88671875" style="380" customWidth="1"/>
    <col min="7430" max="7680" width="9.109375" style="380"/>
    <col min="7681" max="7681" width="8.109375" style="380" customWidth="1"/>
    <col min="7682" max="7682" width="41" style="380" customWidth="1"/>
    <col min="7683" max="7685" width="32.88671875" style="380" customWidth="1"/>
    <col min="7686" max="7936" width="9.109375" style="380"/>
    <col min="7937" max="7937" width="8.109375" style="380" customWidth="1"/>
    <col min="7938" max="7938" width="41" style="380" customWidth="1"/>
    <col min="7939" max="7941" width="32.88671875" style="380" customWidth="1"/>
    <col min="7942" max="8192" width="9.109375" style="380"/>
    <col min="8193" max="8193" width="8.109375" style="380" customWidth="1"/>
    <col min="8194" max="8194" width="41" style="380" customWidth="1"/>
    <col min="8195" max="8197" width="32.88671875" style="380" customWidth="1"/>
    <col min="8198" max="8448" width="9.109375" style="380"/>
    <col min="8449" max="8449" width="8.109375" style="380" customWidth="1"/>
    <col min="8450" max="8450" width="41" style="380" customWidth="1"/>
    <col min="8451" max="8453" width="32.88671875" style="380" customWidth="1"/>
    <col min="8454" max="8704" width="9.109375" style="380"/>
    <col min="8705" max="8705" width="8.109375" style="380" customWidth="1"/>
    <col min="8706" max="8706" width="41" style="380" customWidth="1"/>
    <col min="8707" max="8709" width="32.88671875" style="380" customWidth="1"/>
    <col min="8710" max="8960" width="9.109375" style="380"/>
    <col min="8961" max="8961" width="8.109375" style="380" customWidth="1"/>
    <col min="8962" max="8962" width="41" style="380" customWidth="1"/>
    <col min="8963" max="8965" width="32.88671875" style="380" customWidth="1"/>
    <col min="8966" max="9216" width="9.109375" style="380"/>
    <col min="9217" max="9217" width="8.109375" style="380" customWidth="1"/>
    <col min="9218" max="9218" width="41" style="380" customWidth="1"/>
    <col min="9219" max="9221" width="32.88671875" style="380" customWidth="1"/>
    <col min="9222" max="9472" width="9.109375" style="380"/>
    <col min="9473" max="9473" width="8.109375" style="380" customWidth="1"/>
    <col min="9474" max="9474" width="41" style="380" customWidth="1"/>
    <col min="9475" max="9477" width="32.88671875" style="380" customWidth="1"/>
    <col min="9478" max="9728" width="9.109375" style="380"/>
    <col min="9729" max="9729" width="8.109375" style="380" customWidth="1"/>
    <col min="9730" max="9730" width="41" style="380" customWidth="1"/>
    <col min="9731" max="9733" width="32.88671875" style="380" customWidth="1"/>
    <col min="9734" max="9984" width="9.109375" style="380"/>
    <col min="9985" max="9985" width="8.109375" style="380" customWidth="1"/>
    <col min="9986" max="9986" width="41" style="380" customWidth="1"/>
    <col min="9987" max="9989" width="32.88671875" style="380" customWidth="1"/>
    <col min="9990" max="10240" width="9.109375" style="380"/>
    <col min="10241" max="10241" width="8.109375" style="380" customWidth="1"/>
    <col min="10242" max="10242" width="41" style="380" customWidth="1"/>
    <col min="10243" max="10245" width="32.88671875" style="380" customWidth="1"/>
    <col min="10246" max="10496" width="9.109375" style="380"/>
    <col min="10497" max="10497" width="8.109375" style="380" customWidth="1"/>
    <col min="10498" max="10498" width="41" style="380" customWidth="1"/>
    <col min="10499" max="10501" width="32.88671875" style="380" customWidth="1"/>
    <col min="10502" max="10752" width="9.109375" style="380"/>
    <col min="10753" max="10753" width="8.109375" style="380" customWidth="1"/>
    <col min="10754" max="10754" width="41" style="380" customWidth="1"/>
    <col min="10755" max="10757" width="32.88671875" style="380" customWidth="1"/>
    <col min="10758" max="11008" width="9.109375" style="380"/>
    <col min="11009" max="11009" width="8.109375" style="380" customWidth="1"/>
    <col min="11010" max="11010" width="41" style="380" customWidth="1"/>
    <col min="11011" max="11013" width="32.88671875" style="380" customWidth="1"/>
    <col min="11014" max="11264" width="9.109375" style="380"/>
    <col min="11265" max="11265" width="8.109375" style="380" customWidth="1"/>
    <col min="11266" max="11266" width="41" style="380" customWidth="1"/>
    <col min="11267" max="11269" width="32.88671875" style="380" customWidth="1"/>
    <col min="11270" max="11520" width="9.109375" style="380"/>
    <col min="11521" max="11521" width="8.109375" style="380" customWidth="1"/>
    <col min="11522" max="11522" width="41" style="380" customWidth="1"/>
    <col min="11523" max="11525" width="32.88671875" style="380" customWidth="1"/>
    <col min="11526" max="11776" width="9.109375" style="380"/>
    <col min="11777" max="11777" width="8.109375" style="380" customWidth="1"/>
    <col min="11778" max="11778" width="41" style="380" customWidth="1"/>
    <col min="11779" max="11781" width="32.88671875" style="380" customWidth="1"/>
    <col min="11782" max="12032" width="9.109375" style="380"/>
    <col min="12033" max="12033" width="8.109375" style="380" customWidth="1"/>
    <col min="12034" max="12034" width="41" style="380" customWidth="1"/>
    <col min="12035" max="12037" width="32.88671875" style="380" customWidth="1"/>
    <col min="12038" max="12288" width="9.109375" style="380"/>
    <col min="12289" max="12289" width="8.109375" style="380" customWidth="1"/>
    <col min="12290" max="12290" width="41" style="380" customWidth="1"/>
    <col min="12291" max="12293" width="32.88671875" style="380" customWidth="1"/>
    <col min="12294" max="12544" width="9.109375" style="380"/>
    <col min="12545" max="12545" width="8.109375" style="380" customWidth="1"/>
    <col min="12546" max="12546" width="41" style="380" customWidth="1"/>
    <col min="12547" max="12549" width="32.88671875" style="380" customWidth="1"/>
    <col min="12550" max="12800" width="9.109375" style="380"/>
    <col min="12801" max="12801" width="8.109375" style="380" customWidth="1"/>
    <col min="12802" max="12802" width="41" style="380" customWidth="1"/>
    <col min="12803" max="12805" width="32.88671875" style="380" customWidth="1"/>
    <col min="12806" max="13056" width="9.109375" style="380"/>
    <col min="13057" max="13057" width="8.109375" style="380" customWidth="1"/>
    <col min="13058" max="13058" width="41" style="380" customWidth="1"/>
    <col min="13059" max="13061" width="32.88671875" style="380" customWidth="1"/>
    <col min="13062" max="13312" width="9.109375" style="380"/>
    <col min="13313" max="13313" width="8.109375" style="380" customWidth="1"/>
    <col min="13314" max="13314" width="41" style="380" customWidth="1"/>
    <col min="13315" max="13317" width="32.88671875" style="380" customWidth="1"/>
    <col min="13318" max="13568" width="9.109375" style="380"/>
    <col min="13569" max="13569" width="8.109375" style="380" customWidth="1"/>
    <col min="13570" max="13570" width="41" style="380" customWidth="1"/>
    <col min="13571" max="13573" width="32.88671875" style="380" customWidth="1"/>
    <col min="13574" max="13824" width="9.109375" style="380"/>
    <col min="13825" max="13825" width="8.109375" style="380" customWidth="1"/>
    <col min="13826" max="13826" width="41" style="380" customWidth="1"/>
    <col min="13827" max="13829" width="32.88671875" style="380" customWidth="1"/>
    <col min="13830" max="14080" width="9.109375" style="380"/>
    <col min="14081" max="14081" width="8.109375" style="380" customWidth="1"/>
    <col min="14082" max="14082" width="41" style="380" customWidth="1"/>
    <col min="14083" max="14085" width="32.88671875" style="380" customWidth="1"/>
    <col min="14086" max="14336" width="9.109375" style="380"/>
    <col min="14337" max="14337" width="8.109375" style="380" customWidth="1"/>
    <col min="14338" max="14338" width="41" style="380" customWidth="1"/>
    <col min="14339" max="14341" width="32.88671875" style="380" customWidth="1"/>
    <col min="14342" max="14592" width="9.109375" style="380"/>
    <col min="14593" max="14593" width="8.109375" style="380" customWidth="1"/>
    <col min="14594" max="14594" width="41" style="380" customWidth="1"/>
    <col min="14595" max="14597" width="32.88671875" style="380" customWidth="1"/>
    <col min="14598" max="14848" width="9.109375" style="380"/>
    <col min="14849" max="14849" width="8.109375" style="380" customWidth="1"/>
    <col min="14850" max="14850" width="41" style="380" customWidth="1"/>
    <col min="14851" max="14853" width="32.88671875" style="380" customWidth="1"/>
    <col min="14854" max="15104" width="9.109375" style="380"/>
    <col min="15105" max="15105" width="8.109375" style="380" customWidth="1"/>
    <col min="15106" max="15106" width="41" style="380" customWidth="1"/>
    <col min="15107" max="15109" width="32.88671875" style="380" customWidth="1"/>
    <col min="15110" max="15360" width="9.109375" style="380"/>
    <col min="15361" max="15361" width="8.109375" style="380" customWidth="1"/>
    <col min="15362" max="15362" width="41" style="380" customWidth="1"/>
    <col min="15363" max="15365" width="32.88671875" style="380" customWidth="1"/>
    <col min="15366" max="15616" width="9.109375" style="380"/>
    <col min="15617" max="15617" width="8.109375" style="380" customWidth="1"/>
    <col min="15618" max="15618" width="41" style="380" customWidth="1"/>
    <col min="15619" max="15621" width="32.88671875" style="380" customWidth="1"/>
    <col min="15622" max="15872" width="9.109375" style="380"/>
    <col min="15873" max="15873" width="8.109375" style="380" customWidth="1"/>
    <col min="15874" max="15874" width="41" style="380" customWidth="1"/>
    <col min="15875" max="15877" width="32.88671875" style="380" customWidth="1"/>
    <col min="15878" max="16128" width="9.109375" style="380"/>
    <col min="16129" max="16129" width="8.109375" style="380" customWidth="1"/>
    <col min="16130" max="16130" width="41" style="380" customWidth="1"/>
    <col min="16131" max="16133" width="32.88671875" style="380" customWidth="1"/>
    <col min="16134" max="16384" width="9.109375" style="380"/>
  </cols>
  <sheetData>
    <row r="1" spans="1:5" ht="26.25" customHeight="1" x14ac:dyDescent="0.25">
      <c r="A1" s="859" t="s">
        <v>93</v>
      </c>
      <c r="B1" s="860"/>
      <c r="C1" s="860"/>
      <c r="D1" s="860"/>
      <c r="E1" s="860"/>
    </row>
    <row r="2" spans="1:5" ht="21" customHeight="1" x14ac:dyDescent="0.25">
      <c r="A2" s="703"/>
      <c r="B2" s="704" t="s">
        <v>2</v>
      </c>
      <c r="C2" s="704" t="s">
        <v>94</v>
      </c>
      <c r="D2" s="704" t="s">
        <v>95</v>
      </c>
      <c r="E2" s="705" t="s">
        <v>96</v>
      </c>
    </row>
    <row r="3" spans="1:5" ht="15" x14ac:dyDescent="0.25">
      <c r="A3" s="706">
        <v>1</v>
      </c>
      <c r="B3" s="707">
        <v>2</v>
      </c>
      <c r="C3" s="707">
        <v>3</v>
      </c>
      <c r="D3" s="707">
        <v>4</v>
      </c>
      <c r="E3" s="708">
        <v>5</v>
      </c>
    </row>
    <row r="4" spans="1:5" x14ac:dyDescent="0.25">
      <c r="A4" s="699" t="s">
        <v>97</v>
      </c>
      <c r="B4" s="700" t="s">
        <v>98</v>
      </c>
      <c r="C4" s="701">
        <v>12299382</v>
      </c>
      <c r="D4" s="701">
        <v>0</v>
      </c>
      <c r="E4" s="702">
        <v>13305973</v>
      </c>
    </row>
    <row r="5" spans="1:5" x14ac:dyDescent="0.25">
      <c r="A5" s="687" t="s">
        <v>99</v>
      </c>
      <c r="B5" s="688" t="s">
        <v>100</v>
      </c>
      <c r="C5" s="689">
        <v>3294743</v>
      </c>
      <c r="D5" s="689">
        <v>0</v>
      </c>
      <c r="E5" s="690">
        <v>7546167</v>
      </c>
    </row>
    <row r="6" spans="1:5" x14ac:dyDescent="0.25">
      <c r="A6" s="687" t="s">
        <v>101</v>
      </c>
      <c r="B6" s="688" t="s">
        <v>102</v>
      </c>
      <c r="C6" s="689">
        <v>0</v>
      </c>
      <c r="D6" s="689">
        <v>0</v>
      </c>
      <c r="E6" s="690">
        <v>0</v>
      </c>
    </row>
    <row r="7" spans="1:5" x14ac:dyDescent="0.25">
      <c r="A7" s="691" t="s">
        <v>103</v>
      </c>
      <c r="B7" s="692" t="s">
        <v>104</v>
      </c>
      <c r="C7" s="693">
        <v>15594125</v>
      </c>
      <c r="D7" s="693">
        <v>0</v>
      </c>
      <c r="E7" s="694">
        <v>20852140</v>
      </c>
    </row>
    <row r="8" spans="1:5" ht="26.4" x14ac:dyDescent="0.25">
      <c r="A8" s="687" t="s">
        <v>105</v>
      </c>
      <c r="B8" s="688" t="s">
        <v>106</v>
      </c>
      <c r="C8" s="689">
        <v>18954536096</v>
      </c>
      <c r="D8" s="689">
        <v>0</v>
      </c>
      <c r="E8" s="690">
        <v>19345897368</v>
      </c>
    </row>
    <row r="9" spans="1:5" ht="26.4" x14ac:dyDescent="0.25">
      <c r="A9" s="687" t="s">
        <v>107</v>
      </c>
      <c r="B9" s="688" t="s">
        <v>108</v>
      </c>
      <c r="C9" s="689">
        <v>302979284</v>
      </c>
      <c r="D9" s="689">
        <v>0</v>
      </c>
      <c r="E9" s="690">
        <v>389353646</v>
      </c>
    </row>
    <row r="10" spans="1:5" x14ac:dyDescent="0.25">
      <c r="A10" s="687" t="s">
        <v>109</v>
      </c>
      <c r="B10" s="688" t="s">
        <v>110</v>
      </c>
      <c r="C10" s="689">
        <v>0</v>
      </c>
      <c r="D10" s="689">
        <v>0</v>
      </c>
      <c r="E10" s="690">
        <v>0</v>
      </c>
    </row>
    <row r="11" spans="1:5" x14ac:dyDescent="0.25">
      <c r="A11" s="687" t="s">
        <v>111</v>
      </c>
      <c r="B11" s="688" t="s">
        <v>112</v>
      </c>
      <c r="C11" s="689">
        <v>296192352</v>
      </c>
      <c r="D11" s="689">
        <v>0</v>
      </c>
      <c r="E11" s="690">
        <v>343375550</v>
      </c>
    </row>
    <row r="12" spans="1:5" x14ac:dyDescent="0.25">
      <c r="A12" s="687" t="s">
        <v>113</v>
      </c>
      <c r="B12" s="688" t="s">
        <v>114</v>
      </c>
      <c r="C12" s="689">
        <v>584522737</v>
      </c>
      <c r="D12" s="689">
        <v>0</v>
      </c>
      <c r="E12" s="690">
        <v>584522737</v>
      </c>
    </row>
    <row r="13" spans="1:5" x14ac:dyDescent="0.25">
      <c r="A13" s="691" t="s">
        <v>115</v>
      </c>
      <c r="B13" s="692" t="s">
        <v>116</v>
      </c>
      <c r="C13" s="693">
        <v>20138230469</v>
      </c>
      <c r="D13" s="693">
        <v>0</v>
      </c>
      <c r="E13" s="694">
        <v>20663149301</v>
      </c>
    </row>
    <row r="14" spans="1:5" ht="26.4" x14ac:dyDescent="0.25">
      <c r="A14" s="687" t="s">
        <v>117</v>
      </c>
      <c r="B14" s="688" t="s">
        <v>118</v>
      </c>
      <c r="C14" s="689">
        <v>256613200</v>
      </c>
      <c r="D14" s="689">
        <v>0</v>
      </c>
      <c r="E14" s="690">
        <v>237713200</v>
      </c>
    </row>
    <row r="15" spans="1:5" ht="26.4" x14ac:dyDescent="0.25">
      <c r="A15" s="687" t="s">
        <v>119</v>
      </c>
      <c r="B15" s="688" t="s">
        <v>120</v>
      </c>
      <c r="C15" s="689">
        <v>0</v>
      </c>
      <c r="D15" s="689">
        <v>0</v>
      </c>
      <c r="E15" s="690">
        <v>0</v>
      </c>
    </row>
    <row r="16" spans="1:5" ht="26.4" x14ac:dyDescent="0.25">
      <c r="A16" s="687" t="s">
        <v>121</v>
      </c>
      <c r="B16" s="688" t="s">
        <v>122</v>
      </c>
      <c r="C16" s="689">
        <v>256613200</v>
      </c>
      <c r="D16" s="689">
        <v>0</v>
      </c>
      <c r="E16" s="690">
        <v>237713200</v>
      </c>
    </row>
    <row r="17" spans="1:5" ht="26.4" x14ac:dyDescent="0.25">
      <c r="A17" s="687" t="s">
        <v>123</v>
      </c>
      <c r="B17" s="688" t="s">
        <v>124</v>
      </c>
      <c r="C17" s="689">
        <v>0</v>
      </c>
      <c r="D17" s="689">
        <v>0</v>
      </c>
      <c r="E17" s="690">
        <v>0</v>
      </c>
    </row>
    <row r="18" spans="1:5" x14ac:dyDescent="0.25">
      <c r="A18" s="687" t="s">
        <v>125</v>
      </c>
      <c r="B18" s="688" t="s">
        <v>126</v>
      </c>
      <c r="C18" s="689">
        <v>0</v>
      </c>
      <c r="D18" s="689">
        <v>0</v>
      </c>
      <c r="E18" s="690">
        <v>0</v>
      </c>
    </row>
    <row r="19" spans="1:5" x14ac:dyDescent="0.25">
      <c r="A19" s="687" t="s">
        <v>127</v>
      </c>
      <c r="B19" s="688" t="s">
        <v>128</v>
      </c>
      <c r="C19" s="689">
        <v>0</v>
      </c>
      <c r="D19" s="689">
        <v>0</v>
      </c>
      <c r="E19" s="690">
        <v>0</v>
      </c>
    </row>
    <row r="20" spans="1:5" ht="26.4" x14ac:dyDescent="0.25">
      <c r="A20" s="687" t="s">
        <v>129</v>
      </c>
      <c r="B20" s="688" t="s">
        <v>130</v>
      </c>
      <c r="C20" s="689">
        <v>0</v>
      </c>
      <c r="D20" s="689">
        <v>0</v>
      </c>
      <c r="E20" s="690">
        <v>0</v>
      </c>
    </row>
    <row r="21" spans="1:5" x14ac:dyDescent="0.25">
      <c r="A21" s="687" t="s">
        <v>131</v>
      </c>
      <c r="B21" s="688" t="s">
        <v>132</v>
      </c>
      <c r="C21" s="689">
        <v>0</v>
      </c>
      <c r="D21" s="689">
        <v>0</v>
      </c>
      <c r="E21" s="690">
        <v>0</v>
      </c>
    </row>
    <row r="22" spans="1:5" x14ac:dyDescent="0.25">
      <c r="A22" s="687" t="s">
        <v>133</v>
      </c>
      <c r="B22" s="688" t="s">
        <v>134</v>
      </c>
      <c r="C22" s="689">
        <v>0</v>
      </c>
      <c r="D22" s="689">
        <v>0</v>
      </c>
      <c r="E22" s="690">
        <v>0</v>
      </c>
    </row>
    <row r="23" spans="1:5" ht="26.4" x14ac:dyDescent="0.25">
      <c r="A23" s="687" t="s">
        <v>135</v>
      </c>
      <c r="B23" s="688" t="s">
        <v>136</v>
      </c>
      <c r="C23" s="689">
        <v>0</v>
      </c>
      <c r="D23" s="689">
        <v>0</v>
      </c>
      <c r="E23" s="690">
        <v>0</v>
      </c>
    </row>
    <row r="24" spans="1:5" ht="26.4" x14ac:dyDescent="0.25">
      <c r="A24" s="691" t="s">
        <v>137</v>
      </c>
      <c r="B24" s="692" t="s">
        <v>138</v>
      </c>
      <c r="C24" s="693">
        <v>256613200</v>
      </c>
      <c r="D24" s="693">
        <v>0</v>
      </c>
      <c r="E24" s="694">
        <v>237713200</v>
      </c>
    </row>
    <row r="25" spans="1:5" ht="26.4" x14ac:dyDescent="0.25">
      <c r="A25" s="687" t="s">
        <v>139</v>
      </c>
      <c r="B25" s="688" t="s">
        <v>140</v>
      </c>
      <c r="C25" s="689">
        <v>383001772</v>
      </c>
      <c r="D25" s="689">
        <v>0</v>
      </c>
      <c r="E25" s="690">
        <v>378259378</v>
      </c>
    </row>
    <row r="26" spans="1:5" x14ac:dyDescent="0.25">
      <c r="A26" s="687" t="s">
        <v>141</v>
      </c>
      <c r="B26" s="688" t="s">
        <v>142</v>
      </c>
      <c r="C26" s="689">
        <v>0</v>
      </c>
      <c r="D26" s="689">
        <v>0</v>
      </c>
      <c r="E26" s="690">
        <v>0</v>
      </c>
    </row>
    <row r="27" spans="1:5" x14ac:dyDescent="0.25">
      <c r="A27" s="687" t="s">
        <v>143</v>
      </c>
      <c r="B27" s="688" t="s">
        <v>144</v>
      </c>
      <c r="C27" s="689">
        <v>383001772</v>
      </c>
      <c r="D27" s="689">
        <v>0</v>
      </c>
      <c r="E27" s="690">
        <v>378259378</v>
      </c>
    </row>
    <row r="28" spans="1:5" ht="26.4" x14ac:dyDescent="0.25">
      <c r="A28" s="687" t="s">
        <v>145</v>
      </c>
      <c r="B28" s="688" t="s">
        <v>146</v>
      </c>
      <c r="C28" s="689">
        <v>0</v>
      </c>
      <c r="D28" s="689">
        <v>0</v>
      </c>
      <c r="E28" s="690">
        <v>0</v>
      </c>
    </row>
    <row r="29" spans="1:5" ht="26.4" x14ac:dyDescent="0.25">
      <c r="A29" s="687" t="s">
        <v>147</v>
      </c>
      <c r="B29" s="688" t="s">
        <v>148</v>
      </c>
      <c r="C29" s="689">
        <v>0</v>
      </c>
      <c r="D29" s="689">
        <v>0</v>
      </c>
      <c r="E29" s="690">
        <v>0</v>
      </c>
    </row>
    <row r="30" spans="1:5" ht="26.4" x14ac:dyDescent="0.25">
      <c r="A30" s="691" t="s">
        <v>149</v>
      </c>
      <c r="B30" s="692" t="s">
        <v>150</v>
      </c>
      <c r="C30" s="693">
        <v>383001772</v>
      </c>
      <c r="D30" s="693">
        <v>0</v>
      </c>
      <c r="E30" s="694">
        <v>378259378</v>
      </c>
    </row>
    <row r="31" spans="1:5" ht="39.6" x14ac:dyDescent="0.25">
      <c r="A31" s="691" t="s">
        <v>151</v>
      </c>
      <c r="B31" s="692" t="s">
        <v>152</v>
      </c>
      <c r="C31" s="693">
        <v>20793439566</v>
      </c>
      <c r="D31" s="693">
        <v>0</v>
      </c>
      <c r="E31" s="694">
        <v>21299974019</v>
      </c>
    </row>
    <row r="32" spans="1:5" x14ac:dyDescent="0.25">
      <c r="A32" s="687" t="s">
        <v>153</v>
      </c>
      <c r="B32" s="688" t="s">
        <v>154</v>
      </c>
      <c r="C32" s="689">
        <v>2864257</v>
      </c>
      <c r="D32" s="689">
        <v>0</v>
      </c>
      <c r="E32" s="690">
        <v>4047965</v>
      </c>
    </row>
    <row r="33" spans="1:5" x14ac:dyDescent="0.25">
      <c r="A33" s="687" t="s">
        <v>155</v>
      </c>
      <c r="B33" s="688" t="s">
        <v>156</v>
      </c>
      <c r="C33" s="689">
        <v>0</v>
      </c>
      <c r="D33" s="689">
        <v>0</v>
      </c>
      <c r="E33" s="690">
        <v>0</v>
      </c>
    </row>
    <row r="34" spans="1:5" x14ac:dyDescent="0.25">
      <c r="A34" s="687" t="s">
        <v>157</v>
      </c>
      <c r="B34" s="688" t="s">
        <v>158</v>
      </c>
      <c r="C34" s="689">
        <v>0</v>
      </c>
      <c r="D34" s="689">
        <v>0</v>
      </c>
      <c r="E34" s="690">
        <v>0</v>
      </c>
    </row>
    <row r="35" spans="1:5" ht="26.4" x14ac:dyDescent="0.25">
      <c r="A35" s="687" t="s">
        <v>159</v>
      </c>
      <c r="B35" s="688" t="s">
        <v>160</v>
      </c>
      <c r="C35" s="689">
        <v>0</v>
      </c>
      <c r="D35" s="689">
        <v>0</v>
      </c>
      <c r="E35" s="690">
        <v>0</v>
      </c>
    </row>
    <row r="36" spans="1:5" x14ac:dyDescent="0.25">
      <c r="A36" s="687" t="s">
        <v>161</v>
      </c>
      <c r="B36" s="688" t="s">
        <v>162</v>
      </c>
      <c r="C36" s="689">
        <v>0</v>
      </c>
      <c r="D36" s="689">
        <v>0</v>
      </c>
      <c r="E36" s="690">
        <v>0</v>
      </c>
    </row>
    <row r="37" spans="1:5" x14ac:dyDescent="0.25">
      <c r="A37" s="691" t="s">
        <v>163</v>
      </c>
      <c r="B37" s="692" t="s">
        <v>164</v>
      </c>
      <c r="C37" s="693">
        <v>2864257</v>
      </c>
      <c r="D37" s="693">
        <v>0</v>
      </c>
      <c r="E37" s="694">
        <v>4047965</v>
      </c>
    </row>
    <row r="38" spans="1:5" x14ac:dyDescent="0.25">
      <c r="A38" s="687" t="s">
        <v>165</v>
      </c>
      <c r="B38" s="688" t="s">
        <v>166</v>
      </c>
      <c r="C38" s="689">
        <v>0</v>
      </c>
      <c r="D38" s="689">
        <v>0</v>
      </c>
      <c r="E38" s="690">
        <v>0</v>
      </c>
    </row>
    <row r="39" spans="1:5" ht="26.4" x14ac:dyDescent="0.25">
      <c r="A39" s="687" t="s">
        <v>167</v>
      </c>
      <c r="B39" s="688" t="s">
        <v>168</v>
      </c>
      <c r="C39" s="689">
        <v>0</v>
      </c>
      <c r="D39" s="689">
        <v>0</v>
      </c>
      <c r="E39" s="690">
        <v>0</v>
      </c>
    </row>
    <row r="40" spans="1:5" x14ac:dyDescent="0.25">
      <c r="A40" s="687" t="s">
        <v>169</v>
      </c>
      <c r="B40" s="688" t="s">
        <v>170</v>
      </c>
      <c r="C40" s="689">
        <v>0</v>
      </c>
      <c r="D40" s="689">
        <v>0</v>
      </c>
      <c r="E40" s="690">
        <v>0</v>
      </c>
    </row>
    <row r="41" spans="1:5" x14ac:dyDescent="0.25">
      <c r="A41" s="687" t="s">
        <v>171</v>
      </c>
      <c r="B41" s="688" t="s">
        <v>172</v>
      </c>
      <c r="C41" s="689">
        <v>0</v>
      </c>
      <c r="D41" s="689">
        <v>0</v>
      </c>
      <c r="E41" s="690">
        <v>0</v>
      </c>
    </row>
    <row r="42" spans="1:5" x14ac:dyDescent="0.25">
      <c r="A42" s="687" t="s">
        <v>173</v>
      </c>
      <c r="B42" s="688" t="s">
        <v>174</v>
      </c>
      <c r="C42" s="689">
        <v>0</v>
      </c>
      <c r="D42" s="689">
        <v>0</v>
      </c>
      <c r="E42" s="690">
        <v>0</v>
      </c>
    </row>
    <row r="43" spans="1:5" x14ac:dyDescent="0.25">
      <c r="A43" s="687" t="s">
        <v>175</v>
      </c>
      <c r="B43" s="688" t="s">
        <v>176</v>
      </c>
      <c r="C43" s="689">
        <v>0</v>
      </c>
      <c r="D43" s="689">
        <v>0</v>
      </c>
      <c r="E43" s="690">
        <v>0</v>
      </c>
    </row>
    <row r="44" spans="1:5" x14ac:dyDescent="0.25">
      <c r="A44" s="687" t="s">
        <v>177</v>
      </c>
      <c r="B44" s="688" t="s">
        <v>178</v>
      </c>
      <c r="C44" s="689">
        <v>0</v>
      </c>
      <c r="D44" s="689">
        <v>0</v>
      </c>
      <c r="E44" s="690">
        <v>0</v>
      </c>
    </row>
    <row r="45" spans="1:5" x14ac:dyDescent="0.25">
      <c r="A45" s="691" t="s">
        <v>179</v>
      </c>
      <c r="B45" s="692" t="s">
        <v>180</v>
      </c>
      <c r="C45" s="693">
        <v>0</v>
      </c>
      <c r="D45" s="693">
        <v>0</v>
      </c>
      <c r="E45" s="694">
        <v>0</v>
      </c>
    </row>
    <row r="46" spans="1:5" ht="26.4" x14ac:dyDescent="0.25">
      <c r="A46" s="691" t="s">
        <v>181</v>
      </c>
      <c r="B46" s="692" t="s">
        <v>182</v>
      </c>
      <c r="C46" s="693">
        <v>2864257</v>
      </c>
      <c r="D46" s="693">
        <v>0</v>
      </c>
      <c r="E46" s="694">
        <v>4047965</v>
      </c>
    </row>
    <row r="47" spans="1:5" x14ac:dyDescent="0.25">
      <c r="A47" s="687" t="s">
        <v>183</v>
      </c>
      <c r="B47" s="688" t="s">
        <v>184</v>
      </c>
      <c r="C47" s="689">
        <v>0</v>
      </c>
      <c r="D47" s="689">
        <v>0</v>
      </c>
      <c r="E47" s="690">
        <v>0</v>
      </c>
    </row>
    <row r="48" spans="1:5" ht="26.4" x14ac:dyDescent="0.25">
      <c r="A48" s="687" t="s">
        <v>185</v>
      </c>
      <c r="B48" s="688" t="s">
        <v>186</v>
      </c>
      <c r="C48" s="689">
        <v>0</v>
      </c>
      <c r="D48" s="689">
        <v>0</v>
      </c>
      <c r="E48" s="690">
        <v>0</v>
      </c>
    </row>
    <row r="49" spans="1:5" x14ac:dyDescent="0.25">
      <c r="A49" s="691" t="s">
        <v>187</v>
      </c>
      <c r="B49" s="692" t="s">
        <v>188</v>
      </c>
      <c r="C49" s="693">
        <v>0</v>
      </c>
      <c r="D49" s="693">
        <v>0</v>
      </c>
      <c r="E49" s="694">
        <v>0</v>
      </c>
    </row>
    <row r="50" spans="1:5" x14ac:dyDescent="0.25">
      <c r="A50" s="687" t="s">
        <v>189</v>
      </c>
      <c r="B50" s="688" t="s">
        <v>190</v>
      </c>
      <c r="C50" s="689">
        <v>807140</v>
      </c>
      <c r="D50" s="689">
        <v>0</v>
      </c>
      <c r="E50" s="690">
        <v>15000</v>
      </c>
    </row>
    <row r="51" spans="1:5" x14ac:dyDescent="0.25">
      <c r="A51" s="687" t="s">
        <v>191</v>
      </c>
      <c r="B51" s="688" t="s">
        <v>192</v>
      </c>
      <c r="C51" s="689">
        <v>0</v>
      </c>
      <c r="D51" s="689">
        <v>0</v>
      </c>
      <c r="E51" s="690">
        <v>0</v>
      </c>
    </row>
    <row r="52" spans="1:5" ht="26.4" x14ac:dyDescent="0.25">
      <c r="A52" s="687" t="s">
        <v>193</v>
      </c>
      <c r="B52" s="688" t="s">
        <v>194</v>
      </c>
      <c r="C52" s="689">
        <v>0</v>
      </c>
      <c r="D52" s="689">
        <v>0</v>
      </c>
      <c r="E52" s="690">
        <v>0</v>
      </c>
    </row>
    <row r="53" spans="1:5" ht="26.4" x14ac:dyDescent="0.25">
      <c r="A53" s="691" t="s">
        <v>195</v>
      </c>
      <c r="B53" s="692" t="s">
        <v>196</v>
      </c>
      <c r="C53" s="693">
        <v>807140</v>
      </c>
      <c r="D53" s="693">
        <v>0</v>
      </c>
      <c r="E53" s="694">
        <v>15000</v>
      </c>
    </row>
    <row r="54" spans="1:5" x14ac:dyDescent="0.25">
      <c r="A54" s="687" t="s">
        <v>197</v>
      </c>
      <c r="B54" s="688" t="s">
        <v>198</v>
      </c>
      <c r="C54" s="689">
        <v>1770659103</v>
      </c>
      <c r="D54" s="689">
        <v>0</v>
      </c>
      <c r="E54" s="690">
        <v>2310876064</v>
      </c>
    </row>
    <row r="55" spans="1:5" x14ac:dyDescent="0.25">
      <c r="A55" s="687" t="s">
        <v>199</v>
      </c>
      <c r="B55" s="688" t="s">
        <v>200</v>
      </c>
      <c r="C55" s="689">
        <v>0</v>
      </c>
      <c r="D55" s="689">
        <v>0</v>
      </c>
      <c r="E55" s="690">
        <v>62550811</v>
      </c>
    </row>
    <row r="56" spans="1:5" x14ac:dyDescent="0.25">
      <c r="A56" s="691" t="s">
        <v>201</v>
      </c>
      <c r="B56" s="692" t="s">
        <v>202</v>
      </c>
      <c r="C56" s="693">
        <v>1770659103</v>
      </c>
      <c r="D56" s="693">
        <v>0</v>
      </c>
      <c r="E56" s="694">
        <v>2373426875</v>
      </c>
    </row>
    <row r="57" spans="1:5" x14ac:dyDescent="0.25">
      <c r="A57" s="687" t="s">
        <v>203</v>
      </c>
      <c r="B57" s="688" t="s">
        <v>204</v>
      </c>
      <c r="C57" s="689">
        <v>0</v>
      </c>
      <c r="D57" s="689">
        <v>0</v>
      </c>
      <c r="E57" s="690">
        <v>0</v>
      </c>
    </row>
    <row r="58" spans="1:5" x14ac:dyDescent="0.25">
      <c r="A58" s="687" t="s">
        <v>205</v>
      </c>
      <c r="B58" s="688" t="s">
        <v>206</v>
      </c>
      <c r="C58" s="689">
        <v>0</v>
      </c>
      <c r="D58" s="689">
        <v>0</v>
      </c>
      <c r="E58" s="690">
        <v>0</v>
      </c>
    </row>
    <row r="59" spans="1:5" x14ac:dyDescent="0.25">
      <c r="A59" s="691" t="s">
        <v>207</v>
      </c>
      <c r="B59" s="692" t="s">
        <v>208</v>
      </c>
      <c r="C59" s="693">
        <v>0</v>
      </c>
      <c r="D59" s="693">
        <v>0</v>
      </c>
      <c r="E59" s="694">
        <v>0</v>
      </c>
    </row>
    <row r="60" spans="1:5" x14ac:dyDescent="0.25">
      <c r="A60" s="691" t="s">
        <v>209</v>
      </c>
      <c r="B60" s="692" t="s">
        <v>210</v>
      </c>
      <c r="C60" s="693">
        <v>1771466243</v>
      </c>
      <c r="D60" s="693">
        <v>0</v>
      </c>
      <c r="E60" s="694">
        <v>2373441875</v>
      </c>
    </row>
    <row r="61" spans="1:5" ht="39.6" x14ac:dyDescent="0.25">
      <c r="A61" s="687" t="s">
        <v>211</v>
      </c>
      <c r="B61" s="688" t="s">
        <v>212</v>
      </c>
      <c r="C61" s="689">
        <v>0</v>
      </c>
      <c r="D61" s="689">
        <v>0</v>
      </c>
      <c r="E61" s="690">
        <v>0</v>
      </c>
    </row>
    <row r="62" spans="1:5" ht="52.8" x14ac:dyDescent="0.25">
      <c r="A62" s="687" t="s">
        <v>213</v>
      </c>
      <c r="B62" s="688" t="s">
        <v>214</v>
      </c>
      <c r="C62" s="689">
        <v>0</v>
      </c>
      <c r="D62" s="689">
        <v>0</v>
      </c>
      <c r="E62" s="690">
        <v>0</v>
      </c>
    </row>
    <row r="63" spans="1:5" ht="39.6" x14ac:dyDescent="0.25">
      <c r="A63" s="687" t="s">
        <v>215</v>
      </c>
      <c r="B63" s="688" t="s">
        <v>216</v>
      </c>
      <c r="C63" s="689">
        <v>0</v>
      </c>
      <c r="D63" s="689">
        <v>0</v>
      </c>
      <c r="E63" s="690">
        <v>0</v>
      </c>
    </row>
    <row r="64" spans="1:5" ht="52.8" x14ac:dyDescent="0.25">
      <c r="A64" s="687" t="s">
        <v>217</v>
      </c>
      <c r="B64" s="688" t="s">
        <v>218</v>
      </c>
      <c r="C64" s="689">
        <v>0</v>
      </c>
      <c r="D64" s="689">
        <v>0</v>
      </c>
      <c r="E64" s="690">
        <v>0</v>
      </c>
    </row>
    <row r="65" spans="1:5" ht="26.4" x14ac:dyDescent="0.25">
      <c r="A65" s="687" t="s">
        <v>219</v>
      </c>
      <c r="B65" s="688" t="s">
        <v>220</v>
      </c>
      <c r="C65" s="689">
        <v>104047790</v>
      </c>
      <c r="D65" s="689">
        <v>0</v>
      </c>
      <c r="E65" s="690">
        <v>69188196</v>
      </c>
    </row>
    <row r="66" spans="1:5" ht="26.4" x14ac:dyDescent="0.25">
      <c r="A66" s="687" t="s">
        <v>221</v>
      </c>
      <c r="B66" s="688" t="s">
        <v>222</v>
      </c>
      <c r="C66" s="689">
        <v>0</v>
      </c>
      <c r="D66" s="689">
        <v>0</v>
      </c>
      <c r="E66" s="690">
        <v>0</v>
      </c>
    </row>
    <row r="67" spans="1:5" ht="39.6" x14ac:dyDescent="0.25">
      <c r="A67" s="687" t="s">
        <v>223</v>
      </c>
      <c r="B67" s="688" t="s">
        <v>224</v>
      </c>
      <c r="C67" s="689">
        <v>0</v>
      </c>
      <c r="D67" s="689">
        <v>0</v>
      </c>
      <c r="E67" s="690">
        <v>0</v>
      </c>
    </row>
    <row r="68" spans="1:5" ht="39.6" x14ac:dyDescent="0.25">
      <c r="A68" s="687" t="s">
        <v>225</v>
      </c>
      <c r="B68" s="688" t="s">
        <v>226</v>
      </c>
      <c r="C68" s="689">
        <v>0</v>
      </c>
      <c r="D68" s="689">
        <v>0</v>
      </c>
      <c r="E68" s="690">
        <v>0</v>
      </c>
    </row>
    <row r="69" spans="1:5" ht="26.4" x14ac:dyDescent="0.25">
      <c r="A69" s="687" t="s">
        <v>227</v>
      </c>
      <c r="B69" s="688" t="s">
        <v>228</v>
      </c>
      <c r="C69" s="689">
        <v>28584752</v>
      </c>
      <c r="D69" s="689">
        <v>0</v>
      </c>
      <c r="E69" s="690">
        <v>17828568</v>
      </c>
    </row>
    <row r="70" spans="1:5" ht="26.4" x14ac:dyDescent="0.25">
      <c r="A70" s="687" t="s">
        <v>229</v>
      </c>
      <c r="B70" s="688" t="s">
        <v>230</v>
      </c>
      <c r="C70" s="689">
        <v>60765900</v>
      </c>
      <c r="D70" s="689">
        <v>0</v>
      </c>
      <c r="E70" s="690">
        <v>44555123</v>
      </c>
    </row>
    <row r="71" spans="1:5" ht="26.4" x14ac:dyDescent="0.25">
      <c r="A71" s="687" t="s">
        <v>231</v>
      </c>
      <c r="B71" s="688" t="s">
        <v>232</v>
      </c>
      <c r="C71" s="689">
        <v>14697138</v>
      </c>
      <c r="D71" s="689">
        <v>0</v>
      </c>
      <c r="E71" s="690">
        <v>6804505</v>
      </c>
    </row>
    <row r="72" spans="1:5" ht="26.4" x14ac:dyDescent="0.25">
      <c r="A72" s="687" t="s">
        <v>233</v>
      </c>
      <c r="B72" s="688" t="s">
        <v>234</v>
      </c>
      <c r="C72" s="689">
        <v>23281555</v>
      </c>
      <c r="D72" s="689">
        <v>0</v>
      </c>
      <c r="E72" s="690">
        <v>24622023</v>
      </c>
    </row>
    <row r="73" spans="1:5" ht="52.8" x14ac:dyDescent="0.25">
      <c r="A73" s="687" t="s">
        <v>235</v>
      </c>
      <c r="B73" s="688" t="s">
        <v>236</v>
      </c>
      <c r="C73" s="689">
        <v>1162321</v>
      </c>
      <c r="D73" s="689">
        <v>0</v>
      </c>
      <c r="E73" s="690">
        <v>477156</v>
      </c>
    </row>
    <row r="74" spans="1:5" ht="26.4" x14ac:dyDescent="0.25">
      <c r="A74" s="687" t="s">
        <v>237</v>
      </c>
      <c r="B74" s="688" t="s">
        <v>238</v>
      </c>
      <c r="C74" s="689">
        <v>1268389</v>
      </c>
      <c r="D74" s="689">
        <v>0</v>
      </c>
      <c r="E74" s="690">
        <v>2529206</v>
      </c>
    </row>
    <row r="75" spans="1:5" ht="26.4" x14ac:dyDescent="0.25">
      <c r="A75" s="687" t="s">
        <v>239</v>
      </c>
      <c r="B75" s="688" t="s">
        <v>240</v>
      </c>
      <c r="C75" s="689">
        <v>13461876</v>
      </c>
      <c r="D75" s="689">
        <v>0</v>
      </c>
      <c r="E75" s="690">
        <v>12853343</v>
      </c>
    </row>
    <row r="76" spans="1:5" ht="26.4" x14ac:dyDescent="0.25">
      <c r="A76" s="687" t="s">
        <v>241</v>
      </c>
      <c r="B76" s="688" t="s">
        <v>242</v>
      </c>
      <c r="C76" s="689">
        <v>5808066</v>
      </c>
      <c r="D76" s="689">
        <v>0</v>
      </c>
      <c r="E76" s="690">
        <v>7625166</v>
      </c>
    </row>
    <row r="77" spans="1:5" ht="39.6" x14ac:dyDescent="0.25">
      <c r="A77" s="687" t="s">
        <v>243</v>
      </c>
      <c r="B77" s="688" t="s">
        <v>244</v>
      </c>
      <c r="C77" s="689">
        <v>0</v>
      </c>
      <c r="D77" s="689">
        <v>0</v>
      </c>
      <c r="E77" s="690">
        <v>0</v>
      </c>
    </row>
    <row r="78" spans="1:5" ht="39.6" x14ac:dyDescent="0.25">
      <c r="A78" s="687" t="s">
        <v>245</v>
      </c>
      <c r="B78" s="688" t="s">
        <v>896</v>
      </c>
      <c r="C78" s="689">
        <v>0</v>
      </c>
      <c r="D78" s="689">
        <v>0</v>
      </c>
      <c r="E78" s="690">
        <v>0</v>
      </c>
    </row>
    <row r="79" spans="1:5" ht="39.6" x14ac:dyDescent="0.25">
      <c r="A79" s="687" t="s">
        <v>246</v>
      </c>
      <c r="B79" s="688" t="s">
        <v>247</v>
      </c>
      <c r="C79" s="689">
        <v>0</v>
      </c>
      <c r="D79" s="689">
        <v>0</v>
      </c>
      <c r="E79" s="690">
        <v>0</v>
      </c>
    </row>
    <row r="80" spans="1:5" ht="26.4" x14ac:dyDescent="0.25">
      <c r="A80" s="687" t="s">
        <v>248</v>
      </c>
      <c r="B80" s="688" t="s">
        <v>249</v>
      </c>
      <c r="C80" s="689">
        <v>0</v>
      </c>
      <c r="D80" s="689">
        <v>0</v>
      </c>
      <c r="E80" s="690">
        <v>0</v>
      </c>
    </row>
    <row r="81" spans="1:5" ht="26.4" x14ac:dyDescent="0.25">
      <c r="A81" s="687" t="s">
        <v>250</v>
      </c>
      <c r="B81" s="688" t="s">
        <v>251</v>
      </c>
      <c r="C81" s="689">
        <v>1580903</v>
      </c>
      <c r="D81" s="689">
        <v>0</v>
      </c>
      <c r="E81" s="690">
        <v>1137152</v>
      </c>
    </row>
    <row r="82" spans="1:5" ht="26.4" x14ac:dyDescent="0.25">
      <c r="A82" s="687" t="s">
        <v>252</v>
      </c>
      <c r="B82" s="688" t="s">
        <v>253</v>
      </c>
      <c r="C82" s="689">
        <v>0</v>
      </c>
      <c r="D82" s="689">
        <v>0</v>
      </c>
      <c r="E82" s="690">
        <v>0</v>
      </c>
    </row>
    <row r="83" spans="1:5" ht="26.4" x14ac:dyDescent="0.25">
      <c r="A83" s="687" t="s">
        <v>254</v>
      </c>
      <c r="B83" s="688" t="s">
        <v>255</v>
      </c>
      <c r="C83" s="689">
        <v>0</v>
      </c>
      <c r="D83" s="689">
        <v>0</v>
      </c>
      <c r="E83" s="690">
        <v>0</v>
      </c>
    </row>
    <row r="84" spans="1:5" ht="26.4" x14ac:dyDescent="0.25">
      <c r="A84" s="687" t="s">
        <v>256</v>
      </c>
      <c r="B84" s="688" t="s">
        <v>257</v>
      </c>
      <c r="C84" s="689">
        <v>0</v>
      </c>
      <c r="D84" s="689">
        <v>0</v>
      </c>
      <c r="E84" s="690">
        <v>0</v>
      </c>
    </row>
    <row r="85" spans="1:5" ht="39.6" x14ac:dyDescent="0.25">
      <c r="A85" s="687" t="s">
        <v>258</v>
      </c>
      <c r="B85" s="688" t="s">
        <v>259</v>
      </c>
      <c r="C85" s="689">
        <v>0</v>
      </c>
      <c r="D85" s="689">
        <v>0</v>
      </c>
      <c r="E85" s="690">
        <v>0</v>
      </c>
    </row>
    <row r="86" spans="1:5" ht="26.4" x14ac:dyDescent="0.25">
      <c r="A86" s="687" t="s">
        <v>260</v>
      </c>
      <c r="B86" s="688" t="s">
        <v>261</v>
      </c>
      <c r="C86" s="689">
        <v>0</v>
      </c>
      <c r="D86" s="689">
        <v>0</v>
      </c>
      <c r="E86" s="690">
        <v>0</v>
      </c>
    </row>
    <row r="87" spans="1:5" ht="39.6" x14ac:dyDescent="0.25">
      <c r="A87" s="687" t="s">
        <v>262</v>
      </c>
      <c r="B87" s="688" t="s">
        <v>263</v>
      </c>
      <c r="C87" s="689">
        <v>0</v>
      </c>
      <c r="D87" s="689">
        <v>0</v>
      </c>
      <c r="E87" s="690">
        <v>0</v>
      </c>
    </row>
    <row r="88" spans="1:5" ht="39.6" x14ac:dyDescent="0.25">
      <c r="A88" s="687" t="s">
        <v>264</v>
      </c>
      <c r="B88" s="688" t="s">
        <v>265</v>
      </c>
      <c r="C88" s="689">
        <v>28095000</v>
      </c>
      <c r="D88" s="689">
        <v>0</v>
      </c>
      <c r="E88" s="690">
        <v>28095000</v>
      </c>
    </row>
    <row r="89" spans="1:5" ht="52.8" x14ac:dyDescent="0.25">
      <c r="A89" s="687" t="s">
        <v>266</v>
      </c>
      <c r="B89" s="688" t="s">
        <v>267</v>
      </c>
      <c r="C89" s="689">
        <v>0</v>
      </c>
      <c r="D89" s="689">
        <v>0</v>
      </c>
      <c r="E89" s="690">
        <v>0</v>
      </c>
    </row>
    <row r="90" spans="1:5" ht="52.8" x14ac:dyDescent="0.25">
      <c r="A90" s="687" t="s">
        <v>268</v>
      </c>
      <c r="B90" s="688" t="s">
        <v>269</v>
      </c>
      <c r="C90" s="689">
        <v>0</v>
      </c>
      <c r="D90" s="689">
        <v>0</v>
      </c>
      <c r="E90" s="690">
        <v>0</v>
      </c>
    </row>
    <row r="91" spans="1:5" ht="52.8" x14ac:dyDescent="0.25">
      <c r="A91" s="687" t="s">
        <v>270</v>
      </c>
      <c r="B91" s="688" t="s">
        <v>271</v>
      </c>
      <c r="C91" s="689">
        <v>28095000</v>
      </c>
      <c r="D91" s="689">
        <v>0</v>
      </c>
      <c r="E91" s="690">
        <v>28095000</v>
      </c>
    </row>
    <row r="92" spans="1:5" ht="39.6" x14ac:dyDescent="0.25">
      <c r="A92" s="687" t="s">
        <v>272</v>
      </c>
      <c r="B92" s="688" t="s">
        <v>273</v>
      </c>
      <c r="C92" s="689">
        <v>13300</v>
      </c>
      <c r="D92" s="689">
        <v>0</v>
      </c>
      <c r="E92" s="690">
        <v>13300</v>
      </c>
    </row>
    <row r="93" spans="1:5" ht="52.8" x14ac:dyDescent="0.25">
      <c r="A93" s="687" t="s">
        <v>274</v>
      </c>
      <c r="B93" s="688" t="s">
        <v>275</v>
      </c>
      <c r="C93" s="689">
        <v>0</v>
      </c>
      <c r="D93" s="689">
        <v>0</v>
      </c>
      <c r="E93" s="690">
        <v>0</v>
      </c>
    </row>
    <row r="94" spans="1:5" ht="52.8" x14ac:dyDescent="0.25">
      <c r="A94" s="687" t="s">
        <v>276</v>
      </c>
      <c r="B94" s="688" t="s">
        <v>277</v>
      </c>
      <c r="C94" s="689">
        <v>0</v>
      </c>
      <c r="D94" s="689">
        <v>0</v>
      </c>
      <c r="E94" s="690">
        <v>0</v>
      </c>
    </row>
    <row r="95" spans="1:5" ht="52.8" x14ac:dyDescent="0.25">
      <c r="A95" s="687" t="s">
        <v>278</v>
      </c>
      <c r="B95" s="688" t="s">
        <v>279</v>
      </c>
      <c r="C95" s="689">
        <v>13300</v>
      </c>
      <c r="D95" s="689">
        <v>0</v>
      </c>
      <c r="E95" s="690">
        <v>13300</v>
      </c>
    </row>
    <row r="96" spans="1:5" ht="26.4" x14ac:dyDescent="0.25">
      <c r="A96" s="687" t="s">
        <v>280</v>
      </c>
      <c r="B96" s="688" t="s">
        <v>281</v>
      </c>
      <c r="C96" s="689">
        <v>0</v>
      </c>
      <c r="D96" s="689">
        <v>0</v>
      </c>
      <c r="E96" s="690">
        <v>0</v>
      </c>
    </row>
    <row r="97" spans="1:5" ht="39.6" x14ac:dyDescent="0.25">
      <c r="A97" s="687" t="s">
        <v>282</v>
      </c>
      <c r="B97" s="688" t="s">
        <v>283</v>
      </c>
      <c r="C97" s="689">
        <v>0</v>
      </c>
      <c r="D97" s="689">
        <v>0</v>
      </c>
      <c r="E97" s="690">
        <v>0</v>
      </c>
    </row>
    <row r="98" spans="1:5" ht="39.6" x14ac:dyDescent="0.25">
      <c r="A98" s="687" t="s">
        <v>284</v>
      </c>
      <c r="B98" s="688" t="s">
        <v>285</v>
      </c>
      <c r="C98" s="689">
        <v>0</v>
      </c>
      <c r="D98" s="689">
        <v>0</v>
      </c>
      <c r="E98" s="690">
        <v>0</v>
      </c>
    </row>
    <row r="99" spans="1:5" ht="39.6" x14ac:dyDescent="0.25">
      <c r="A99" s="687" t="s">
        <v>286</v>
      </c>
      <c r="B99" s="688" t="s">
        <v>287</v>
      </c>
      <c r="C99" s="689">
        <v>0</v>
      </c>
      <c r="D99" s="689">
        <v>0</v>
      </c>
      <c r="E99" s="690">
        <v>0</v>
      </c>
    </row>
    <row r="100" spans="1:5" ht="39.6" x14ac:dyDescent="0.25">
      <c r="A100" s="687" t="s">
        <v>288</v>
      </c>
      <c r="B100" s="688" t="s">
        <v>289</v>
      </c>
      <c r="C100" s="689">
        <v>0</v>
      </c>
      <c r="D100" s="689">
        <v>0</v>
      </c>
      <c r="E100" s="690">
        <v>0</v>
      </c>
    </row>
    <row r="101" spans="1:5" ht="39.6" x14ac:dyDescent="0.25">
      <c r="A101" s="687" t="s">
        <v>290</v>
      </c>
      <c r="B101" s="688" t="s">
        <v>291</v>
      </c>
      <c r="C101" s="689">
        <v>0</v>
      </c>
      <c r="D101" s="689">
        <v>0</v>
      </c>
      <c r="E101" s="690">
        <v>0</v>
      </c>
    </row>
    <row r="102" spans="1:5" ht="39.6" x14ac:dyDescent="0.25">
      <c r="A102" s="687" t="s">
        <v>292</v>
      </c>
      <c r="B102" s="688" t="s">
        <v>293</v>
      </c>
      <c r="C102" s="689">
        <v>0</v>
      </c>
      <c r="D102" s="689">
        <v>0</v>
      </c>
      <c r="E102" s="690">
        <v>0</v>
      </c>
    </row>
    <row r="103" spans="1:5" ht="39.6" x14ac:dyDescent="0.25">
      <c r="A103" s="687" t="s">
        <v>294</v>
      </c>
      <c r="B103" s="688" t="s">
        <v>295</v>
      </c>
      <c r="C103" s="689">
        <v>0</v>
      </c>
      <c r="D103" s="689">
        <v>0</v>
      </c>
      <c r="E103" s="690">
        <v>0</v>
      </c>
    </row>
    <row r="104" spans="1:5" ht="26.4" x14ac:dyDescent="0.25">
      <c r="A104" s="691" t="s">
        <v>296</v>
      </c>
      <c r="B104" s="692" t="s">
        <v>297</v>
      </c>
      <c r="C104" s="693">
        <v>155437645</v>
      </c>
      <c r="D104" s="693">
        <v>0</v>
      </c>
      <c r="E104" s="694">
        <v>121918519</v>
      </c>
    </row>
    <row r="105" spans="1:5" ht="39.6" x14ac:dyDescent="0.25">
      <c r="A105" s="687" t="s">
        <v>298</v>
      </c>
      <c r="B105" s="688" t="s">
        <v>299</v>
      </c>
      <c r="C105" s="689">
        <v>0</v>
      </c>
      <c r="D105" s="689">
        <v>0</v>
      </c>
      <c r="E105" s="690">
        <v>0</v>
      </c>
    </row>
    <row r="106" spans="1:5" ht="52.8" x14ac:dyDescent="0.25">
      <c r="A106" s="687" t="s">
        <v>300</v>
      </c>
      <c r="B106" s="688" t="s">
        <v>301</v>
      </c>
      <c r="C106" s="689">
        <v>0</v>
      </c>
      <c r="D106" s="689">
        <v>0</v>
      </c>
      <c r="E106" s="690">
        <v>0</v>
      </c>
    </row>
    <row r="107" spans="1:5" ht="39.6" x14ac:dyDescent="0.25">
      <c r="A107" s="687" t="s">
        <v>302</v>
      </c>
      <c r="B107" s="688" t="s">
        <v>303</v>
      </c>
      <c r="C107" s="689">
        <v>0</v>
      </c>
      <c r="D107" s="689">
        <v>0</v>
      </c>
      <c r="E107" s="690">
        <v>0</v>
      </c>
    </row>
    <row r="108" spans="1:5" ht="52.8" x14ac:dyDescent="0.25">
      <c r="A108" s="687" t="s">
        <v>304</v>
      </c>
      <c r="B108" s="688" t="s">
        <v>305</v>
      </c>
      <c r="C108" s="689">
        <v>0</v>
      </c>
      <c r="D108" s="689">
        <v>0</v>
      </c>
      <c r="E108" s="690">
        <v>0</v>
      </c>
    </row>
    <row r="109" spans="1:5" ht="39.6" x14ac:dyDescent="0.25">
      <c r="A109" s="687" t="s">
        <v>306</v>
      </c>
      <c r="B109" s="688" t="s">
        <v>307</v>
      </c>
      <c r="C109" s="689">
        <v>44541587</v>
      </c>
      <c r="D109" s="689">
        <v>0</v>
      </c>
      <c r="E109" s="690">
        <v>28526578</v>
      </c>
    </row>
    <row r="110" spans="1:5" ht="26.4" x14ac:dyDescent="0.25">
      <c r="A110" s="687" t="s">
        <v>308</v>
      </c>
      <c r="B110" s="688" t="s">
        <v>309</v>
      </c>
      <c r="C110" s="689">
        <v>0</v>
      </c>
      <c r="D110" s="689">
        <v>0</v>
      </c>
      <c r="E110" s="690">
        <v>0</v>
      </c>
    </row>
    <row r="111" spans="1:5" ht="39.6" x14ac:dyDescent="0.25">
      <c r="A111" s="687" t="s">
        <v>310</v>
      </c>
      <c r="B111" s="688" t="s">
        <v>311</v>
      </c>
      <c r="C111" s="689">
        <v>0</v>
      </c>
      <c r="D111" s="689">
        <v>0</v>
      </c>
      <c r="E111" s="690">
        <v>0</v>
      </c>
    </row>
    <row r="112" spans="1:5" ht="39.6" x14ac:dyDescent="0.25">
      <c r="A112" s="687" t="s">
        <v>312</v>
      </c>
      <c r="B112" s="688" t="s">
        <v>313</v>
      </c>
      <c r="C112" s="689">
        <v>0</v>
      </c>
      <c r="D112" s="689">
        <v>0</v>
      </c>
      <c r="E112" s="690">
        <v>0</v>
      </c>
    </row>
    <row r="113" spans="1:5" ht="26.4" x14ac:dyDescent="0.25">
      <c r="A113" s="687" t="s">
        <v>314</v>
      </c>
      <c r="B113" s="688" t="s">
        <v>315</v>
      </c>
      <c r="C113" s="689">
        <v>19937453</v>
      </c>
      <c r="D113" s="689">
        <v>0</v>
      </c>
      <c r="E113" s="690">
        <v>13990533</v>
      </c>
    </row>
    <row r="114" spans="1:5" ht="39.6" x14ac:dyDescent="0.25">
      <c r="A114" s="687" t="s">
        <v>316</v>
      </c>
      <c r="B114" s="688" t="s">
        <v>317</v>
      </c>
      <c r="C114" s="689">
        <v>24488077</v>
      </c>
      <c r="D114" s="689">
        <v>0</v>
      </c>
      <c r="E114" s="690">
        <v>14444327</v>
      </c>
    </row>
    <row r="115" spans="1:5" ht="39.6" x14ac:dyDescent="0.25">
      <c r="A115" s="687" t="s">
        <v>318</v>
      </c>
      <c r="B115" s="688" t="s">
        <v>319</v>
      </c>
      <c r="C115" s="689">
        <v>116057</v>
      </c>
      <c r="D115" s="689">
        <v>0</v>
      </c>
      <c r="E115" s="690">
        <v>91718</v>
      </c>
    </row>
    <row r="116" spans="1:5" ht="39.6" x14ac:dyDescent="0.25">
      <c r="A116" s="687" t="s">
        <v>320</v>
      </c>
      <c r="B116" s="688" t="s">
        <v>321</v>
      </c>
      <c r="C116" s="689">
        <v>471604</v>
      </c>
      <c r="D116" s="689">
        <v>0</v>
      </c>
      <c r="E116" s="690">
        <v>20218</v>
      </c>
    </row>
    <row r="117" spans="1:5" ht="52.8" x14ac:dyDescent="0.25">
      <c r="A117" s="687" t="s">
        <v>322</v>
      </c>
      <c r="B117" s="688" t="s">
        <v>323</v>
      </c>
      <c r="C117" s="689">
        <v>330330</v>
      </c>
      <c r="D117" s="689">
        <v>0</v>
      </c>
      <c r="E117" s="690">
        <v>16064</v>
      </c>
    </row>
    <row r="118" spans="1:5" ht="26.4" x14ac:dyDescent="0.25">
      <c r="A118" s="687" t="s">
        <v>324</v>
      </c>
      <c r="B118" s="688" t="s">
        <v>325</v>
      </c>
      <c r="C118" s="689">
        <v>10000</v>
      </c>
      <c r="D118" s="689">
        <v>0</v>
      </c>
      <c r="E118" s="690">
        <v>0</v>
      </c>
    </row>
    <row r="119" spans="1:5" ht="26.4" x14ac:dyDescent="0.25">
      <c r="A119" s="687" t="s">
        <v>326</v>
      </c>
      <c r="B119" s="688" t="s">
        <v>327</v>
      </c>
      <c r="C119" s="689">
        <v>0</v>
      </c>
      <c r="D119" s="689">
        <v>0</v>
      </c>
      <c r="E119" s="690">
        <v>0</v>
      </c>
    </row>
    <row r="120" spans="1:5" ht="39.6" x14ac:dyDescent="0.25">
      <c r="A120" s="687" t="s">
        <v>328</v>
      </c>
      <c r="B120" s="688" t="s">
        <v>329</v>
      </c>
      <c r="C120" s="689">
        <v>25027</v>
      </c>
      <c r="D120" s="689">
        <v>0</v>
      </c>
      <c r="E120" s="690">
        <v>4154</v>
      </c>
    </row>
    <row r="121" spans="1:5" ht="39.6" x14ac:dyDescent="0.25">
      <c r="A121" s="687" t="s">
        <v>330</v>
      </c>
      <c r="B121" s="688" t="s">
        <v>331</v>
      </c>
      <c r="C121" s="689">
        <v>0</v>
      </c>
      <c r="D121" s="689">
        <v>0</v>
      </c>
      <c r="E121" s="690">
        <v>0</v>
      </c>
    </row>
    <row r="122" spans="1:5" ht="39.6" x14ac:dyDescent="0.25">
      <c r="A122" s="687" t="s">
        <v>332</v>
      </c>
      <c r="B122" s="688" t="s">
        <v>897</v>
      </c>
      <c r="C122" s="689">
        <v>0</v>
      </c>
      <c r="D122" s="689">
        <v>0</v>
      </c>
      <c r="E122" s="690">
        <v>0</v>
      </c>
    </row>
    <row r="123" spans="1:5" ht="39.6" x14ac:dyDescent="0.25">
      <c r="A123" s="687" t="s">
        <v>333</v>
      </c>
      <c r="B123" s="688" t="s">
        <v>334</v>
      </c>
      <c r="C123" s="689">
        <v>0</v>
      </c>
      <c r="D123" s="689">
        <v>0</v>
      </c>
      <c r="E123" s="690">
        <v>0</v>
      </c>
    </row>
    <row r="124" spans="1:5" ht="39.6" x14ac:dyDescent="0.25">
      <c r="A124" s="687" t="s">
        <v>335</v>
      </c>
      <c r="B124" s="688" t="s">
        <v>336</v>
      </c>
      <c r="C124" s="689">
        <v>0</v>
      </c>
      <c r="D124" s="689">
        <v>0</v>
      </c>
      <c r="E124" s="690">
        <v>0</v>
      </c>
    </row>
    <row r="125" spans="1:5" ht="39.6" x14ac:dyDescent="0.25">
      <c r="A125" s="687" t="s">
        <v>337</v>
      </c>
      <c r="B125" s="688" t="s">
        <v>338</v>
      </c>
      <c r="C125" s="689">
        <v>106247</v>
      </c>
      <c r="D125" s="689">
        <v>0</v>
      </c>
      <c r="E125" s="690">
        <v>0</v>
      </c>
    </row>
    <row r="126" spans="1:5" ht="39.6" x14ac:dyDescent="0.25">
      <c r="A126" s="687" t="s">
        <v>339</v>
      </c>
      <c r="B126" s="688" t="s">
        <v>340</v>
      </c>
      <c r="C126" s="689">
        <v>0</v>
      </c>
      <c r="D126" s="689">
        <v>0</v>
      </c>
      <c r="E126" s="690">
        <v>0</v>
      </c>
    </row>
    <row r="127" spans="1:5" ht="39.6" x14ac:dyDescent="0.25">
      <c r="A127" s="687" t="s">
        <v>341</v>
      </c>
      <c r="B127" s="688" t="s">
        <v>342</v>
      </c>
      <c r="C127" s="689">
        <v>0</v>
      </c>
      <c r="D127" s="689">
        <v>0</v>
      </c>
      <c r="E127" s="690">
        <v>0</v>
      </c>
    </row>
    <row r="128" spans="1:5" ht="26.4" x14ac:dyDescent="0.25">
      <c r="A128" s="687" t="s">
        <v>343</v>
      </c>
      <c r="B128" s="688" t="s">
        <v>344</v>
      </c>
      <c r="C128" s="689">
        <v>0</v>
      </c>
      <c r="D128" s="689">
        <v>0</v>
      </c>
      <c r="E128" s="690">
        <v>0</v>
      </c>
    </row>
    <row r="129" spans="1:5" ht="39.6" x14ac:dyDescent="0.25">
      <c r="A129" s="687" t="s">
        <v>345</v>
      </c>
      <c r="B129" s="688" t="s">
        <v>346</v>
      </c>
      <c r="C129" s="689">
        <v>0</v>
      </c>
      <c r="D129" s="689">
        <v>0</v>
      </c>
      <c r="E129" s="690">
        <v>0</v>
      </c>
    </row>
    <row r="130" spans="1:5" ht="39.6" x14ac:dyDescent="0.25">
      <c r="A130" s="687" t="s">
        <v>347</v>
      </c>
      <c r="B130" s="688" t="s">
        <v>348</v>
      </c>
      <c r="C130" s="689">
        <v>0</v>
      </c>
      <c r="D130" s="689">
        <v>0</v>
      </c>
      <c r="E130" s="690">
        <v>0</v>
      </c>
    </row>
    <row r="131" spans="1:5" ht="39.6" x14ac:dyDescent="0.25">
      <c r="A131" s="687" t="s">
        <v>349</v>
      </c>
      <c r="B131" s="688" t="s">
        <v>350</v>
      </c>
      <c r="C131" s="689">
        <v>0</v>
      </c>
      <c r="D131" s="689">
        <v>0</v>
      </c>
      <c r="E131" s="690">
        <v>0</v>
      </c>
    </row>
    <row r="132" spans="1:5" ht="39.6" x14ac:dyDescent="0.25">
      <c r="A132" s="687" t="s">
        <v>351</v>
      </c>
      <c r="B132" s="688" t="s">
        <v>352</v>
      </c>
      <c r="C132" s="689">
        <v>0</v>
      </c>
      <c r="D132" s="689">
        <v>0</v>
      </c>
      <c r="E132" s="690">
        <v>0</v>
      </c>
    </row>
    <row r="133" spans="1:5" ht="52.8" x14ac:dyDescent="0.25">
      <c r="A133" s="687" t="s">
        <v>353</v>
      </c>
      <c r="B133" s="688" t="s">
        <v>354</v>
      </c>
      <c r="C133" s="689">
        <v>0</v>
      </c>
      <c r="D133" s="689">
        <v>0</v>
      </c>
      <c r="E133" s="690">
        <v>0</v>
      </c>
    </row>
    <row r="134" spans="1:5" ht="66" x14ac:dyDescent="0.25">
      <c r="A134" s="687" t="s">
        <v>355</v>
      </c>
      <c r="B134" s="688" t="s">
        <v>356</v>
      </c>
      <c r="C134" s="689">
        <v>0</v>
      </c>
      <c r="D134" s="689">
        <v>0</v>
      </c>
      <c r="E134" s="690">
        <v>0</v>
      </c>
    </row>
    <row r="135" spans="1:5" ht="52.8" x14ac:dyDescent="0.25">
      <c r="A135" s="687" t="s">
        <v>357</v>
      </c>
      <c r="B135" s="688" t="s">
        <v>358</v>
      </c>
      <c r="C135" s="689">
        <v>0</v>
      </c>
      <c r="D135" s="689">
        <v>0</v>
      </c>
      <c r="E135" s="690">
        <v>0</v>
      </c>
    </row>
    <row r="136" spans="1:5" ht="39.6" x14ac:dyDescent="0.25">
      <c r="A136" s="687" t="s">
        <v>359</v>
      </c>
      <c r="B136" s="688" t="s">
        <v>360</v>
      </c>
      <c r="C136" s="689">
        <v>14577000</v>
      </c>
      <c r="D136" s="689">
        <v>0</v>
      </c>
      <c r="E136" s="690">
        <v>13578400</v>
      </c>
    </row>
    <row r="137" spans="1:5" ht="52.8" x14ac:dyDescent="0.25">
      <c r="A137" s="687" t="s">
        <v>361</v>
      </c>
      <c r="B137" s="688" t="s">
        <v>362</v>
      </c>
      <c r="C137" s="689">
        <v>0</v>
      </c>
      <c r="D137" s="689">
        <v>0</v>
      </c>
      <c r="E137" s="690">
        <v>0</v>
      </c>
    </row>
    <row r="138" spans="1:5" ht="66" x14ac:dyDescent="0.25">
      <c r="A138" s="687" t="s">
        <v>363</v>
      </c>
      <c r="B138" s="688" t="s">
        <v>364</v>
      </c>
      <c r="C138" s="689">
        <v>0</v>
      </c>
      <c r="D138" s="689">
        <v>0</v>
      </c>
      <c r="E138" s="690">
        <v>0</v>
      </c>
    </row>
    <row r="139" spans="1:5" ht="52.8" x14ac:dyDescent="0.25">
      <c r="A139" s="687" t="s">
        <v>365</v>
      </c>
      <c r="B139" s="688" t="s">
        <v>366</v>
      </c>
      <c r="C139" s="689">
        <v>14577000</v>
      </c>
      <c r="D139" s="689">
        <v>0</v>
      </c>
      <c r="E139" s="690">
        <v>13578400</v>
      </c>
    </row>
    <row r="140" spans="1:5" ht="39.6" x14ac:dyDescent="0.25">
      <c r="A140" s="687" t="s">
        <v>367</v>
      </c>
      <c r="B140" s="688" t="s">
        <v>898</v>
      </c>
      <c r="C140" s="689">
        <v>0</v>
      </c>
      <c r="D140" s="689">
        <v>0</v>
      </c>
      <c r="E140" s="690">
        <v>0</v>
      </c>
    </row>
    <row r="141" spans="1:5" ht="39.6" x14ac:dyDescent="0.25">
      <c r="A141" s="687" t="s">
        <v>368</v>
      </c>
      <c r="B141" s="688" t="s">
        <v>369</v>
      </c>
      <c r="C141" s="689">
        <v>0</v>
      </c>
      <c r="D141" s="689">
        <v>0</v>
      </c>
      <c r="E141" s="690">
        <v>0</v>
      </c>
    </row>
    <row r="142" spans="1:5" ht="39.6" x14ac:dyDescent="0.25">
      <c r="A142" s="687" t="s">
        <v>370</v>
      </c>
      <c r="B142" s="688" t="s">
        <v>899</v>
      </c>
      <c r="C142" s="689">
        <v>0</v>
      </c>
      <c r="D142" s="689">
        <v>0</v>
      </c>
      <c r="E142" s="690">
        <v>0</v>
      </c>
    </row>
    <row r="143" spans="1:5" ht="39.6" x14ac:dyDescent="0.25">
      <c r="A143" s="687" t="s">
        <v>371</v>
      </c>
      <c r="B143" s="688" t="s">
        <v>900</v>
      </c>
      <c r="C143" s="689">
        <v>0</v>
      </c>
      <c r="D143" s="689">
        <v>0</v>
      </c>
      <c r="E143" s="690">
        <v>0</v>
      </c>
    </row>
    <row r="144" spans="1:5" ht="39.6" x14ac:dyDescent="0.25">
      <c r="A144" s="687" t="s">
        <v>372</v>
      </c>
      <c r="B144" s="688" t="s">
        <v>901</v>
      </c>
      <c r="C144" s="689">
        <v>0</v>
      </c>
      <c r="D144" s="689">
        <v>0</v>
      </c>
      <c r="E144" s="690">
        <v>0</v>
      </c>
    </row>
    <row r="145" spans="1:5" ht="26.4" x14ac:dyDescent="0.25">
      <c r="A145" s="691" t="s">
        <v>374</v>
      </c>
      <c r="B145" s="692" t="s">
        <v>373</v>
      </c>
      <c r="C145" s="693">
        <v>59590191</v>
      </c>
      <c r="D145" s="693">
        <v>0</v>
      </c>
      <c r="E145" s="694">
        <v>42125196</v>
      </c>
    </row>
    <row r="146" spans="1:5" x14ac:dyDescent="0.25">
      <c r="A146" s="687" t="s">
        <v>376</v>
      </c>
      <c r="B146" s="688" t="s">
        <v>375</v>
      </c>
      <c r="C146" s="689">
        <v>4828677</v>
      </c>
      <c r="D146" s="689">
        <v>0</v>
      </c>
      <c r="E146" s="690">
        <v>65228673</v>
      </c>
    </row>
    <row r="147" spans="1:5" ht="26.4" x14ac:dyDescent="0.25">
      <c r="A147" s="687" t="s">
        <v>378</v>
      </c>
      <c r="B147" s="688" t="s">
        <v>377</v>
      </c>
      <c r="C147" s="689">
        <v>0</v>
      </c>
      <c r="D147" s="689">
        <v>0</v>
      </c>
      <c r="E147" s="690">
        <v>0</v>
      </c>
    </row>
    <row r="148" spans="1:5" ht="26.4" x14ac:dyDescent="0.25">
      <c r="A148" s="687" t="s">
        <v>379</v>
      </c>
      <c r="B148" s="688" t="s">
        <v>902</v>
      </c>
      <c r="C148" s="689">
        <v>0</v>
      </c>
      <c r="D148" s="689">
        <v>0</v>
      </c>
      <c r="E148" s="690">
        <v>57463932</v>
      </c>
    </row>
    <row r="149" spans="1:5" x14ac:dyDescent="0.25">
      <c r="A149" s="687" t="s">
        <v>381</v>
      </c>
      <c r="B149" s="688" t="s">
        <v>380</v>
      </c>
      <c r="C149" s="689">
        <v>0</v>
      </c>
      <c r="D149" s="689">
        <v>0</v>
      </c>
      <c r="E149" s="690">
        <v>0</v>
      </c>
    </row>
    <row r="150" spans="1:5" ht="26.4" x14ac:dyDescent="0.25">
      <c r="A150" s="687" t="s">
        <v>383</v>
      </c>
      <c r="B150" s="688" t="s">
        <v>382</v>
      </c>
      <c r="C150" s="689">
        <v>2035039</v>
      </c>
      <c r="D150" s="689">
        <v>0</v>
      </c>
      <c r="E150" s="690">
        <v>5382677</v>
      </c>
    </row>
    <row r="151" spans="1:5" ht="26.4" x14ac:dyDescent="0.25">
      <c r="A151" s="687" t="s">
        <v>385</v>
      </c>
      <c r="B151" s="688" t="s">
        <v>384</v>
      </c>
      <c r="C151" s="689">
        <v>1865481</v>
      </c>
      <c r="D151" s="689">
        <v>0</v>
      </c>
      <c r="E151" s="690">
        <v>1262595</v>
      </c>
    </row>
    <row r="152" spans="1:5" ht="26.4" x14ac:dyDescent="0.25">
      <c r="A152" s="687" t="s">
        <v>387</v>
      </c>
      <c r="B152" s="688" t="s">
        <v>386</v>
      </c>
      <c r="C152" s="689">
        <v>928157</v>
      </c>
      <c r="D152" s="689">
        <v>0</v>
      </c>
      <c r="E152" s="690">
        <v>1119469</v>
      </c>
    </row>
    <row r="153" spans="1:5" ht="26.4" x14ac:dyDescent="0.25">
      <c r="A153" s="687" t="s">
        <v>389</v>
      </c>
      <c r="B153" s="688" t="s">
        <v>388</v>
      </c>
      <c r="C153" s="689">
        <v>0</v>
      </c>
      <c r="D153" s="689">
        <v>0</v>
      </c>
      <c r="E153" s="690">
        <v>0</v>
      </c>
    </row>
    <row r="154" spans="1:5" x14ac:dyDescent="0.25">
      <c r="A154" s="687" t="s">
        <v>391</v>
      </c>
      <c r="B154" s="688" t="s">
        <v>390</v>
      </c>
      <c r="C154" s="689">
        <v>0</v>
      </c>
      <c r="D154" s="689">
        <v>0</v>
      </c>
      <c r="E154" s="690">
        <v>0</v>
      </c>
    </row>
    <row r="155" spans="1:5" x14ac:dyDescent="0.25">
      <c r="A155" s="687" t="s">
        <v>393</v>
      </c>
      <c r="B155" s="688" t="s">
        <v>392</v>
      </c>
      <c r="C155" s="689">
        <v>400000</v>
      </c>
      <c r="D155" s="689">
        <v>0</v>
      </c>
      <c r="E155" s="690">
        <v>550000</v>
      </c>
    </row>
    <row r="156" spans="1:5" ht="26.4" x14ac:dyDescent="0.25">
      <c r="A156" s="687" t="s">
        <v>395</v>
      </c>
      <c r="B156" s="688" t="s">
        <v>394</v>
      </c>
      <c r="C156" s="689">
        <v>0</v>
      </c>
      <c r="D156" s="689">
        <v>0</v>
      </c>
      <c r="E156" s="690">
        <v>0</v>
      </c>
    </row>
    <row r="157" spans="1:5" ht="39.6" x14ac:dyDescent="0.25">
      <c r="A157" s="687" t="s">
        <v>397</v>
      </c>
      <c r="B157" s="688" t="s">
        <v>396</v>
      </c>
      <c r="C157" s="689">
        <v>0</v>
      </c>
      <c r="D157" s="689">
        <v>0</v>
      </c>
      <c r="E157" s="690">
        <v>0</v>
      </c>
    </row>
    <row r="158" spans="1:5" ht="39.6" x14ac:dyDescent="0.25">
      <c r="A158" s="687" t="s">
        <v>399</v>
      </c>
      <c r="B158" s="688" t="s">
        <v>398</v>
      </c>
      <c r="C158" s="689">
        <v>0</v>
      </c>
      <c r="D158" s="689">
        <v>0</v>
      </c>
      <c r="E158" s="690">
        <v>0</v>
      </c>
    </row>
    <row r="159" spans="1:5" ht="26.4" x14ac:dyDescent="0.25">
      <c r="A159" s="687" t="s">
        <v>400</v>
      </c>
      <c r="B159" s="688" t="s">
        <v>903</v>
      </c>
      <c r="C159" s="689">
        <v>0</v>
      </c>
      <c r="D159" s="689">
        <v>0</v>
      </c>
      <c r="E159" s="690">
        <v>0</v>
      </c>
    </row>
    <row r="160" spans="1:5" ht="26.4" x14ac:dyDescent="0.25">
      <c r="A160" s="687" t="s">
        <v>402</v>
      </c>
      <c r="B160" s="688" t="s">
        <v>401</v>
      </c>
      <c r="C160" s="689">
        <v>0</v>
      </c>
      <c r="D160" s="689">
        <v>0</v>
      </c>
      <c r="E160" s="690">
        <v>0</v>
      </c>
    </row>
    <row r="161" spans="1:5" ht="26.4" x14ac:dyDescent="0.25">
      <c r="A161" s="691" t="s">
        <v>404</v>
      </c>
      <c r="B161" s="692" t="s">
        <v>403</v>
      </c>
      <c r="C161" s="693">
        <v>5228677</v>
      </c>
      <c r="D161" s="693">
        <v>0</v>
      </c>
      <c r="E161" s="694">
        <v>65778673</v>
      </c>
    </row>
    <row r="162" spans="1:5" x14ac:dyDescent="0.25">
      <c r="A162" s="691" t="s">
        <v>406</v>
      </c>
      <c r="B162" s="692" t="s">
        <v>405</v>
      </c>
      <c r="C162" s="693">
        <v>220256513</v>
      </c>
      <c r="D162" s="693">
        <v>0</v>
      </c>
      <c r="E162" s="694">
        <v>229822388</v>
      </c>
    </row>
    <row r="163" spans="1:5" ht="26.4" x14ac:dyDescent="0.25">
      <c r="A163" s="687" t="s">
        <v>407</v>
      </c>
      <c r="B163" s="688" t="s">
        <v>904</v>
      </c>
      <c r="C163" s="689">
        <v>0</v>
      </c>
      <c r="D163" s="689">
        <v>0</v>
      </c>
      <c r="E163" s="690">
        <v>0</v>
      </c>
    </row>
    <row r="164" spans="1:5" ht="26.4" x14ac:dyDescent="0.25">
      <c r="A164" s="687" t="s">
        <v>408</v>
      </c>
      <c r="B164" s="688" t="s">
        <v>905</v>
      </c>
      <c r="C164" s="689">
        <v>77510439</v>
      </c>
      <c r="D164" s="689">
        <v>0</v>
      </c>
      <c r="E164" s="690">
        <v>55491757</v>
      </c>
    </row>
    <row r="165" spans="1:5" ht="26.4" x14ac:dyDescent="0.25">
      <c r="A165" s="687" t="s">
        <v>409</v>
      </c>
      <c r="B165" s="688" t="s">
        <v>906</v>
      </c>
      <c r="C165" s="689">
        <v>549461</v>
      </c>
      <c r="D165" s="689">
        <v>0</v>
      </c>
      <c r="E165" s="690">
        <v>4874292</v>
      </c>
    </row>
    <row r="166" spans="1:5" ht="26.4" x14ac:dyDescent="0.25">
      <c r="A166" s="687" t="s">
        <v>411</v>
      </c>
      <c r="B166" s="688" t="s">
        <v>907</v>
      </c>
      <c r="C166" s="689">
        <v>0</v>
      </c>
      <c r="D166" s="689">
        <v>0</v>
      </c>
      <c r="E166" s="690">
        <v>-4874292</v>
      </c>
    </row>
    <row r="167" spans="1:5" ht="26.4" x14ac:dyDescent="0.25">
      <c r="A167" s="691" t="s">
        <v>413</v>
      </c>
      <c r="B167" s="692" t="s">
        <v>908</v>
      </c>
      <c r="C167" s="693">
        <v>78059900</v>
      </c>
      <c r="D167" s="693">
        <v>0</v>
      </c>
      <c r="E167" s="694">
        <v>55491757</v>
      </c>
    </row>
    <row r="168" spans="1:5" ht="26.4" x14ac:dyDescent="0.25">
      <c r="A168" s="687" t="s">
        <v>415</v>
      </c>
      <c r="B168" s="688" t="s">
        <v>909</v>
      </c>
      <c r="C168" s="689">
        <v>0</v>
      </c>
      <c r="D168" s="689">
        <v>0</v>
      </c>
      <c r="E168" s="690">
        <v>0</v>
      </c>
    </row>
    <row r="169" spans="1:5" x14ac:dyDescent="0.25">
      <c r="A169" s="687" t="s">
        <v>417</v>
      </c>
      <c r="B169" s="688" t="s">
        <v>910</v>
      </c>
      <c r="C169" s="689">
        <v>-50625482</v>
      </c>
      <c r="D169" s="689">
        <v>0</v>
      </c>
      <c r="E169" s="690">
        <v>-27761218</v>
      </c>
    </row>
    <row r="170" spans="1:5" ht="26.4" x14ac:dyDescent="0.25">
      <c r="A170" s="691" t="s">
        <v>419</v>
      </c>
      <c r="B170" s="692" t="s">
        <v>911</v>
      </c>
      <c r="C170" s="693">
        <v>-50625482</v>
      </c>
      <c r="D170" s="693">
        <v>0</v>
      </c>
      <c r="E170" s="694">
        <v>-27761218</v>
      </c>
    </row>
    <row r="171" spans="1:5" ht="26.4" x14ac:dyDescent="0.25">
      <c r="A171" s="687" t="s">
        <v>421</v>
      </c>
      <c r="B171" s="688" t="s">
        <v>912</v>
      </c>
      <c r="C171" s="689">
        <v>0</v>
      </c>
      <c r="D171" s="689">
        <v>0</v>
      </c>
      <c r="E171" s="690">
        <v>0</v>
      </c>
    </row>
    <row r="172" spans="1:5" ht="39.6" x14ac:dyDescent="0.25">
      <c r="A172" s="687" t="s">
        <v>423</v>
      </c>
      <c r="B172" s="688" t="s">
        <v>913</v>
      </c>
      <c r="C172" s="689">
        <v>0</v>
      </c>
      <c r="D172" s="689">
        <v>0</v>
      </c>
      <c r="E172" s="690">
        <v>0</v>
      </c>
    </row>
    <row r="173" spans="1:5" ht="26.4" x14ac:dyDescent="0.25">
      <c r="A173" s="691" t="s">
        <v>424</v>
      </c>
      <c r="B173" s="692" t="s">
        <v>914</v>
      </c>
      <c r="C173" s="693">
        <v>0</v>
      </c>
      <c r="D173" s="693">
        <v>0</v>
      </c>
      <c r="E173" s="694">
        <v>0</v>
      </c>
    </row>
    <row r="174" spans="1:5" ht="26.4" x14ac:dyDescent="0.25">
      <c r="A174" s="691" t="s">
        <v>426</v>
      </c>
      <c r="B174" s="692" t="s">
        <v>915</v>
      </c>
      <c r="C174" s="693">
        <v>27434418</v>
      </c>
      <c r="D174" s="693">
        <v>0</v>
      </c>
      <c r="E174" s="694">
        <v>27730539</v>
      </c>
    </row>
    <row r="175" spans="1:5" ht="26.4" x14ac:dyDescent="0.25">
      <c r="A175" s="687" t="s">
        <v>428</v>
      </c>
      <c r="B175" s="688" t="s">
        <v>410</v>
      </c>
      <c r="C175" s="689">
        <v>0</v>
      </c>
      <c r="D175" s="689">
        <v>0</v>
      </c>
      <c r="E175" s="690">
        <v>0</v>
      </c>
    </row>
    <row r="176" spans="1:5" ht="26.4" x14ac:dyDescent="0.25">
      <c r="A176" s="687" t="s">
        <v>430</v>
      </c>
      <c r="B176" s="688" t="s">
        <v>412</v>
      </c>
      <c r="C176" s="689">
        <v>4083141</v>
      </c>
      <c r="D176" s="689">
        <v>0</v>
      </c>
      <c r="E176" s="690">
        <v>4681436</v>
      </c>
    </row>
    <row r="177" spans="1:5" x14ac:dyDescent="0.25">
      <c r="A177" s="687" t="s">
        <v>432</v>
      </c>
      <c r="B177" s="688" t="s">
        <v>414</v>
      </c>
      <c r="C177" s="689">
        <v>0</v>
      </c>
      <c r="D177" s="689">
        <v>0</v>
      </c>
      <c r="E177" s="690">
        <v>0</v>
      </c>
    </row>
    <row r="178" spans="1:5" ht="26.4" x14ac:dyDescent="0.25">
      <c r="A178" s="691" t="s">
        <v>434</v>
      </c>
      <c r="B178" s="692" t="s">
        <v>416</v>
      </c>
      <c r="C178" s="693">
        <v>4083141</v>
      </c>
      <c r="D178" s="693">
        <v>0</v>
      </c>
      <c r="E178" s="694">
        <v>4681436</v>
      </c>
    </row>
    <row r="179" spans="1:5" x14ac:dyDescent="0.25">
      <c r="A179" s="691" t="s">
        <v>436</v>
      </c>
      <c r="B179" s="692" t="s">
        <v>418</v>
      </c>
      <c r="C179" s="693">
        <v>22819544138</v>
      </c>
      <c r="D179" s="693">
        <v>0</v>
      </c>
      <c r="E179" s="694">
        <v>23939698222</v>
      </c>
    </row>
    <row r="180" spans="1:5" x14ac:dyDescent="0.25">
      <c r="A180" s="687" t="s">
        <v>438</v>
      </c>
      <c r="B180" s="688" t="s">
        <v>420</v>
      </c>
      <c r="C180" s="689">
        <v>24191884537</v>
      </c>
      <c r="D180" s="689">
        <v>0</v>
      </c>
      <c r="E180" s="690">
        <v>24191884537</v>
      </c>
    </row>
    <row r="181" spans="1:5" x14ac:dyDescent="0.25">
      <c r="A181" s="687" t="s">
        <v>440</v>
      </c>
      <c r="B181" s="688" t="s">
        <v>422</v>
      </c>
      <c r="C181" s="689">
        <v>-1094852716</v>
      </c>
      <c r="D181" s="689">
        <v>0</v>
      </c>
      <c r="E181" s="690">
        <v>-1109766837</v>
      </c>
    </row>
    <row r="182" spans="1:5" ht="26.4" x14ac:dyDescent="0.25">
      <c r="A182" s="687" t="s">
        <v>442</v>
      </c>
      <c r="B182" s="688" t="s">
        <v>1366</v>
      </c>
      <c r="C182" s="689">
        <v>458684030</v>
      </c>
      <c r="D182" s="689">
        <v>0</v>
      </c>
      <c r="E182" s="690">
        <v>458684030</v>
      </c>
    </row>
    <row r="183" spans="1:5" x14ac:dyDescent="0.25">
      <c r="A183" s="687" t="s">
        <v>444</v>
      </c>
      <c r="B183" s="688" t="s">
        <v>425</v>
      </c>
      <c r="C183" s="689">
        <v>-3318129217</v>
      </c>
      <c r="D183" s="689">
        <v>0</v>
      </c>
      <c r="E183" s="690">
        <v>-3061944454</v>
      </c>
    </row>
    <row r="184" spans="1:5" x14ac:dyDescent="0.25">
      <c r="A184" s="687" t="s">
        <v>446</v>
      </c>
      <c r="B184" s="688" t="s">
        <v>427</v>
      </c>
      <c r="C184" s="689">
        <v>584522737</v>
      </c>
      <c r="D184" s="689">
        <v>0</v>
      </c>
      <c r="E184" s="690">
        <v>584522737</v>
      </c>
    </row>
    <row r="185" spans="1:5" x14ac:dyDescent="0.25">
      <c r="A185" s="687" t="s">
        <v>448</v>
      </c>
      <c r="B185" s="688" t="s">
        <v>429</v>
      </c>
      <c r="C185" s="689">
        <v>256184763</v>
      </c>
      <c r="D185" s="689">
        <v>0</v>
      </c>
      <c r="E185" s="690">
        <v>738986824</v>
      </c>
    </row>
    <row r="186" spans="1:5" x14ac:dyDescent="0.25">
      <c r="A186" s="691" t="s">
        <v>450</v>
      </c>
      <c r="B186" s="692" t="s">
        <v>431</v>
      </c>
      <c r="C186" s="693">
        <v>21078294134</v>
      </c>
      <c r="D186" s="693">
        <v>0</v>
      </c>
      <c r="E186" s="694">
        <v>21802366837</v>
      </c>
    </row>
    <row r="187" spans="1:5" ht="26.4" x14ac:dyDescent="0.25">
      <c r="A187" s="687" t="s">
        <v>452</v>
      </c>
      <c r="B187" s="688" t="s">
        <v>433</v>
      </c>
      <c r="C187" s="689">
        <v>0</v>
      </c>
      <c r="D187" s="689">
        <v>0</v>
      </c>
      <c r="E187" s="690">
        <v>0</v>
      </c>
    </row>
    <row r="188" spans="1:5" ht="39.6" x14ac:dyDescent="0.25">
      <c r="A188" s="687" t="s">
        <v>454</v>
      </c>
      <c r="B188" s="688" t="s">
        <v>435</v>
      </c>
      <c r="C188" s="689">
        <v>0</v>
      </c>
      <c r="D188" s="689">
        <v>0</v>
      </c>
      <c r="E188" s="690">
        <v>0</v>
      </c>
    </row>
    <row r="189" spans="1:5" ht="26.4" x14ac:dyDescent="0.25">
      <c r="A189" s="687" t="s">
        <v>456</v>
      </c>
      <c r="B189" s="688" t="s">
        <v>437</v>
      </c>
      <c r="C189" s="689">
        <v>25771692</v>
      </c>
      <c r="D189" s="689">
        <v>0</v>
      </c>
      <c r="E189" s="690">
        <v>22743187</v>
      </c>
    </row>
    <row r="190" spans="1:5" ht="26.4" x14ac:dyDescent="0.25">
      <c r="A190" s="687" t="s">
        <v>458</v>
      </c>
      <c r="B190" s="688" t="s">
        <v>439</v>
      </c>
      <c r="C190" s="689">
        <v>17176</v>
      </c>
      <c r="D190" s="689">
        <v>0</v>
      </c>
      <c r="E190" s="690">
        <v>8938</v>
      </c>
    </row>
    <row r="191" spans="1:5" ht="39.6" x14ac:dyDescent="0.25">
      <c r="A191" s="687" t="s">
        <v>460</v>
      </c>
      <c r="B191" s="688" t="s">
        <v>441</v>
      </c>
      <c r="C191" s="689">
        <v>7000000</v>
      </c>
      <c r="D191" s="689">
        <v>0</v>
      </c>
      <c r="E191" s="690">
        <v>0</v>
      </c>
    </row>
    <row r="192" spans="1:5" ht="52.8" x14ac:dyDescent="0.25">
      <c r="A192" s="687" t="s">
        <v>462</v>
      </c>
      <c r="B192" s="688" t="s">
        <v>443</v>
      </c>
      <c r="C192" s="689">
        <v>0</v>
      </c>
      <c r="D192" s="689">
        <v>0</v>
      </c>
      <c r="E192" s="690">
        <v>0</v>
      </c>
    </row>
    <row r="193" spans="1:5" ht="39.6" x14ac:dyDescent="0.25">
      <c r="A193" s="687" t="s">
        <v>464</v>
      </c>
      <c r="B193" s="688" t="s">
        <v>445</v>
      </c>
      <c r="C193" s="689">
        <v>0</v>
      </c>
      <c r="D193" s="689">
        <v>0</v>
      </c>
      <c r="E193" s="690">
        <v>0</v>
      </c>
    </row>
    <row r="194" spans="1:5" ht="26.4" x14ac:dyDescent="0.25">
      <c r="A194" s="687" t="s">
        <v>466</v>
      </c>
      <c r="B194" s="688" t="s">
        <v>447</v>
      </c>
      <c r="C194" s="689">
        <v>3992164</v>
      </c>
      <c r="D194" s="689">
        <v>0</v>
      </c>
      <c r="E194" s="690">
        <v>60422204</v>
      </c>
    </row>
    <row r="195" spans="1:5" ht="26.4" x14ac:dyDescent="0.25">
      <c r="A195" s="687" t="s">
        <v>468</v>
      </c>
      <c r="B195" s="688" t="s">
        <v>449</v>
      </c>
      <c r="C195" s="689">
        <v>104551537</v>
      </c>
      <c r="D195" s="689">
        <v>0</v>
      </c>
      <c r="E195" s="690">
        <v>15662120</v>
      </c>
    </row>
    <row r="196" spans="1:5" ht="39.6" x14ac:dyDescent="0.25">
      <c r="A196" s="687" t="s">
        <v>470</v>
      </c>
      <c r="B196" s="688" t="s">
        <v>451</v>
      </c>
      <c r="C196" s="689">
        <v>0</v>
      </c>
      <c r="D196" s="689">
        <v>0</v>
      </c>
      <c r="E196" s="690">
        <v>0</v>
      </c>
    </row>
    <row r="197" spans="1:5" ht="52.8" x14ac:dyDescent="0.25">
      <c r="A197" s="687" t="s">
        <v>472</v>
      </c>
      <c r="B197" s="688" t="s">
        <v>453</v>
      </c>
      <c r="C197" s="689">
        <v>0</v>
      </c>
      <c r="D197" s="689">
        <v>0</v>
      </c>
      <c r="E197" s="690">
        <v>0</v>
      </c>
    </row>
    <row r="198" spans="1:5" ht="39.6" x14ac:dyDescent="0.25">
      <c r="A198" s="687" t="s">
        <v>474</v>
      </c>
      <c r="B198" s="688" t="s">
        <v>455</v>
      </c>
      <c r="C198" s="689">
        <v>0</v>
      </c>
      <c r="D198" s="689">
        <v>0</v>
      </c>
      <c r="E198" s="690">
        <v>0</v>
      </c>
    </row>
    <row r="199" spans="1:5" ht="39.6" x14ac:dyDescent="0.25">
      <c r="A199" s="687" t="s">
        <v>476</v>
      </c>
      <c r="B199" s="688" t="s">
        <v>457</v>
      </c>
      <c r="C199" s="689">
        <v>3529898</v>
      </c>
      <c r="D199" s="689">
        <v>0</v>
      </c>
      <c r="E199" s="690">
        <v>3529898</v>
      </c>
    </row>
    <row r="200" spans="1:5" ht="39.6" x14ac:dyDescent="0.25">
      <c r="A200" s="687" t="s">
        <v>478</v>
      </c>
      <c r="B200" s="688" t="s">
        <v>459</v>
      </c>
      <c r="C200" s="689">
        <v>3529898</v>
      </c>
      <c r="D200" s="689">
        <v>0</v>
      </c>
      <c r="E200" s="690">
        <v>3529898</v>
      </c>
    </row>
    <row r="201" spans="1:5" ht="39.6" x14ac:dyDescent="0.25">
      <c r="A201" s="687" t="s">
        <v>480</v>
      </c>
      <c r="B201" s="688" t="s">
        <v>461</v>
      </c>
      <c r="C201" s="689">
        <v>0</v>
      </c>
      <c r="D201" s="689">
        <v>0</v>
      </c>
      <c r="E201" s="690">
        <v>0</v>
      </c>
    </row>
    <row r="202" spans="1:5" ht="26.4" x14ac:dyDescent="0.25">
      <c r="A202" s="687" t="s">
        <v>482</v>
      </c>
      <c r="B202" s="688" t="s">
        <v>463</v>
      </c>
      <c r="C202" s="689">
        <v>0</v>
      </c>
      <c r="D202" s="689">
        <v>0</v>
      </c>
      <c r="E202" s="690">
        <v>0</v>
      </c>
    </row>
    <row r="203" spans="1:5" ht="39.6" x14ac:dyDescent="0.25">
      <c r="A203" s="687" t="s">
        <v>484</v>
      </c>
      <c r="B203" s="688" t="s">
        <v>465</v>
      </c>
      <c r="C203" s="689">
        <v>0</v>
      </c>
      <c r="D203" s="689">
        <v>0</v>
      </c>
      <c r="E203" s="690">
        <v>0</v>
      </c>
    </row>
    <row r="204" spans="1:5" ht="26.4" x14ac:dyDescent="0.25">
      <c r="A204" s="687" t="s">
        <v>486</v>
      </c>
      <c r="B204" s="688" t="s">
        <v>467</v>
      </c>
      <c r="C204" s="689">
        <v>0</v>
      </c>
      <c r="D204" s="689">
        <v>0</v>
      </c>
      <c r="E204" s="690">
        <v>0</v>
      </c>
    </row>
    <row r="205" spans="1:5" ht="39.6" x14ac:dyDescent="0.25">
      <c r="A205" s="687" t="s">
        <v>488</v>
      </c>
      <c r="B205" s="688" t="s">
        <v>469</v>
      </c>
      <c r="C205" s="689">
        <v>0</v>
      </c>
      <c r="D205" s="689">
        <v>0</v>
      </c>
      <c r="E205" s="690">
        <v>0</v>
      </c>
    </row>
    <row r="206" spans="1:5" ht="39.6" x14ac:dyDescent="0.25">
      <c r="A206" s="687" t="s">
        <v>490</v>
      </c>
      <c r="B206" s="688" t="s">
        <v>471</v>
      </c>
      <c r="C206" s="689">
        <v>0</v>
      </c>
      <c r="D206" s="689">
        <v>0</v>
      </c>
      <c r="E206" s="690">
        <v>0</v>
      </c>
    </row>
    <row r="207" spans="1:5" ht="26.4" x14ac:dyDescent="0.25">
      <c r="A207" s="687" t="s">
        <v>492</v>
      </c>
      <c r="B207" s="688" t="s">
        <v>473</v>
      </c>
      <c r="C207" s="689">
        <v>0</v>
      </c>
      <c r="D207" s="689">
        <v>0</v>
      </c>
      <c r="E207" s="690">
        <v>0</v>
      </c>
    </row>
    <row r="208" spans="1:5" ht="26.4" x14ac:dyDescent="0.25">
      <c r="A208" s="687" t="s">
        <v>494</v>
      </c>
      <c r="B208" s="688" t="s">
        <v>475</v>
      </c>
      <c r="C208" s="689">
        <v>0</v>
      </c>
      <c r="D208" s="689">
        <v>0</v>
      </c>
      <c r="E208" s="690">
        <v>0</v>
      </c>
    </row>
    <row r="209" spans="1:5" ht="52.8" x14ac:dyDescent="0.25">
      <c r="A209" s="687" t="s">
        <v>496</v>
      </c>
      <c r="B209" s="688" t="s">
        <v>477</v>
      </c>
      <c r="C209" s="689">
        <v>0</v>
      </c>
      <c r="D209" s="689">
        <v>0</v>
      </c>
      <c r="E209" s="690">
        <v>0</v>
      </c>
    </row>
    <row r="210" spans="1:5" ht="39.6" x14ac:dyDescent="0.25">
      <c r="A210" s="687" t="s">
        <v>498</v>
      </c>
      <c r="B210" s="688" t="s">
        <v>479</v>
      </c>
      <c r="C210" s="689">
        <v>0</v>
      </c>
      <c r="D210" s="689">
        <v>0</v>
      </c>
      <c r="E210" s="690">
        <v>0</v>
      </c>
    </row>
    <row r="211" spans="1:5" ht="26.4" x14ac:dyDescent="0.25">
      <c r="A211" s="687" t="s">
        <v>500</v>
      </c>
      <c r="B211" s="688" t="s">
        <v>481</v>
      </c>
      <c r="C211" s="689">
        <v>0</v>
      </c>
      <c r="D211" s="689">
        <v>0</v>
      </c>
      <c r="E211" s="690">
        <v>0</v>
      </c>
    </row>
    <row r="212" spans="1:5" ht="26.4" x14ac:dyDescent="0.25">
      <c r="A212" s="691" t="s">
        <v>502</v>
      </c>
      <c r="B212" s="692" t="s">
        <v>483</v>
      </c>
      <c r="C212" s="693">
        <v>144862467</v>
      </c>
      <c r="D212" s="693">
        <v>0</v>
      </c>
      <c r="E212" s="694">
        <v>102366347</v>
      </c>
    </row>
    <row r="213" spans="1:5" ht="26.4" x14ac:dyDescent="0.25">
      <c r="A213" s="687" t="s">
        <v>504</v>
      </c>
      <c r="B213" s="688" t="s">
        <v>485</v>
      </c>
      <c r="C213" s="689">
        <v>0</v>
      </c>
      <c r="D213" s="689">
        <v>0</v>
      </c>
      <c r="E213" s="690">
        <v>0</v>
      </c>
    </row>
    <row r="214" spans="1:5" ht="39.6" x14ac:dyDescent="0.25">
      <c r="A214" s="687" t="s">
        <v>506</v>
      </c>
      <c r="B214" s="688" t="s">
        <v>487</v>
      </c>
      <c r="C214" s="689">
        <v>0</v>
      </c>
      <c r="D214" s="689">
        <v>0</v>
      </c>
      <c r="E214" s="690">
        <v>0</v>
      </c>
    </row>
    <row r="215" spans="1:5" ht="26.4" x14ac:dyDescent="0.25">
      <c r="A215" s="687" t="s">
        <v>508</v>
      </c>
      <c r="B215" s="688" t="s">
        <v>489</v>
      </c>
      <c r="C215" s="689">
        <v>6629339</v>
      </c>
      <c r="D215" s="689">
        <v>0</v>
      </c>
      <c r="E215" s="690">
        <v>347746</v>
      </c>
    </row>
    <row r="216" spans="1:5" ht="26.4" x14ac:dyDescent="0.25">
      <c r="A216" s="687" t="s">
        <v>509</v>
      </c>
      <c r="B216" s="688" t="s">
        <v>491</v>
      </c>
      <c r="C216" s="689">
        <v>0</v>
      </c>
      <c r="D216" s="689">
        <v>0</v>
      </c>
      <c r="E216" s="690">
        <v>0</v>
      </c>
    </row>
    <row r="217" spans="1:5" ht="39.6" x14ac:dyDescent="0.25">
      <c r="A217" s="687" t="s">
        <v>511</v>
      </c>
      <c r="B217" s="688" t="s">
        <v>493</v>
      </c>
      <c r="C217" s="689">
        <v>7634003</v>
      </c>
      <c r="D217" s="689">
        <v>0</v>
      </c>
      <c r="E217" s="690">
        <v>23103161</v>
      </c>
    </row>
    <row r="218" spans="1:5" ht="52.8" x14ac:dyDescent="0.25">
      <c r="A218" s="687" t="s">
        <v>513</v>
      </c>
      <c r="B218" s="688" t="s">
        <v>495</v>
      </c>
      <c r="C218" s="689">
        <v>0</v>
      </c>
      <c r="D218" s="689">
        <v>0</v>
      </c>
      <c r="E218" s="690">
        <v>0</v>
      </c>
    </row>
    <row r="219" spans="1:5" ht="39.6" x14ac:dyDescent="0.25">
      <c r="A219" s="687" t="s">
        <v>515</v>
      </c>
      <c r="B219" s="688" t="s">
        <v>497</v>
      </c>
      <c r="C219" s="689">
        <v>0</v>
      </c>
      <c r="D219" s="689">
        <v>0</v>
      </c>
      <c r="E219" s="690">
        <v>0</v>
      </c>
    </row>
    <row r="220" spans="1:5" ht="26.4" x14ac:dyDescent="0.25">
      <c r="A220" s="687" t="s">
        <v>517</v>
      </c>
      <c r="B220" s="688" t="s">
        <v>499</v>
      </c>
      <c r="C220" s="689">
        <v>0</v>
      </c>
      <c r="D220" s="689">
        <v>0</v>
      </c>
      <c r="E220" s="690">
        <v>0</v>
      </c>
    </row>
    <row r="221" spans="1:5" ht="26.4" x14ac:dyDescent="0.25">
      <c r="A221" s="687" t="s">
        <v>518</v>
      </c>
      <c r="B221" s="688" t="s">
        <v>501</v>
      </c>
      <c r="C221" s="689">
        <v>0</v>
      </c>
      <c r="D221" s="689">
        <v>0</v>
      </c>
      <c r="E221" s="690">
        <v>0</v>
      </c>
    </row>
    <row r="222" spans="1:5" ht="39.6" x14ac:dyDescent="0.25">
      <c r="A222" s="687" t="s">
        <v>519</v>
      </c>
      <c r="B222" s="688" t="s">
        <v>503</v>
      </c>
      <c r="C222" s="689">
        <v>0</v>
      </c>
      <c r="D222" s="689">
        <v>0</v>
      </c>
      <c r="E222" s="690">
        <v>0</v>
      </c>
    </row>
    <row r="223" spans="1:5" ht="52.8" x14ac:dyDescent="0.25">
      <c r="A223" s="687" t="s">
        <v>520</v>
      </c>
      <c r="B223" s="688" t="s">
        <v>505</v>
      </c>
      <c r="C223" s="689">
        <v>0</v>
      </c>
      <c r="D223" s="689">
        <v>0</v>
      </c>
      <c r="E223" s="690">
        <v>0</v>
      </c>
    </row>
    <row r="224" spans="1:5" ht="39.6" x14ac:dyDescent="0.25">
      <c r="A224" s="687" t="s">
        <v>521</v>
      </c>
      <c r="B224" s="688" t="s">
        <v>507</v>
      </c>
      <c r="C224" s="689">
        <v>0</v>
      </c>
      <c r="D224" s="689">
        <v>0</v>
      </c>
      <c r="E224" s="690">
        <v>0</v>
      </c>
    </row>
    <row r="225" spans="1:5" ht="39.6" x14ac:dyDescent="0.25">
      <c r="A225" s="687" t="s">
        <v>522</v>
      </c>
      <c r="B225" s="688" t="s">
        <v>916</v>
      </c>
      <c r="C225" s="689">
        <v>598030452</v>
      </c>
      <c r="D225" s="689">
        <v>0</v>
      </c>
      <c r="E225" s="690">
        <v>559635931</v>
      </c>
    </row>
    <row r="226" spans="1:5" ht="39.6" x14ac:dyDescent="0.25">
      <c r="A226" s="687" t="s">
        <v>524</v>
      </c>
      <c r="B226" s="688" t="s">
        <v>510</v>
      </c>
      <c r="C226" s="689">
        <v>581246531</v>
      </c>
      <c r="D226" s="689">
        <v>0</v>
      </c>
      <c r="E226" s="690">
        <v>556579665</v>
      </c>
    </row>
    <row r="227" spans="1:5" ht="39.6" x14ac:dyDescent="0.25">
      <c r="A227" s="687" t="s">
        <v>525</v>
      </c>
      <c r="B227" s="688" t="s">
        <v>512</v>
      </c>
      <c r="C227" s="689">
        <v>0</v>
      </c>
      <c r="D227" s="689">
        <v>0</v>
      </c>
      <c r="E227" s="690">
        <v>0</v>
      </c>
    </row>
    <row r="228" spans="1:5" ht="39.6" x14ac:dyDescent="0.25">
      <c r="A228" s="687" t="s">
        <v>526</v>
      </c>
      <c r="B228" s="688" t="s">
        <v>514</v>
      </c>
      <c r="C228" s="689">
        <v>0</v>
      </c>
      <c r="D228" s="689">
        <v>0</v>
      </c>
      <c r="E228" s="690">
        <v>0</v>
      </c>
    </row>
    <row r="229" spans="1:5" ht="39.6" x14ac:dyDescent="0.25">
      <c r="A229" s="687" t="s">
        <v>527</v>
      </c>
      <c r="B229" s="688" t="s">
        <v>516</v>
      </c>
      <c r="C229" s="689">
        <v>0</v>
      </c>
      <c r="D229" s="689">
        <v>0</v>
      </c>
      <c r="E229" s="690">
        <v>0</v>
      </c>
    </row>
    <row r="230" spans="1:5" ht="39.6" x14ac:dyDescent="0.25">
      <c r="A230" s="687" t="s">
        <v>528</v>
      </c>
      <c r="B230" s="688" t="s">
        <v>917</v>
      </c>
      <c r="C230" s="689">
        <v>16783921</v>
      </c>
      <c r="D230" s="689">
        <v>0</v>
      </c>
      <c r="E230" s="690">
        <v>3056266</v>
      </c>
    </row>
    <row r="231" spans="1:5" ht="39.6" x14ac:dyDescent="0.25">
      <c r="A231" s="687" t="s">
        <v>530</v>
      </c>
      <c r="B231" s="688" t="s">
        <v>918</v>
      </c>
      <c r="C231" s="689">
        <v>0</v>
      </c>
      <c r="D231" s="689">
        <v>0</v>
      </c>
      <c r="E231" s="690">
        <v>0</v>
      </c>
    </row>
    <row r="232" spans="1:5" ht="39.6" x14ac:dyDescent="0.25">
      <c r="A232" s="687" t="s">
        <v>532</v>
      </c>
      <c r="B232" s="688" t="s">
        <v>919</v>
      </c>
      <c r="C232" s="689">
        <v>0</v>
      </c>
      <c r="D232" s="689">
        <v>0</v>
      </c>
      <c r="E232" s="690">
        <v>0</v>
      </c>
    </row>
    <row r="233" spans="1:5" ht="52.8" x14ac:dyDescent="0.25">
      <c r="A233" s="687" t="s">
        <v>534</v>
      </c>
      <c r="B233" s="688" t="s">
        <v>920</v>
      </c>
      <c r="C233" s="689">
        <v>0</v>
      </c>
      <c r="D233" s="689">
        <v>0</v>
      </c>
      <c r="E233" s="690">
        <v>0</v>
      </c>
    </row>
    <row r="234" spans="1:5" ht="52.8" x14ac:dyDescent="0.25">
      <c r="A234" s="687" t="s">
        <v>535</v>
      </c>
      <c r="B234" s="688" t="s">
        <v>921</v>
      </c>
      <c r="C234" s="689">
        <v>0</v>
      </c>
      <c r="D234" s="689">
        <v>0</v>
      </c>
      <c r="E234" s="690">
        <v>0</v>
      </c>
    </row>
    <row r="235" spans="1:5" ht="26.4" x14ac:dyDescent="0.25">
      <c r="A235" s="687" t="s">
        <v>537</v>
      </c>
      <c r="B235" s="688" t="s">
        <v>922</v>
      </c>
      <c r="C235" s="689">
        <v>0</v>
      </c>
      <c r="D235" s="689">
        <v>0</v>
      </c>
      <c r="E235" s="690">
        <v>0</v>
      </c>
    </row>
    <row r="236" spans="1:5" ht="26.4" x14ac:dyDescent="0.25">
      <c r="A236" s="691" t="s">
        <v>538</v>
      </c>
      <c r="B236" s="692" t="s">
        <v>523</v>
      </c>
      <c r="C236" s="693">
        <v>612293794</v>
      </c>
      <c r="D236" s="693">
        <v>0</v>
      </c>
      <c r="E236" s="694">
        <v>583086838</v>
      </c>
    </row>
    <row r="237" spans="1:5" x14ac:dyDescent="0.25">
      <c r="A237" s="687" t="s">
        <v>540</v>
      </c>
      <c r="B237" s="688" t="s">
        <v>923</v>
      </c>
      <c r="C237" s="689">
        <v>4009324</v>
      </c>
      <c r="D237" s="689">
        <v>0</v>
      </c>
      <c r="E237" s="690">
        <v>3185335</v>
      </c>
    </row>
    <row r="238" spans="1:5" ht="26.4" x14ac:dyDescent="0.25">
      <c r="A238" s="687" t="s">
        <v>542</v>
      </c>
      <c r="B238" s="688" t="s">
        <v>529</v>
      </c>
      <c r="C238" s="689">
        <v>0</v>
      </c>
      <c r="D238" s="689">
        <v>0</v>
      </c>
      <c r="E238" s="690">
        <v>0</v>
      </c>
    </row>
    <row r="239" spans="1:5" ht="26.4" x14ac:dyDescent="0.25">
      <c r="A239" s="687" t="s">
        <v>544</v>
      </c>
      <c r="B239" s="688" t="s">
        <v>531</v>
      </c>
      <c r="C239" s="689">
        <v>2716426</v>
      </c>
      <c r="D239" s="689">
        <v>0</v>
      </c>
      <c r="E239" s="690">
        <v>967068</v>
      </c>
    </row>
    <row r="240" spans="1:5" x14ac:dyDescent="0.25">
      <c r="A240" s="687" t="s">
        <v>546</v>
      </c>
      <c r="B240" s="688" t="s">
        <v>533</v>
      </c>
      <c r="C240" s="689">
        <v>0</v>
      </c>
      <c r="D240" s="689">
        <v>0</v>
      </c>
      <c r="E240" s="690">
        <v>0</v>
      </c>
    </row>
    <row r="241" spans="1:5" ht="39.6" x14ac:dyDescent="0.25">
      <c r="A241" s="687" t="s">
        <v>548</v>
      </c>
      <c r="B241" s="688" t="s">
        <v>924</v>
      </c>
      <c r="C241" s="689">
        <v>0</v>
      </c>
      <c r="D241" s="689">
        <v>0</v>
      </c>
      <c r="E241" s="690">
        <v>0</v>
      </c>
    </row>
    <row r="242" spans="1:5" ht="39.6" x14ac:dyDescent="0.25">
      <c r="A242" s="687" t="s">
        <v>550</v>
      </c>
      <c r="B242" s="688" t="s">
        <v>536</v>
      </c>
      <c r="C242" s="689">
        <v>0</v>
      </c>
      <c r="D242" s="689">
        <v>0</v>
      </c>
      <c r="E242" s="690">
        <v>0</v>
      </c>
    </row>
    <row r="243" spans="1:5" ht="26.4" x14ac:dyDescent="0.25">
      <c r="A243" s="687" t="s">
        <v>552</v>
      </c>
      <c r="B243" s="688" t="s">
        <v>539</v>
      </c>
      <c r="C243" s="689">
        <v>1603330</v>
      </c>
      <c r="D243" s="689">
        <v>0</v>
      </c>
      <c r="E243" s="690">
        <v>2155730</v>
      </c>
    </row>
    <row r="244" spans="1:5" ht="26.4" x14ac:dyDescent="0.25">
      <c r="A244" s="687" t="s">
        <v>554</v>
      </c>
      <c r="B244" s="688" t="s">
        <v>541</v>
      </c>
      <c r="C244" s="689">
        <v>0</v>
      </c>
      <c r="D244" s="689">
        <v>0</v>
      </c>
      <c r="E244" s="690">
        <v>0</v>
      </c>
    </row>
    <row r="245" spans="1:5" ht="26.4" x14ac:dyDescent="0.25">
      <c r="A245" s="687" t="s">
        <v>556</v>
      </c>
      <c r="B245" s="688" t="s">
        <v>543</v>
      </c>
      <c r="C245" s="689">
        <v>0</v>
      </c>
      <c r="D245" s="689">
        <v>0</v>
      </c>
      <c r="E245" s="690">
        <v>0</v>
      </c>
    </row>
    <row r="246" spans="1:5" ht="26.4" x14ac:dyDescent="0.25">
      <c r="A246" s="691" t="s">
        <v>558</v>
      </c>
      <c r="B246" s="692" t="s">
        <v>545</v>
      </c>
      <c r="C246" s="693">
        <v>8329080</v>
      </c>
      <c r="D246" s="693">
        <v>0</v>
      </c>
      <c r="E246" s="694">
        <v>6308133</v>
      </c>
    </row>
    <row r="247" spans="1:5" x14ac:dyDescent="0.25">
      <c r="A247" s="691" t="s">
        <v>925</v>
      </c>
      <c r="B247" s="692" t="s">
        <v>547</v>
      </c>
      <c r="C247" s="693">
        <v>765485341</v>
      </c>
      <c r="D247" s="693">
        <v>0</v>
      </c>
      <c r="E247" s="694">
        <v>691761318</v>
      </c>
    </row>
    <row r="248" spans="1:5" ht="26.4" x14ac:dyDescent="0.25">
      <c r="A248" s="691" t="s">
        <v>926</v>
      </c>
      <c r="B248" s="692" t="s">
        <v>549</v>
      </c>
      <c r="C248" s="693">
        <v>0</v>
      </c>
      <c r="D248" s="693">
        <v>0</v>
      </c>
      <c r="E248" s="694">
        <v>0</v>
      </c>
    </row>
    <row r="249" spans="1:5" ht="26.4" x14ac:dyDescent="0.25">
      <c r="A249" s="687" t="s">
        <v>927</v>
      </c>
      <c r="B249" s="688" t="s">
        <v>551</v>
      </c>
      <c r="C249" s="689">
        <v>0</v>
      </c>
      <c r="D249" s="689">
        <v>0</v>
      </c>
      <c r="E249" s="690">
        <v>0</v>
      </c>
    </row>
    <row r="250" spans="1:5" ht="26.4" x14ac:dyDescent="0.25">
      <c r="A250" s="687" t="s">
        <v>928</v>
      </c>
      <c r="B250" s="688" t="s">
        <v>553</v>
      </c>
      <c r="C250" s="689">
        <v>109740185</v>
      </c>
      <c r="D250" s="689">
        <v>0</v>
      </c>
      <c r="E250" s="690">
        <v>121192618</v>
      </c>
    </row>
    <row r="251" spans="1:5" x14ac:dyDescent="0.25">
      <c r="A251" s="687" t="s">
        <v>929</v>
      </c>
      <c r="B251" s="688" t="s">
        <v>555</v>
      </c>
      <c r="C251" s="689">
        <v>866024478</v>
      </c>
      <c r="D251" s="689">
        <v>0</v>
      </c>
      <c r="E251" s="690">
        <v>1324377449</v>
      </c>
    </row>
    <row r="252" spans="1:5" ht="26.4" x14ac:dyDescent="0.25">
      <c r="A252" s="691" t="s">
        <v>930</v>
      </c>
      <c r="B252" s="692" t="s">
        <v>557</v>
      </c>
      <c r="C252" s="693">
        <v>975764663</v>
      </c>
      <c r="D252" s="693">
        <v>0</v>
      </c>
      <c r="E252" s="694">
        <v>1445570067</v>
      </c>
    </row>
    <row r="253" spans="1:5" x14ac:dyDescent="0.25">
      <c r="A253" s="695" t="s">
        <v>931</v>
      </c>
      <c r="B253" s="696" t="s">
        <v>559</v>
      </c>
      <c r="C253" s="697">
        <v>22819544138</v>
      </c>
      <c r="D253" s="697">
        <v>0</v>
      </c>
      <c r="E253" s="698">
        <v>23939698222</v>
      </c>
    </row>
  </sheetData>
  <mergeCells count="1">
    <mergeCell ref="A1:E1"/>
  </mergeCells>
  <printOptions horizontalCentered="1" verticalCentered="1"/>
  <pageMargins left="0.74803149606299213" right="0.74803149606299213" top="0.59055118110236227" bottom="0.59055118110236227" header="0.51181102362204722" footer="0.51181102362204722"/>
  <pageSetup scale="56" orientation="portrait" horizontalDpi="300" verticalDpi="300" r:id="rId1"/>
  <headerFooter alignWithMargins="0">
    <oddHeader>&amp;CDunaharaszti Város Önkormányzata
2018. évi zárszámadás&amp;R&amp;A</oddHeader>
    <oddFooter>&amp;C&amp;P/&amp;N</oddFooter>
  </headerFooter>
  <rowBreaks count="6" manualBreakCount="6">
    <brk id="60" max="16383" man="1"/>
    <brk id="90" max="16383" man="1"/>
    <brk id="116" max="16383" man="1"/>
    <brk id="145" max="16383" man="1"/>
    <brk id="192" max="16383" man="1"/>
    <brk id="21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7"/>
  <sheetViews>
    <sheetView view="pageBreakPreview" zoomScale="60" zoomScaleNormal="100" workbookViewId="0">
      <pane ySplit="3" topLeftCell="A4" activePane="bottomLeft" state="frozen"/>
      <selection pane="bottomLeft" sqref="A1:E3"/>
    </sheetView>
  </sheetViews>
  <sheetFormatPr defaultRowHeight="13.2" x14ac:dyDescent="0.25"/>
  <cols>
    <col min="1" max="1" width="8.109375" style="380" customWidth="1"/>
    <col min="2" max="2" width="41" style="380" customWidth="1"/>
    <col min="3" max="3" width="24.6640625" style="380" customWidth="1"/>
    <col min="4" max="4" width="21.6640625" style="380" customWidth="1"/>
    <col min="5" max="5" width="26" style="380" customWidth="1"/>
    <col min="6" max="256" width="9.109375" style="380"/>
    <col min="257" max="257" width="8.109375" style="380" customWidth="1"/>
    <col min="258" max="258" width="41" style="380" customWidth="1"/>
    <col min="259" max="261" width="32.88671875" style="380" customWidth="1"/>
    <col min="262" max="512" width="9.109375" style="380"/>
    <col min="513" max="513" width="8.109375" style="380" customWidth="1"/>
    <col min="514" max="514" width="41" style="380" customWidth="1"/>
    <col min="515" max="517" width="32.88671875" style="380" customWidth="1"/>
    <col min="518" max="768" width="9.109375" style="380"/>
    <col min="769" max="769" width="8.109375" style="380" customWidth="1"/>
    <col min="770" max="770" width="41" style="380" customWidth="1"/>
    <col min="771" max="773" width="32.88671875" style="380" customWidth="1"/>
    <col min="774" max="1024" width="9.109375" style="380"/>
    <col min="1025" max="1025" width="8.109375" style="380" customWidth="1"/>
    <col min="1026" max="1026" width="41" style="380" customWidth="1"/>
    <col min="1027" max="1029" width="32.88671875" style="380" customWidth="1"/>
    <col min="1030" max="1280" width="9.109375" style="380"/>
    <col min="1281" max="1281" width="8.109375" style="380" customWidth="1"/>
    <col min="1282" max="1282" width="41" style="380" customWidth="1"/>
    <col min="1283" max="1285" width="32.88671875" style="380" customWidth="1"/>
    <col min="1286" max="1536" width="9.109375" style="380"/>
    <col min="1537" max="1537" width="8.109375" style="380" customWidth="1"/>
    <col min="1538" max="1538" width="41" style="380" customWidth="1"/>
    <col min="1539" max="1541" width="32.88671875" style="380" customWidth="1"/>
    <col min="1542" max="1792" width="9.109375" style="380"/>
    <col min="1793" max="1793" width="8.109375" style="380" customWidth="1"/>
    <col min="1794" max="1794" width="41" style="380" customWidth="1"/>
    <col min="1795" max="1797" width="32.88671875" style="380" customWidth="1"/>
    <col min="1798" max="2048" width="9.109375" style="380"/>
    <col min="2049" max="2049" width="8.109375" style="380" customWidth="1"/>
    <col min="2050" max="2050" width="41" style="380" customWidth="1"/>
    <col min="2051" max="2053" width="32.88671875" style="380" customWidth="1"/>
    <col min="2054" max="2304" width="9.109375" style="380"/>
    <col min="2305" max="2305" width="8.109375" style="380" customWidth="1"/>
    <col min="2306" max="2306" width="41" style="380" customWidth="1"/>
    <col min="2307" max="2309" width="32.88671875" style="380" customWidth="1"/>
    <col min="2310" max="2560" width="9.109375" style="380"/>
    <col min="2561" max="2561" width="8.109375" style="380" customWidth="1"/>
    <col min="2562" max="2562" width="41" style="380" customWidth="1"/>
    <col min="2563" max="2565" width="32.88671875" style="380" customWidth="1"/>
    <col min="2566" max="2816" width="9.109375" style="380"/>
    <col min="2817" max="2817" width="8.109375" style="380" customWidth="1"/>
    <col min="2818" max="2818" width="41" style="380" customWidth="1"/>
    <col min="2819" max="2821" width="32.88671875" style="380" customWidth="1"/>
    <col min="2822" max="3072" width="9.109375" style="380"/>
    <col min="3073" max="3073" width="8.109375" style="380" customWidth="1"/>
    <col min="3074" max="3074" width="41" style="380" customWidth="1"/>
    <col min="3075" max="3077" width="32.88671875" style="380" customWidth="1"/>
    <col min="3078" max="3328" width="9.109375" style="380"/>
    <col min="3329" max="3329" width="8.109375" style="380" customWidth="1"/>
    <col min="3330" max="3330" width="41" style="380" customWidth="1"/>
    <col min="3331" max="3333" width="32.88671875" style="380" customWidth="1"/>
    <col min="3334" max="3584" width="9.109375" style="380"/>
    <col min="3585" max="3585" width="8.109375" style="380" customWidth="1"/>
    <col min="3586" max="3586" width="41" style="380" customWidth="1"/>
    <col min="3587" max="3589" width="32.88671875" style="380" customWidth="1"/>
    <col min="3590" max="3840" width="9.109375" style="380"/>
    <col min="3841" max="3841" width="8.109375" style="380" customWidth="1"/>
    <col min="3842" max="3842" width="41" style="380" customWidth="1"/>
    <col min="3843" max="3845" width="32.88671875" style="380" customWidth="1"/>
    <col min="3846" max="4096" width="9.109375" style="380"/>
    <col min="4097" max="4097" width="8.109375" style="380" customWidth="1"/>
    <col min="4098" max="4098" width="41" style="380" customWidth="1"/>
    <col min="4099" max="4101" width="32.88671875" style="380" customWidth="1"/>
    <col min="4102" max="4352" width="9.109375" style="380"/>
    <col min="4353" max="4353" width="8.109375" style="380" customWidth="1"/>
    <col min="4354" max="4354" width="41" style="380" customWidth="1"/>
    <col min="4355" max="4357" width="32.88671875" style="380" customWidth="1"/>
    <col min="4358" max="4608" width="9.109375" style="380"/>
    <col min="4609" max="4609" width="8.109375" style="380" customWidth="1"/>
    <col min="4610" max="4610" width="41" style="380" customWidth="1"/>
    <col min="4611" max="4613" width="32.88671875" style="380" customWidth="1"/>
    <col min="4614" max="4864" width="9.109375" style="380"/>
    <col min="4865" max="4865" width="8.109375" style="380" customWidth="1"/>
    <col min="4866" max="4866" width="41" style="380" customWidth="1"/>
    <col min="4867" max="4869" width="32.88671875" style="380" customWidth="1"/>
    <col min="4870" max="5120" width="9.109375" style="380"/>
    <col min="5121" max="5121" width="8.109375" style="380" customWidth="1"/>
    <col min="5122" max="5122" width="41" style="380" customWidth="1"/>
    <col min="5123" max="5125" width="32.88671875" style="380" customWidth="1"/>
    <col min="5126" max="5376" width="9.109375" style="380"/>
    <col min="5377" max="5377" width="8.109375" style="380" customWidth="1"/>
    <col min="5378" max="5378" width="41" style="380" customWidth="1"/>
    <col min="5379" max="5381" width="32.88671875" style="380" customWidth="1"/>
    <col min="5382" max="5632" width="9.109375" style="380"/>
    <col min="5633" max="5633" width="8.109375" style="380" customWidth="1"/>
    <col min="5634" max="5634" width="41" style="380" customWidth="1"/>
    <col min="5635" max="5637" width="32.88671875" style="380" customWidth="1"/>
    <col min="5638" max="5888" width="9.109375" style="380"/>
    <col min="5889" max="5889" width="8.109375" style="380" customWidth="1"/>
    <col min="5890" max="5890" width="41" style="380" customWidth="1"/>
    <col min="5891" max="5893" width="32.88671875" style="380" customWidth="1"/>
    <col min="5894" max="6144" width="9.109375" style="380"/>
    <col min="6145" max="6145" width="8.109375" style="380" customWidth="1"/>
    <col min="6146" max="6146" width="41" style="380" customWidth="1"/>
    <col min="6147" max="6149" width="32.88671875" style="380" customWidth="1"/>
    <col min="6150" max="6400" width="9.109375" style="380"/>
    <col min="6401" max="6401" width="8.109375" style="380" customWidth="1"/>
    <col min="6402" max="6402" width="41" style="380" customWidth="1"/>
    <col min="6403" max="6405" width="32.88671875" style="380" customWidth="1"/>
    <col min="6406" max="6656" width="9.109375" style="380"/>
    <col min="6657" max="6657" width="8.109375" style="380" customWidth="1"/>
    <col min="6658" max="6658" width="41" style="380" customWidth="1"/>
    <col min="6659" max="6661" width="32.88671875" style="380" customWidth="1"/>
    <col min="6662" max="6912" width="9.109375" style="380"/>
    <col min="6913" max="6913" width="8.109375" style="380" customWidth="1"/>
    <col min="6914" max="6914" width="41" style="380" customWidth="1"/>
    <col min="6915" max="6917" width="32.88671875" style="380" customWidth="1"/>
    <col min="6918" max="7168" width="9.109375" style="380"/>
    <col min="7169" max="7169" width="8.109375" style="380" customWidth="1"/>
    <col min="7170" max="7170" width="41" style="380" customWidth="1"/>
    <col min="7171" max="7173" width="32.88671875" style="380" customWidth="1"/>
    <col min="7174" max="7424" width="9.109375" style="380"/>
    <col min="7425" max="7425" width="8.109375" style="380" customWidth="1"/>
    <col min="7426" max="7426" width="41" style="380" customWidth="1"/>
    <col min="7427" max="7429" width="32.88671875" style="380" customWidth="1"/>
    <col min="7430" max="7680" width="9.109375" style="380"/>
    <col min="7681" max="7681" width="8.109375" style="380" customWidth="1"/>
    <col min="7682" max="7682" width="41" style="380" customWidth="1"/>
    <col min="7683" max="7685" width="32.88671875" style="380" customWidth="1"/>
    <col min="7686" max="7936" width="9.109375" style="380"/>
    <col min="7937" max="7937" width="8.109375" style="380" customWidth="1"/>
    <col min="7938" max="7938" width="41" style="380" customWidth="1"/>
    <col min="7939" max="7941" width="32.88671875" style="380" customWidth="1"/>
    <col min="7942" max="8192" width="9.109375" style="380"/>
    <col min="8193" max="8193" width="8.109375" style="380" customWidth="1"/>
    <col min="8194" max="8194" width="41" style="380" customWidth="1"/>
    <col min="8195" max="8197" width="32.88671875" style="380" customWidth="1"/>
    <col min="8198" max="8448" width="9.109375" style="380"/>
    <col min="8449" max="8449" width="8.109375" style="380" customWidth="1"/>
    <col min="8450" max="8450" width="41" style="380" customWidth="1"/>
    <col min="8451" max="8453" width="32.88671875" style="380" customWidth="1"/>
    <col min="8454" max="8704" width="9.109375" style="380"/>
    <col min="8705" max="8705" width="8.109375" style="380" customWidth="1"/>
    <col min="8706" max="8706" width="41" style="380" customWidth="1"/>
    <col min="8707" max="8709" width="32.88671875" style="380" customWidth="1"/>
    <col min="8710" max="8960" width="9.109375" style="380"/>
    <col min="8961" max="8961" width="8.109375" style="380" customWidth="1"/>
    <col min="8962" max="8962" width="41" style="380" customWidth="1"/>
    <col min="8963" max="8965" width="32.88671875" style="380" customWidth="1"/>
    <col min="8966" max="9216" width="9.109375" style="380"/>
    <col min="9217" max="9217" width="8.109375" style="380" customWidth="1"/>
    <col min="9218" max="9218" width="41" style="380" customWidth="1"/>
    <col min="9219" max="9221" width="32.88671875" style="380" customWidth="1"/>
    <col min="9222" max="9472" width="9.109375" style="380"/>
    <col min="9473" max="9473" width="8.109375" style="380" customWidth="1"/>
    <col min="9474" max="9474" width="41" style="380" customWidth="1"/>
    <col min="9475" max="9477" width="32.88671875" style="380" customWidth="1"/>
    <col min="9478" max="9728" width="9.109375" style="380"/>
    <col min="9729" max="9729" width="8.109375" style="380" customWidth="1"/>
    <col min="9730" max="9730" width="41" style="380" customWidth="1"/>
    <col min="9731" max="9733" width="32.88671875" style="380" customWidth="1"/>
    <col min="9734" max="9984" width="9.109375" style="380"/>
    <col min="9985" max="9985" width="8.109375" style="380" customWidth="1"/>
    <col min="9986" max="9986" width="41" style="380" customWidth="1"/>
    <col min="9987" max="9989" width="32.88671875" style="380" customWidth="1"/>
    <col min="9990" max="10240" width="9.109375" style="380"/>
    <col min="10241" max="10241" width="8.109375" style="380" customWidth="1"/>
    <col min="10242" max="10242" width="41" style="380" customWidth="1"/>
    <col min="10243" max="10245" width="32.88671875" style="380" customWidth="1"/>
    <col min="10246" max="10496" width="9.109375" style="380"/>
    <col min="10497" max="10497" width="8.109375" style="380" customWidth="1"/>
    <col min="10498" max="10498" width="41" style="380" customWidth="1"/>
    <col min="10499" max="10501" width="32.88671875" style="380" customWidth="1"/>
    <col min="10502" max="10752" width="9.109375" style="380"/>
    <col min="10753" max="10753" width="8.109375" style="380" customWidth="1"/>
    <col min="10754" max="10754" width="41" style="380" customWidth="1"/>
    <col min="10755" max="10757" width="32.88671875" style="380" customWidth="1"/>
    <col min="10758" max="11008" width="9.109375" style="380"/>
    <col min="11009" max="11009" width="8.109375" style="380" customWidth="1"/>
    <col min="11010" max="11010" width="41" style="380" customWidth="1"/>
    <col min="11011" max="11013" width="32.88671875" style="380" customWidth="1"/>
    <col min="11014" max="11264" width="9.109375" style="380"/>
    <col min="11265" max="11265" width="8.109375" style="380" customWidth="1"/>
    <col min="11266" max="11266" width="41" style="380" customWidth="1"/>
    <col min="11267" max="11269" width="32.88671875" style="380" customWidth="1"/>
    <col min="11270" max="11520" width="9.109375" style="380"/>
    <col min="11521" max="11521" width="8.109375" style="380" customWidth="1"/>
    <col min="11522" max="11522" width="41" style="380" customWidth="1"/>
    <col min="11523" max="11525" width="32.88671875" style="380" customWidth="1"/>
    <col min="11526" max="11776" width="9.109375" style="380"/>
    <col min="11777" max="11777" width="8.109375" style="380" customWidth="1"/>
    <col min="11778" max="11778" width="41" style="380" customWidth="1"/>
    <col min="11779" max="11781" width="32.88671875" style="380" customWidth="1"/>
    <col min="11782" max="12032" width="9.109375" style="380"/>
    <col min="12033" max="12033" width="8.109375" style="380" customWidth="1"/>
    <col min="12034" max="12034" width="41" style="380" customWidth="1"/>
    <col min="12035" max="12037" width="32.88671875" style="380" customWidth="1"/>
    <col min="12038" max="12288" width="9.109375" style="380"/>
    <col min="12289" max="12289" width="8.109375" style="380" customWidth="1"/>
    <col min="12290" max="12290" width="41" style="380" customWidth="1"/>
    <col min="12291" max="12293" width="32.88671875" style="380" customWidth="1"/>
    <col min="12294" max="12544" width="9.109375" style="380"/>
    <col min="12545" max="12545" width="8.109375" style="380" customWidth="1"/>
    <col min="12546" max="12546" width="41" style="380" customWidth="1"/>
    <col min="12547" max="12549" width="32.88671875" style="380" customWidth="1"/>
    <col min="12550" max="12800" width="9.109375" style="380"/>
    <col min="12801" max="12801" width="8.109375" style="380" customWidth="1"/>
    <col min="12802" max="12802" width="41" style="380" customWidth="1"/>
    <col min="12803" max="12805" width="32.88671875" style="380" customWidth="1"/>
    <col min="12806" max="13056" width="9.109375" style="380"/>
    <col min="13057" max="13057" width="8.109375" style="380" customWidth="1"/>
    <col min="13058" max="13058" width="41" style="380" customWidth="1"/>
    <col min="13059" max="13061" width="32.88671875" style="380" customWidth="1"/>
    <col min="13062" max="13312" width="9.109375" style="380"/>
    <col min="13313" max="13313" width="8.109375" style="380" customWidth="1"/>
    <col min="13314" max="13314" width="41" style="380" customWidth="1"/>
    <col min="13315" max="13317" width="32.88671875" style="380" customWidth="1"/>
    <col min="13318" max="13568" width="9.109375" style="380"/>
    <col min="13569" max="13569" width="8.109375" style="380" customWidth="1"/>
    <col min="13570" max="13570" width="41" style="380" customWidth="1"/>
    <col min="13571" max="13573" width="32.88671875" style="380" customWidth="1"/>
    <col min="13574" max="13824" width="9.109375" style="380"/>
    <col min="13825" max="13825" width="8.109375" style="380" customWidth="1"/>
    <col min="13826" max="13826" width="41" style="380" customWidth="1"/>
    <col min="13827" max="13829" width="32.88671875" style="380" customWidth="1"/>
    <col min="13830" max="14080" width="9.109375" style="380"/>
    <col min="14081" max="14081" width="8.109375" style="380" customWidth="1"/>
    <col min="14082" max="14082" width="41" style="380" customWidth="1"/>
    <col min="14083" max="14085" width="32.88671875" style="380" customWidth="1"/>
    <col min="14086" max="14336" width="9.109375" style="380"/>
    <col min="14337" max="14337" width="8.109375" style="380" customWidth="1"/>
    <col min="14338" max="14338" width="41" style="380" customWidth="1"/>
    <col min="14339" max="14341" width="32.88671875" style="380" customWidth="1"/>
    <col min="14342" max="14592" width="9.109375" style="380"/>
    <col min="14593" max="14593" width="8.109375" style="380" customWidth="1"/>
    <col min="14594" max="14594" width="41" style="380" customWidth="1"/>
    <col min="14595" max="14597" width="32.88671875" style="380" customWidth="1"/>
    <col min="14598" max="14848" width="9.109375" style="380"/>
    <col min="14849" max="14849" width="8.109375" style="380" customWidth="1"/>
    <col min="14850" max="14850" width="41" style="380" customWidth="1"/>
    <col min="14851" max="14853" width="32.88671875" style="380" customWidth="1"/>
    <col min="14854" max="15104" width="9.109375" style="380"/>
    <col min="15105" max="15105" width="8.109375" style="380" customWidth="1"/>
    <col min="15106" max="15106" width="41" style="380" customWidth="1"/>
    <col min="15107" max="15109" width="32.88671875" style="380" customWidth="1"/>
    <col min="15110" max="15360" width="9.109375" style="380"/>
    <col min="15361" max="15361" width="8.109375" style="380" customWidth="1"/>
    <col min="15362" max="15362" width="41" style="380" customWidth="1"/>
    <col min="15363" max="15365" width="32.88671875" style="380" customWidth="1"/>
    <col min="15366" max="15616" width="9.109375" style="380"/>
    <col min="15617" max="15617" width="8.109375" style="380" customWidth="1"/>
    <col min="15618" max="15618" width="41" style="380" customWidth="1"/>
    <col min="15619" max="15621" width="32.88671875" style="380" customWidth="1"/>
    <col min="15622" max="15872" width="9.109375" style="380"/>
    <col min="15873" max="15873" width="8.109375" style="380" customWidth="1"/>
    <col min="15874" max="15874" width="41" style="380" customWidth="1"/>
    <col min="15875" max="15877" width="32.88671875" style="380" customWidth="1"/>
    <col min="15878" max="16128" width="9.109375" style="380"/>
    <col min="16129" max="16129" width="8.109375" style="380" customWidth="1"/>
    <col min="16130" max="16130" width="41" style="380" customWidth="1"/>
    <col min="16131" max="16133" width="32.88671875" style="380" customWidth="1"/>
    <col min="16134" max="16384" width="9.109375" style="380"/>
  </cols>
  <sheetData>
    <row r="1" spans="1:5" ht="22.5" customHeight="1" x14ac:dyDescent="0.25">
      <c r="A1" s="859" t="s">
        <v>560</v>
      </c>
      <c r="B1" s="860"/>
      <c r="C1" s="860"/>
      <c r="D1" s="860"/>
      <c r="E1" s="860"/>
    </row>
    <row r="2" spans="1:5" ht="15" x14ac:dyDescent="0.25">
      <c r="A2" s="703"/>
      <c r="B2" s="704" t="s">
        <v>2</v>
      </c>
      <c r="C2" s="704" t="s">
        <v>94</v>
      </c>
      <c r="D2" s="704" t="s">
        <v>95</v>
      </c>
      <c r="E2" s="705" t="s">
        <v>96</v>
      </c>
    </row>
    <row r="3" spans="1:5" ht="15" x14ac:dyDescent="0.25">
      <c r="A3" s="706">
        <v>1</v>
      </c>
      <c r="B3" s="707">
        <v>2</v>
      </c>
      <c r="C3" s="707">
        <v>3</v>
      </c>
      <c r="D3" s="707">
        <v>4</v>
      </c>
      <c r="E3" s="708">
        <v>5</v>
      </c>
    </row>
    <row r="4" spans="1:5" x14ac:dyDescent="0.25">
      <c r="A4" s="699" t="s">
        <v>97</v>
      </c>
      <c r="B4" s="700" t="s">
        <v>932</v>
      </c>
      <c r="C4" s="701">
        <v>3463545045</v>
      </c>
      <c r="D4" s="701">
        <v>0</v>
      </c>
      <c r="E4" s="702">
        <v>4001976330</v>
      </c>
    </row>
    <row r="5" spans="1:5" ht="26.4" x14ac:dyDescent="0.25">
      <c r="A5" s="687" t="s">
        <v>99</v>
      </c>
      <c r="B5" s="688" t="s">
        <v>933</v>
      </c>
      <c r="C5" s="689">
        <v>228363773</v>
      </c>
      <c r="D5" s="689">
        <v>0</v>
      </c>
      <c r="E5" s="690">
        <v>209902024</v>
      </c>
    </row>
    <row r="6" spans="1:5" ht="26.4" x14ac:dyDescent="0.25">
      <c r="A6" s="687" t="s">
        <v>101</v>
      </c>
      <c r="B6" s="688" t="s">
        <v>934</v>
      </c>
      <c r="C6" s="689">
        <v>116756783</v>
      </c>
      <c r="D6" s="689">
        <v>0</v>
      </c>
      <c r="E6" s="690">
        <v>126638456</v>
      </c>
    </row>
    <row r="7" spans="1:5" ht="26.4" x14ac:dyDescent="0.25">
      <c r="A7" s="691" t="s">
        <v>103</v>
      </c>
      <c r="B7" s="692" t="s">
        <v>935</v>
      </c>
      <c r="C7" s="693">
        <v>3808665601</v>
      </c>
      <c r="D7" s="693">
        <v>0</v>
      </c>
      <c r="E7" s="694">
        <v>4338516810</v>
      </c>
    </row>
    <row r="8" spans="1:5" x14ac:dyDescent="0.25">
      <c r="A8" s="687" t="s">
        <v>105</v>
      </c>
      <c r="B8" s="688" t="s">
        <v>936</v>
      </c>
      <c r="C8" s="689">
        <v>0</v>
      </c>
      <c r="D8" s="689">
        <v>0</v>
      </c>
      <c r="E8" s="690">
        <v>0</v>
      </c>
    </row>
    <row r="9" spans="1:5" x14ac:dyDescent="0.25">
      <c r="A9" s="687" t="s">
        <v>107</v>
      </c>
      <c r="B9" s="688" t="s">
        <v>937</v>
      </c>
      <c r="C9" s="689">
        <v>0</v>
      </c>
      <c r="D9" s="689">
        <v>0</v>
      </c>
      <c r="E9" s="690">
        <v>0</v>
      </c>
    </row>
    <row r="10" spans="1:5" ht="26.4" x14ac:dyDescent="0.25">
      <c r="A10" s="691" t="s">
        <v>109</v>
      </c>
      <c r="B10" s="692" t="s">
        <v>938</v>
      </c>
      <c r="C10" s="693">
        <v>0</v>
      </c>
      <c r="D10" s="693">
        <v>0</v>
      </c>
      <c r="E10" s="694">
        <v>0</v>
      </c>
    </row>
    <row r="11" spans="1:5" ht="26.4" x14ac:dyDescent="0.25">
      <c r="A11" s="687" t="s">
        <v>111</v>
      </c>
      <c r="B11" s="688" t="s">
        <v>939</v>
      </c>
      <c r="C11" s="689">
        <v>2644886190</v>
      </c>
      <c r="D11" s="689">
        <v>0</v>
      </c>
      <c r="E11" s="690">
        <v>2941012568</v>
      </c>
    </row>
    <row r="12" spans="1:5" ht="26.4" x14ac:dyDescent="0.25">
      <c r="A12" s="687" t="s">
        <v>113</v>
      </c>
      <c r="B12" s="688" t="s">
        <v>940</v>
      </c>
      <c r="C12" s="689">
        <v>146871702</v>
      </c>
      <c r="D12" s="689">
        <v>0</v>
      </c>
      <c r="E12" s="690">
        <v>108878676</v>
      </c>
    </row>
    <row r="13" spans="1:5" ht="26.4" x14ac:dyDescent="0.25">
      <c r="A13" s="687" t="s">
        <v>115</v>
      </c>
      <c r="B13" s="688" t="s">
        <v>941</v>
      </c>
      <c r="C13" s="689">
        <v>11746518</v>
      </c>
      <c r="D13" s="689">
        <v>0</v>
      </c>
      <c r="E13" s="690">
        <v>30759966</v>
      </c>
    </row>
    <row r="14" spans="1:5" ht="26.4" x14ac:dyDescent="0.25">
      <c r="A14" s="687" t="s">
        <v>117</v>
      </c>
      <c r="B14" s="688" t="s">
        <v>942</v>
      </c>
      <c r="C14" s="689">
        <v>273103511</v>
      </c>
      <c r="D14" s="689">
        <v>0</v>
      </c>
      <c r="E14" s="690">
        <v>150533616</v>
      </c>
    </row>
    <row r="15" spans="1:5" ht="26.4" x14ac:dyDescent="0.25">
      <c r="A15" s="691" t="s">
        <v>119</v>
      </c>
      <c r="B15" s="692" t="s">
        <v>943</v>
      </c>
      <c r="C15" s="693">
        <v>3076607921</v>
      </c>
      <c r="D15" s="693">
        <v>0</v>
      </c>
      <c r="E15" s="694">
        <v>3231184826</v>
      </c>
    </row>
    <row r="16" spans="1:5" x14ac:dyDescent="0.25">
      <c r="A16" s="687" t="s">
        <v>121</v>
      </c>
      <c r="B16" s="688" t="s">
        <v>944</v>
      </c>
      <c r="C16" s="689">
        <v>51608601</v>
      </c>
      <c r="D16" s="689">
        <v>0</v>
      </c>
      <c r="E16" s="690">
        <v>50867449</v>
      </c>
    </row>
    <row r="17" spans="1:5" x14ac:dyDescent="0.25">
      <c r="A17" s="687" t="s">
        <v>123</v>
      </c>
      <c r="B17" s="688" t="s">
        <v>945</v>
      </c>
      <c r="C17" s="689">
        <v>1155500439</v>
      </c>
      <c r="D17" s="689">
        <v>0</v>
      </c>
      <c r="E17" s="690">
        <v>1153841969</v>
      </c>
    </row>
    <row r="18" spans="1:5" x14ac:dyDescent="0.25">
      <c r="A18" s="687" t="s">
        <v>125</v>
      </c>
      <c r="B18" s="688" t="s">
        <v>946</v>
      </c>
      <c r="C18" s="689">
        <v>4539871</v>
      </c>
      <c r="D18" s="689">
        <v>0</v>
      </c>
      <c r="E18" s="690">
        <v>4766283</v>
      </c>
    </row>
    <row r="19" spans="1:5" x14ac:dyDescent="0.25">
      <c r="A19" s="687" t="s">
        <v>127</v>
      </c>
      <c r="B19" s="688" t="s">
        <v>947</v>
      </c>
      <c r="C19" s="689">
        <v>65281176</v>
      </c>
      <c r="D19" s="689">
        <v>0</v>
      </c>
      <c r="E19" s="690">
        <v>25344707</v>
      </c>
    </row>
    <row r="20" spans="1:5" x14ac:dyDescent="0.25">
      <c r="A20" s="691" t="s">
        <v>129</v>
      </c>
      <c r="B20" s="692" t="s">
        <v>948</v>
      </c>
      <c r="C20" s="693">
        <v>1276930087</v>
      </c>
      <c r="D20" s="693">
        <v>0</v>
      </c>
      <c r="E20" s="694">
        <v>1234820408</v>
      </c>
    </row>
    <row r="21" spans="1:5" x14ac:dyDescent="0.25">
      <c r="A21" s="687" t="s">
        <v>131</v>
      </c>
      <c r="B21" s="688" t="s">
        <v>949</v>
      </c>
      <c r="C21" s="689">
        <v>991385247</v>
      </c>
      <c r="D21" s="689">
        <v>0</v>
      </c>
      <c r="E21" s="690">
        <v>1126941242</v>
      </c>
    </row>
    <row r="22" spans="1:5" x14ac:dyDescent="0.25">
      <c r="A22" s="687" t="s">
        <v>133</v>
      </c>
      <c r="B22" s="688" t="s">
        <v>950</v>
      </c>
      <c r="C22" s="689">
        <v>219844597</v>
      </c>
      <c r="D22" s="689">
        <v>0</v>
      </c>
      <c r="E22" s="690">
        <v>246548787</v>
      </c>
    </row>
    <row r="23" spans="1:5" x14ac:dyDescent="0.25">
      <c r="A23" s="687" t="s">
        <v>135</v>
      </c>
      <c r="B23" s="688" t="s">
        <v>951</v>
      </c>
      <c r="C23" s="689">
        <v>283819698</v>
      </c>
      <c r="D23" s="689">
        <v>0</v>
      </c>
      <c r="E23" s="690">
        <v>288989973</v>
      </c>
    </row>
    <row r="24" spans="1:5" x14ac:dyDescent="0.25">
      <c r="A24" s="691" t="s">
        <v>137</v>
      </c>
      <c r="B24" s="692" t="s">
        <v>952</v>
      </c>
      <c r="C24" s="693">
        <v>1495049542</v>
      </c>
      <c r="D24" s="693">
        <v>0</v>
      </c>
      <c r="E24" s="694">
        <v>1662480002</v>
      </c>
    </row>
    <row r="25" spans="1:5" x14ac:dyDescent="0.25">
      <c r="A25" s="691" t="s">
        <v>139</v>
      </c>
      <c r="B25" s="692" t="s">
        <v>953</v>
      </c>
      <c r="C25" s="693">
        <v>564809385</v>
      </c>
      <c r="D25" s="693">
        <v>0</v>
      </c>
      <c r="E25" s="694">
        <v>587643596</v>
      </c>
    </row>
    <row r="26" spans="1:5" x14ac:dyDescent="0.25">
      <c r="A26" s="691" t="s">
        <v>141</v>
      </c>
      <c r="B26" s="692" t="s">
        <v>954</v>
      </c>
      <c r="C26" s="693">
        <v>3256077807</v>
      </c>
      <c r="D26" s="693">
        <v>0</v>
      </c>
      <c r="E26" s="694">
        <v>3313847056</v>
      </c>
    </row>
    <row r="27" spans="1:5" ht="26.4" x14ac:dyDescent="0.25">
      <c r="A27" s="691" t="s">
        <v>143</v>
      </c>
      <c r="B27" s="692" t="s">
        <v>955</v>
      </c>
      <c r="C27" s="693">
        <v>292406701</v>
      </c>
      <c r="D27" s="693">
        <v>0</v>
      </c>
      <c r="E27" s="694">
        <v>770910574</v>
      </c>
    </row>
    <row r="28" spans="1:5" x14ac:dyDescent="0.25">
      <c r="A28" s="687" t="s">
        <v>145</v>
      </c>
      <c r="B28" s="688" t="s">
        <v>956</v>
      </c>
      <c r="C28" s="689">
        <v>0</v>
      </c>
      <c r="D28" s="689">
        <v>0</v>
      </c>
      <c r="E28" s="690">
        <v>0</v>
      </c>
    </row>
    <row r="29" spans="1:5" ht="39.6" x14ac:dyDescent="0.25">
      <c r="A29" s="687" t="s">
        <v>147</v>
      </c>
      <c r="B29" s="688" t="s">
        <v>957</v>
      </c>
      <c r="C29" s="689">
        <v>0</v>
      </c>
      <c r="D29" s="689">
        <v>0</v>
      </c>
      <c r="E29" s="690">
        <v>0</v>
      </c>
    </row>
    <row r="30" spans="1:5" ht="39.6" x14ac:dyDescent="0.25">
      <c r="A30" s="687" t="s">
        <v>149</v>
      </c>
      <c r="B30" s="688" t="s">
        <v>958</v>
      </c>
      <c r="C30" s="689">
        <v>0</v>
      </c>
      <c r="D30" s="689">
        <v>0</v>
      </c>
      <c r="E30" s="690">
        <v>0</v>
      </c>
    </row>
    <row r="31" spans="1:5" ht="26.4" x14ac:dyDescent="0.25">
      <c r="A31" s="687" t="s">
        <v>151</v>
      </c>
      <c r="B31" s="688" t="s">
        <v>959</v>
      </c>
      <c r="C31" s="689">
        <v>614757</v>
      </c>
      <c r="D31" s="689">
        <v>0</v>
      </c>
      <c r="E31" s="690">
        <v>1653</v>
      </c>
    </row>
    <row r="32" spans="1:5" ht="26.4" x14ac:dyDescent="0.25">
      <c r="A32" s="687" t="s">
        <v>153</v>
      </c>
      <c r="B32" s="688" t="s">
        <v>960</v>
      </c>
      <c r="C32" s="689">
        <v>0</v>
      </c>
      <c r="D32" s="689">
        <v>0</v>
      </c>
      <c r="E32" s="690">
        <v>8250000</v>
      </c>
    </row>
    <row r="33" spans="1:5" ht="39.6" x14ac:dyDescent="0.25">
      <c r="A33" s="687" t="s">
        <v>155</v>
      </c>
      <c r="B33" s="688" t="s">
        <v>961</v>
      </c>
      <c r="C33" s="689">
        <v>0</v>
      </c>
      <c r="D33" s="689">
        <v>0</v>
      </c>
      <c r="E33" s="690">
        <v>0</v>
      </c>
    </row>
    <row r="34" spans="1:5" ht="52.8" x14ac:dyDescent="0.25">
      <c r="A34" s="687" t="s">
        <v>157</v>
      </c>
      <c r="B34" s="688" t="s">
        <v>1367</v>
      </c>
      <c r="C34" s="689">
        <v>0</v>
      </c>
      <c r="D34" s="689">
        <v>0</v>
      </c>
      <c r="E34" s="690">
        <v>0</v>
      </c>
    </row>
    <row r="35" spans="1:5" ht="26.4" x14ac:dyDescent="0.25">
      <c r="A35" s="691" t="s">
        <v>159</v>
      </c>
      <c r="B35" s="692" t="s">
        <v>962</v>
      </c>
      <c r="C35" s="693">
        <v>614757</v>
      </c>
      <c r="D35" s="693">
        <v>0</v>
      </c>
      <c r="E35" s="694">
        <v>8251653</v>
      </c>
    </row>
    <row r="36" spans="1:5" ht="26.4" x14ac:dyDescent="0.25">
      <c r="A36" s="687" t="s">
        <v>161</v>
      </c>
      <c r="B36" s="688" t="s">
        <v>963</v>
      </c>
      <c r="C36" s="689">
        <v>21716695</v>
      </c>
      <c r="D36" s="689">
        <v>0</v>
      </c>
      <c r="E36" s="690">
        <v>0</v>
      </c>
    </row>
    <row r="37" spans="1:5" ht="39.6" x14ac:dyDescent="0.25">
      <c r="A37" s="687" t="s">
        <v>163</v>
      </c>
      <c r="B37" s="688" t="s">
        <v>964</v>
      </c>
      <c r="C37" s="689">
        <v>0</v>
      </c>
      <c r="D37" s="689">
        <v>0</v>
      </c>
      <c r="E37" s="690">
        <v>0</v>
      </c>
    </row>
    <row r="38" spans="1:5" ht="26.4" x14ac:dyDescent="0.25">
      <c r="A38" s="687" t="s">
        <v>165</v>
      </c>
      <c r="B38" s="688" t="s">
        <v>965</v>
      </c>
      <c r="C38" s="689">
        <v>0</v>
      </c>
      <c r="D38" s="689">
        <v>0</v>
      </c>
      <c r="E38" s="690">
        <v>21275401</v>
      </c>
    </row>
    <row r="39" spans="1:5" ht="26.4" x14ac:dyDescent="0.25">
      <c r="A39" s="687" t="s">
        <v>167</v>
      </c>
      <c r="B39" s="688" t="s">
        <v>966</v>
      </c>
      <c r="C39" s="689">
        <v>15120000</v>
      </c>
      <c r="D39" s="689">
        <v>0</v>
      </c>
      <c r="E39" s="690">
        <v>18900000</v>
      </c>
    </row>
    <row r="40" spans="1:5" x14ac:dyDescent="0.25">
      <c r="A40" s="687" t="s">
        <v>169</v>
      </c>
      <c r="B40" s="688" t="s">
        <v>967</v>
      </c>
      <c r="C40" s="689">
        <v>0</v>
      </c>
      <c r="D40" s="689">
        <v>0</v>
      </c>
      <c r="E40" s="690">
        <v>0</v>
      </c>
    </row>
    <row r="41" spans="1:5" ht="26.4" x14ac:dyDescent="0.25">
      <c r="A41" s="687" t="s">
        <v>171</v>
      </c>
      <c r="B41" s="688" t="s">
        <v>968</v>
      </c>
      <c r="C41" s="689">
        <v>0</v>
      </c>
      <c r="D41" s="689">
        <v>0</v>
      </c>
      <c r="E41" s="690">
        <v>0</v>
      </c>
    </row>
    <row r="42" spans="1:5" ht="26.4" x14ac:dyDescent="0.25">
      <c r="A42" s="687" t="s">
        <v>173</v>
      </c>
      <c r="B42" s="688" t="s">
        <v>969</v>
      </c>
      <c r="C42" s="689">
        <v>0</v>
      </c>
      <c r="D42" s="689">
        <v>0</v>
      </c>
      <c r="E42" s="690">
        <v>2</v>
      </c>
    </row>
    <row r="43" spans="1:5" ht="39.6" x14ac:dyDescent="0.25">
      <c r="A43" s="687" t="s">
        <v>175</v>
      </c>
      <c r="B43" s="688" t="s">
        <v>970</v>
      </c>
      <c r="C43" s="689">
        <v>0</v>
      </c>
      <c r="D43" s="689">
        <v>0</v>
      </c>
      <c r="E43" s="690">
        <v>0</v>
      </c>
    </row>
    <row r="44" spans="1:5" ht="52.8" x14ac:dyDescent="0.25">
      <c r="A44" s="687" t="s">
        <v>177</v>
      </c>
      <c r="B44" s="688" t="s">
        <v>1368</v>
      </c>
      <c r="C44" s="689">
        <v>0</v>
      </c>
      <c r="D44" s="689">
        <v>0</v>
      </c>
      <c r="E44" s="690">
        <v>0</v>
      </c>
    </row>
    <row r="45" spans="1:5" ht="26.4" x14ac:dyDescent="0.25">
      <c r="A45" s="691" t="s">
        <v>179</v>
      </c>
      <c r="B45" s="692" t="s">
        <v>971</v>
      </c>
      <c r="C45" s="693">
        <v>36836695</v>
      </c>
      <c r="D45" s="693">
        <v>0</v>
      </c>
      <c r="E45" s="694">
        <v>40175403</v>
      </c>
    </row>
    <row r="46" spans="1:5" ht="26.4" x14ac:dyDescent="0.25">
      <c r="A46" s="691" t="s">
        <v>181</v>
      </c>
      <c r="B46" s="692" t="s">
        <v>972</v>
      </c>
      <c r="C46" s="693">
        <v>-36221938</v>
      </c>
      <c r="D46" s="693">
        <v>0</v>
      </c>
      <c r="E46" s="694">
        <v>-31923750</v>
      </c>
    </row>
    <row r="47" spans="1:5" x14ac:dyDescent="0.25">
      <c r="A47" s="695" t="s">
        <v>183</v>
      </c>
      <c r="B47" s="696" t="s">
        <v>973</v>
      </c>
      <c r="C47" s="697">
        <v>256184763</v>
      </c>
      <c r="D47" s="697">
        <v>0</v>
      </c>
      <c r="E47" s="698">
        <v>738986824</v>
      </c>
    </row>
  </sheetData>
  <mergeCells count="1">
    <mergeCell ref="A1:E1"/>
  </mergeCells>
  <printOptions horizontalCentered="1" verticalCentered="1"/>
  <pageMargins left="0.74803149606299213" right="0.74803149606299213" top="0.59055118110236227" bottom="0.59055118110236227" header="0.51181102362204722" footer="0.51181102362204722"/>
  <pageSetup scale="58" orientation="portrait" horizontalDpi="300" verticalDpi="300" r:id="rId1"/>
  <headerFooter alignWithMargins="0">
    <oddHeader>&amp;CDunaharaszti Város Önkormányzata
2018. évi zárszámadás&amp;R&amp;A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9"/>
  <sheetViews>
    <sheetView view="pageBreakPreview" zoomScale="80" zoomScaleNormal="100" zoomScaleSheetLayoutView="80" workbookViewId="0">
      <selection activeCell="H48" sqref="H48"/>
    </sheetView>
  </sheetViews>
  <sheetFormatPr defaultColWidth="8.88671875" defaultRowHeight="13.2" x14ac:dyDescent="0.25"/>
  <cols>
    <col min="1" max="1" width="4.5546875" style="222" customWidth="1"/>
    <col min="2" max="2" width="61.44140625" style="222" customWidth="1"/>
    <col min="3" max="3" width="8" style="222" customWidth="1"/>
    <col min="4" max="5" width="18.44140625" style="222" bestFit="1" customWidth="1"/>
    <col min="6" max="6" width="18.5546875" style="222" bestFit="1" customWidth="1"/>
    <col min="7" max="7" width="3.88671875" style="222" customWidth="1"/>
    <col min="8" max="8" width="68.109375" style="222" customWidth="1"/>
    <col min="9" max="9" width="7.33203125" style="222" customWidth="1"/>
    <col min="10" max="10" width="16.44140625" style="222" customWidth="1"/>
    <col min="11" max="11" width="17.109375" style="222" customWidth="1"/>
    <col min="12" max="12" width="17.33203125" style="222" bestFit="1" customWidth="1"/>
    <col min="13" max="16384" width="8.88671875" style="222"/>
  </cols>
  <sheetData>
    <row r="1" spans="1:14" ht="35.4" customHeight="1" x14ac:dyDescent="0.25">
      <c r="A1" s="867" t="s">
        <v>1369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221"/>
      <c r="N1" s="221"/>
    </row>
    <row r="2" spans="1:14" s="223" customFormat="1" ht="3.75" customHeight="1" x14ac:dyDescent="0.3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s="223" customFormat="1" x14ac:dyDescent="0.2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5"/>
      <c r="M3" s="222"/>
      <c r="N3" s="222"/>
    </row>
    <row r="4" spans="1:14" ht="18" x14ac:dyDescent="0.25">
      <c r="A4" s="866" t="s">
        <v>1</v>
      </c>
      <c r="B4" s="868" t="s">
        <v>722</v>
      </c>
      <c r="C4" s="868"/>
      <c r="D4" s="868"/>
      <c r="E4" s="868"/>
      <c r="F4" s="868"/>
      <c r="G4" s="226"/>
      <c r="H4" s="868" t="s">
        <v>721</v>
      </c>
      <c r="I4" s="868"/>
      <c r="J4" s="868"/>
      <c r="K4" s="868"/>
      <c r="L4" s="868"/>
      <c r="M4" s="223"/>
      <c r="N4" s="223"/>
    </row>
    <row r="5" spans="1:14" ht="18" x14ac:dyDescent="0.25">
      <c r="A5" s="866"/>
      <c r="B5" s="864" t="s">
        <v>2</v>
      </c>
      <c r="C5" s="864" t="s">
        <v>720</v>
      </c>
      <c r="D5" s="861" t="s">
        <v>578</v>
      </c>
      <c r="E5" s="862"/>
      <c r="F5" s="863"/>
      <c r="G5" s="227"/>
      <c r="H5" s="864" t="s">
        <v>2</v>
      </c>
      <c r="I5" s="864" t="s">
        <v>720</v>
      </c>
      <c r="J5" s="861" t="s">
        <v>578</v>
      </c>
      <c r="K5" s="862"/>
      <c r="L5" s="863"/>
      <c r="M5" s="223"/>
      <c r="N5" s="223"/>
    </row>
    <row r="6" spans="1:14" ht="26.4" x14ac:dyDescent="0.25">
      <c r="A6" s="866"/>
      <c r="B6" s="865"/>
      <c r="C6" s="865"/>
      <c r="D6" s="228" t="s">
        <v>786</v>
      </c>
      <c r="E6" s="228" t="s">
        <v>787</v>
      </c>
      <c r="F6" s="228" t="s">
        <v>785</v>
      </c>
      <c r="G6" s="229"/>
      <c r="H6" s="865"/>
      <c r="I6" s="865"/>
      <c r="J6" s="228" t="s">
        <v>786</v>
      </c>
      <c r="K6" s="228" t="s">
        <v>787</v>
      </c>
      <c r="L6" s="228" t="s">
        <v>785</v>
      </c>
      <c r="M6" s="223"/>
      <c r="N6" s="223"/>
    </row>
    <row r="7" spans="1:14" ht="15.6" x14ac:dyDescent="0.25">
      <c r="A7" s="230" t="s">
        <v>3</v>
      </c>
      <c r="B7" s="231" t="s">
        <v>719</v>
      </c>
      <c r="C7" s="232" t="s">
        <v>718</v>
      </c>
      <c r="D7" s="233">
        <v>859111002</v>
      </c>
      <c r="E7" s="233">
        <v>1080192028</v>
      </c>
      <c r="F7" s="234">
        <v>1078307153</v>
      </c>
      <c r="G7" s="235"/>
      <c r="H7" s="236" t="s">
        <v>717</v>
      </c>
      <c r="I7" s="237" t="s">
        <v>716</v>
      </c>
      <c r="J7" s="233">
        <v>1353739339</v>
      </c>
      <c r="K7" s="233">
        <v>1472188287</v>
      </c>
      <c r="L7" s="234">
        <v>1362837264</v>
      </c>
    </row>
    <row r="8" spans="1:14" ht="15.6" x14ac:dyDescent="0.25">
      <c r="A8" s="230" t="s">
        <v>4</v>
      </c>
      <c r="B8" s="231" t="s">
        <v>715</v>
      </c>
      <c r="C8" s="232" t="s">
        <v>714</v>
      </c>
      <c r="D8" s="233">
        <v>50878654</v>
      </c>
      <c r="E8" s="233">
        <v>497063485</v>
      </c>
      <c r="F8" s="234">
        <v>425298637</v>
      </c>
      <c r="G8" s="235"/>
      <c r="H8" s="231" t="s">
        <v>713</v>
      </c>
      <c r="I8" s="237" t="s">
        <v>712</v>
      </c>
      <c r="J8" s="233">
        <v>306086304</v>
      </c>
      <c r="K8" s="233">
        <v>328016684</v>
      </c>
      <c r="L8" s="234">
        <v>289675273</v>
      </c>
    </row>
    <row r="9" spans="1:14" ht="15.6" x14ac:dyDescent="0.25">
      <c r="A9" s="230" t="s">
        <v>5</v>
      </c>
      <c r="B9" s="231" t="s">
        <v>711</v>
      </c>
      <c r="C9" s="232" t="s">
        <v>710</v>
      </c>
      <c r="D9" s="233">
        <v>3182257790</v>
      </c>
      <c r="E9" s="233">
        <v>4063018057</v>
      </c>
      <c r="F9" s="234">
        <v>3993829861</v>
      </c>
      <c r="G9" s="235"/>
      <c r="H9" s="231" t="s">
        <v>709</v>
      </c>
      <c r="I9" s="237" t="s">
        <v>708</v>
      </c>
      <c r="J9" s="233">
        <v>1812120071</v>
      </c>
      <c r="K9" s="233">
        <v>2152606089</v>
      </c>
      <c r="L9" s="234">
        <v>1688565143</v>
      </c>
    </row>
    <row r="10" spans="1:14" ht="15.6" x14ac:dyDescent="0.25">
      <c r="A10" s="230" t="s">
        <v>6</v>
      </c>
      <c r="B10" s="231" t="s">
        <v>707</v>
      </c>
      <c r="C10" s="232" t="s">
        <v>706</v>
      </c>
      <c r="D10" s="233">
        <v>411210269</v>
      </c>
      <c r="E10" s="233">
        <v>474949169</v>
      </c>
      <c r="F10" s="234">
        <v>444905134</v>
      </c>
      <c r="G10" s="235"/>
      <c r="H10" s="231" t="s">
        <v>705</v>
      </c>
      <c r="I10" s="237" t="s">
        <v>704</v>
      </c>
      <c r="J10" s="233">
        <v>41817176</v>
      </c>
      <c r="K10" s="233">
        <v>43631176</v>
      </c>
      <c r="L10" s="234">
        <v>36728800</v>
      </c>
    </row>
    <row r="11" spans="1:14" ht="15.6" x14ac:dyDescent="0.25">
      <c r="A11" s="230" t="s">
        <v>7</v>
      </c>
      <c r="B11" s="231" t="s">
        <v>703</v>
      </c>
      <c r="C11" s="232" t="s">
        <v>702</v>
      </c>
      <c r="D11" s="233">
        <v>50000000</v>
      </c>
      <c r="E11" s="233">
        <v>8460000</v>
      </c>
      <c r="F11" s="234">
        <v>8460000</v>
      </c>
      <c r="G11" s="235"/>
      <c r="H11" s="231" t="s">
        <v>701</v>
      </c>
      <c r="I11" s="237" t="s">
        <v>700</v>
      </c>
      <c r="J11" s="233">
        <v>1053779511</v>
      </c>
      <c r="K11" s="233">
        <v>1660377738</v>
      </c>
      <c r="L11" s="234">
        <v>607647899</v>
      </c>
    </row>
    <row r="12" spans="1:14" ht="15.6" x14ac:dyDescent="0.25">
      <c r="A12" s="230" t="s">
        <v>8</v>
      </c>
      <c r="B12" s="231" t="s">
        <v>699</v>
      </c>
      <c r="C12" s="232" t="s">
        <v>698</v>
      </c>
      <c r="D12" s="233">
        <v>28095000</v>
      </c>
      <c r="E12" s="233">
        <v>33594369</v>
      </c>
      <c r="F12" s="234">
        <v>5499369</v>
      </c>
      <c r="G12" s="235"/>
      <c r="H12" s="231" t="s">
        <v>697</v>
      </c>
      <c r="I12" s="237" t="s">
        <v>696</v>
      </c>
      <c r="J12" s="233">
        <v>1398754528</v>
      </c>
      <c r="K12" s="233">
        <v>1909370848</v>
      </c>
      <c r="L12" s="234">
        <v>1102080587</v>
      </c>
    </row>
    <row r="13" spans="1:14" ht="15.6" x14ac:dyDescent="0.25">
      <c r="A13" s="230" t="s">
        <v>9</v>
      </c>
      <c r="B13" s="231" t="s">
        <v>695</v>
      </c>
      <c r="C13" s="232" t="s">
        <v>694</v>
      </c>
      <c r="D13" s="233">
        <v>134740900</v>
      </c>
      <c r="E13" s="233">
        <v>83661775</v>
      </c>
      <c r="F13" s="234">
        <v>83648475</v>
      </c>
      <c r="G13" s="235"/>
      <c r="H13" s="231" t="s">
        <v>693</v>
      </c>
      <c r="I13" s="237" t="s">
        <v>692</v>
      </c>
      <c r="J13" s="233">
        <v>265425183</v>
      </c>
      <c r="K13" s="233">
        <v>378496195</v>
      </c>
      <c r="L13" s="234">
        <v>225779996</v>
      </c>
    </row>
    <row r="14" spans="1:14" ht="15.6" x14ac:dyDescent="0.25">
      <c r="A14" s="230" t="s">
        <v>23</v>
      </c>
      <c r="B14" s="232"/>
      <c r="C14" s="232"/>
      <c r="D14" s="233"/>
      <c r="E14" s="233"/>
      <c r="F14" s="234"/>
      <c r="G14" s="235"/>
      <c r="H14" s="231" t="s">
        <v>691</v>
      </c>
      <c r="I14" s="237" t="s">
        <v>690</v>
      </c>
      <c r="J14" s="233">
        <v>10563300</v>
      </c>
      <c r="K14" s="233">
        <v>23110100</v>
      </c>
      <c r="L14" s="234">
        <v>19367740</v>
      </c>
    </row>
    <row r="15" spans="1:14" s="240" customFormat="1" ht="18" customHeight="1" x14ac:dyDescent="0.25">
      <c r="A15" s="228" t="s">
        <v>25</v>
      </c>
      <c r="B15" s="232" t="s">
        <v>689</v>
      </c>
      <c r="C15" s="232" t="s">
        <v>688</v>
      </c>
      <c r="D15" s="238">
        <f>SUM(D7:D14)</f>
        <v>4716293615</v>
      </c>
      <c r="E15" s="238">
        <f t="shared" ref="E15:F15" si="0">SUM(E7:E14)</f>
        <v>6240938883</v>
      </c>
      <c r="F15" s="238">
        <f t="shared" si="0"/>
        <v>6039948629</v>
      </c>
      <c r="G15" s="239"/>
      <c r="H15" s="232" t="s">
        <v>687</v>
      </c>
      <c r="I15" s="232" t="s">
        <v>686</v>
      </c>
      <c r="J15" s="238">
        <f>SUM(J7:J14)</f>
        <v>6242285412</v>
      </c>
      <c r="K15" s="238">
        <f t="shared" ref="K15:L15" si="1">SUM(K7:K14)</f>
        <v>7967797117</v>
      </c>
      <c r="L15" s="238">
        <f t="shared" si="1"/>
        <v>5332682702</v>
      </c>
    </row>
    <row r="16" spans="1:14" ht="15.6" x14ac:dyDescent="0.25">
      <c r="A16" s="230" t="s">
        <v>27</v>
      </c>
      <c r="B16" s="231" t="s">
        <v>685</v>
      </c>
      <c r="C16" s="232"/>
      <c r="D16" s="233">
        <f>+D7+D9+D10+D12</f>
        <v>4480674061</v>
      </c>
      <c r="E16" s="233">
        <f t="shared" ref="E16:F16" si="2">+E7+E9+E10+E12</f>
        <v>5651753623</v>
      </c>
      <c r="F16" s="233">
        <f t="shared" si="2"/>
        <v>5522541517</v>
      </c>
      <c r="G16" s="235"/>
      <c r="H16" s="231" t="s">
        <v>684</v>
      </c>
      <c r="I16" s="231"/>
      <c r="J16" s="233">
        <f>+J7+J8+J9+J10+J11</f>
        <v>4567542401</v>
      </c>
      <c r="K16" s="233">
        <f t="shared" ref="K16:L16" si="3">+K7+K8+K9+K10+K11</f>
        <v>5656819974</v>
      </c>
      <c r="L16" s="233">
        <f t="shared" si="3"/>
        <v>3985454379</v>
      </c>
    </row>
    <row r="17" spans="1:12" ht="15.6" x14ac:dyDescent="0.25">
      <c r="A17" s="230" t="s">
        <v>30</v>
      </c>
      <c r="B17" s="231" t="s">
        <v>683</v>
      </c>
      <c r="C17" s="232"/>
      <c r="D17" s="233">
        <f>+D8+D11+D13</f>
        <v>235619554</v>
      </c>
      <c r="E17" s="233">
        <f t="shared" ref="E17:F17" si="4">+E8+E11+E13</f>
        <v>589185260</v>
      </c>
      <c r="F17" s="233">
        <f t="shared" si="4"/>
        <v>517407112</v>
      </c>
      <c r="G17" s="235"/>
      <c r="H17" s="231" t="s">
        <v>682</v>
      </c>
      <c r="I17" s="232"/>
      <c r="J17" s="233">
        <f>+J12+J13+J14</f>
        <v>1674743011</v>
      </c>
      <c r="K17" s="233">
        <f t="shared" ref="K17:L17" si="5">+K12+K13+K14</f>
        <v>2310977143</v>
      </c>
      <c r="L17" s="233">
        <f t="shared" si="5"/>
        <v>1347228323</v>
      </c>
    </row>
    <row r="18" spans="1:12" s="240" customFormat="1" ht="15.6" x14ac:dyDescent="0.25">
      <c r="A18" s="228" t="s">
        <v>32</v>
      </c>
      <c r="B18" s="232" t="s">
        <v>681</v>
      </c>
      <c r="C18" s="232" t="s">
        <v>680</v>
      </c>
      <c r="D18" s="238">
        <f>SUM(D19:D25)</f>
        <v>3562947595</v>
      </c>
      <c r="E18" s="238">
        <f t="shared" ref="E18" si="6">SUM(E19:E25)</f>
        <v>5211167887</v>
      </c>
      <c r="F18" s="238">
        <f>SUM(F19:F25)</f>
        <v>5093971899</v>
      </c>
      <c r="G18" s="239"/>
      <c r="H18" s="232" t="s">
        <v>679</v>
      </c>
      <c r="I18" s="232" t="s">
        <v>678</v>
      </c>
      <c r="J18" s="238">
        <f>SUM(J19:J23)</f>
        <v>2036955798</v>
      </c>
      <c r="K18" s="238">
        <f t="shared" ref="K18:L18" si="7">SUM(K19:K23)</f>
        <v>3484309653</v>
      </c>
      <c r="L18" s="238">
        <f t="shared" si="7"/>
        <v>3363583767</v>
      </c>
    </row>
    <row r="19" spans="1:12" s="240" customFormat="1" ht="15.6" x14ac:dyDescent="0.25">
      <c r="A19" s="230" t="s">
        <v>33</v>
      </c>
      <c r="B19" s="241" t="s">
        <v>1026</v>
      </c>
      <c r="C19" s="232"/>
      <c r="D19" s="238"/>
      <c r="E19" s="233">
        <v>183601371</v>
      </c>
      <c r="F19" s="233">
        <v>183601371</v>
      </c>
      <c r="G19" s="239"/>
      <c r="H19" s="241" t="s">
        <v>676</v>
      </c>
      <c r="I19" s="231"/>
      <c r="J19" s="233">
        <v>16783921</v>
      </c>
      <c r="K19" s="233">
        <v>197329026</v>
      </c>
      <c r="L19" s="234">
        <v>197329026</v>
      </c>
    </row>
    <row r="20" spans="1:12" ht="15.6" x14ac:dyDescent="0.25">
      <c r="A20" s="230" t="s">
        <v>33</v>
      </c>
      <c r="B20" s="241" t="s">
        <v>677</v>
      </c>
      <c r="C20" s="231"/>
      <c r="D20" s="233">
        <v>690725012</v>
      </c>
      <c r="E20" s="233">
        <v>818535183</v>
      </c>
      <c r="F20" s="234">
        <v>818535183</v>
      </c>
      <c r="G20" s="235"/>
      <c r="H20" s="231" t="s">
        <v>674</v>
      </c>
      <c r="I20" s="232"/>
      <c r="J20" s="233">
        <v>1985648514</v>
      </c>
      <c r="K20" s="233">
        <v>2111353730</v>
      </c>
      <c r="L20" s="234">
        <v>1994481990</v>
      </c>
    </row>
    <row r="21" spans="1:12" ht="15.6" x14ac:dyDescent="0.25">
      <c r="A21" s="230" t="s">
        <v>34</v>
      </c>
      <c r="B21" s="231" t="s">
        <v>675</v>
      </c>
      <c r="C21" s="231"/>
      <c r="D21" s="233">
        <v>880247470</v>
      </c>
      <c r="E21" s="233">
        <v>950247470</v>
      </c>
      <c r="F21" s="234">
        <v>950247470</v>
      </c>
      <c r="G21" s="235"/>
      <c r="H21" s="231" t="s">
        <v>672</v>
      </c>
      <c r="I21" s="242"/>
      <c r="J21" s="243">
        <v>6326599</v>
      </c>
      <c r="K21" s="243">
        <v>47430133</v>
      </c>
      <c r="L21" s="234">
        <v>47105885</v>
      </c>
    </row>
    <row r="22" spans="1:12" ht="15.6" x14ac:dyDescent="0.25">
      <c r="A22" s="230" t="s">
        <v>36</v>
      </c>
      <c r="B22" s="231" t="s">
        <v>673</v>
      </c>
      <c r="C22" s="231"/>
      <c r="D22" s="233">
        <v>1985648514</v>
      </c>
      <c r="E22" s="233">
        <v>2111353730</v>
      </c>
      <c r="F22" s="234">
        <v>1994481990</v>
      </c>
      <c r="G22" s="235"/>
      <c r="H22" s="231" t="s">
        <v>670</v>
      </c>
      <c r="I22" s="244"/>
      <c r="J22" s="233">
        <v>28196764</v>
      </c>
      <c r="K22" s="233">
        <v>28196764</v>
      </c>
      <c r="L22" s="234">
        <v>24666866</v>
      </c>
    </row>
    <row r="23" spans="1:12" ht="15.6" x14ac:dyDescent="0.25">
      <c r="A23" s="230" t="s">
        <v>38</v>
      </c>
      <c r="B23" s="231" t="s">
        <v>671</v>
      </c>
      <c r="C23" s="231"/>
      <c r="D23" s="233">
        <v>6326599</v>
      </c>
      <c r="E23" s="233">
        <v>47430133</v>
      </c>
      <c r="F23" s="234">
        <v>47105885</v>
      </c>
      <c r="G23" s="235"/>
      <c r="H23" s="231" t="s">
        <v>1370</v>
      </c>
      <c r="J23" s="233">
        <v>0</v>
      </c>
      <c r="K23" s="233">
        <v>1100000000</v>
      </c>
      <c r="L23" s="233">
        <v>1100000000</v>
      </c>
    </row>
    <row r="24" spans="1:12" ht="15.6" x14ac:dyDescent="0.25">
      <c r="A24" s="230" t="s">
        <v>48</v>
      </c>
      <c r="B24" s="241" t="s">
        <v>669</v>
      </c>
      <c r="C24" s="231"/>
      <c r="D24" s="233">
        <v>0</v>
      </c>
      <c r="E24" s="233">
        <v>0</v>
      </c>
      <c r="F24" s="234">
        <v>0</v>
      </c>
      <c r="G24" s="235"/>
      <c r="H24" s="232"/>
      <c r="I24" s="244"/>
      <c r="J24" s="243"/>
      <c r="K24" s="243"/>
      <c r="L24" s="234"/>
    </row>
    <row r="25" spans="1:12" ht="15.6" x14ac:dyDescent="0.25">
      <c r="A25" s="230" t="s">
        <v>50</v>
      </c>
      <c r="B25" s="241" t="s">
        <v>1371</v>
      </c>
      <c r="C25" s="431"/>
      <c r="D25" s="432">
        <v>0</v>
      </c>
      <c r="E25" s="432">
        <v>1100000000</v>
      </c>
      <c r="F25" s="433">
        <v>1100000000</v>
      </c>
      <c r="G25" s="434"/>
      <c r="H25" s="435"/>
      <c r="I25" s="436"/>
      <c r="J25" s="437"/>
      <c r="K25" s="437"/>
      <c r="L25" s="433"/>
    </row>
    <row r="26" spans="1:12" s="240" customFormat="1" ht="18.75" customHeight="1" x14ac:dyDescent="0.3">
      <c r="A26" s="228" t="s">
        <v>50</v>
      </c>
      <c r="B26" s="245" t="s">
        <v>668</v>
      </c>
      <c r="C26" s="246" t="s">
        <v>667</v>
      </c>
      <c r="D26" s="247">
        <f>+D15+D18</f>
        <v>8279241210</v>
      </c>
      <c r="E26" s="247">
        <f t="shared" ref="E26" si="8">+E15+E18</f>
        <v>11452106770</v>
      </c>
      <c r="F26" s="247">
        <f>+F15+F18</f>
        <v>11133920528</v>
      </c>
      <c r="G26" s="248"/>
      <c r="H26" s="249" t="s">
        <v>666</v>
      </c>
      <c r="I26" s="249" t="s">
        <v>665</v>
      </c>
      <c r="J26" s="250">
        <f>+J15+J18</f>
        <v>8279241210</v>
      </c>
      <c r="K26" s="250">
        <f t="shared" ref="K26:L26" si="9">+K15+K18</f>
        <v>11452106770</v>
      </c>
      <c r="L26" s="250">
        <f t="shared" si="9"/>
        <v>8696266469</v>
      </c>
    </row>
    <row r="28" spans="1:12" ht="26.4" x14ac:dyDescent="0.25">
      <c r="D28" s="251" t="s">
        <v>786</v>
      </c>
      <c r="E28" s="251" t="s">
        <v>787</v>
      </c>
      <c r="F28" s="251" t="s">
        <v>785</v>
      </c>
      <c r="J28" s="258"/>
      <c r="K28" s="258"/>
      <c r="L28" s="258"/>
    </row>
    <row r="29" spans="1:12" ht="15.6" x14ac:dyDescent="0.25">
      <c r="B29" s="872" t="s">
        <v>664</v>
      </c>
      <c r="C29" s="872"/>
      <c r="D29" s="252">
        <f>+D16</f>
        <v>4480674061</v>
      </c>
      <c r="E29" s="252">
        <f t="shared" ref="E29:F29" si="10">+E16</f>
        <v>5651753623</v>
      </c>
      <c r="F29" s="252">
        <f t="shared" si="10"/>
        <v>5522541517</v>
      </c>
      <c r="G29" s="253"/>
    </row>
    <row r="30" spans="1:12" ht="15.6" x14ac:dyDescent="0.25">
      <c r="B30" s="872" t="s">
        <v>663</v>
      </c>
      <c r="C30" s="872"/>
      <c r="D30" s="252">
        <f>+J16</f>
        <v>4567542401</v>
      </c>
      <c r="E30" s="252">
        <f t="shared" ref="E30:F30" si="11">+K16</f>
        <v>5656819974</v>
      </c>
      <c r="F30" s="252">
        <f t="shared" si="11"/>
        <v>3985454379</v>
      </c>
      <c r="G30" s="253"/>
    </row>
    <row r="31" spans="1:12" s="240" customFormat="1" ht="15.6" x14ac:dyDescent="0.25">
      <c r="B31" s="869" t="s">
        <v>662</v>
      </c>
      <c r="C31" s="869"/>
      <c r="D31" s="254">
        <f>+D29-D30</f>
        <v>-86868340</v>
      </c>
      <c r="E31" s="254">
        <f t="shared" ref="E31:F31" si="12">+E29-E30</f>
        <v>-5066351</v>
      </c>
      <c r="F31" s="254">
        <f t="shared" si="12"/>
        <v>1537087138</v>
      </c>
      <c r="G31" s="255"/>
    </row>
    <row r="32" spans="1:12" ht="15.6" x14ac:dyDescent="0.25">
      <c r="B32" s="255"/>
      <c r="C32" s="255"/>
      <c r="D32" s="252"/>
      <c r="E32" s="252"/>
      <c r="F32" s="252"/>
      <c r="G32" s="255"/>
    </row>
    <row r="33" spans="2:10" ht="15.6" x14ac:dyDescent="0.25">
      <c r="B33" s="872" t="s">
        <v>661</v>
      </c>
      <c r="C33" s="872"/>
      <c r="D33" s="252">
        <f>+D17</f>
        <v>235619554</v>
      </c>
      <c r="E33" s="252">
        <f t="shared" ref="E33:F33" si="13">+E17</f>
        <v>589185260</v>
      </c>
      <c r="F33" s="252">
        <f t="shared" si="13"/>
        <v>517407112</v>
      </c>
      <c r="G33" s="253"/>
      <c r="H33" s="258"/>
      <c r="I33" s="258"/>
      <c r="J33" s="258"/>
    </row>
    <row r="34" spans="2:10" ht="15.6" x14ac:dyDescent="0.25">
      <c r="B34" s="872" t="s">
        <v>660</v>
      </c>
      <c r="C34" s="872"/>
      <c r="D34" s="252">
        <f>+J17</f>
        <v>1674743011</v>
      </c>
      <c r="E34" s="252">
        <f t="shared" ref="E34:F34" si="14">+K17</f>
        <v>2310977143</v>
      </c>
      <c r="F34" s="252">
        <f t="shared" si="14"/>
        <v>1347228323</v>
      </c>
      <c r="G34" s="253"/>
    </row>
    <row r="35" spans="2:10" s="240" customFormat="1" ht="15.6" x14ac:dyDescent="0.25">
      <c r="B35" s="869" t="s">
        <v>659</v>
      </c>
      <c r="C35" s="869"/>
      <c r="D35" s="254">
        <f>+D33-D34</f>
        <v>-1439123457</v>
      </c>
      <c r="E35" s="254">
        <f t="shared" ref="E35:F35" si="15">+E33-E34</f>
        <v>-1721791883</v>
      </c>
      <c r="F35" s="254">
        <f t="shared" si="15"/>
        <v>-829821211</v>
      </c>
      <c r="G35" s="255"/>
    </row>
    <row r="36" spans="2:10" ht="15.6" x14ac:dyDescent="0.25">
      <c r="B36" s="255"/>
      <c r="C36" s="255"/>
      <c r="D36" s="252"/>
      <c r="E36" s="252"/>
      <c r="F36" s="252"/>
      <c r="G36" s="255"/>
    </row>
    <row r="37" spans="2:10" ht="32.25" customHeight="1" x14ac:dyDescent="0.25">
      <c r="B37" s="870" t="s">
        <v>658</v>
      </c>
      <c r="C37" s="870"/>
      <c r="D37" s="252">
        <f>+D31+D35</f>
        <v>-1525991797</v>
      </c>
      <c r="E37" s="252">
        <f t="shared" ref="E37:F37" si="16">+E31+E35</f>
        <v>-1726858234</v>
      </c>
      <c r="F37" s="252">
        <f t="shared" si="16"/>
        <v>707265927</v>
      </c>
      <c r="G37" s="256"/>
    </row>
    <row r="38" spans="2:10" ht="39" customHeight="1" x14ac:dyDescent="0.25">
      <c r="B38" s="870" t="s">
        <v>657</v>
      </c>
      <c r="C38" s="870"/>
      <c r="D38" s="252">
        <f>+D18-J18</f>
        <v>1525991797</v>
      </c>
      <c r="E38" s="252">
        <f t="shared" ref="E38" si="17">+E18-K18</f>
        <v>1726858234</v>
      </c>
      <c r="F38" s="252">
        <f t="shared" ref="F38" si="18">+F18-L18</f>
        <v>1730388132</v>
      </c>
      <c r="G38" s="252"/>
    </row>
    <row r="39" spans="2:10" s="240" customFormat="1" ht="36" customHeight="1" x14ac:dyDescent="0.25">
      <c r="B39" s="871" t="s">
        <v>1372</v>
      </c>
      <c r="C39" s="871"/>
      <c r="D39" s="254">
        <f>+D37+D38</f>
        <v>0</v>
      </c>
      <c r="E39" s="254">
        <f t="shared" ref="E39:F39" si="19">+E37+E38</f>
        <v>0</v>
      </c>
      <c r="F39" s="254">
        <f t="shared" si="19"/>
        <v>2437654059</v>
      </c>
      <c r="G39" s="257"/>
    </row>
  </sheetData>
  <mergeCells count="19">
    <mergeCell ref="B35:C35"/>
    <mergeCell ref="B37:C37"/>
    <mergeCell ref="B38:C38"/>
    <mergeCell ref="B39:C39"/>
    <mergeCell ref="B4:F4"/>
    <mergeCell ref="B34:C34"/>
    <mergeCell ref="B33:C33"/>
    <mergeCell ref="B5:B6"/>
    <mergeCell ref="C5:C6"/>
    <mergeCell ref="D5:F5"/>
    <mergeCell ref="B29:C29"/>
    <mergeCell ref="B30:C30"/>
    <mergeCell ref="B31:C31"/>
    <mergeCell ref="J5:L5"/>
    <mergeCell ref="H5:H6"/>
    <mergeCell ref="I5:I6"/>
    <mergeCell ref="A4:A6"/>
    <mergeCell ref="A1:L1"/>
    <mergeCell ref="H4:L4"/>
  </mergeCells>
  <printOptions horizontalCentered="1"/>
  <pageMargins left="0.27559055118110237" right="0.43307086614173229" top="0.74803149606299213" bottom="0.74803149606299213" header="0.31496062992125984" footer="0.31496062992125984"/>
  <pageSetup paperSize="9" scale="53" orientation="landscape" r:id="rId1"/>
  <headerFooter>
    <oddHeader>&amp;CDunaharaszti Város Önkormányzat 2018. évi zárszámadás&amp;R&amp;A</oddHeader>
    <oddFooter>&amp;C&amp;P/&amp;N</oddFooter>
  </headerFooter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93"/>
  <sheetViews>
    <sheetView view="pageBreakPreview" zoomScale="90" zoomScaleNormal="100" zoomScaleSheetLayoutView="90" workbookViewId="0">
      <pane xSplit="2" ySplit="2" topLeftCell="C3" activePane="bottomRight" state="frozen"/>
      <selection activeCell="G30" sqref="G30"/>
      <selection pane="topRight" activeCell="G30" sqref="G30"/>
      <selection pane="bottomLeft" activeCell="G30" sqref="G30"/>
      <selection pane="bottomRight" activeCell="C47" sqref="C47"/>
    </sheetView>
  </sheetViews>
  <sheetFormatPr defaultRowHeight="13.2" x14ac:dyDescent="0.25"/>
  <cols>
    <col min="1" max="1" width="5.5546875" style="441" customWidth="1"/>
    <col min="2" max="2" width="66.109375" style="441" customWidth="1"/>
    <col min="3" max="3" width="15.6640625" style="441" bestFit="1" customWidth="1"/>
    <col min="4" max="25" width="14.88671875" style="441" customWidth="1"/>
    <col min="26" max="26" width="15" style="441" customWidth="1"/>
    <col min="27" max="27" width="12.33203125" style="441" bestFit="1" customWidth="1"/>
    <col min="28" max="257" width="9.109375" style="441"/>
    <col min="258" max="258" width="5.5546875" style="441" customWidth="1"/>
    <col min="259" max="259" width="66.109375" style="441" customWidth="1"/>
    <col min="260" max="281" width="14.88671875" style="441" customWidth="1"/>
    <col min="282" max="282" width="15" style="441" customWidth="1"/>
    <col min="283" max="283" width="12.33203125" style="441" bestFit="1" customWidth="1"/>
    <col min="284" max="513" width="9.109375" style="441"/>
    <col min="514" max="514" width="5.5546875" style="441" customWidth="1"/>
    <col min="515" max="515" width="66.109375" style="441" customWidth="1"/>
    <col min="516" max="537" width="14.88671875" style="441" customWidth="1"/>
    <col min="538" max="538" width="15" style="441" customWidth="1"/>
    <col min="539" max="539" width="12.33203125" style="441" bestFit="1" customWidth="1"/>
    <col min="540" max="769" width="9.109375" style="441"/>
    <col min="770" max="770" width="5.5546875" style="441" customWidth="1"/>
    <col min="771" max="771" width="66.109375" style="441" customWidth="1"/>
    <col min="772" max="793" width="14.88671875" style="441" customWidth="1"/>
    <col min="794" max="794" width="15" style="441" customWidth="1"/>
    <col min="795" max="795" width="12.33203125" style="441" bestFit="1" customWidth="1"/>
    <col min="796" max="1025" width="9.109375" style="441"/>
    <col min="1026" max="1026" width="5.5546875" style="441" customWidth="1"/>
    <col min="1027" max="1027" width="66.109375" style="441" customWidth="1"/>
    <col min="1028" max="1049" width="14.88671875" style="441" customWidth="1"/>
    <col min="1050" max="1050" width="15" style="441" customWidth="1"/>
    <col min="1051" max="1051" width="12.33203125" style="441" bestFit="1" customWidth="1"/>
    <col min="1052" max="1281" width="9.109375" style="441"/>
    <col min="1282" max="1282" width="5.5546875" style="441" customWidth="1"/>
    <col min="1283" max="1283" width="66.109375" style="441" customWidth="1"/>
    <col min="1284" max="1305" width="14.88671875" style="441" customWidth="1"/>
    <col min="1306" max="1306" width="15" style="441" customWidth="1"/>
    <col min="1307" max="1307" width="12.33203125" style="441" bestFit="1" customWidth="1"/>
    <col min="1308" max="1537" width="9.109375" style="441"/>
    <col min="1538" max="1538" width="5.5546875" style="441" customWidth="1"/>
    <col min="1539" max="1539" width="66.109375" style="441" customWidth="1"/>
    <col min="1540" max="1561" width="14.88671875" style="441" customWidth="1"/>
    <col min="1562" max="1562" width="15" style="441" customWidth="1"/>
    <col min="1563" max="1563" width="12.33203125" style="441" bestFit="1" customWidth="1"/>
    <col min="1564" max="1793" width="9.109375" style="441"/>
    <col min="1794" max="1794" width="5.5546875" style="441" customWidth="1"/>
    <col min="1795" max="1795" width="66.109375" style="441" customWidth="1"/>
    <col min="1796" max="1817" width="14.88671875" style="441" customWidth="1"/>
    <col min="1818" max="1818" width="15" style="441" customWidth="1"/>
    <col min="1819" max="1819" width="12.33203125" style="441" bestFit="1" customWidth="1"/>
    <col min="1820" max="2049" width="9.109375" style="441"/>
    <col min="2050" max="2050" width="5.5546875" style="441" customWidth="1"/>
    <col min="2051" max="2051" width="66.109375" style="441" customWidth="1"/>
    <col min="2052" max="2073" width="14.88671875" style="441" customWidth="1"/>
    <col min="2074" max="2074" width="15" style="441" customWidth="1"/>
    <col min="2075" max="2075" width="12.33203125" style="441" bestFit="1" customWidth="1"/>
    <col min="2076" max="2305" width="9.109375" style="441"/>
    <col min="2306" max="2306" width="5.5546875" style="441" customWidth="1"/>
    <col min="2307" max="2307" width="66.109375" style="441" customWidth="1"/>
    <col min="2308" max="2329" width="14.88671875" style="441" customWidth="1"/>
    <col min="2330" max="2330" width="15" style="441" customWidth="1"/>
    <col min="2331" max="2331" width="12.33203125" style="441" bestFit="1" customWidth="1"/>
    <col min="2332" max="2561" width="9.109375" style="441"/>
    <col min="2562" max="2562" width="5.5546875" style="441" customWidth="1"/>
    <col min="2563" max="2563" width="66.109375" style="441" customWidth="1"/>
    <col min="2564" max="2585" width="14.88671875" style="441" customWidth="1"/>
    <col min="2586" max="2586" width="15" style="441" customWidth="1"/>
    <col min="2587" max="2587" width="12.33203125" style="441" bestFit="1" customWidth="1"/>
    <col min="2588" max="2817" width="9.109375" style="441"/>
    <col min="2818" max="2818" width="5.5546875" style="441" customWidth="1"/>
    <col min="2819" max="2819" width="66.109375" style="441" customWidth="1"/>
    <col min="2820" max="2841" width="14.88671875" style="441" customWidth="1"/>
    <col min="2842" max="2842" width="15" style="441" customWidth="1"/>
    <col min="2843" max="2843" width="12.33203125" style="441" bestFit="1" customWidth="1"/>
    <col min="2844" max="3073" width="9.109375" style="441"/>
    <col min="3074" max="3074" width="5.5546875" style="441" customWidth="1"/>
    <col min="3075" max="3075" width="66.109375" style="441" customWidth="1"/>
    <col min="3076" max="3097" width="14.88671875" style="441" customWidth="1"/>
    <col min="3098" max="3098" width="15" style="441" customWidth="1"/>
    <col min="3099" max="3099" width="12.33203125" style="441" bestFit="1" customWidth="1"/>
    <col min="3100" max="3329" width="9.109375" style="441"/>
    <col min="3330" max="3330" width="5.5546875" style="441" customWidth="1"/>
    <col min="3331" max="3331" width="66.109375" style="441" customWidth="1"/>
    <col min="3332" max="3353" width="14.88671875" style="441" customWidth="1"/>
    <col min="3354" max="3354" width="15" style="441" customWidth="1"/>
    <col min="3355" max="3355" width="12.33203125" style="441" bestFit="1" customWidth="1"/>
    <col min="3356" max="3585" width="9.109375" style="441"/>
    <col min="3586" max="3586" width="5.5546875" style="441" customWidth="1"/>
    <col min="3587" max="3587" width="66.109375" style="441" customWidth="1"/>
    <col min="3588" max="3609" width="14.88671875" style="441" customWidth="1"/>
    <col min="3610" max="3610" width="15" style="441" customWidth="1"/>
    <col min="3611" max="3611" width="12.33203125" style="441" bestFit="1" customWidth="1"/>
    <col min="3612" max="3841" width="9.109375" style="441"/>
    <col min="3842" max="3842" width="5.5546875" style="441" customWidth="1"/>
    <col min="3843" max="3843" width="66.109375" style="441" customWidth="1"/>
    <col min="3844" max="3865" width="14.88671875" style="441" customWidth="1"/>
    <col min="3866" max="3866" width="15" style="441" customWidth="1"/>
    <col min="3867" max="3867" width="12.33203125" style="441" bestFit="1" customWidth="1"/>
    <col min="3868" max="4097" width="9.109375" style="441"/>
    <col min="4098" max="4098" width="5.5546875" style="441" customWidth="1"/>
    <col min="4099" max="4099" width="66.109375" style="441" customWidth="1"/>
    <col min="4100" max="4121" width="14.88671875" style="441" customWidth="1"/>
    <col min="4122" max="4122" width="15" style="441" customWidth="1"/>
    <col min="4123" max="4123" width="12.33203125" style="441" bestFit="1" customWidth="1"/>
    <col min="4124" max="4353" width="9.109375" style="441"/>
    <col min="4354" max="4354" width="5.5546875" style="441" customWidth="1"/>
    <col min="4355" max="4355" width="66.109375" style="441" customWidth="1"/>
    <col min="4356" max="4377" width="14.88671875" style="441" customWidth="1"/>
    <col min="4378" max="4378" width="15" style="441" customWidth="1"/>
    <col min="4379" max="4379" width="12.33203125" style="441" bestFit="1" customWidth="1"/>
    <col min="4380" max="4609" width="9.109375" style="441"/>
    <col min="4610" max="4610" width="5.5546875" style="441" customWidth="1"/>
    <col min="4611" max="4611" width="66.109375" style="441" customWidth="1"/>
    <col min="4612" max="4633" width="14.88671875" style="441" customWidth="1"/>
    <col min="4634" max="4634" width="15" style="441" customWidth="1"/>
    <col min="4635" max="4635" width="12.33203125" style="441" bestFit="1" customWidth="1"/>
    <col min="4636" max="4865" width="9.109375" style="441"/>
    <col min="4866" max="4866" width="5.5546875" style="441" customWidth="1"/>
    <col min="4867" max="4867" width="66.109375" style="441" customWidth="1"/>
    <col min="4868" max="4889" width="14.88671875" style="441" customWidth="1"/>
    <col min="4890" max="4890" width="15" style="441" customWidth="1"/>
    <col min="4891" max="4891" width="12.33203125" style="441" bestFit="1" customWidth="1"/>
    <col min="4892" max="5121" width="9.109375" style="441"/>
    <col min="5122" max="5122" width="5.5546875" style="441" customWidth="1"/>
    <col min="5123" max="5123" width="66.109375" style="441" customWidth="1"/>
    <col min="5124" max="5145" width="14.88671875" style="441" customWidth="1"/>
    <col min="5146" max="5146" width="15" style="441" customWidth="1"/>
    <col min="5147" max="5147" width="12.33203125" style="441" bestFit="1" customWidth="1"/>
    <col min="5148" max="5377" width="9.109375" style="441"/>
    <col min="5378" max="5378" width="5.5546875" style="441" customWidth="1"/>
    <col min="5379" max="5379" width="66.109375" style="441" customWidth="1"/>
    <col min="5380" max="5401" width="14.88671875" style="441" customWidth="1"/>
    <col min="5402" max="5402" width="15" style="441" customWidth="1"/>
    <col min="5403" max="5403" width="12.33203125" style="441" bestFit="1" customWidth="1"/>
    <col min="5404" max="5633" width="9.109375" style="441"/>
    <col min="5634" max="5634" width="5.5546875" style="441" customWidth="1"/>
    <col min="5635" max="5635" width="66.109375" style="441" customWidth="1"/>
    <col min="5636" max="5657" width="14.88671875" style="441" customWidth="1"/>
    <col min="5658" max="5658" width="15" style="441" customWidth="1"/>
    <col min="5659" max="5659" width="12.33203125" style="441" bestFit="1" customWidth="1"/>
    <col min="5660" max="5889" width="9.109375" style="441"/>
    <col min="5890" max="5890" width="5.5546875" style="441" customWidth="1"/>
    <col min="5891" max="5891" width="66.109375" style="441" customWidth="1"/>
    <col min="5892" max="5913" width="14.88671875" style="441" customWidth="1"/>
    <col min="5914" max="5914" width="15" style="441" customWidth="1"/>
    <col min="5915" max="5915" width="12.33203125" style="441" bestFit="1" customWidth="1"/>
    <col min="5916" max="6145" width="9.109375" style="441"/>
    <col min="6146" max="6146" width="5.5546875" style="441" customWidth="1"/>
    <col min="6147" max="6147" width="66.109375" style="441" customWidth="1"/>
    <col min="6148" max="6169" width="14.88671875" style="441" customWidth="1"/>
    <col min="6170" max="6170" width="15" style="441" customWidth="1"/>
    <col min="6171" max="6171" width="12.33203125" style="441" bestFit="1" customWidth="1"/>
    <col min="6172" max="6401" width="9.109375" style="441"/>
    <col min="6402" max="6402" width="5.5546875" style="441" customWidth="1"/>
    <col min="6403" max="6403" width="66.109375" style="441" customWidth="1"/>
    <col min="6404" max="6425" width="14.88671875" style="441" customWidth="1"/>
    <col min="6426" max="6426" width="15" style="441" customWidth="1"/>
    <col min="6427" max="6427" width="12.33203125" style="441" bestFit="1" customWidth="1"/>
    <col min="6428" max="6657" width="9.109375" style="441"/>
    <col min="6658" max="6658" width="5.5546875" style="441" customWidth="1"/>
    <col min="6659" max="6659" width="66.109375" style="441" customWidth="1"/>
    <col min="6660" max="6681" width="14.88671875" style="441" customWidth="1"/>
    <col min="6682" max="6682" width="15" style="441" customWidth="1"/>
    <col min="6683" max="6683" width="12.33203125" style="441" bestFit="1" customWidth="1"/>
    <col min="6684" max="6913" width="9.109375" style="441"/>
    <col min="6914" max="6914" width="5.5546875" style="441" customWidth="1"/>
    <col min="6915" max="6915" width="66.109375" style="441" customWidth="1"/>
    <col min="6916" max="6937" width="14.88671875" style="441" customWidth="1"/>
    <col min="6938" max="6938" width="15" style="441" customWidth="1"/>
    <col min="6939" max="6939" width="12.33203125" style="441" bestFit="1" customWidth="1"/>
    <col min="6940" max="7169" width="9.109375" style="441"/>
    <col min="7170" max="7170" width="5.5546875" style="441" customWidth="1"/>
    <col min="7171" max="7171" width="66.109375" style="441" customWidth="1"/>
    <col min="7172" max="7193" width="14.88671875" style="441" customWidth="1"/>
    <col min="7194" max="7194" width="15" style="441" customWidth="1"/>
    <col min="7195" max="7195" width="12.33203125" style="441" bestFit="1" customWidth="1"/>
    <col min="7196" max="7425" width="9.109375" style="441"/>
    <col min="7426" max="7426" width="5.5546875" style="441" customWidth="1"/>
    <col min="7427" max="7427" width="66.109375" style="441" customWidth="1"/>
    <col min="7428" max="7449" width="14.88671875" style="441" customWidth="1"/>
    <col min="7450" max="7450" width="15" style="441" customWidth="1"/>
    <col min="7451" max="7451" width="12.33203125" style="441" bestFit="1" customWidth="1"/>
    <col min="7452" max="7681" width="9.109375" style="441"/>
    <col min="7682" max="7682" width="5.5546875" style="441" customWidth="1"/>
    <col min="7683" max="7683" width="66.109375" style="441" customWidth="1"/>
    <col min="7684" max="7705" width="14.88671875" style="441" customWidth="1"/>
    <col min="7706" max="7706" width="15" style="441" customWidth="1"/>
    <col min="7707" max="7707" width="12.33203125" style="441" bestFit="1" customWidth="1"/>
    <col min="7708" max="7937" width="9.109375" style="441"/>
    <col min="7938" max="7938" width="5.5546875" style="441" customWidth="1"/>
    <col min="7939" max="7939" width="66.109375" style="441" customWidth="1"/>
    <col min="7940" max="7961" width="14.88671875" style="441" customWidth="1"/>
    <col min="7962" max="7962" width="15" style="441" customWidth="1"/>
    <col min="7963" max="7963" width="12.33203125" style="441" bestFit="1" customWidth="1"/>
    <col min="7964" max="8193" width="9.109375" style="441"/>
    <col min="8194" max="8194" width="5.5546875" style="441" customWidth="1"/>
    <col min="8195" max="8195" width="66.109375" style="441" customWidth="1"/>
    <col min="8196" max="8217" width="14.88671875" style="441" customWidth="1"/>
    <col min="8218" max="8218" width="15" style="441" customWidth="1"/>
    <col min="8219" max="8219" width="12.33203125" style="441" bestFit="1" customWidth="1"/>
    <col min="8220" max="8449" width="9.109375" style="441"/>
    <col min="8450" max="8450" width="5.5546875" style="441" customWidth="1"/>
    <col min="8451" max="8451" width="66.109375" style="441" customWidth="1"/>
    <col min="8452" max="8473" width="14.88671875" style="441" customWidth="1"/>
    <col min="8474" max="8474" width="15" style="441" customWidth="1"/>
    <col min="8475" max="8475" width="12.33203125" style="441" bestFit="1" customWidth="1"/>
    <col min="8476" max="8705" width="9.109375" style="441"/>
    <col min="8706" max="8706" width="5.5546875" style="441" customWidth="1"/>
    <col min="8707" max="8707" width="66.109375" style="441" customWidth="1"/>
    <col min="8708" max="8729" width="14.88671875" style="441" customWidth="1"/>
    <col min="8730" max="8730" width="15" style="441" customWidth="1"/>
    <col min="8731" max="8731" width="12.33203125" style="441" bestFit="1" customWidth="1"/>
    <col min="8732" max="8961" width="9.109375" style="441"/>
    <col min="8962" max="8962" width="5.5546875" style="441" customWidth="1"/>
    <col min="8963" max="8963" width="66.109375" style="441" customWidth="1"/>
    <col min="8964" max="8985" width="14.88671875" style="441" customWidth="1"/>
    <col min="8986" max="8986" width="15" style="441" customWidth="1"/>
    <col min="8987" max="8987" width="12.33203125" style="441" bestFit="1" customWidth="1"/>
    <col min="8988" max="9217" width="9.109375" style="441"/>
    <col min="9218" max="9218" width="5.5546875" style="441" customWidth="1"/>
    <col min="9219" max="9219" width="66.109375" style="441" customWidth="1"/>
    <col min="9220" max="9241" width="14.88671875" style="441" customWidth="1"/>
    <col min="9242" max="9242" width="15" style="441" customWidth="1"/>
    <col min="9243" max="9243" width="12.33203125" style="441" bestFit="1" customWidth="1"/>
    <col min="9244" max="9473" width="9.109375" style="441"/>
    <col min="9474" max="9474" width="5.5546875" style="441" customWidth="1"/>
    <col min="9475" max="9475" width="66.109375" style="441" customWidth="1"/>
    <col min="9476" max="9497" width="14.88671875" style="441" customWidth="1"/>
    <col min="9498" max="9498" width="15" style="441" customWidth="1"/>
    <col min="9499" max="9499" width="12.33203125" style="441" bestFit="1" customWidth="1"/>
    <col min="9500" max="9729" width="9.109375" style="441"/>
    <col min="9730" max="9730" width="5.5546875" style="441" customWidth="1"/>
    <col min="9731" max="9731" width="66.109375" style="441" customWidth="1"/>
    <col min="9732" max="9753" width="14.88671875" style="441" customWidth="1"/>
    <col min="9754" max="9754" width="15" style="441" customWidth="1"/>
    <col min="9755" max="9755" width="12.33203125" style="441" bestFit="1" customWidth="1"/>
    <col min="9756" max="9985" width="9.109375" style="441"/>
    <col min="9986" max="9986" width="5.5546875" style="441" customWidth="1"/>
    <col min="9987" max="9987" width="66.109375" style="441" customWidth="1"/>
    <col min="9988" max="10009" width="14.88671875" style="441" customWidth="1"/>
    <col min="10010" max="10010" width="15" style="441" customWidth="1"/>
    <col min="10011" max="10011" width="12.33203125" style="441" bestFit="1" customWidth="1"/>
    <col min="10012" max="10241" width="9.109375" style="441"/>
    <col min="10242" max="10242" width="5.5546875" style="441" customWidth="1"/>
    <col min="10243" max="10243" width="66.109375" style="441" customWidth="1"/>
    <col min="10244" max="10265" width="14.88671875" style="441" customWidth="1"/>
    <col min="10266" max="10266" width="15" style="441" customWidth="1"/>
    <col min="10267" max="10267" width="12.33203125" style="441" bestFit="1" customWidth="1"/>
    <col min="10268" max="10497" width="9.109375" style="441"/>
    <col min="10498" max="10498" width="5.5546875" style="441" customWidth="1"/>
    <col min="10499" max="10499" width="66.109375" style="441" customWidth="1"/>
    <col min="10500" max="10521" width="14.88671875" style="441" customWidth="1"/>
    <col min="10522" max="10522" width="15" style="441" customWidth="1"/>
    <col min="10523" max="10523" width="12.33203125" style="441" bestFit="1" customWidth="1"/>
    <col min="10524" max="10753" width="9.109375" style="441"/>
    <col min="10754" max="10754" width="5.5546875" style="441" customWidth="1"/>
    <col min="10755" max="10755" width="66.109375" style="441" customWidth="1"/>
    <col min="10756" max="10777" width="14.88671875" style="441" customWidth="1"/>
    <col min="10778" max="10778" width="15" style="441" customWidth="1"/>
    <col min="10779" max="10779" width="12.33203125" style="441" bestFit="1" customWidth="1"/>
    <col min="10780" max="11009" width="9.109375" style="441"/>
    <col min="11010" max="11010" width="5.5546875" style="441" customWidth="1"/>
    <col min="11011" max="11011" width="66.109375" style="441" customWidth="1"/>
    <col min="11012" max="11033" width="14.88671875" style="441" customWidth="1"/>
    <col min="11034" max="11034" width="15" style="441" customWidth="1"/>
    <col min="11035" max="11035" width="12.33203125" style="441" bestFit="1" customWidth="1"/>
    <col min="11036" max="11265" width="9.109375" style="441"/>
    <col min="11266" max="11266" width="5.5546875" style="441" customWidth="1"/>
    <col min="11267" max="11267" width="66.109375" style="441" customWidth="1"/>
    <col min="11268" max="11289" width="14.88671875" style="441" customWidth="1"/>
    <col min="11290" max="11290" width="15" style="441" customWidth="1"/>
    <col min="11291" max="11291" width="12.33203125" style="441" bestFit="1" customWidth="1"/>
    <col min="11292" max="11521" width="9.109375" style="441"/>
    <col min="11522" max="11522" width="5.5546875" style="441" customWidth="1"/>
    <col min="11523" max="11523" width="66.109375" style="441" customWidth="1"/>
    <col min="11524" max="11545" width="14.88671875" style="441" customWidth="1"/>
    <col min="11546" max="11546" width="15" style="441" customWidth="1"/>
    <col min="11547" max="11547" width="12.33203125" style="441" bestFit="1" customWidth="1"/>
    <col min="11548" max="11777" width="9.109375" style="441"/>
    <col min="11778" max="11778" width="5.5546875" style="441" customWidth="1"/>
    <col min="11779" max="11779" width="66.109375" style="441" customWidth="1"/>
    <col min="11780" max="11801" width="14.88671875" style="441" customWidth="1"/>
    <col min="11802" max="11802" width="15" style="441" customWidth="1"/>
    <col min="11803" max="11803" width="12.33203125" style="441" bestFit="1" customWidth="1"/>
    <col min="11804" max="12033" width="9.109375" style="441"/>
    <col min="12034" max="12034" width="5.5546875" style="441" customWidth="1"/>
    <col min="12035" max="12035" width="66.109375" style="441" customWidth="1"/>
    <col min="12036" max="12057" width="14.88671875" style="441" customWidth="1"/>
    <col min="12058" max="12058" width="15" style="441" customWidth="1"/>
    <col min="12059" max="12059" width="12.33203125" style="441" bestFit="1" customWidth="1"/>
    <col min="12060" max="12289" width="9.109375" style="441"/>
    <col min="12290" max="12290" width="5.5546875" style="441" customWidth="1"/>
    <col min="12291" max="12291" width="66.109375" style="441" customWidth="1"/>
    <col min="12292" max="12313" width="14.88671875" style="441" customWidth="1"/>
    <col min="12314" max="12314" width="15" style="441" customWidth="1"/>
    <col min="12315" max="12315" width="12.33203125" style="441" bestFit="1" customWidth="1"/>
    <col min="12316" max="12545" width="9.109375" style="441"/>
    <col min="12546" max="12546" width="5.5546875" style="441" customWidth="1"/>
    <col min="12547" max="12547" width="66.109375" style="441" customWidth="1"/>
    <col min="12548" max="12569" width="14.88671875" style="441" customWidth="1"/>
    <col min="12570" max="12570" width="15" style="441" customWidth="1"/>
    <col min="12571" max="12571" width="12.33203125" style="441" bestFit="1" customWidth="1"/>
    <col min="12572" max="12801" width="9.109375" style="441"/>
    <col min="12802" max="12802" width="5.5546875" style="441" customWidth="1"/>
    <col min="12803" max="12803" width="66.109375" style="441" customWidth="1"/>
    <col min="12804" max="12825" width="14.88671875" style="441" customWidth="1"/>
    <col min="12826" max="12826" width="15" style="441" customWidth="1"/>
    <col min="12827" max="12827" width="12.33203125" style="441" bestFit="1" customWidth="1"/>
    <col min="12828" max="13057" width="9.109375" style="441"/>
    <col min="13058" max="13058" width="5.5546875" style="441" customWidth="1"/>
    <col min="13059" max="13059" width="66.109375" style="441" customWidth="1"/>
    <col min="13060" max="13081" width="14.88671875" style="441" customWidth="1"/>
    <col min="13082" max="13082" width="15" style="441" customWidth="1"/>
    <col min="13083" max="13083" width="12.33203125" style="441" bestFit="1" customWidth="1"/>
    <col min="13084" max="13313" width="9.109375" style="441"/>
    <col min="13314" max="13314" width="5.5546875" style="441" customWidth="1"/>
    <col min="13315" max="13315" width="66.109375" style="441" customWidth="1"/>
    <col min="13316" max="13337" width="14.88671875" style="441" customWidth="1"/>
    <col min="13338" max="13338" width="15" style="441" customWidth="1"/>
    <col min="13339" max="13339" width="12.33203125" style="441" bestFit="1" customWidth="1"/>
    <col min="13340" max="13569" width="9.109375" style="441"/>
    <col min="13570" max="13570" width="5.5546875" style="441" customWidth="1"/>
    <col min="13571" max="13571" width="66.109375" style="441" customWidth="1"/>
    <col min="13572" max="13593" width="14.88671875" style="441" customWidth="1"/>
    <col min="13594" max="13594" width="15" style="441" customWidth="1"/>
    <col min="13595" max="13595" width="12.33203125" style="441" bestFit="1" customWidth="1"/>
    <col min="13596" max="13825" width="9.109375" style="441"/>
    <col min="13826" max="13826" width="5.5546875" style="441" customWidth="1"/>
    <col min="13827" max="13827" width="66.109375" style="441" customWidth="1"/>
    <col min="13828" max="13849" width="14.88671875" style="441" customWidth="1"/>
    <col min="13850" max="13850" width="15" style="441" customWidth="1"/>
    <col min="13851" max="13851" width="12.33203125" style="441" bestFit="1" customWidth="1"/>
    <col min="13852" max="14081" width="9.109375" style="441"/>
    <col min="14082" max="14082" width="5.5546875" style="441" customWidth="1"/>
    <col min="14083" max="14083" width="66.109375" style="441" customWidth="1"/>
    <col min="14084" max="14105" width="14.88671875" style="441" customWidth="1"/>
    <col min="14106" max="14106" width="15" style="441" customWidth="1"/>
    <col min="14107" max="14107" width="12.33203125" style="441" bestFit="1" customWidth="1"/>
    <col min="14108" max="14337" width="9.109375" style="441"/>
    <col min="14338" max="14338" width="5.5546875" style="441" customWidth="1"/>
    <col min="14339" max="14339" width="66.109375" style="441" customWidth="1"/>
    <col min="14340" max="14361" width="14.88671875" style="441" customWidth="1"/>
    <col min="14362" max="14362" width="15" style="441" customWidth="1"/>
    <col min="14363" max="14363" width="12.33203125" style="441" bestFit="1" customWidth="1"/>
    <col min="14364" max="14593" width="9.109375" style="441"/>
    <col min="14594" max="14594" width="5.5546875" style="441" customWidth="1"/>
    <col min="14595" max="14595" width="66.109375" style="441" customWidth="1"/>
    <col min="14596" max="14617" width="14.88671875" style="441" customWidth="1"/>
    <col min="14618" max="14618" width="15" style="441" customWidth="1"/>
    <col min="14619" max="14619" width="12.33203125" style="441" bestFit="1" customWidth="1"/>
    <col min="14620" max="14849" width="9.109375" style="441"/>
    <col min="14850" max="14850" width="5.5546875" style="441" customWidth="1"/>
    <col min="14851" max="14851" width="66.109375" style="441" customWidth="1"/>
    <col min="14852" max="14873" width="14.88671875" style="441" customWidth="1"/>
    <col min="14874" max="14874" width="15" style="441" customWidth="1"/>
    <col min="14875" max="14875" width="12.33203125" style="441" bestFit="1" customWidth="1"/>
    <col min="14876" max="15105" width="9.109375" style="441"/>
    <col min="15106" max="15106" width="5.5546875" style="441" customWidth="1"/>
    <col min="15107" max="15107" width="66.109375" style="441" customWidth="1"/>
    <col min="15108" max="15129" width="14.88671875" style="441" customWidth="1"/>
    <col min="15130" max="15130" width="15" style="441" customWidth="1"/>
    <col min="15131" max="15131" width="12.33203125" style="441" bestFit="1" customWidth="1"/>
    <col min="15132" max="15361" width="9.109375" style="441"/>
    <col min="15362" max="15362" width="5.5546875" style="441" customWidth="1"/>
    <col min="15363" max="15363" width="66.109375" style="441" customWidth="1"/>
    <col min="15364" max="15385" width="14.88671875" style="441" customWidth="1"/>
    <col min="15386" max="15386" width="15" style="441" customWidth="1"/>
    <col min="15387" max="15387" width="12.33203125" style="441" bestFit="1" customWidth="1"/>
    <col min="15388" max="15617" width="9.109375" style="441"/>
    <col min="15618" max="15618" width="5.5546875" style="441" customWidth="1"/>
    <col min="15619" max="15619" width="66.109375" style="441" customWidth="1"/>
    <col min="15620" max="15641" width="14.88671875" style="441" customWidth="1"/>
    <col min="15642" max="15642" width="15" style="441" customWidth="1"/>
    <col min="15643" max="15643" width="12.33203125" style="441" bestFit="1" customWidth="1"/>
    <col min="15644" max="15873" width="9.109375" style="441"/>
    <col min="15874" max="15874" width="5.5546875" style="441" customWidth="1"/>
    <col min="15875" max="15875" width="66.109375" style="441" customWidth="1"/>
    <col min="15876" max="15897" width="14.88671875" style="441" customWidth="1"/>
    <col min="15898" max="15898" width="15" style="441" customWidth="1"/>
    <col min="15899" max="15899" width="12.33203125" style="441" bestFit="1" customWidth="1"/>
    <col min="15900" max="16129" width="9.109375" style="441"/>
    <col min="16130" max="16130" width="5.5546875" style="441" customWidth="1"/>
    <col min="16131" max="16131" width="66.109375" style="441" customWidth="1"/>
    <col min="16132" max="16153" width="14.88671875" style="441" customWidth="1"/>
    <col min="16154" max="16154" width="15" style="441" customWidth="1"/>
    <col min="16155" max="16155" width="12.33203125" style="441" bestFit="1" customWidth="1"/>
    <col min="16156" max="16384" width="9.109375" style="441"/>
  </cols>
  <sheetData>
    <row r="1" spans="1:26" ht="36.6" customHeight="1" x14ac:dyDescent="0.25">
      <c r="A1" s="443"/>
      <c r="B1" s="444"/>
      <c r="C1" s="873" t="s">
        <v>1374</v>
      </c>
      <c r="D1" s="873"/>
      <c r="E1" s="873"/>
      <c r="F1" s="873"/>
      <c r="G1" s="873"/>
      <c r="H1" s="873"/>
      <c r="I1" s="873"/>
      <c r="J1" s="873"/>
      <c r="K1" s="873"/>
      <c r="L1" s="873"/>
      <c r="M1" s="873" t="s">
        <v>1374</v>
      </c>
      <c r="N1" s="873"/>
      <c r="O1" s="873"/>
      <c r="P1" s="873"/>
      <c r="Q1" s="873"/>
      <c r="R1" s="873"/>
      <c r="S1" s="873"/>
      <c r="T1" s="873"/>
      <c r="U1" s="873"/>
      <c r="V1" s="873"/>
      <c r="W1" s="873"/>
      <c r="X1" s="873"/>
    </row>
    <row r="2" spans="1:26" s="259" customFormat="1" ht="35.25" customHeight="1" x14ac:dyDescent="0.25">
      <c r="A2" s="445" t="s">
        <v>1</v>
      </c>
      <c r="B2" s="446" t="s">
        <v>2</v>
      </c>
      <c r="C2" s="445" t="s">
        <v>1419</v>
      </c>
      <c r="D2" s="445" t="s">
        <v>1375</v>
      </c>
      <c r="E2" s="445" t="s">
        <v>1376</v>
      </c>
      <c r="F2" s="445" t="s">
        <v>1377</v>
      </c>
      <c r="G2" s="445" t="s">
        <v>1378</v>
      </c>
      <c r="H2" s="445" t="s">
        <v>1379</v>
      </c>
      <c r="I2" s="445" t="s">
        <v>1380</v>
      </c>
      <c r="J2" s="445" t="s">
        <v>1381</v>
      </c>
      <c r="K2" s="445" t="s">
        <v>1382</v>
      </c>
      <c r="L2" s="445" t="s">
        <v>1383</v>
      </c>
      <c r="M2" s="445" t="s">
        <v>1384</v>
      </c>
      <c r="N2" s="445" t="s">
        <v>1385</v>
      </c>
      <c r="O2" s="445" t="s">
        <v>1386</v>
      </c>
      <c r="P2" s="445" t="s">
        <v>1387</v>
      </c>
      <c r="Q2" s="445" t="s">
        <v>1388</v>
      </c>
      <c r="R2" s="445" t="s">
        <v>1389</v>
      </c>
      <c r="S2" s="445" t="s">
        <v>1390</v>
      </c>
      <c r="T2" s="445" t="s">
        <v>1391</v>
      </c>
      <c r="U2" s="445" t="s">
        <v>1392</v>
      </c>
      <c r="V2" s="445" t="s">
        <v>1393</v>
      </c>
      <c r="W2" s="445" t="s">
        <v>1394</v>
      </c>
      <c r="X2" s="445" t="s">
        <v>92</v>
      </c>
    </row>
    <row r="3" spans="1:26" s="450" customFormat="1" ht="21" customHeight="1" x14ac:dyDescent="0.25">
      <c r="A3" s="447" t="s">
        <v>3</v>
      </c>
      <c r="B3" s="447" t="s">
        <v>723</v>
      </c>
      <c r="C3" s="477">
        <f>+C49+C50+C51+C52+C53+C54</f>
        <v>3881563298</v>
      </c>
      <c r="D3" s="448">
        <f>+'[4]1. sz. Önkormányzat 2019. '!EB32+'[4]1. sz. Önkormányzat 2019. '!EC32+'[4]1. sz. Önkormányzat 2019. '!ED32+'[4]1. sz. Önkormányzat 2019. '!EE32+'[4]1. sz. Önkormányzat 2019. '!EF32+'[4]1. sz. Önkormányzat 2019. '!EI32-D5</f>
        <v>3680274429</v>
      </c>
      <c r="E3" s="448">
        <f t="shared" ref="E3:T3" si="0">+D3*1.001</f>
        <v>3683954703.4289994</v>
      </c>
      <c r="F3" s="448">
        <f t="shared" si="0"/>
        <v>3687638658.1324282</v>
      </c>
      <c r="G3" s="448">
        <f t="shared" si="0"/>
        <v>3691326296.7905602</v>
      </c>
      <c r="H3" s="448">
        <f t="shared" si="0"/>
        <v>3695017623.0873504</v>
      </c>
      <c r="I3" s="448">
        <f t="shared" si="0"/>
        <v>3698712640.7104373</v>
      </c>
      <c r="J3" s="448">
        <f t="shared" si="0"/>
        <v>3702411353.3511472</v>
      </c>
      <c r="K3" s="448">
        <f t="shared" si="0"/>
        <v>3706113764.7044978</v>
      </c>
      <c r="L3" s="448">
        <f t="shared" si="0"/>
        <v>3709819878.469202</v>
      </c>
      <c r="M3" s="448">
        <f t="shared" si="0"/>
        <v>3713529698.347671</v>
      </c>
      <c r="N3" s="448">
        <f t="shared" si="0"/>
        <v>3717243228.0460181</v>
      </c>
      <c r="O3" s="448">
        <f t="shared" si="0"/>
        <v>3720960471.2740636</v>
      </c>
      <c r="P3" s="448">
        <f t="shared" si="0"/>
        <v>3724681431.745337</v>
      </c>
      <c r="Q3" s="448">
        <f t="shared" si="0"/>
        <v>3728406113.1770821</v>
      </c>
      <c r="R3" s="448">
        <f t="shared" si="0"/>
        <v>3732134519.2902589</v>
      </c>
      <c r="S3" s="448">
        <f t="shared" si="0"/>
        <v>3735866653.8095489</v>
      </c>
      <c r="T3" s="448">
        <f t="shared" si="0"/>
        <v>3739602520.4633579</v>
      </c>
      <c r="U3" s="448">
        <v>2557380000</v>
      </c>
      <c r="V3" s="448">
        <v>2557380000</v>
      </c>
      <c r="W3" s="448">
        <v>2557380000</v>
      </c>
      <c r="X3" s="449">
        <f t="shared" ref="X3:X17" si="1">SUM(D3:W3)</f>
        <v>70739833983.827972</v>
      </c>
    </row>
    <row r="4" spans="1:26" s="450" customFormat="1" ht="21" customHeight="1" x14ac:dyDescent="0.25">
      <c r="A4" s="447" t="s">
        <v>4</v>
      </c>
      <c r="B4" s="447" t="s">
        <v>724</v>
      </c>
      <c r="C4" s="447">
        <v>0</v>
      </c>
      <c r="D4" s="448">
        <v>0</v>
      </c>
      <c r="E4" s="448">
        <v>0</v>
      </c>
      <c r="F4" s="448">
        <v>0</v>
      </c>
      <c r="G4" s="448">
        <v>0</v>
      </c>
      <c r="H4" s="448">
        <v>0</v>
      </c>
      <c r="I4" s="448">
        <v>0</v>
      </c>
      <c r="J4" s="448">
        <v>0</v>
      </c>
      <c r="K4" s="448">
        <v>0</v>
      </c>
      <c r="L4" s="448">
        <v>0</v>
      </c>
      <c r="M4" s="448">
        <v>0</v>
      </c>
      <c r="N4" s="448">
        <v>0</v>
      </c>
      <c r="O4" s="448">
        <v>0</v>
      </c>
      <c r="P4" s="448">
        <v>0</v>
      </c>
      <c r="Q4" s="448">
        <v>0</v>
      </c>
      <c r="R4" s="448">
        <v>0</v>
      </c>
      <c r="S4" s="448">
        <v>0</v>
      </c>
      <c r="T4" s="448">
        <v>0</v>
      </c>
      <c r="U4" s="448">
        <v>0</v>
      </c>
      <c r="V4" s="448">
        <v>0</v>
      </c>
      <c r="W4" s="448">
        <v>0</v>
      </c>
      <c r="X4" s="449">
        <f t="shared" si="1"/>
        <v>0</v>
      </c>
    </row>
    <row r="5" spans="1:26" s="363" customFormat="1" ht="21" customHeight="1" x14ac:dyDescent="0.25">
      <c r="A5" s="451" t="s">
        <v>5</v>
      </c>
      <c r="B5" s="451" t="s">
        <v>725</v>
      </c>
      <c r="C5" s="481">
        <f>+C57+C59</f>
        <v>5620717</v>
      </c>
      <c r="D5" s="452">
        <v>6273769</v>
      </c>
      <c r="E5" s="452">
        <v>6200000</v>
      </c>
      <c r="F5" s="452">
        <v>6200000</v>
      </c>
      <c r="G5" s="452">
        <v>6200000</v>
      </c>
      <c r="H5" s="452">
        <v>6200000</v>
      </c>
      <c r="I5" s="452">
        <v>6200000</v>
      </c>
      <c r="J5" s="452">
        <v>6200000</v>
      </c>
      <c r="K5" s="452">
        <v>6200000</v>
      </c>
      <c r="L5" s="452">
        <v>6200000</v>
      </c>
      <c r="M5" s="452">
        <v>6200000</v>
      </c>
      <c r="N5" s="452">
        <v>6200000</v>
      </c>
      <c r="O5" s="452">
        <v>6200000</v>
      </c>
      <c r="P5" s="452">
        <v>6200000</v>
      </c>
      <c r="Q5" s="452">
        <v>6200000</v>
      </c>
      <c r="R5" s="452">
        <v>6200000</v>
      </c>
      <c r="S5" s="452">
        <v>6200000</v>
      </c>
      <c r="T5" s="452">
        <v>6200000</v>
      </c>
      <c r="U5" s="452">
        <v>6200000</v>
      </c>
      <c r="V5" s="452">
        <v>6200000</v>
      </c>
      <c r="W5" s="452">
        <v>6200000</v>
      </c>
      <c r="X5" s="453">
        <f t="shared" si="1"/>
        <v>124073769</v>
      </c>
    </row>
    <row r="6" spans="1:26" s="450" customFormat="1" ht="33.75" customHeight="1" x14ac:dyDescent="0.25">
      <c r="A6" s="447" t="s">
        <v>6</v>
      </c>
      <c r="B6" s="447" t="s">
        <v>726</v>
      </c>
      <c r="C6" s="482">
        <f>+C64+C67+C69+C70+C73</f>
        <v>153711086</v>
      </c>
      <c r="D6" s="448">
        <f>60000000+40000000+E59</f>
        <v>254122474</v>
      </c>
      <c r="E6" s="448">
        <f>+D6-100000000*1.005</f>
        <v>153622474</v>
      </c>
      <c r="F6" s="448">
        <f t="shared" ref="F6:W6" si="2">+E6*1.005</f>
        <v>154390586.36999997</v>
      </c>
      <c r="G6" s="448">
        <f t="shared" si="2"/>
        <v>155162539.30184996</v>
      </c>
      <c r="H6" s="448">
        <f t="shared" si="2"/>
        <v>155938351.9983592</v>
      </c>
      <c r="I6" s="448">
        <f t="shared" si="2"/>
        <v>156718043.75835097</v>
      </c>
      <c r="J6" s="448">
        <f t="shared" si="2"/>
        <v>157501633.97714269</v>
      </c>
      <c r="K6" s="448">
        <f t="shared" si="2"/>
        <v>158289142.14702839</v>
      </c>
      <c r="L6" s="448">
        <f t="shared" si="2"/>
        <v>159080587.8577635</v>
      </c>
      <c r="M6" s="448">
        <f t="shared" si="2"/>
        <v>159875990.79705229</v>
      </c>
      <c r="N6" s="448">
        <f t="shared" si="2"/>
        <v>160675370.75103754</v>
      </c>
      <c r="O6" s="448">
        <f t="shared" si="2"/>
        <v>161478747.60479271</v>
      </c>
      <c r="P6" s="448">
        <f t="shared" si="2"/>
        <v>162286141.34281665</v>
      </c>
      <c r="Q6" s="448">
        <f t="shared" si="2"/>
        <v>163097572.04953071</v>
      </c>
      <c r="R6" s="448">
        <f t="shared" si="2"/>
        <v>163913059.90977836</v>
      </c>
      <c r="S6" s="448">
        <f t="shared" si="2"/>
        <v>164732625.20932722</v>
      </c>
      <c r="T6" s="448">
        <f t="shared" si="2"/>
        <v>165556288.33537385</v>
      </c>
      <c r="U6" s="448">
        <f t="shared" si="2"/>
        <v>166384069.7770507</v>
      </c>
      <c r="V6" s="448">
        <f t="shared" si="2"/>
        <v>167215990.12593594</v>
      </c>
      <c r="W6" s="448">
        <f t="shared" si="2"/>
        <v>168052070.07656559</v>
      </c>
      <c r="X6" s="449">
        <f t="shared" si="1"/>
        <v>3308093759.3897567</v>
      </c>
    </row>
    <row r="7" spans="1:26" s="450" customFormat="1" ht="21" customHeight="1" x14ac:dyDescent="0.25">
      <c r="A7" s="447" t="s">
        <v>7</v>
      </c>
      <c r="B7" s="447" t="s">
        <v>727</v>
      </c>
      <c r="C7" s="447"/>
      <c r="D7" s="448">
        <v>0</v>
      </c>
      <c r="E7" s="448">
        <v>0</v>
      </c>
      <c r="F7" s="448">
        <v>0</v>
      </c>
      <c r="G7" s="448">
        <v>0</v>
      </c>
      <c r="H7" s="448">
        <v>0</v>
      </c>
      <c r="I7" s="448">
        <v>0</v>
      </c>
      <c r="J7" s="448">
        <v>0</v>
      </c>
      <c r="K7" s="448">
        <v>0</v>
      </c>
      <c r="L7" s="448">
        <v>0</v>
      </c>
      <c r="M7" s="448">
        <v>0</v>
      </c>
      <c r="N7" s="448">
        <v>0</v>
      </c>
      <c r="O7" s="448">
        <v>0</v>
      </c>
      <c r="P7" s="448">
        <v>0</v>
      </c>
      <c r="Q7" s="448">
        <v>0</v>
      </c>
      <c r="R7" s="448">
        <v>0</v>
      </c>
      <c r="S7" s="448">
        <v>0</v>
      </c>
      <c r="T7" s="448">
        <v>0</v>
      </c>
      <c r="U7" s="448">
        <v>0</v>
      </c>
      <c r="V7" s="448">
        <v>0</v>
      </c>
      <c r="W7" s="448">
        <v>0</v>
      </c>
      <c r="X7" s="449">
        <f t="shared" si="1"/>
        <v>0</v>
      </c>
    </row>
    <row r="8" spans="1:26" s="450" customFormat="1" ht="21" customHeight="1" x14ac:dyDescent="0.25">
      <c r="A8" s="447" t="s">
        <v>8</v>
      </c>
      <c r="B8" s="447" t="s">
        <v>728</v>
      </c>
      <c r="C8" s="447"/>
      <c r="D8" s="448">
        <v>0</v>
      </c>
      <c r="E8" s="448">
        <v>0</v>
      </c>
      <c r="F8" s="448">
        <v>0</v>
      </c>
      <c r="G8" s="448">
        <v>0</v>
      </c>
      <c r="H8" s="448">
        <v>0</v>
      </c>
      <c r="I8" s="448">
        <v>0</v>
      </c>
      <c r="J8" s="448">
        <v>0</v>
      </c>
      <c r="K8" s="448">
        <v>0</v>
      </c>
      <c r="L8" s="448">
        <v>0</v>
      </c>
      <c r="M8" s="448">
        <v>0</v>
      </c>
      <c r="N8" s="448">
        <v>0</v>
      </c>
      <c r="O8" s="448">
        <v>0</v>
      </c>
      <c r="P8" s="448">
        <v>0</v>
      </c>
      <c r="Q8" s="448">
        <v>0</v>
      </c>
      <c r="R8" s="448">
        <v>0</v>
      </c>
      <c r="S8" s="448">
        <v>0</v>
      </c>
      <c r="T8" s="448">
        <v>0</v>
      </c>
      <c r="U8" s="448">
        <v>0</v>
      </c>
      <c r="V8" s="448">
        <v>0</v>
      </c>
      <c r="W8" s="448">
        <v>0</v>
      </c>
      <c r="X8" s="449">
        <f t="shared" si="1"/>
        <v>0</v>
      </c>
    </row>
    <row r="9" spans="1:26" s="450" customFormat="1" ht="21" customHeight="1" x14ac:dyDescent="0.25">
      <c r="A9" s="447" t="s">
        <v>9</v>
      </c>
      <c r="B9" s="447" t="s">
        <v>729</v>
      </c>
      <c r="C9" s="447"/>
      <c r="D9" s="448">
        <v>0</v>
      </c>
      <c r="E9" s="448">
        <v>0</v>
      </c>
      <c r="F9" s="448">
        <v>0</v>
      </c>
      <c r="G9" s="448">
        <v>0</v>
      </c>
      <c r="H9" s="448">
        <v>0</v>
      </c>
      <c r="I9" s="448">
        <v>0</v>
      </c>
      <c r="J9" s="448">
        <v>0</v>
      </c>
      <c r="K9" s="448">
        <v>0</v>
      </c>
      <c r="L9" s="448">
        <v>0</v>
      </c>
      <c r="M9" s="448">
        <v>0</v>
      </c>
      <c r="N9" s="448">
        <v>0</v>
      </c>
      <c r="O9" s="448">
        <v>0</v>
      </c>
      <c r="P9" s="448">
        <v>0</v>
      </c>
      <c r="Q9" s="448">
        <v>0</v>
      </c>
      <c r="R9" s="448">
        <v>0</v>
      </c>
      <c r="S9" s="448">
        <v>0</v>
      </c>
      <c r="T9" s="448">
        <v>0</v>
      </c>
      <c r="U9" s="448">
        <v>0</v>
      </c>
      <c r="V9" s="448">
        <v>0</v>
      </c>
      <c r="W9" s="448">
        <v>0</v>
      </c>
      <c r="X9" s="449">
        <f t="shared" si="1"/>
        <v>0</v>
      </c>
    </row>
    <row r="10" spans="1:26" s="450" customFormat="1" ht="21" customHeight="1" x14ac:dyDescent="0.25">
      <c r="A10" s="447" t="s">
        <v>23</v>
      </c>
      <c r="B10" s="454" t="s">
        <v>730</v>
      </c>
      <c r="C10" s="449">
        <f t="shared" ref="C10" si="3">SUM(C3:C9)</f>
        <v>4040895101</v>
      </c>
      <c r="D10" s="449">
        <f t="shared" ref="D10:W10" si="4">SUM(D3:D9)</f>
        <v>3940670672</v>
      </c>
      <c r="E10" s="449">
        <f t="shared" si="4"/>
        <v>3843777177.4289994</v>
      </c>
      <c r="F10" s="449">
        <f t="shared" si="4"/>
        <v>3848229244.5024281</v>
      </c>
      <c r="G10" s="449">
        <f t="shared" si="4"/>
        <v>3852688836.0924101</v>
      </c>
      <c r="H10" s="449">
        <f t="shared" si="4"/>
        <v>3857155975.0857096</v>
      </c>
      <c r="I10" s="449">
        <f t="shared" si="4"/>
        <v>3861630684.4687881</v>
      </c>
      <c r="J10" s="449">
        <f t="shared" si="4"/>
        <v>3866112987.32829</v>
      </c>
      <c r="K10" s="449">
        <f t="shared" si="4"/>
        <v>3870602906.8515263</v>
      </c>
      <c r="L10" s="449">
        <f t="shared" si="4"/>
        <v>3875100466.3269653</v>
      </c>
      <c r="M10" s="449">
        <f t="shared" si="4"/>
        <v>3879605689.1447234</v>
      </c>
      <c r="N10" s="449">
        <f t="shared" si="4"/>
        <v>3884118598.7970557</v>
      </c>
      <c r="O10" s="449">
        <f t="shared" si="4"/>
        <v>3888639218.8788562</v>
      </c>
      <c r="P10" s="449">
        <f t="shared" si="4"/>
        <v>3893167573.0881538</v>
      </c>
      <c r="Q10" s="449">
        <f t="shared" si="4"/>
        <v>3897703685.2266126</v>
      </c>
      <c r="R10" s="449">
        <f t="shared" si="4"/>
        <v>3902247579.200037</v>
      </c>
      <c r="S10" s="449">
        <f t="shared" si="4"/>
        <v>3906799279.0188761</v>
      </c>
      <c r="T10" s="449">
        <f t="shared" si="4"/>
        <v>3911358808.7987318</v>
      </c>
      <c r="U10" s="449">
        <f t="shared" si="4"/>
        <v>2729964069.7770505</v>
      </c>
      <c r="V10" s="449">
        <f t="shared" si="4"/>
        <v>2730795990.125936</v>
      </c>
      <c r="W10" s="449">
        <f t="shared" si="4"/>
        <v>2731632070.0765657</v>
      </c>
      <c r="X10" s="449">
        <f t="shared" si="1"/>
        <v>74172001512.217712</v>
      </c>
    </row>
    <row r="11" spans="1:26" s="450" customFormat="1" ht="21" customHeight="1" x14ac:dyDescent="0.25">
      <c r="A11" s="447" t="s">
        <v>25</v>
      </c>
      <c r="B11" s="454" t="s">
        <v>731</v>
      </c>
      <c r="C11" s="449">
        <f t="shared" ref="C11" si="5">C10*0.5</f>
        <v>2020447550.5</v>
      </c>
      <c r="D11" s="449">
        <f t="shared" ref="D11:W11" si="6">D10*0.5</f>
        <v>1970335336</v>
      </c>
      <c r="E11" s="449">
        <f t="shared" si="6"/>
        <v>1921888588.7144997</v>
      </c>
      <c r="F11" s="449">
        <f t="shared" si="6"/>
        <v>1924114622.251214</v>
      </c>
      <c r="G11" s="449">
        <f t="shared" si="6"/>
        <v>1926344418.046205</v>
      </c>
      <c r="H11" s="449">
        <f t="shared" si="6"/>
        <v>1928577987.5428548</v>
      </c>
      <c r="I11" s="449">
        <f t="shared" si="6"/>
        <v>1930815342.2343941</v>
      </c>
      <c r="J11" s="449">
        <f t="shared" si="6"/>
        <v>1933056493.664145</v>
      </c>
      <c r="K11" s="449">
        <f t="shared" si="6"/>
        <v>1935301453.4257631</v>
      </c>
      <c r="L11" s="449">
        <f t="shared" si="6"/>
        <v>1937550233.1634827</v>
      </c>
      <c r="M11" s="449">
        <f t="shared" si="6"/>
        <v>1939802844.5723617</v>
      </c>
      <c r="N11" s="449">
        <f t="shared" si="6"/>
        <v>1942059299.3985279</v>
      </c>
      <c r="O11" s="449">
        <f t="shared" si="6"/>
        <v>1944319609.4394281</v>
      </c>
      <c r="P11" s="449">
        <f t="shared" si="6"/>
        <v>1946583786.5440769</v>
      </c>
      <c r="Q11" s="449">
        <f t="shared" si="6"/>
        <v>1948851842.6133063</v>
      </c>
      <c r="R11" s="449">
        <f t="shared" si="6"/>
        <v>1951123789.6000185</v>
      </c>
      <c r="S11" s="449">
        <f t="shared" si="6"/>
        <v>1953399639.509438</v>
      </c>
      <c r="T11" s="449">
        <f t="shared" si="6"/>
        <v>1955679404.3993659</v>
      </c>
      <c r="U11" s="449">
        <f t="shared" si="6"/>
        <v>1364982034.8885252</v>
      </c>
      <c r="V11" s="449">
        <f t="shared" si="6"/>
        <v>1365397995.062968</v>
      </c>
      <c r="W11" s="449">
        <f t="shared" si="6"/>
        <v>1365816035.0382829</v>
      </c>
      <c r="X11" s="449">
        <f t="shared" si="1"/>
        <v>37086000756.108856</v>
      </c>
    </row>
    <row r="12" spans="1:26" s="450" customFormat="1" ht="28.8" x14ac:dyDescent="0.25">
      <c r="A12" s="447" t="s">
        <v>27</v>
      </c>
      <c r="B12" s="454" t="s">
        <v>732</v>
      </c>
      <c r="C12" s="449">
        <f t="shared" ref="C12" si="7">C13+C22+C23+C24+C25+C26+C27+C28</f>
        <v>45942267</v>
      </c>
      <c r="D12" s="449">
        <f t="shared" ref="D12:W12" si="8">D13+D22+D23+D24+D25+D26+D27+D28</f>
        <v>59013082</v>
      </c>
      <c r="E12" s="449">
        <f t="shared" si="8"/>
        <v>54074052</v>
      </c>
      <c r="F12" s="449">
        <f t="shared" si="8"/>
        <v>52664921</v>
      </c>
      <c r="G12" s="449">
        <f t="shared" si="8"/>
        <v>51255790</v>
      </c>
      <c r="H12" s="449">
        <f t="shared" si="8"/>
        <v>49846659</v>
      </c>
      <c r="I12" s="449">
        <f t="shared" si="8"/>
        <v>48437528</v>
      </c>
      <c r="J12" s="449">
        <f>J13+J22+J23+J24+J25+J26+J27+J28</f>
        <v>47028396</v>
      </c>
      <c r="K12" s="449">
        <f t="shared" si="8"/>
        <v>45619265</v>
      </c>
      <c r="L12" s="449">
        <f t="shared" si="8"/>
        <v>44210133</v>
      </c>
      <c r="M12" s="449">
        <f t="shared" si="8"/>
        <v>42801002</v>
      </c>
      <c r="N12" s="449">
        <f t="shared" si="8"/>
        <v>41391871</v>
      </c>
      <c r="O12" s="449">
        <f t="shared" si="8"/>
        <v>39982739</v>
      </c>
      <c r="P12" s="449">
        <f t="shared" si="8"/>
        <v>38573608</v>
      </c>
      <c r="Q12" s="449">
        <f t="shared" si="8"/>
        <v>37164478</v>
      </c>
      <c r="R12" s="449">
        <f t="shared" si="8"/>
        <v>35755347</v>
      </c>
      <c r="S12" s="449">
        <f t="shared" si="8"/>
        <v>34346215</v>
      </c>
      <c r="T12" s="449">
        <f t="shared" si="8"/>
        <v>32937084</v>
      </c>
      <c r="U12" s="449">
        <f t="shared" si="8"/>
        <v>31527952</v>
      </c>
      <c r="V12" s="449">
        <f t="shared" si="8"/>
        <v>30118820</v>
      </c>
      <c r="W12" s="449">
        <f t="shared" si="8"/>
        <v>21680819</v>
      </c>
      <c r="X12" s="449">
        <f t="shared" si="1"/>
        <v>838429761</v>
      </c>
    </row>
    <row r="13" spans="1:26" ht="21" customHeight="1" x14ac:dyDescent="0.25">
      <c r="A13" s="455" t="s">
        <v>30</v>
      </c>
      <c r="B13" s="447" t="s">
        <v>733</v>
      </c>
      <c r="C13" s="448">
        <f t="shared" ref="C13:W13" si="9">+C14+C18</f>
        <v>45942267</v>
      </c>
      <c r="D13" s="448">
        <f t="shared" si="9"/>
        <v>59013082</v>
      </c>
      <c r="E13" s="448">
        <f t="shared" si="9"/>
        <v>54074052</v>
      </c>
      <c r="F13" s="448">
        <f t="shared" si="9"/>
        <v>52664921</v>
      </c>
      <c r="G13" s="448">
        <f t="shared" si="9"/>
        <v>51255790</v>
      </c>
      <c r="H13" s="448">
        <f t="shared" si="9"/>
        <v>49846659</v>
      </c>
      <c r="I13" s="448">
        <f t="shared" si="9"/>
        <v>48437528</v>
      </c>
      <c r="J13" s="448">
        <f t="shared" si="9"/>
        <v>47028396</v>
      </c>
      <c r="K13" s="448">
        <f t="shared" si="9"/>
        <v>45619265</v>
      </c>
      <c r="L13" s="448">
        <f t="shared" si="9"/>
        <v>44210133</v>
      </c>
      <c r="M13" s="448">
        <f t="shared" si="9"/>
        <v>42801002</v>
      </c>
      <c r="N13" s="448">
        <f t="shared" si="9"/>
        <v>41391871</v>
      </c>
      <c r="O13" s="448">
        <f t="shared" si="9"/>
        <v>39982739</v>
      </c>
      <c r="P13" s="448">
        <f t="shared" si="9"/>
        <v>38573608</v>
      </c>
      <c r="Q13" s="448">
        <f t="shared" si="9"/>
        <v>37164478</v>
      </c>
      <c r="R13" s="448">
        <f t="shared" si="9"/>
        <v>35755347</v>
      </c>
      <c r="S13" s="448">
        <f t="shared" si="9"/>
        <v>34346215</v>
      </c>
      <c r="T13" s="448">
        <f t="shared" si="9"/>
        <v>32937084</v>
      </c>
      <c r="U13" s="448">
        <f t="shared" si="9"/>
        <v>31527952</v>
      </c>
      <c r="V13" s="448">
        <f t="shared" si="9"/>
        <v>30118820</v>
      </c>
      <c r="W13" s="448">
        <f t="shared" si="9"/>
        <v>21680819</v>
      </c>
      <c r="X13" s="449">
        <f t="shared" si="1"/>
        <v>838429761</v>
      </c>
    </row>
    <row r="14" spans="1:26" ht="21" customHeight="1" x14ac:dyDescent="0.25">
      <c r="A14" s="455" t="s">
        <v>32</v>
      </c>
      <c r="B14" s="447" t="s">
        <v>734</v>
      </c>
      <c r="C14" s="448">
        <f t="shared" ref="C14:W14" si="10">+C15+C16+C17</f>
        <v>24666866</v>
      </c>
      <c r="D14" s="448">
        <f t="shared" si="10"/>
        <v>31712522</v>
      </c>
      <c r="E14" s="448">
        <f>+E15+E16+E17</f>
        <v>28182624</v>
      </c>
      <c r="F14" s="448">
        <f t="shared" si="10"/>
        <v>28182624</v>
      </c>
      <c r="G14" s="448">
        <f t="shared" si="10"/>
        <v>28182624</v>
      </c>
      <c r="H14" s="448">
        <f t="shared" si="10"/>
        <v>28182624</v>
      </c>
      <c r="I14" s="448">
        <f t="shared" si="10"/>
        <v>28182624</v>
      </c>
      <c r="J14" s="448">
        <f t="shared" si="10"/>
        <v>28182624</v>
      </c>
      <c r="K14" s="448">
        <f t="shared" si="10"/>
        <v>28182624</v>
      </c>
      <c r="L14" s="448">
        <f t="shared" si="10"/>
        <v>28182624</v>
      </c>
      <c r="M14" s="448">
        <f t="shared" si="10"/>
        <v>28182624</v>
      </c>
      <c r="N14" s="448">
        <f t="shared" si="10"/>
        <v>28182624</v>
      </c>
      <c r="O14" s="448">
        <f t="shared" si="10"/>
        <v>28182624</v>
      </c>
      <c r="P14" s="448">
        <f t="shared" si="10"/>
        <v>28182624</v>
      </c>
      <c r="Q14" s="448">
        <f t="shared" si="10"/>
        <v>28182624</v>
      </c>
      <c r="R14" s="448">
        <f t="shared" si="10"/>
        <v>28182624</v>
      </c>
      <c r="S14" s="448">
        <f t="shared" si="10"/>
        <v>28182624</v>
      </c>
      <c r="T14" s="448">
        <f t="shared" si="10"/>
        <v>28182624</v>
      </c>
      <c r="U14" s="448">
        <f t="shared" si="10"/>
        <v>28182624</v>
      </c>
      <c r="V14" s="448">
        <f t="shared" si="10"/>
        <v>28182624</v>
      </c>
      <c r="W14" s="448">
        <f t="shared" si="10"/>
        <v>21109809</v>
      </c>
      <c r="X14" s="456">
        <f t="shared" si="1"/>
        <v>560109563</v>
      </c>
    </row>
    <row r="15" spans="1:26" ht="15.75" customHeight="1" x14ac:dyDescent="0.25">
      <c r="A15" s="455" t="s">
        <v>735</v>
      </c>
      <c r="B15" s="447" t="s">
        <v>736</v>
      </c>
      <c r="C15" s="447">
        <v>9743592</v>
      </c>
      <c r="D15" s="448">
        <v>12179490</v>
      </c>
      <c r="E15" s="448">
        <v>9743592</v>
      </c>
      <c r="F15" s="448">
        <v>9743592</v>
      </c>
      <c r="G15" s="448">
        <v>9743592</v>
      </c>
      <c r="H15" s="448">
        <v>9743592</v>
      </c>
      <c r="I15" s="448">
        <v>9743592</v>
      </c>
      <c r="J15" s="448">
        <v>9743592</v>
      </c>
      <c r="K15" s="448">
        <v>9743592</v>
      </c>
      <c r="L15" s="448">
        <v>9743592</v>
      </c>
      <c r="M15" s="448">
        <v>9743592</v>
      </c>
      <c r="N15" s="448">
        <v>9743592</v>
      </c>
      <c r="O15" s="448">
        <v>9743592</v>
      </c>
      <c r="P15" s="448">
        <v>9743592</v>
      </c>
      <c r="Q15" s="448">
        <v>9743592</v>
      </c>
      <c r="R15" s="448">
        <v>9743592</v>
      </c>
      <c r="S15" s="448">
        <v>9743592</v>
      </c>
      <c r="T15" s="448">
        <v>9743592</v>
      </c>
      <c r="U15" s="448">
        <v>9743592</v>
      </c>
      <c r="V15" s="448">
        <v>9743592</v>
      </c>
      <c r="W15" s="448">
        <v>9743629</v>
      </c>
      <c r="X15" s="456">
        <f t="shared" si="1"/>
        <v>197307775</v>
      </c>
      <c r="Z15" s="457">
        <f>SUM(D15:W15)</f>
        <v>197307775</v>
      </c>
    </row>
    <row r="16" spans="1:26" ht="14.4" x14ac:dyDescent="0.25">
      <c r="A16" s="455" t="s">
        <v>737</v>
      </c>
      <c r="B16" s="447" t="s">
        <v>738</v>
      </c>
      <c r="C16" s="447">
        <v>4376000</v>
      </c>
      <c r="D16" s="448">
        <v>5470000</v>
      </c>
      <c r="E16" s="448">
        <v>4376000</v>
      </c>
      <c r="F16" s="448">
        <v>4376000</v>
      </c>
      <c r="G16" s="448">
        <v>4376000</v>
      </c>
      <c r="H16" s="448">
        <v>4376000</v>
      </c>
      <c r="I16" s="448">
        <v>4376000</v>
      </c>
      <c r="J16" s="448">
        <v>4376000</v>
      </c>
      <c r="K16" s="448">
        <v>4376000</v>
      </c>
      <c r="L16" s="448">
        <v>4376000</v>
      </c>
      <c r="M16" s="448">
        <v>4376000</v>
      </c>
      <c r="N16" s="448">
        <v>4376000</v>
      </c>
      <c r="O16" s="448">
        <v>4376000</v>
      </c>
      <c r="P16" s="448">
        <v>4376000</v>
      </c>
      <c r="Q16" s="448">
        <v>4376000</v>
      </c>
      <c r="R16" s="448">
        <v>4376000</v>
      </c>
      <c r="S16" s="448">
        <v>4376000</v>
      </c>
      <c r="T16" s="448">
        <v>4376000</v>
      </c>
      <c r="U16" s="448">
        <v>4376000</v>
      </c>
      <c r="V16" s="448">
        <v>4376000</v>
      </c>
      <c r="W16" s="448">
        <v>4334633</v>
      </c>
      <c r="X16" s="456">
        <f t="shared" si="1"/>
        <v>88572633</v>
      </c>
      <c r="Z16" s="457">
        <f t="shared" ref="Z16:Z21" si="11">SUM(D16:W16)</f>
        <v>88572633</v>
      </c>
    </row>
    <row r="17" spans="1:26" s="458" customFormat="1" ht="17.25" customHeight="1" x14ac:dyDescent="0.25">
      <c r="A17" s="447" t="s">
        <v>739</v>
      </c>
      <c r="B17" s="447" t="s">
        <v>740</v>
      </c>
      <c r="C17" s="448">
        <v>10547274</v>
      </c>
      <c r="D17" s="448">
        <v>14063032</v>
      </c>
      <c r="E17" s="448">
        <v>14063032</v>
      </c>
      <c r="F17" s="448">
        <v>14063032</v>
      </c>
      <c r="G17" s="448">
        <v>14063032</v>
      </c>
      <c r="H17" s="448">
        <v>14063032</v>
      </c>
      <c r="I17" s="448">
        <v>14063032</v>
      </c>
      <c r="J17" s="448">
        <v>14063032</v>
      </c>
      <c r="K17" s="448">
        <v>14063032</v>
      </c>
      <c r="L17" s="448">
        <v>14063032</v>
      </c>
      <c r="M17" s="448">
        <v>14063032</v>
      </c>
      <c r="N17" s="448">
        <v>14063032</v>
      </c>
      <c r="O17" s="448">
        <v>14063032</v>
      </c>
      <c r="P17" s="448">
        <v>14063032</v>
      </c>
      <c r="Q17" s="448">
        <v>14063032</v>
      </c>
      <c r="R17" s="448">
        <v>14063032</v>
      </c>
      <c r="S17" s="448">
        <v>14063032</v>
      </c>
      <c r="T17" s="448">
        <v>14063032</v>
      </c>
      <c r="U17" s="448">
        <v>14063032</v>
      </c>
      <c r="V17" s="448">
        <v>14063032</v>
      </c>
      <c r="W17" s="448">
        <v>7031547</v>
      </c>
      <c r="X17" s="449">
        <f t="shared" si="1"/>
        <v>274229155</v>
      </c>
      <c r="Z17" s="457">
        <f t="shared" si="11"/>
        <v>274229155</v>
      </c>
    </row>
    <row r="18" spans="1:26" s="458" customFormat="1" ht="15.75" customHeight="1" x14ac:dyDescent="0.25">
      <c r="A18" s="447" t="s">
        <v>33</v>
      </c>
      <c r="B18" s="447" t="s">
        <v>741</v>
      </c>
      <c r="C18" s="448">
        <f t="shared" ref="C18:X18" si="12">SUM(C19:C21)</f>
        <v>21275401</v>
      </c>
      <c r="D18" s="448">
        <f t="shared" si="12"/>
        <v>27300560</v>
      </c>
      <c r="E18" s="448">
        <f t="shared" si="12"/>
        <v>25891428</v>
      </c>
      <c r="F18" s="448">
        <f t="shared" si="12"/>
        <v>24482297</v>
      </c>
      <c r="G18" s="448">
        <f t="shared" si="12"/>
        <v>23073166</v>
      </c>
      <c r="H18" s="448">
        <f t="shared" si="12"/>
        <v>21664035</v>
      </c>
      <c r="I18" s="448">
        <f t="shared" si="12"/>
        <v>20254904</v>
      </c>
      <c r="J18" s="448">
        <f t="shared" si="12"/>
        <v>18845772</v>
      </c>
      <c r="K18" s="448">
        <f t="shared" si="12"/>
        <v>17436641</v>
      </c>
      <c r="L18" s="448">
        <f t="shared" si="12"/>
        <v>16027509</v>
      </c>
      <c r="M18" s="448">
        <f t="shared" si="12"/>
        <v>14618378</v>
      </c>
      <c r="N18" s="448">
        <f t="shared" si="12"/>
        <v>13209247</v>
      </c>
      <c r="O18" s="448">
        <f t="shared" si="12"/>
        <v>11800115</v>
      </c>
      <c r="P18" s="448">
        <f t="shared" si="12"/>
        <v>10390984</v>
      </c>
      <c r="Q18" s="448">
        <f t="shared" si="12"/>
        <v>8981854</v>
      </c>
      <c r="R18" s="448">
        <f t="shared" si="12"/>
        <v>7572723</v>
      </c>
      <c r="S18" s="448">
        <f t="shared" si="12"/>
        <v>6163591</v>
      </c>
      <c r="T18" s="448">
        <f t="shared" si="12"/>
        <v>4754460</v>
      </c>
      <c r="U18" s="448">
        <f t="shared" si="12"/>
        <v>3345328</v>
      </c>
      <c r="V18" s="448">
        <f t="shared" si="12"/>
        <v>1936196</v>
      </c>
      <c r="W18" s="448">
        <f t="shared" si="12"/>
        <v>571010</v>
      </c>
      <c r="X18" s="449">
        <f t="shared" si="12"/>
        <v>278320198</v>
      </c>
      <c r="Z18" s="457">
        <f t="shared" si="11"/>
        <v>278320198</v>
      </c>
    </row>
    <row r="19" spans="1:26" s="458" customFormat="1" ht="17.25" customHeight="1" x14ac:dyDescent="0.25">
      <c r="A19" s="447" t="s">
        <v>742</v>
      </c>
      <c r="B19" s="447" t="s">
        <v>736</v>
      </c>
      <c r="C19" s="477">
        <v>7468618</v>
      </c>
      <c r="D19" s="448">
        <v>9560902</v>
      </c>
      <c r="E19" s="448">
        <v>9073722</v>
      </c>
      <c r="F19" s="448">
        <v>8586542</v>
      </c>
      <c r="G19" s="448">
        <v>8099363</v>
      </c>
      <c r="H19" s="448">
        <v>7612183</v>
      </c>
      <c r="I19" s="448">
        <v>7125004</v>
      </c>
      <c r="J19" s="448">
        <v>6637824</v>
      </c>
      <c r="K19" s="448">
        <v>6150644</v>
      </c>
      <c r="L19" s="448">
        <v>5663465</v>
      </c>
      <c r="M19" s="448">
        <v>5176285</v>
      </c>
      <c r="N19" s="448">
        <v>4689106</v>
      </c>
      <c r="O19" s="448">
        <v>4201926</v>
      </c>
      <c r="P19" s="448">
        <v>3714746</v>
      </c>
      <c r="Q19" s="448">
        <v>3227567</v>
      </c>
      <c r="R19" s="448">
        <v>2740387</v>
      </c>
      <c r="S19" s="448">
        <v>2253208</v>
      </c>
      <c r="T19" s="448">
        <v>1766028</v>
      </c>
      <c r="U19" s="448">
        <v>1278848</v>
      </c>
      <c r="V19" s="448">
        <v>791668</v>
      </c>
      <c r="W19" s="448">
        <v>304488</v>
      </c>
      <c r="X19" s="449">
        <f t="shared" ref="X19:X31" si="13">SUM(D19:W19)</f>
        <v>98653906</v>
      </c>
      <c r="Z19" s="457">
        <f t="shared" si="11"/>
        <v>98653906</v>
      </c>
    </row>
    <row r="20" spans="1:26" s="458" customFormat="1" ht="14.4" x14ac:dyDescent="0.25">
      <c r="A20" s="447" t="s">
        <v>743</v>
      </c>
      <c r="B20" s="447" t="s">
        <v>738</v>
      </c>
      <c r="C20" s="477">
        <v>3352736</v>
      </c>
      <c r="D20" s="448">
        <v>4291882</v>
      </c>
      <c r="E20" s="448">
        <v>4073082</v>
      </c>
      <c r="F20" s="448">
        <v>3854282</v>
      </c>
      <c r="G20" s="448">
        <v>3635482</v>
      </c>
      <c r="H20" s="448">
        <v>3416682</v>
      </c>
      <c r="I20" s="448">
        <v>3197882</v>
      </c>
      <c r="J20" s="448">
        <v>2979082</v>
      </c>
      <c r="K20" s="448">
        <v>2760282</v>
      </c>
      <c r="L20" s="448">
        <v>2541481</v>
      </c>
      <c r="M20" s="448">
        <v>2322681</v>
      </c>
      <c r="N20" s="448">
        <v>2103881</v>
      </c>
      <c r="O20" s="448">
        <v>1885081</v>
      </c>
      <c r="P20" s="448">
        <v>1666281</v>
      </c>
      <c r="Q20" s="448">
        <v>1447482</v>
      </c>
      <c r="R20" s="448">
        <v>1228682</v>
      </c>
      <c r="S20" s="448">
        <v>1009881</v>
      </c>
      <c r="T20" s="448">
        <v>791082</v>
      </c>
      <c r="U20" s="448">
        <v>572281</v>
      </c>
      <c r="V20" s="448">
        <v>353482</v>
      </c>
      <c r="W20" s="448">
        <v>134681</v>
      </c>
      <c r="X20" s="449">
        <f t="shared" si="13"/>
        <v>44265632</v>
      </c>
      <c r="Z20" s="457">
        <f t="shared" si="11"/>
        <v>44265632</v>
      </c>
    </row>
    <row r="21" spans="1:26" s="458" customFormat="1" ht="14.4" x14ac:dyDescent="0.25">
      <c r="A21" s="447" t="s">
        <v>744</v>
      </c>
      <c r="B21" s="447" t="s">
        <v>740</v>
      </c>
      <c r="C21" s="477">
        <v>10454047</v>
      </c>
      <c r="D21" s="448">
        <v>13447776</v>
      </c>
      <c r="E21" s="448">
        <v>12744624</v>
      </c>
      <c r="F21" s="448">
        <v>12041473</v>
      </c>
      <c r="G21" s="448">
        <v>11338321</v>
      </c>
      <c r="H21" s="448">
        <v>10635170</v>
      </c>
      <c r="I21" s="448">
        <v>9932018</v>
      </c>
      <c r="J21" s="448">
        <v>9228866</v>
      </c>
      <c r="K21" s="448">
        <v>8525715</v>
      </c>
      <c r="L21" s="448">
        <v>7822563</v>
      </c>
      <c r="M21" s="448">
        <v>7119412</v>
      </c>
      <c r="N21" s="448">
        <v>6416260</v>
      </c>
      <c r="O21" s="448">
        <v>5713108</v>
      </c>
      <c r="P21" s="448">
        <v>5009957</v>
      </c>
      <c r="Q21" s="448">
        <v>4306805</v>
      </c>
      <c r="R21" s="448">
        <v>3603654</v>
      </c>
      <c r="S21" s="448">
        <v>2900502</v>
      </c>
      <c r="T21" s="448">
        <v>2197350</v>
      </c>
      <c r="U21" s="448">
        <v>1494199</v>
      </c>
      <c r="V21" s="448">
        <v>791046</v>
      </c>
      <c r="W21" s="448">
        <v>131841</v>
      </c>
      <c r="X21" s="449">
        <f t="shared" si="13"/>
        <v>135400660</v>
      </c>
      <c r="Z21" s="457">
        <f t="shared" si="11"/>
        <v>135400660</v>
      </c>
    </row>
    <row r="22" spans="1:26" s="458" customFormat="1" ht="20.25" customHeight="1" x14ac:dyDescent="0.25">
      <c r="A22" s="447" t="s">
        <v>34</v>
      </c>
      <c r="B22" s="447" t="s">
        <v>745</v>
      </c>
      <c r="C22" s="447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9">
        <f t="shared" si="13"/>
        <v>0</v>
      </c>
    </row>
    <row r="23" spans="1:26" s="458" customFormat="1" ht="21" customHeight="1" x14ac:dyDescent="0.25">
      <c r="A23" s="447" t="s">
        <v>36</v>
      </c>
      <c r="B23" s="447" t="s">
        <v>746</v>
      </c>
      <c r="C23" s="447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9">
        <f t="shared" si="13"/>
        <v>0</v>
      </c>
    </row>
    <row r="24" spans="1:26" s="458" customFormat="1" ht="21" customHeight="1" x14ac:dyDescent="0.25">
      <c r="A24" s="447" t="s">
        <v>38</v>
      </c>
      <c r="B24" s="447" t="s">
        <v>747</v>
      </c>
      <c r="C24" s="447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9">
        <f t="shared" si="13"/>
        <v>0</v>
      </c>
    </row>
    <row r="25" spans="1:26" s="458" customFormat="1" ht="20.25" customHeight="1" x14ac:dyDescent="0.25">
      <c r="A25" s="447" t="s">
        <v>48</v>
      </c>
      <c r="B25" s="447" t="s">
        <v>748</v>
      </c>
      <c r="C25" s="447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9">
        <f t="shared" si="13"/>
        <v>0</v>
      </c>
    </row>
    <row r="26" spans="1:26" s="458" customFormat="1" ht="20.25" customHeight="1" x14ac:dyDescent="0.25">
      <c r="A26" s="447" t="s">
        <v>50</v>
      </c>
      <c r="B26" s="447" t="s">
        <v>749</v>
      </c>
      <c r="C26" s="447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9">
        <f t="shared" si="13"/>
        <v>0</v>
      </c>
    </row>
    <row r="27" spans="1:26" s="458" customFormat="1" ht="22.5" customHeight="1" x14ac:dyDescent="0.25">
      <c r="A27" s="447" t="s">
        <v>67</v>
      </c>
      <c r="B27" s="447" t="s">
        <v>750</v>
      </c>
      <c r="C27" s="447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9">
        <f t="shared" si="13"/>
        <v>0</v>
      </c>
    </row>
    <row r="28" spans="1:26" s="458" customFormat="1" ht="22.5" customHeight="1" x14ac:dyDescent="0.25">
      <c r="A28" s="447" t="s">
        <v>68</v>
      </c>
      <c r="B28" s="447" t="s">
        <v>751</v>
      </c>
      <c r="C28" s="447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9">
        <f t="shared" si="13"/>
        <v>0</v>
      </c>
    </row>
    <row r="29" spans="1:26" s="458" customFormat="1" ht="28.8" x14ac:dyDescent="0.25">
      <c r="A29" s="447" t="s">
        <v>69</v>
      </c>
      <c r="B29" s="454" t="s">
        <v>752</v>
      </c>
      <c r="C29" s="449">
        <f t="shared" ref="C29" si="14">C30+C39+C40+C41+C42+C43+C44+C45</f>
        <v>0</v>
      </c>
      <c r="D29" s="449">
        <f t="shared" ref="D29:W29" si="15">D30+D39+D40+D41+D42+D43+D44+D45</f>
        <v>0</v>
      </c>
      <c r="E29" s="449">
        <f t="shared" si="15"/>
        <v>0</v>
      </c>
      <c r="F29" s="449">
        <f t="shared" si="15"/>
        <v>0</v>
      </c>
      <c r="G29" s="449">
        <f t="shared" si="15"/>
        <v>0</v>
      </c>
      <c r="H29" s="449">
        <f t="shared" si="15"/>
        <v>0</v>
      </c>
      <c r="I29" s="449">
        <f t="shared" si="15"/>
        <v>0</v>
      </c>
      <c r="J29" s="449">
        <f t="shared" si="15"/>
        <v>0</v>
      </c>
      <c r="K29" s="449">
        <f t="shared" si="15"/>
        <v>0</v>
      </c>
      <c r="L29" s="449">
        <f t="shared" si="15"/>
        <v>0</v>
      </c>
      <c r="M29" s="449">
        <f t="shared" si="15"/>
        <v>0</v>
      </c>
      <c r="N29" s="449">
        <f t="shared" si="15"/>
        <v>0</v>
      </c>
      <c r="O29" s="449">
        <f t="shared" si="15"/>
        <v>0</v>
      </c>
      <c r="P29" s="449">
        <f t="shared" si="15"/>
        <v>0</v>
      </c>
      <c r="Q29" s="449">
        <f t="shared" si="15"/>
        <v>0</v>
      </c>
      <c r="R29" s="449">
        <f t="shared" si="15"/>
        <v>0</v>
      </c>
      <c r="S29" s="449">
        <f t="shared" si="15"/>
        <v>0</v>
      </c>
      <c r="T29" s="449">
        <f t="shared" si="15"/>
        <v>0</v>
      </c>
      <c r="U29" s="449">
        <f t="shared" si="15"/>
        <v>0</v>
      </c>
      <c r="V29" s="449">
        <f t="shared" si="15"/>
        <v>0</v>
      </c>
      <c r="W29" s="449">
        <f t="shared" si="15"/>
        <v>0</v>
      </c>
      <c r="X29" s="449">
        <f t="shared" si="13"/>
        <v>0</v>
      </c>
    </row>
    <row r="30" spans="1:26" s="458" customFormat="1" ht="18.75" customHeight="1" x14ac:dyDescent="0.25">
      <c r="A30" s="447" t="s">
        <v>70</v>
      </c>
      <c r="B30" s="447" t="s">
        <v>753</v>
      </c>
      <c r="C30" s="448">
        <f t="shared" ref="C30" si="16">SUM(C31:C35)</f>
        <v>0</v>
      </c>
      <c r="D30" s="448">
        <f t="shared" ref="D30:W30" si="17">SUM(D31:D35)</f>
        <v>0</v>
      </c>
      <c r="E30" s="448">
        <f t="shared" si="17"/>
        <v>0</v>
      </c>
      <c r="F30" s="448">
        <f t="shared" si="17"/>
        <v>0</v>
      </c>
      <c r="G30" s="448">
        <f t="shared" si="17"/>
        <v>0</v>
      </c>
      <c r="H30" s="448">
        <f t="shared" si="17"/>
        <v>0</v>
      </c>
      <c r="I30" s="448">
        <f t="shared" si="17"/>
        <v>0</v>
      </c>
      <c r="J30" s="448">
        <f t="shared" si="17"/>
        <v>0</v>
      </c>
      <c r="K30" s="448">
        <f t="shared" si="17"/>
        <v>0</v>
      </c>
      <c r="L30" s="448">
        <f t="shared" si="17"/>
        <v>0</v>
      </c>
      <c r="M30" s="448">
        <f t="shared" si="17"/>
        <v>0</v>
      </c>
      <c r="N30" s="448">
        <f t="shared" si="17"/>
        <v>0</v>
      </c>
      <c r="O30" s="448">
        <f t="shared" si="17"/>
        <v>0</v>
      </c>
      <c r="P30" s="448">
        <f t="shared" si="17"/>
        <v>0</v>
      </c>
      <c r="Q30" s="448">
        <f t="shared" si="17"/>
        <v>0</v>
      </c>
      <c r="R30" s="448">
        <f t="shared" si="17"/>
        <v>0</v>
      </c>
      <c r="S30" s="448">
        <f t="shared" si="17"/>
        <v>0</v>
      </c>
      <c r="T30" s="448">
        <f t="shared" si="17"/>
        <v>0</v>
      </c>
      <c r="U30" s="448">
        <f t="shared" si="17"/>
        <v>0</v>
      </c>
      <c r="V30" s="448">
        <f t="shared" si="17"/>
        <v>0</v>
      </c>
      <c r="W30" s="448">
        <f t="shared" si="17"/>
        <v>0</v>
      </c>
      <c r="X30" s="449">
        <f t="shared" si="13"/>
        <v>0</v>
      </c>
    </row>
    <row r="31" spans="1:26" s="458" customFormat="1" ht="18.75" customHeight="1" x14ac:dyDescent="0.25">
      <c r="A31" s="447" t="s">
        <v>71</v>
      </c>
      <c r="B31" s="447" t="s">
        <v>754</v>
      </c>
      <c r="C31" s="448">
        <f t="shared" ref="C31" si="18">+C32+C33+C34</f>
        <v>0</v>
      </c>
      <c r="D31" s="448">
        <f t="shared" ref="D31:W31" si="19">+D32+D33+D34</f>
        <v>0</v>
      </c>
      <c r="E31" s="448">
        <f t="shared" si="19"/>
        <v>0</v>
      </c>
      <c r="F31" s="448">
        <f t="shared" si="19"/>
        <v>0</v>
      </c>
      <c r="G31" s="448">
        <f t="shared" si="19"/>
        <v>0</v>
      </c>
      <c r="H31" s="448">
        <f t="shared" si="19"/>
        <v>0</v>
      </c>
      <c r="I31" s="448">
        <f t="shared" si="19"/>
        <v>0</v>
      </c>
      <c r="J31" s="448">
        <f t="shared" si="19"/>
        <v>0</v>
      </c>
      <c r="K31" s="448">
        <f t="shared" si="19"/>
        <v>0</v>
      </c>
      <c r="L31" s="448">
        <f t="shared" si="19"/>
        <v>0</v>
      </c>
      <c r="M31" s="448">
        <f t="shared" si="19"/>
        <v>0</v>
      </c>
      <c r="N31" s="448">
        <f t="shared" si="19"/>
        <v>0</v>
      </c>
      <c r="O31" s="448">
        <f t="shared" si="19"/>
        <v>0</v>
      </c>
      <c r="P31" s="448">
        <f t="shared" si="19"/>
        <v>0</v>
      </c>
      <c r="Q31" s="448">
        <f t="shared" si="19"/>
        <v>0</v>
      </c>
      <c r="R31" s="448">
        <f t="shared" si="19"/>
        <v>0</v>
      </c>
      <c r="S31" s="448">
        <f t="shared" si="19"/>
        <v>0</v>
      </c>
      <c r="T31" s="448">
        <f t="shared" si="19"/>
        <v>0</v>
      </c>
      <c r="U31" s="448">
        <f t="shared" si="19"/>
        <v>0</v>
      </c>
      <c r="V31" s="448">
        <f t="shared" si="19"/>
        <v>0</v>
      </c>
      <c r="W31" s="448">
        <f t="shared" si="19"/>
        <v>0</v>
      </c>
      <c r="X31" s="449">
        <f t="shared" si="13"/>
        <v>0</v>
      </c>
    </row>
    <row r="32" spans="1:26" s="458" customFormat="1" ht="19.5" customHeight="1" x14ac:dyDescent="0.25">
      <c r="A32" s="447" t="s">
        <v>755</v>
      </c>
      <c r="B32" s="447" t="s">
        <v>736</v>
      </c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9"/>
    </row>
    <row r="33" spans="1:25" s="458" customFormat="1" ht="14.4" x14ac:dyDescent="0.25">
      <c r="A33" s="447" t="s">
        <v>756</v>
      </c>
      <c r="B33" s="447" t="s">
        <v>738</v>
      </c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9"/>
    </row>
    <row r="34" spans="1:25" s="458" customFormat="1" ht="18" customHeight="1" x14ac:dyDescent="0.25">
      <c r="A34" s="447" t="s">
        <v>757</v>
      </c>
      <c r="B34" s="447" t="s">
        <v>740</v>
      </c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9"/>
    </row>
    <row r="35" spans="1:25" ht="18" customHeight="1" x14ac:dyDescent="0.25">
      <c r="A35" s="455" t="s">
        <v>72</v>
      </c>
      <c r="B35" s="455" t="s">
        <v>758</v>
      </c>
      <c r="C35" s="459">
        <f t="shared" ref="C35" si="20">+C36+C37+C38</f>
        <v>0</v>
      </c>
      <c r="D35" s="459">
        <f t="shared" ref="D35:W35" si="21">+D36+D37+D38</f>
        <v>0</v>
      </c>
      <c r="E35" s="459">
        <f t="shared" si="21"/>
        <v>0</v>
      </c>
      <c r="F35" s="459">
        <f t="shared" si="21"/>
        <v>0</v>
      </c>
      <c r="G35" s="459">
        <f t="shared" si="21"/>
        <v>0</v>
      </c>
      <c r="H35" s="459">
        <f t="shared" si="21"/>
        <v>0</v>
      </c>
      <c r="I35" s="459">
        <f t="shared" si="21"/>
        <v>0</v>
      </c>
      <c r="J35" s="459">
        <f t="shared" si="21"/>
        <v>0</v>
      </c>
      <c r="K35" s="459">
        <f t="shared" si="21"/>
        <v>0</v>
      </c>
      <c r="L35" s="459">
        <f t="shared" si="21"/>
        <v>0</v>
      </c>
      <c r="M35" s="459">
        <f t="shared" si="21"/>
        <v>0</v>
      </c>
      <c r="N35" s="459">
        <f t="shared" si="21"/>
        <v>0</v>
      </c>
      <c r="O35" s="459">
        <f t="shared" si="21"/>
        <v>0</v>
      </c>
      <c r="P35" s="459">
        <f t="shared" si="21"/>
        <v>0</v>
      </c>
      <c r="Q35" s="459">
        <f t="shared" si="21"/>
        <v>0</v>
      </c>
      <c r="R35" s="459">
        <f t="shared" si="21"/>
        <v>0</v>
      </c>
      <c r="S35" s="459">
        <f t="shared" si="21"/>
        <v>0</v>
      </c>
      <c r="T35" s="459">
        <f t="shared" si="21"/>
        <v>0</v>
      </c>
      <c r="U35" s="459">
        <f t="shared" si="21"/>
        <v>0</v>
      </c>
      <c r="V35" s="459">
        <f t="shared" si="21"/>
        <v>0</v>
      </c>
      <c r="W35" s="459">
        <f t="shared" si="21"/>
        <v>0</v>
      </c>
      <c r="X35" s="456">
        <f>SUM(D35:W35)</f>
        <v>0</v>
      </c>
    </row>
    <row r="36" spans="1:25" ht="18" customHeight="1" x14ac:dyDescent="0.25">
      <c r="A36" s="455" t="s">
        <v>759</v>
      </c>
      <c r="B36" s="447" t="s">
        <v>736</v>
      </c>
      <c r="C36" s="447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6"/>
    </row>
    <row r="37" spans="1:25" ht="14.4" x14ac:dyDescent="0.25">
      <c r="A37" s="455" t="s">
        <v>760</v>
      </c>
      <c r="B37" s="447" t="s">
        <v>738</v>
      </c>
      <c r="C37" s="447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6"/>
    </row>
    <row r="38" spans="1:25" s="458" customFormat="1" ht="17.25" customHeight="1" x14ac:dyDescent="0.25">
      <c r="A38" s="447" t="s">
        <v>761</v>
      </c>
      <c r="B38" s="447" t="s">
        <v>740</v>
      </c>
      <c r="C38" s="447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9"/>
    </row>
    <row r="39" spans="1:25" ht="17.25" customHeight="1" x14ac:dyDescent="0.25">
      <c r="A39" s="455" t="s">
        <v>73</v>
      </c>
      <c r="B39" s="455" t="s">
        <v>745</v>
      </c>
      <c r="C39" s="455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6">
        <f t="shared" ref="X39:X47" si="22">SUM(D39:W39)</f>
        <v>0</v>
      </c>
    </row>
    <row r="40" spans="1:25" ht="17.25" customHeight="1" x14ac:dyDescent="0.25">
      <c r="A40" s="455" t="s">
        <v>74</v>
      </c>
      <c r="B40" s="455" t="s">
        <v>746</v>
      </c>
      <c r="C40" s="455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6">
        <f t="shared" si="22"/>
        <v>0</v>
      </c>
    </row>
    <row r="41" spans="1:25" ht="20.25" customHeight="1" x14ac:dyDescent="0.25">
      <c r="A41" s="455" t="s">
        <v>75</v>
      </c>
      <c r="B41" s="455" t="s">
        <v>747</v>
      </c>
      <c r="C41" s="455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6">
        <f t="shared" si="22"/>
        <v>0</v>
      </c>
    </row>
    <row r="42" spans="1:25" ht="20.25" customHeight="1" x14ac:dyDescent="0.25">
      <c r="A42" s="455" t="s">
        <v>76</v>
      </c>
      <c r="B42" s="455" t="s">
        <v>748</v>
      </c>
      <c r="C42" s="455"/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6">
        <f t="shared" si="22"/>
        <v>0</v>
      </c>
    </row>
    <row r="43" spans="1:25" ht="20.25" customHeight="1" x14ac:dyDescent="0.25">
      <c r="A43" s="455" t="s">
        <v>628</v>
      </c>
      <c r="B43" s="455" t="s">
        <v>749</v>
      </c>
      <c r="C43" s="455"/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6">
        <f t="shared" si="22"/>
        <v>0</v>
      </c>
    </row>
    <row r="44" spans="1:25" ht="20.25" customHeight="1" x14ac:dyDescent="0.25">
      <c r="A44" s="455" t="s">
        <v>629</v>
      </c>
      <c r="B44" s="455" t="s">
        <v>750</v>
      </c>
      <c r="C44" s="455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9"/>
      <c r="U44" s="459"/>
      <c r="V44" s="459"/>
      <c r="W44" s="459"/>
      <c r="X44" s="456">
        <f t="shared" si="22"/>
        <v>0</v>
      </c>
    </row>
    <row r="45" spans="1:25" ht="20.25" customHeight="1" x14ac:dyDescent="0.25">
      <c r="A45" s="455" t="s">
        <v>630</v>
      </c>
      <c r="B45" s="455" t="s">
        <v>751</v>
      </c>
      <c r="C45" s="455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459"/>
      <c r="S45" s="459"/>
      <c r="T45" s="459"/>
      <c r="U45" s="459"/>
      <c r="V45" s="459"/>
      <c r="W45" s="459"/>
      <c r="X45" s="456">
        <f t="shared" si="22"/>
        <v>0</v>
      </c>
    </row>
    <row r="46" spans="1:25" ht="20.25" customHeight="1" x14ac:dyDescent="0.25">
      <c r="A46" s="455" t="s">
        <v>631</v>
      </c>
      <c r="B46" s="446" t="s">
        <v>762</v>
      </c>
      <c r="C46" s="456">
        <f t="shared" ref="C46" si="23">SUM(C12+C29)</f>
        <v>45942267</v>
      </c>
      <c r="D46" s="456">
        <f t="shared" ref="D46:W46" si="24">SUM(D12+D29)</f>
        <v>59013082</v>
      </c>
      <c r="E46" s="456">
        <f t="shared" si="24"/>
        <v>54074052</v>
      </c>
      <c r="F46" s="456">
        <f t="shared" si="24"/>
        <v>52664921</v>
      </c>
      <c r="G46" s="456">
        <f t="shared" si="24"/>
        <v>51255790</v>
      </c>
      <c r="H46" s="456">
        <f t="shared" si="24"/>
        <v>49846659</v>
      </c>
      <c r="I46" s="456">
        <f t="shared" si="24"/>
        <v>48437528</v>
      </c>
      <c r="J46" s="456">
        <f t="shared" si="24"/>
        <v>47028396</v>
      </c>
      <c r="K46" s="456">
        <f t="shared" si="24"/>
        <v>45619265</v>
      </c>
      <c r="L46" s="456">
        <f t="shared" si="24"/>
        <v>44210133</v>
      </c>
      <c r="M46" s="456">
        <f t="shared" si="24"/>
        <v>42801002</v>
      </c>
      <c r="N46" s="456">
        <f t="shared" si="24"/>
        <v>41391871</v>
      </c>
      <c r="O46" s="456">
        <f t="shared" si="24"/>
        <v>39982739</v>
      </c>
      <c r="P46" s="456">
        <f t="shared" si="24"/>
        <v>38573608</v>
      </c>
      <c r="Q46" s="456">
        <f t="shared" si="24"/>
        <v>37164478</v>
      </c>
      <c r="R46" s="456">
        <f t="shared" si="24"/>
        <v>35755347</v>
      </c>
      <c r="S46" s="456">
        <f t="shared" si="24"/>
        <v>34346215</v>
      </c>
      <c r="T46" s="456">
        <f t="shared" si="24"/>
        <v>32937084</v>
      </c>
      <c r="U46" s="456">
        <f t="shared" si="24"/>
        <v>31527952</v>
      </c>
      <c r="V46" s="456">
        <f t="shared" si="24"/>
        <v>30118820</v>
      </c>
      <c r="W46" s="456">
        <f t="shared" si="24"/>
        <v>21680819</v>
      </c>
      <c r="X46" s="456">
        <f t="shared" si="22"/>
        <v>838429761</v>
      </c>
    </row>
    <row r="47" spans="1:25" ht="21" customHeight="1" x14ac:dyDescent="0.25">
      <c r="A47" s="455" t="s">
        <v>632</v>
      </c>
      <c r="B47" s="446" t="s">
        <v>763</v>
      </c>
      <c r="C47" s="456">
        <f t="shared" ref="C47" si="25">C11-C46</f>
        <v>1974505283.5</v>
      </c>
      <c r="D47" s="456">
        <f t="shared" ref="D47:W47" si="26">D11-D46</f>
        <v>1911322254</v>
      </c>
      <c r="E47" s="456">
        <f t="shared" si="26"/>
        <v>1867814536.7144997</v>
      </c>
      <c r="F47" s="456">
        <f t="shared" si="26"/>
        <v>1871449701.251214</v>
      </c>
      <c r="G47" s="456">
        <f t="shared" si="26"/>
        <v>1875088628.046205</v>
      </c>
      <c r="H47" s="456">
        <f t="shared" si="26"/>
        <v>1878731328.5428548</v>
      </c>
      <c r="I47" s="456">
        <f t="shared" si="26"/>
        <v>1882377814.2343941</v>
      </c>
      <c r="J47" s="456">
        <f t="shared" si="26"/>
        <v>1886028097.664145</v>
      </c>
      <c r="K47" s="456">
        <f t="shared" si="26"/>
        <v>1889682188.4257631</v>
      </c>
      <c r="L47" s="456">
        <f t="shared" si="26"/>
        <v>1893340100.1634827</v>
      </c>
      <c r="M47" s="456">
        <f t="shared" si="26"/>
        <v>1897001842.5723617</v>
      </c>
      <c r="N47" s="456">
        <f t="shared" si="26"/>
        <v>1900667428.3985279</v>
      </c>
      <c r="O47" s="456">
        <f t="shared" si="26"/>
        <v>1904336870.4394281</v>
      </c>
      <c r="P47" s="456">
        <f t="shared" si="26"/>
        <v>1908010178.5440769</v>
      </c>
      <c r="Q47" s="456">
        <f t="shared" si="26"/>
        <v>1911687364.6133063</v>
      </c>
      <c r="R47" s="456">
        <f t="shared" si="26"/>
        <v>1915368442.6000185</v>
      </c>
      <c r="S47" s="456">
        <f t="shared" si="26"/>
        <v>1919053424.509438</v>
      </c>
      <c r="T47" s="456">
        <f t="shared" si="26"/>
        <v>1922742320.3993659</v>
      </c>
      <c r="U47" s="456">
        <f t="shared" si="26"/>
        <v>1333454082.8885252</v>
      </c>
      <c r="V47" s="456">
        <f t="shared" si="26"/>
        <v>1335279175.062968</v>
      </c>
      <c r="W47" s="456">
        <f t="shared" si="26"/>
        <v>1344135216.0382829</v>
      </c>
      <c r="X47" s="456">
        <f t="shared" si="22"/>
        <v>36247570995.108856</v>
      </c>
    </row>
    <row r="48" spans="1:25" ht="14.4" x14ac:dyDescent="0.25">
      <c r="A48" s="460"/>
      <c r="B48" s="460" t="s">
        <v>764</v>
      </c>
      <c r="C48" s="460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1"/>
      <c r="U48" s="461"/>
      <c r="V48" s="461"/>
      <c r="W48" s="461"/>
      <c r="X48" s="461"/>
      <c r="Y48" s="462"/>
    </row>
    <row r="49" spans="1:27" ht="28.8" x14ac:dyDescent="0.25">
      <c r="A49" s="874"/>
      <c r="B49" s="460" t="s">
        <v>765</v>
      </c>
      <c r="C49" s="460">
        <v>554416968</v>
      </c>
      <c r="D49" s="463" t="s">
        <v>1395</v>
      </c>
      <c r="E49" s="463">
        <f>+'[4]1. sz. Önkormányzat 2019. '!AT33</f>
        <v>10432495</v>
      </c>
      <c r="F49" s="464"/>
      <c r="G49" s="460"/>
      <c r="H49" s="461"/>
      <c r="I49" s="461"/>
      <c r="J49" s="465" t="s">
        <v>1396</v>
      </c>
      <c r="K49" s="466">
        <v>1050000</v>
      </c>
      <c r="L49" s="461"/>
      <c r="M49" s="461"/>
      <c r="N49" s="461"/>
      <c r="O49" s="461"/>
      <c r="P49" s="461"/>
      <c r="Q49" s="461"/>
      <c r="R49" s="461"/>
      <c r="S49" s="461"/>
      <c r="T49" s="461"/>
      <c r="U49" s="461"/>
      <c r="V49" s="461"/>
      <c r="W49" s="461"/>
      <c r="X49" s="461"/>
      <c r="Y49" s="462"/>
    </row>
    <row r="50" spans="1:27" ht="43.2" customHeight="1" x14ac:dyDescent="0.25">
      <c r="A50" s="875"/>
      <c r="B50" s="460" t="s">
        <v>766</v>
      </c>
      <c r="C50" s="460">
        <v>156598871</v>
      </c>
      <c r="D50" s="467" t="s">
        <v>1397</v>
      </c>
      <c r="E50" s="467">
        <f>+'[4]1. sz. Önkormányzat 2019. '!AU33</f>
        <v>979980</v>
      </c>
      <c r="F50" s="468"/>
      <c r="G50" s="461"/>
      <c r="H50" s="461"/>
      <c r="I50" s="461"/>
      <c r="J50" s="469" t="s">
        <v>1398</v>
      </c>
      <c r="K50" s="468">
        <v>4500000</v>
      </c>
      <c r="L50" s="460"/>
      <c r="M50" s="461"/>
      <c r="N50" s="461"/>
      <c r="O50" s="461"/>
      <c r="P50" s="461"/>
      <c r="Q50" s="461"/>
      <c r="R50" s="461"/>
      <c r="S50" s="461"/>
      <c r="T50" s="461"/>
      <c r="U50" s="461"/>
      <c r="V50" s="461"/>
      <c r="W50" s="461"/>
      <c r="X50" s="461"/>
      <c r="Y50" s="462"/>
      <c r="Z50" s="461"/>
      <c r="AA50" s="461"/>
    </row>
    <row r="51" spans="1:27" ht="14.4" x14ac:dyDescent="0.25">
      <c r="A51" s="875"/>
      <c r="B51" s="460" t="s">
        <v>767</v>
      </c>
      <c r="C51" s="460">
        <v>22034271</v>
      </c>
      <c r="D51" s="467" t="s">
        <v>768</v>
      </c>
      <c r="E51" s="467">
        <f>+'[4]2.8. sz. Műv.Ház'!E33+'[4]2.8. sz. Műv.Ház'!F33</f>
        <v>7900000</v>
      </c>
      <c r="F51" s="468"/>
      <c r="G51" s="461"/>
      <c r="H51" s="461"/>
      <c r="I51" s="461"/>
      <c r="J51" s="469" t="s">
        <v>1399</v>
      </c>
      <c r="K51" s="468">
        <f>SUM(K49:K50)</f>
        <v>5550000</v>
      </c>
      <c r="L51" s="461"/>
      <c r="M51" s="461"/>
      <c r="N51" s="461"/>
      <c r="O51" s="461"/>
      <c r="P51" s="461"/>
      <c r="Q51" s="461"/>
      <c r="R51" s="461"/>
      <c r="S51" s="461"/>
      <c r="T51" s="461"/>
      <c r="U51" s="461"/>
      <c r="V51" s="461"/>
      <c r="W51" s="461"/>
      <c r="X51" s="461"/>
      <c r="Y51" s="462"/>
      <c r="Z51" s="461"/>
      <c r="AA51" s="461"/>
    </row>
    <row r="52" spans="1:27" ht="14.4" x14ac:dyDescent="0.25">
      <c r="A52" s="875"/>
      <c r="B52" s="460" t="s">
        <v>769</v>
      </c>
      <c r="C52" s="460">
        <v>159400</v>
      </c>
      <c r="D52" s="467" t="s">
        <v>770</v>
      </c>
      <c r="E52" s="467">
        <f>+'[4]1. sz. Önkormányzat 2019. '!AV33</f>
        <v>3810000</v>
      </c>
      <c r="F52" s="468"/>
      <c r="G52" s="461"/>
      <c r="H52" s="461"/>
      <c r="I52" s="461"/>
      <c r="J52" s="469"/>
      <c r="K52" s="468"/>
      <c r="L52" s="461"/>
      <c r="M52" s="461"/>
      <c r="N52" s="461"/>
      <c r="O52" s="461"/>
      <c r="P52" s="461"/>
      <c r="Q52" s="461"/>
      <c r="R52" s="461"/>
      <c r="S52" s="461"/>
      <c r="T52" s="461"/>
      <c r="U52" s="461"/>
      <c r="V52" s="461"/>
      <c r="W52" s="461"/>
      <c r="X52" s="461"/>
      <c r="Y52" s="462"/>
      <c r="Z52" s="461"/>
      <c r="AA52" s="461"/>
    </row>
    <row r="53" spans="1:27" ht="43.2" x14ac:dyDescent="0.25">
      <c r="A53" s="875"/>
      <c r="B53" s="460" t="s">
        <v>771</v>
      </c>
      <c r="C53" s="460">
        <v>3148353788</v>
      </c>
      <c r="D53" s="467" t="s">
        <v>1400</v>
      </c>
      <c r="E53" s="467">
        <f>+'[4]1. sz. Önkormányzat 2019. '!BI33+'[4]1. sz. Önkormányzat 2019. '!BK33</f>
        <v>129999999</v>
      </c>
      <c r="F53" s="468" t="s">
        <v>603</v>
      </c>
      <c r="G53" s="461" t="s">
        <v>1401</v>
      </c>
      <c r="H53" s="461">
        <v>112472000</v>
      </c>
      <c r="I53" s="461"/>
      <c r="J53" s="469"/>
      <c r="K53" s="468"/>
      <c r="L53" s="461"/>
      <c r="M53" s="461"/>
      <c r="N53" s="461"/>
      <c r="O53" s="461"/>
      <c r="P53" s="461"/>
      <c r="Q53" s="461"/>
      <c r="R53" s="461"/>
      <c r="S53" s="461"/>
      <c r="T53" s="461"/>
      <c r="U53" s="461"/>
      <c r="V53" s="461"/>
      <c r="W53" s="461"/>
      <c r="X53" s="461"/>
      <c r="Y53" s="462"/>
    </row>
    <row r="54" spans="1:27" ht="28.8" x14ac:dyDescent="0.25">
      <c r="A54" s="875"/>
      <c r="B54" s="460" t="s">
        <v>772</v>
      </c>
      <c r="C54" s="460"/>
      <c r="D54" s="467" t="s">
        <v>1402</v>
      </c>
      <c r="E54" s="467">
        <f>+'[4]2.3. sz. Mese Óvoda'!E33</f>
        <v>500000</v>
      </c>
      <c r="F54" s="468"/>
      <c r="G54" s="461"/>
      <c r="H54" s="461"/>
      <c r="I54" s="461"/>
      <c r="J54" s="469" t="s">
        <v>1403</v>
      </c>
      <c r="K54" s="468">
        <v>24543000</v>
      </c>
      <c r="L54" s="461"/>
      <c r="M54" s="461"/>
      <c r="N54" s="461"/>
      <c r="O54" s="461"/>
      <c r="P54" s="461"/>
      <c r="Q54" s="461"/>
      <c r="R54" s="461"/>
      <c r="S54" s="461"/>
      <c r="T54" s="461"/>
      <c r="U54" s="461"/>
      <c r="V54" s="461"/>
      <c r="W54" s="461"/>
      <c r="X54" s="461"/>
      <c r="Y54" s="462"/>
    </row>
    <row r="55" spans="1:27" ht="28.8" x14ac:dyDescent="0.25">
      <c r="A55" s="875"/>
      <c r="B55" s="443" t="s">
        <v>92</v>
      </c>
      <c r="C55" s="443"/>
      <c r="D55" s="467" t="s">
        <v>1404</v>
      </c>
      <c r="E55" s="467">
        <f>+'[4]2.2. sz. Hétszínvirág Óvoda'!E33</f>
        <v>500000</v>
      </c>
      <c r="F55" s="468"/>
      <c r="G55" s="461"/>
      <c r="H55" s="461"/>
      <c r="I55" s="461"/>
      <c r="J55" s="469" t="s">
        <v>1405</v>
      </c>
      <c r="K55" s="468">
        <v>2041000</v>
      </c>
      <c r="L55" s="461"/>
      <c r="M55" s="461"/>
      <c r="N55" s="461"/>
      <c r="O55" s="461"/>
      <c r="P55" s="461"/>
      <c r="Q55" s="461"/>
      <c r="R55" s="461"/>
      <c r="S55" s="461"/>
      <c r="T55" s="461"/>
      <c r="U55" s="461"/>
      <c r="V55" s="461"/>
      <c r="W55" s="461"/>
      <c r="X55" s="461"/>
      <c r="Y55" s="462"/>
    </row>
    <row r="56" spans="1:27" ht="14.4" x14ac:dyDescent="0.25">
      <c r="A56" s="470"/>
      <c r="B56" s="460" t="s">
        <v>773</v>
      </c>
      <c r="C56" s="460"/>
      <c r="D56" s="467" t="s">
        <v>1406</v>
      </c>
      <c r="E56" s="467"/>
      <c r="F56" s="468"/>
      <c r="G56" s="461"/>
      <c r="H56" s="461"/>
      <c r="I56" s="461"/>
      <c r="J56" s="469" t="s">
        <v>1407</v>
      </c>
      <c r="K56" s="468">
        <f>SUM(K54:K55)</f>
        <v>26584000</v>
      </c>
      <c r="L56" s="461"/>
      <c r="M56" s="461"/>
      <c r="N56" s="461"/>
      <c r="O56" s="461"/>
      <c r="P56" s="461"/>
      <c r="Q56" s="461"/>
      <c r="R56" s="461"/>
      <c r="S56" s="461"/>
      <c r="T56" s="461"/>
      <c r="U56" s="461"/>
      <c r="V56" s="461"/>
      <c r="W56" s="461"/>
      <c r="X56" s="461"/>
      <c r="Y56" s="462"/>
    </row>
    <row r="57" spans="1:27" ht="14.4" x14ac:dyDescent="0.25">
      <c r="A57" s="470"/>
      <c r="B57" s="460" t="s">
        <v>774</v>
      </c>
      <c r="C57" s="478">
        <v>4240125</v>
      </c>
      <c r="D57" s="467" t="s">
        <v>1408</v>
      </c>
      <c r="E57" s="467"/>
      <c r="F57" s="468"/>
      <c r="G57" s="461"/>
      <c r="H57" s="461"/>
      <c r="I57" s="461"/>
      <c r="J57" s="469"/>
      <c r="K57" s="468"/>
      <c r="L57" s="461"/>
      <c r="M57" s="461"/>
      <c r="N57" s="461"/>
      <c r="O57" s="461"/>
      <c r="P57" s="461"/>
      <c r="Q57" s="461"/>
      <c r="R57" s="461"/>
      <c r="S57" s="461"/>
      <c r="T57" s="461"/>
      <c r="U57" s="461"/>
      <c r="V57" s="461"/>
      <c r="W57" s="461"/>
      <c r="X57" s="461"/>
      <c r="Y57" s="462"/>
    </row>
    <row r="58" spans="1:27" ht="14.4" x14ac:dyDescent="0.25">
      <c r="A58" s="470"/>
      <c r="B58" s="460" t="s">
        <v>1409</v>
      </c>
      <c r="C58" s="478"/>
      <c r="D58" s="467"/>
      <c r="E58" s="467"/>
      <c r="F58" s="468"/>
      <c r="G58" s="461"/>
      <c r="H58" s="461"/>
      <c r="I58" s="461"/>
      <c r="J58" s="469"/>
      <c r="K58" s="468"/>
      <c r="L58" s="461"/>
      <c r="M58" s="461"/>
      <c r="N58" s="461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2"/>
    </row>
    <row r="59" spans="1:27" ht="14.4" x14ac:dyDescent="0.25">
      <c r="A59" s="470"/>
      <c r="B59" s="460" t="s">
        <v>775</v>
      </c>
      <c r="C59" s="478">
        <f>+'[5]2.1. sz. PMH'!$I$33+'[5]2.1. sz. PMH'!$L$33+'[5]2.1. sz. PMH'!$O$33</f>
        <v>1380592</v>
      </c>
      <c r="D59" s="467" t="s">
        <v>92</v>
      </c>
      <c r="E59" s="467">
        <f>SUM(E49:E57)</f>
        <v>154122474</v>
      </c>
      <c r="F59" s="468"/>
      <c r="G59" s="461"/>
      <c r="H59" s="461"/>
      <c r="I59" s="461"/>
      <c r="J59" s="471" t="s">
        <v>10</v>
      </c>
      <c r="K59" s="472">
        <f>+K51+K56</f>
        <v>32134000</v>
      </c>
      <c r="L59" s="461"/>
      <c r="M59" s="461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1"/>
      <c r="Y59" s="462"/>
    </row>
    <row r="60" spans="1:27" ht="14.4" x14ac:dyDescent="0.25">
      <c r="A60" s="470"/>
      <c r="B60" s="460" t="s">
        <v>1410</v>
      </c>
      <c r="C60" s="478"/>
      <c r="D60" s="467"/>
      <c r="E60" s="467"/>
      <c r="F60" s="468"/>
      <c r="G60" s="461"/>
      <c r="H60" s="461"/>
      <c r="I60" s="461"/>
      <c r="J60" s="467"/>
      <c r="K60" s="467"/>
      <c r="L60" s="461"/>
      <c r="M60" s="461"/>
      <c r="N60" s="461"/>
      <c r="O60" s="461"/>
      <c r="P60" s="461"/>
      <c r="Q60" s="461"/>
      <c r="R60" s="461"/>
      <c r="S60" s="461"/>
      <c r="T60" s="461"/>
      <c r="U60" s="461"/>
      <c r="V60" s="461"/>
      <c r="W60" s="461"/>
      <c r="X60" s="461"/>
      <c r="Y60" s="462"/>
    </row>
    <row r="61" spans="1:27" ht="14.4" x14ac:dyDescent="0.25">
      <c r="A61" s="470"/>
      <c r="B61" s="460"/>
      <c r="C61" s="478"/>
      <c r="D61" s="467"/>
      <c r="E61" s="467"/>
      <c r="F61" s="468"/>
      <c r="G61" s="461"/>
      <c r="H61" s="461"/>
      <c r="I61" s="461"/>
      <c r="J61" s="467"/>
      <c r="K61" s="467"/>
      <c r="L61" s="461"/>
      <c r="M61" s="461"/>
      <c r="N61" s="461"/>
      <c r="O61" s="461"/>
      <c r="P61" s="461"/>
      <c r="Q61" s="461"/>
      <c r="R61" s="461"/>
      <c r="S61" s="461"/>
      <c r="T61" s="461"/>
      <c r="U61" s="461"/>
      <c r="V61" s="461"/>
      <c r="W61" s="461"/>
      <c r="X61" s="461"/>
      <c r="Y61" s="462"/>
    </row>
    <row r="62" spans="1:27" ht="14.4" x14ac:dyDescent="0.25">
      <c r="A62" s="473"/>
      <c r="B62" s="443" t="s">
        <v>92</v>
      </c>
      <c r="C62" s="479"/>
      <c r="D62" s="467"/>
      <c r="E62" s="467"/>
      <c r="F62" s="468"/>
      <c r="G62" s="461"/>
      <c r="H62" s="461"/>
      <c r="I62" s="461"/>
      <c r="J62" s="461"/>
      <c r="K62" s="461"/>
      <c r="L62" s="461"/>
      <c r="M62" s="461"/>
      <c r="N62" s="461"/>
      <c r="O62" s="461"/>
      <c r="P62" s="461"/>
      <c r="Q62" s="461"/>
      <c r="R62" s="461"/>
      <c r="S62" s="461"/>
      <c r="T62" s="461"/>
      <c r="U62" s="461"/>
      <c r="V62" s="461"/>
      <c r="W62" s="461"/>
      <c r="X62" s="461"/>
      <c r="Y62" s="462"/>
    </row>
    <row r="63" spans="1:27" ht="28.8" x14ac:dyDescent="0.25">
      <c r="A63" s="470"/>
      <c r="B63" s="460" t="s">
        <v>776</v>
      </c>
      <c r="C63" s="478"/>
      <c r="D63" s="467" t="s">
        <v>772</v>
      </c>
      <c r="E63" s="467">
        <v>107409000</v>
      </c>
      <c r="F63" s="468" t="s">
        <v>1411</v>
      </c>
      <c r="G63" s="461"/>
      <c r="H63" s="461"/>
      <c r="I63" s="461"/>
      <c r="J63" s="461"/>
      <c r="K63" s="461"/>
      <c r="L63" s="461"/>
      <c r="M63" s="461"/>
      <c r="N63" s="461"/>
      <c r="O63" s="461"/>
      <c r="P63" s="461"/>
      <c r="Q63" s="461"/>
      <c r="R63" s="461"/>
      <c r="S63" s="461"/>
      <c r="T63" s="461"/>
      <c r="U63" s="461"/>
      <c r="V63" s="461"/>
      <c r="W63" s="461"/>
      <c r="X63" s="461"/>
      <c r="Y63" s="462"/>
    </row>
    <row r="64" spans="1:27" ht="14.4" x14ac:dyDescent="0.25">
      <c r="A64" s="470"/>
      <c r="B64" s="460" t="s">
        <v>1412</v>
      </c>
      <c r="C64" s="478">
        <v>13560534</v>
      </c>
      <c r="D64" s="467"/>
      <c r="E64" s="467"/>
      <c r="F64" s="468"/>
      <c r="G64" s="461"/>
      <c r="H64" s="461"/>
      <c r="I64" s="461"/>
      <c r="J64" s="461"/>
      <c r="K64" s="461"/>
      <c r="L64" s="461"/>
      <c r="M64" s="461"/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1"/>
      <c r="Y64" s="462"/>
    </row>
    <row r="65" spans="1:25" ht="14.4" x14ac:dyDescent="0.25">
      <c r="A65" s="470"/>
      <c r="B65" s="460" t="s">
        <v>1413</v>
      </c>
      <c r="C65" s="478"/>
      <c r="D65" s="467"/>
      <c r="E65" s="467"/>
      <c r="F65" s="468"/>
      <c r="G65" s="461"/>
      <c r="H65" s="461"/>
      <c r="I65" s="461"/>
      <c r="J65" s="461"/>
      <c r="K65" s="461"/>
      <c r="L65" s="461"/>
      <c r="M65" s="461"/>
      <c r="N65" s="461"/>
      <c r="O65" s="461"/>
      <c r="P65" s="461"/>
      <c r="Q65" s="461"/>
      <c r="R65" s="461"/>
      <c r="S65" s="461"/>
      <c r="T65" s="461"/>
      <c r="U65" s="461"/>
      <c r="V65" s="461"/>
      <c r="W65" s="461"/>
      <c r="X65" s="461"/>
      <c r="Y65" s="462"/>
    </row>
    <row r="66" spans="1:25" ht="14.4" x14ac:dyDescent="0.25">
      <c r="A66" s="470"/>
      <c r="B66" s="460" t="s">
        <v>1414</v>
      </c>
      <c r="C66" s="478"/>
      <c r="D66" s="467"/>
      <c r="E66" s="467"/>
      <c r="F66" s="468"/>
      <c r="G66" s="461"/>
      <c r="H66" s="461"/>
      <c r="I66" s="461"/>
      <c r="J66" s="461"/>
      <c r="K66" s="461"/>
      <c r="L66" s="461"/>
      <c r="M66" s="461"/>
      <c r="N66" s="461"/>
      <c r="O66" s="461"/>
      <c r="P66" s="461"/>
      <c r="Q66" s="461"/>
      <c r="R66" s="461"/>
      <c r="S66" s="461"/>
      <c r="T66" s="461"/>
      <c r="U66" s="461"/>
      <c r="V66" s="461"/>
      <c r="W66" s="461"/>
      <c r="X66" s="461"/>
      <c r="Y66" s="462"/>
    </row>
    <row r="67" spans="1:25" ht="14.4" x14ac:dyDescent="0.25">
      <c r="A67" s="470"/>
      <c r="B67" s="460" t="s">
        <v>777</v>
      </c>
      <c r="C67" s="478">
        <v>1104377</v>
      </c>
      <c r="D67" s="467"/>
      <c r="E67" s="467"/>
      <c r="F67" s="468"/>
      <c r="G67" s="461"/>
      <c r="H67" s="461"/>
      <c r="I67" s="461"/>
      <c r="J67" s="461"/>
      <c r="K67" s="461"/>
      <c r="L67" s="461"/>
      <c r="M67" s="461"/>
      <c r="N67" s="461"/>
      <c r="O67" s="461"/>
      <c r="P67" s="461"/>
      <c r="Q67" s="461"/>
      <c r="R67" s="461"/>
      <c r="S67" s="461"/>
      <c r="T67" s="461"/>
      <c r="U67" s="461"/>
      <c r="V67" s="461"/>
      <c r="W67" s="461"/>
      <c r="X67" s="461"/>
      <c r="Y67" s="462"/>
    </row>
    <row r="68" spans="1:25" ht="14.4" x14ac:dyDescent="0.25">
      <c r="A68" s="470"/>
      <c r="B68" s="460" t="s">
        <v>1415</v>
      </c>
      <c r="C68" s="478"/>
      <c r="D68" s="467"/>
      <c r="E68" s="467"/>
      <c r="F68" s="468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2"/>
    </row>
    <row r="69" spans="1:25" ht="14.4" x14ac:dyDescent="0.25">
      <c r="A69" s="470"/>
      <c r="B69" s="460" t="s">
        <v>770</v>
      </c>
      <c r="C69" s="478">
        <v>6257976</v>
      </c>
      <c r="D69" s="467"/>
      <c r="E69" s="467"/>
      <c r="F69" s="468"/>
      <c r="G69" s="461"/>
      <c r="H69" s="461"/>
      <c r="I69" s="461"/>
      <c r="J69" s="461"/>
      <c r="K69" s="461"/>
      <c r="L69" s="461"/>
      <c r="M69" s="461"/>
      <c r="N69" s="461"/>
      <c r="O69" s="461"/>
      <c r="P69" s="461"/>
      <c r="Q69" s="461"/>
      <c r="R69" s="461"/>
      <c r="S69" s="461"/>
      <c r="T69" s="461"/>
      <c r="U69" s="461"/>
      <c r="V69" s="461"/>
      <c r="W69" s="461"/>
      <c r="X69" s="461"/>
      <c r="Y69" s="462"/>
    </row>
    <row r="70" spans="1:25" ht="14.4" x14ac:dyDescent="0.25">
      <c r="A70" s="470"/>
      <c r="B70" s="460" t="s">
        <v>1416</v>
      </c>
      <c r="C70" s="478">
        <v>129999999</v>
      </c>
      <c r="D70" s="467"/>
      <c r="E70" s="467"/>
      <c r="F70" s="468"/>
      <c r="G70" s="461"/>
      <c r="H70" s="461"/>
      <c r="I70" s="461"/>
      <c r="J70" s="461"/>
      <c r="K70" s="461"/>
      <c r="L70" s="461"/>
      <c r="M70" s="461"/>
      <c r="N70" s="461"/>
      <c r="O70" s="461"/>
      <c r="P70" s="461"/>
      <c r="Q70" s="461"/>
      <c r="R70" s="461"/>
      <c r="S70" s="461"/>
      <c r="T70" s="461"/>
      <c r="U70" s="461"/>
      <c r="V70" s="461"/>
      <c r="W70" s="461"/>
      <c r="X70" s="461"/>
      <c r="Y70" s="462"/>
    </row>
    <row r="71" spans="1:25" ht="14.4" x14ac:dyDescent="0.25">
      <c r="A71" s="470"/>
      <c r="B71" s="460" t="s">
        <v>778</v>
      </c>
      <c r="C71" s="478"/>
      <c r="D71" s="467"/>
      <c r="E71" s="467"/>
      <c r="F71" s="468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2"/>
    </row>
    <row r="72" spans="1:25" ht="14.4" x14ac:dyDescent="0.25">
      <c r="A72" s="470"/>
      <c r="B72" s="460" t="s">
        <v>779</v>
      </c>
      <c r="C72" s="478"/>
      <c r="D72" s="467"/>
      <c r="E72" s="467"/>
      <c r="F72" s="468"/>
      <c r="G72" s="461"/>
      <c r="H72" s="461"/>
      <c r="I72" s="461"/>
      <c r="J72" s="461"/>
      <c r="K72" s="461"/>
      <c r="L72" s="461"/>
      <c r="M72" s="461"/>
      <c r="N72" s="461"/>
      <c r="O72" s="461"/>
      <c r="P72" s="461"/>
      <c r="Q72" s="461"/>
      <c r="R72" s="461"/>
      <c r="S72" s="461"/>
      <c r="T72" s="461"/>
      <c r="U72" s="461"/>
      <c r="V72" s="461"/>
      <c r="W72" s="461"/>
      <c r="X72" s="461"/>
      <c r="Y72" s="462"/>
    </row>
    <row r="73" spans="1:25" ht="14.4" x14ac:dyDescent="0.25">
      <c r="A73" s="470"/>
      <c r="B73" s="460" t="s">
        <v>780</v>
      </c>
      <c r="C73" s="478">
        <v>2788200</v>
      </c>
      <c r="D73" s="474" t="s">
        <v>92</v>
      </c>
      <c r="E73" s="474">
        <f>+E59+E63</f>
        <v>261531474</v>
      </c>
      <c r="F73" s="472"/>
      <c r="G73" s="461"/>
      <c r="H73" s="461"/>
      <c r="I73" s="461"/>
      <c r="J73" s="461"/>
      <c r="K73" s="461"/>
      <c r="L73" s="461"/>
      <c r="M73" s="461"/>
      <c r="N73" s="461"/>
      <c r="O73" s="461"/>
      <c r="P73" s="461"/>
      <c r="Q73" s="461"/>
      <c r="R73" s="461"/>
      <c r="S73" s="461"/>
      <c r="T73" s="461"/>
      <c r="U73" s="461"/>
      <c r="V73" s="461"/>
      <c r="W73" s="461"/>
      <c r="X73" s="461"/>
      <c r="Y73" s="462"/>
    </row>
    <row r="74" spans="1:25" ht="14.4" x14ac:dyDescent="0.25">
      <c r="A74" s="470"/>
      <c r="B74" s="460" t="s">
        <v>1417</v>
      </c>
      <c r="C74" s="478"/>
      <c r="D74" s="467"/>
      <c r="E74" s="467"/>
      <c r="F74" s="467"/>
      <c r="G74" s="461"/>
      <c r="H74" s="461"/>
      <c r="I74" s="461"/>
      <c r="J74" s="461"/>
      <c r="K74" s="461"/>
      <c r="L74" s="461"/>
      <c r="M74" s="461"/>
      <c r="N74" s="461"/>
      <c r="O74" s="461"/>
      <c r="P74" s="461"/>
      <c r="Q74" s="461"/>
      <c r="R74" s="461"/>
      <c r="S74" s="461"/>
      <c r="T74" s="461"/>
      <c r="U74" s="461"/>
      <c r="V74" s="461"/>
      <c r="W74" s="461"/>
      <c r="X74" s="461"/>
      <c r="Y74" s="462"/>
    </row>
    <row r="75" spans="1:25" ht="14.4" x14ac:dyDescent="0.25">
      <c r="A75" s="470"/>
      <c r="B75" s="460" t="s">
        <v>768</v>
      </c>
      <c r="C75" s="478"/>
      <c r="D75" s="467"/>
      <c r="E75" s="467"/>
      <c r="F75" s="467"/>
      <c r="G75" s="461"/>
      <c r="H75" s="461"/>
      <c r="I75" s="461"/>
      <c r="J75" s="461"/>
      <c r="K75" s="461"/>
      <c r="L75" s="461"/>
      <c r="M75" s="461"/>
      <c r="N75" s="461"/>
      <c r="O75" s="461"/>
      <c r="P75" s="461"/>
      <c r="Q75" s="461"/>
      <c r="R75" s="461"/>
      <c r="S75" s="461"/>
      <c r="T75" s="461"/>
      <c r="U75" s="461"/>
      <c r="V75" s="461"/>
      <c r="W75" s="461"/>
      <c r="X75" s="461"/>
      <c r="Y75" s="462"/>
    </row>
    <row r="76" spans="1:25" ht="14.4" x14ac:dyDescent="0.25">
      <c r="A76" s="470"/>
      <c r="B76" s="460" t="s">
        <v>1418</v>
      </c>
      <c r="C76" s="478"/>
      <c r="D76" s="467"/>
      <c r="E76" s="467"/>
      <c r="F76" s="467"/>
      <c r="G76" s="461"/>
      <c r="H76" s="461"/>
      <c r="I76" s="461"/>
      <c r="J76" s="461"/>
      <c r="K76" s="461"/>
      <c r="L76" s="461"/>
      <c r="M76" s="461"/>
      <c r="N76" s="461"/>
      <c r="O76" s="461"/>
      <c r="P76" s="461"/>
      <c r="Q76" s="461"/>
      <c r="R76" s="461"/>
      <c r="S76" s="461"/>
      <c r="T76" s="461"/>
      <c r="U76" s="461"/>
      <c r="V76" s="461"/>
      <c r="W76" s="461"/>
      <c r="X76" s="461"/>
      <c r="Y76" s="462"/>
    </row>
    <row r="77" spans="1:25" ht="14.4" x14ac:dyDescent="0.25">
      <c r="A77" s="475"/>
      <c r="B77" s="476" t="s">
        <v>781</v>
      </c>
      <c r="C77" s="480"/>
      <c r="D77" s="461"/>
      <c r="E77" s="461"/>
      <c r="F77" s="461"/>
      <c r="G77" s="461"/>
      <c r="H77" s="461"/>
      <c r="I77" s="461"/>
      <c r="J77" s="461"/>
      <c r="K77" s="461"/>
      <c r="L77" s="461"/>
      <c r="M77" s="461"/>
      <c r="N77" s="461"/>
      <c r="O77" s="461"/>
      <c r="P77" s="461"/>
      <c r="Q77" s="461"/>
      <c r="R77" s="461"/>
      <c r="S77" s="461"/>
      <c r="T77" s="461"/>
      <c r="U77" s="461"/>
      <c r="V77" s="461"/>
      <c r="W77" s="461"/>
      <c r="X77" s="461"/>
      <c r="Y77" s="462"/>
    </row>
    <row r="78" spans="1:25" ht="14.4" x14ac:dyDescent="0.25">
      <c r="A78" s="460"/>
      <c r="B78" s="460" t="s">
        <v>92</v>
      </c>
      <c r="C78" s="478"/>
      <c r="D78" s="461"/>
      <c r="E78" s="461"/>
      <c r="F78" s="461"/>
      <c r="G78" s="461"/>
      <c r="H78" s="461"/>
      <c r="I78" s="461"/>
      <c r="J78" s="461"/>
      <c r="K78" s="461"/>
      <c r="L78" s="461"/>
      <c r="M78" s="461"/>
      <c r="N78" s="461"/>
      <c r="O78" s="461"/>
      <c r="P78" s="461"/>
      <c r="Q78" s="461"/>
      <c r="R78" s="461"/>
      <c r="S78" s="461"/>
      <c r="T78" s="461"/>
      <c r="U78" s="461"/>
      <c r="V78" s="461"/>
      <c r="W78" s="461"/>
      <c r="X78" s="461"/>
      <c r="Y78" s="462"/>
    </row>
    <row r="79" spans="1:25" ht="14.4" x14ac:dyDescent="0.25">
      <c r="A79" s="460"/>
      <c r="B79" s="460"/>
      <c r="C79" s="478"/>
      <c r="D79" s="461"/>
      <c r="E79" s="461"/>
      <c r="F79" s="461"/>
      <c r="G79" s="461"/>
      <c r="H79" s="461"/>
      <c r="I79" s="461"/>
      <c r="J79" s="461"/>
      <c r="K79" s="461"/>
      <c r="L79" s="461"/>
      <c r="M79" s="461"/>
      <c r="N79" s="461"/>
      <c r="O79" s="461"/>
      <c r="P79" s="461"/>
      <c r="Q79" s="461"/>
      <c r="R79" s="461"/>
      <c r="S79" s="461"/>
      <c r="T79" s="461"/>
      <c r="U79" s="461"/>
      <c r="V79" s="461"/>
      <c r="W79" s="461"/>
      <c r="X79" s="461"/>
      <c r="Y79" s="462"/>
    </row>
    <row r="80" spans="1:25" ht="14.4" x14ac:dyDescent="0.25">
      <c r="A80" s="460"/>
      <c r="B80" s="460" t="s">
        <v>782</v>
      </c>
      <c r="C80" s="478"/>
      <c r="D80" s="461"/>
      <c r="E80" s="461"/>
      <c r="F80" s="461"/>
      <c r="G80" s="461"/>
      <c r="H80" s="461"/>
      <c r="I80" s="461"/>
      <c r="J80" s="461"/>
      <c r="K80" s="461"/>
      <c r="L80" s="461"/>
      <c r="M80" s="461"/>
      <c r="N80" s="461"/>
      <c r="O80" s="461"/>
      <c r="P80" s="461"/>
      <c r="Q80" s="461"/>
      <c r="R80" s="461"/>
      <c r="S80" s="461"/>
      <c r="T80" s="461"/>
      <c r="U80" s="461"/>
      <c r="V80" s="461"/>
      <c r="W80" s="461"/>
      <c r="X80" s="461"/>
      <c r="Y80" s="462"/>
    </row>
    <row r="81" spans="1:25" ht="14.4" x14ac:dyDescent="0.25">
      <c r="A81" s="443"/>
      <c r="B81" s="443" t="s">
        <v>783</v>
      </c>
      <c r="C81" s="443"/>
      <c r="D81" s="461"/>
      <c r="E81" s="461"/>
      <c r="F81" s="461"/>
      <c r="G81" s="461"/>
      <c r="H81" s="461"/>
      <c r="I81" s="461"/>
      <c r="J81" s="461"/>
      <c r="K81" s="461"/>
      <c r="L81" s="461"/>
      <c r="M81" s="461"/>
      <c r="N81" s="461"/>
      <c r="O81" s="461"/>
      <c r="P81" s="461"/>
      <c r="Q81" s="461"/>
      <c r="R81" s="461"/>
      <c r="S81" s="461"/>
      <c r="T81" s="461"/>
      <c r="U81" s="461"/>
      <c r="V81" s="461"/>
      <c r="W81" s="461"/>
      <c r="X81" s="461"/>
      <c r="Y81" s="462"/>
    </row>
    <row r="82" spans="1:25" ht="14.4" x14ac:dyDescent="0.25">
      <c r="A82" s="460"/>
      <c r="B82" s="460"/>
      <c r="C82" s="460"/>
      <c r="D82" s="461"/>
      <c r="E82" s="461"/>
      <c r="F82" s="461"/>
      <c r="G82" s="461"/>
      <c r="H82" s="461"/>
      <c r="I82" s="461"/>
      <c r="J82" s="461"/>
      <c r="K82" s="461"/>
      <c r="L82" s="461"/>
      <c r="M82" s="461"/>
      <c r="N82" s="461"/>
      <c r="O82" s="461"/>
      <c r="P82" s="461"/>
      <c r="Q82" s="461"/>
      <c r="R82" s="461"/>
      <c r="S82" s="461"/>
      <c r="T82" s="461"/>
      <c r="U82" s="461"/>
      <c r="V82" s="461"/>
      <c r="W82" s="461"/>
      <c r="X82" s="461"/>
      <c r="Y82" s="462"/>
    </row>
    <row r="83" spans="1:25" ht="14.4" x14ac:dyDescent="0.25">
      <c r="A83" s="460"/>
      <c r="B83" s="460" t="s">
        <v>784</v>
      </c>
      <c r="C83" s="460"/>
      <c r="D83" s="461"/>
      <c r="E83" s="461"/>
      <c r="F83" s="461"/>
      <c r="G83" s="461"/>
      <c r="H83" s="461"/>
      <c r="I83" s="461"/>
      <c r="J83" s="461"/>
      <c r="K83" s="461"/>
      <c r="L83" s="461"/>
      <c r="M83" s="461"/>
      <c r="N83" s="461"/>
      <c r="O83" s="461"/>
      <c r="P83" s="461"/>
      <c r="Q83" s="461"/>
      <c r="R83" s="461"/>
      <c r="S83" s="461"/>
      <c r="T83" s="461"/>
      <c r="U83" s="461"/>
      <c r="V83" s="461"/>
      <c r="W83" s="461"/>
      <c r="X83" s="461"/>
      <c r="Y83" s="462"/>
    </row>
    <row r="84" spans="1:25" ht="14.4" x14ac:dyDescent="0.25">
      <c r="A84" s="460"/>
      <c r="B84" s="460"/>
      <c r="C84" s="460"/>
      <c r="D84" s="461"/>
      <c r="E84" s="461"/>
      <c r="F84" s="461"/>
      <c r="G84" s="461"/>
      <c r="H84" s="461"/>
      <c r="I84" s="461"/>
      <c r="J84" s="461"/>
      <c r="K84" s="461"/>
      <c r="L84" s="461"/>
      <c r="M84" s="461"/>
      <c r="N84" s="461"/>
      <c r="O84" s="461"/>
      <c r="P84" s="461"/>
      <c r="Q84" s="461"/>
      <c r="R84" s="461"/>
      <c r="S84" s="461"/>
      <c r="T84" s="461"/>
      <c r="U84" s="461"/>
      <c r="V84" s="461"/>
      <c r="W84" s="461"/>
      <c r="X84" s="461"/>
      <c r="Y84" s="462"/>
    </row>
    <row r="85" spans="1:25" ht="14.4" x14ac:dyDescent="0.25">
      <c r="A85" s="460"/>
      <c r="B85" s="460"/>
      <c r="C85" s="460"/>
      <c r="D85" s="461"/>
      <c r="E85" s="461"/>
      <c r="F85" s="461"/>
      <c r="G85" s="461"/>
      <c r="H85" s="461"/>
      <c r="I85" s="461"/>
      <c r="J85" s="461"/>
      <c r="K85" s="461"/>
      <c r="L85" s="461"/>
      <c r="M85" s="461"/>
      <c r="N85" s="461"/>
      <c r="O85" s="461"/>
      <c r="P85" s="461"/>
      <c r="Q85" s="461"/>
      <c r="R85" s="461"/>
      <c r="S85" s="461"/>
      <c r="T85" s="461"/>
      <c r="U85" s="461"/>
      <c r="V85" s="461"/>
      <c r="W85" s="461"/>
      <c r="X85" s="461"/>
      <c r="Y85" s="462"/>
    </row>
    <row r="86" spans="1:25" ht="14.4" x14ac:dyDescent="0.25">
      <c r="A86" s="460"/>
      <c r="B86" s="460"/>
      <c r="C86" s="460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2"/>
    </row>
    <row r="87" spans="1:25" ht="14.4" x14ac:dyDescent="0.25">
      <c r="A87" s="460"/>
      <c r="B87" s="460"/>
      <c r="C87" s="460"/>
      <c r="D87" s="461"/>
      <c r="E87" s="461"/>
      <c r="F87" s="461"/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61"/>
      <c r="R87" s="461"/>
      <c r="S87" s="461"/>
      <c r="T87" s="461"/>
      <c r="U87" s="461"/>
      <c r="V87" s="461"/>
      <c r="W87" s="461"/>
      <c r="X87" s="461"/>
      <c r="Y87" s="462"/>
    </row>
    <row r="88" spans="1:25" ht="14.4" x14ac:dyDescent="0.25">
      <c r="A88" s="460"/>
      <c r="B88" s="460"/>
      <c r="C88" s="460"/>
      <c r="D88" s="461"/>
      <c r="E88" s="461"/>
      <c r="F88" s="461"/>
      <c r="G88" s="461"/>
      <c r="H88" s="461"/>
      <c r="I88" s="461"/>
      <c r="J88" s="461"/>
      <c r="K88" s="461"/>
      <c r="L88" s="461"/>
      <c r="M88" s="461"/>
      <c r="N88" s="461"/>
      <c r="O88" s="461"/>
      <c r="P88" s="461"/>
      <c r="Q88" s="461"/>
      <c r="R88" s="461"/>
      <c r="S88" s="461"/>
      <c r="T88" s="461"/>
      <c r="U88" s="461"/>
      <c r="V88" s="461"/>
      <c r="W88" s="461"/>
      <c r="X88" s="461"/>
      <c r="Y88" s="462"/>
    </row>
    <row r="89" spans="1:25" ht="14.4" x14ac:dyDescent="0.25">
      <c r="A89" s="460"/>
      <c r="B89" s="460"/>
      <c r="C89" s="460"/>
      <c r="D89" s="461"/>
      <c r="E89" s="461"/>
      <c r="F89" s="461"/>
      <c r="G89" s="461"/>
      <c r="H89" s="461"/>
      <c r="I89" s="461"/>
      <c r="J89" s="461"/>
      <c r="K89" s="461"/>
      <c r="L89" s="461"/>
      <c r="M89" s="461"/>
      <c r="N89" s="461"/>
      <c r="O89" s="461"/>
      <c r="P89" s="461"/>
      <c r="Q89" s="461"/>
      <c r="R89" s="461"/>
      <c r="S89" s="461"/>
      <c r="T89" s="461"/>
      <c r="U89" s="461"/>
      <c r="V89" s="461"/>
      <c r="W89" s="461"/>
      <c r="X89" s="461"/>
      <c r="Y89" s="462"/>
    </row>
    <row r="90" spans="1:25" ht="14.4" x14ac:dyDescent="0.25">
      <c r="A90" s="460"/>
      <c r="B90" s="460"/>
      <c r="C90" s="460"/>
      <c r="D90" s="461"/>
      <c r="E90" s="461"/>
      <c r="F90" s="461"/>
      <c r="G90" s="461"/>
      <c r="H90" s="461"/>
      <c r="I90" s="461"/>
      <c r="J90" s="461"/>
      <c r="K90" s="461"/>
      <c r="L90" s="461"/>
      <c r="M90" s="461"/>
      <c r="N90" s="461"/>
      <c r="O90" s="461"/>
      <c r="P90" s="461"/>
      <c r="Q90" s="461"/>
      <c r="R90" s="461"/>
      <c r="S90" s="461"/>
      <c r="T90" s="461"/>
      <c r="U90" s="461"/>
      <c r="V90" s="461"/>
      <c r="W90" s="461"/>
      <c r="X90" s="461"/>
      <c r="Y90" s="462"/>
    </row>
    <row r="91" spans="1:25" ht="14.4" x14ac:dyDescent="0.25">
      <c r="A91" s="460"/>
      <c r="B91" s="460"/>
      <c r="C91" s="460"/>
      <c r="D91" s="461"/>
      <c r="E91" s="461"/>
      <c r="F91" s="461"/>
      <c r="G91" s="461"/>
      <c r="H91" s="461"/>
      <c r="I91" s="461"/>
      <c r="J91" s="461"/>
      <c r="K91" s="461"/>
      <c r="L91" s="461"/>
      <c r="M91" s="461"/>
      <c r="N91" s="461"/>
      <c r="O91" s="461"/>
      <c r="P91" s="461"/>
      <c r="Q91" s="461"/>
      <c r="R91" s="461"/>
      <c r="S91" s="461"/>
      <c r="T91" s="461"/>
      <c r="U91" s="461"/>
      <c r="V91" s="461"/>
      <c r="W91" s="461"/>
      <c r="X91" s="461"/>
      <c r="Y91" s="462"/>
    </row>
    <row r="92" spans="1:25" ht="14.4" x14ac:dyDescent="0.25">
      <c r="A92" s="460"/>
      <c r="B92" s="460"/>
      <c r="C92" s="460"/>
      <c r="D92" s="461"/>
      <c r="E92" s="461"/>
      <c r="F92" s="461"/>
      <c r="G92" s="461"/>
      <c r="H92" s="461"/>
      <c r="I92" s="461"/>
      <c r="J92" s="461"/>
      <c r="K92" s="461"/>
      <c r="L92" s="461"/>
      <c r="M92" s="461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2"/>
    </row>
    <row r="93" spans="1:25" ht="14.4" x14ac:dyDescent="0.25">
      <c r="A93" s="460"/>
      <c r="B93" s="460"/>
      <c r="C93" s="460"/>
      <c r="D93" s="461"/>
      <c r="E93" s="461"/>
      <c r="F93" s="461"/>
      <c r="G93" s="461"/>
      <c r="H93" s="461"/>
      <c r="I93" s="461"/>
      <c r="J93" s="461"/>
      <c r="K93" s="461"/>
      <c r="L93" s="461"/>
      <c r="M93" s="461"/>
      <c r="N93" s="461"/>
      <c r="O93" s="461"/>
      <c r="P93" s="461"/>
      <c r="Q93" s="461"/>
      <c r="R93" s="461"/>
      <c r="S93" s="461"/>
      <c r="T93" s="461"/>
      <c r="U93" s="461"/>
      <c r="V93" s="461"/>
      <c r="W93" s="461"/>
      <c r="X93" s="461"/>
      <c r="Y93" s="462"/>
    </row>
  </sheetData>
  <mergeCells count="3">
    <mergeCell ref="M1:X1"/>
    <mergeCell ref="A49:A55"/>
    <mergeCell ref="C1:L1"/>
  </mergeCells>
  <printOptions horizontalCentered="1" verticalCentered="1"/>
  <pageMargins left="0.19685039370078741" right="0.19685039370078741" top="0" bottom="0" header="0.31496062992125984" footer="0.31496062992125984"/>
  <pageSetup paperSize="9" scale="53" orientation="landscape" r:id="rId1"/>
  <headerFooter>
    <oddHeader>&amp;CDunaharaszti Város Önkormányzata
2018. évi zárszámadás&amp;R&amp;A</oddHeader>
    <oddFooter xml:space="preserve">&amp;C&amp;P/&amp;N
</oddFooter>
  </headerFooter>
  <rowBreaks count="1" manualBreakCount="1">
    <brk id="47" max="16383" man="1"/>
  </rowBreaks>
  <colBreaks count="1" manualBreakCount="1">
    <brk id="12" max="4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0"/>
  <sheetViews>
    <sheetView view="pageBreakPreview" zoomScaleNormal="100" zoomScaleSheetLayoutView="100" workbookViewId="0">
      <selection activeCell="O25" sqref="O25"/>
    </sheetView>
  </sheetViews>
  <sheetFormatPr defaultColWidth="9.109375" defaultRowHeight="13.2" x14ac:dyDescent="0.25"/>
  <cols>
    <col min="1" max="1" width="4.33203125" style="363" customWidth="1"/>
    <col min="2" max="3" width="9.109375" style="363"/>
    <col min="4" max="4" width="14.44140625" style="363" customWidth="1"/>
    <col min="5" max="7" width="13.109375" style="363" customWidth="1"/>
    <col min="8" max="8" width="17.5546875" style="363" customWidth="1"/>
    <col min="9" max="9" width="14.6640625" style="363" customWidth="1"/>
    <col min="10" max="10" width="12.5546875" style="363" customWidth="1"/>
    <col min="11" max="11" width="13.6640625" style="363" customWidth="1"/>
    <col min="12" max="12" width="13.109375" style="363" customWidth="1"/>
    <col min="13" max="16384" width="9.109375" style="363"/>
  </cols>
  <sheetData>
    <row r="1" spans="1:12" ht="32.25" customHeight="1" x14ac:dyDescent="0.25">
      <c r="A1" s="885" t="s">
        <v>1373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</row>
    <row r="2" spans="1:12" x14ac:dyDescent="0.25">
      <c r="A2" s="558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</row>
    <row r="3" spans="1:12" x14ac:dyDescent="0.25">
      <c r="A3" s="559" t="s">
        <v>998</v>
      </c>
      <c r="B3" s="559"/>
      <c r="C3" s="559"/>
      <c r="D3" s="559"/>
      <c r="E3" s="559"/>
      <c r="F3" s="560"/>
      <c r="G3" s="560"/>
      <c r="H3" s="561"/>
      <c r="I3" s="561"/>
      <c r="J3" s="561"/>
      <c r="K3" s="561"/>
      <c r="L3" s="562" t="s">
        <v>997</v>
      </c>
    </row>
    <row r="4" spans="1:12" ht="70.5" customHeight="1" x14ac:dyDescent="0.25">
      <c r="A4" s="563" t="s">
        <v>626</v>
      </c>
      <c r="B4" s="892" t="s">
        <v>984</v>
      </c>
      <c r="C4" s="892"/>
      <c r="D4" s="893"/>
      <c r="E4" s="564" t="s">
        <v>983</v>
      </c>
      <c r="F4" s="564" t="s">
        <v>982</v>
      </c>
      <c r="G4" s="564" t="s">
        <v>785</v>
      </c>
      <c r="H4" s="565" t="s">
        <v>981</v>
      </c>
      <c r="I4" s="565" t="s">
        <v>980</v>
      </c>
      <c r="J4" s="565" t="s">
        <v>785</v>
      </c>
      <c r="K4" s="566" t="s">
        <v>979</v>
      </c>
      <c r="L4" s="567" t="s">
        <v>978</v>
      </c>
    </row>
    <row r="5" spans="1:12" ht="15" customHeight="1" x14ac:dyDescent="0.25">
      <c r="A5" s="568" t="s">
        <v>3</v>
      </c>
      <c r="B5" s="889" t="s">
        <v>996</v>
      </c>
      <c r="C5" s="890"/>
      <c r="D5" s="891"/>
      <c r="E5" s="569">
        <v>0</v>
      </c>
      <c r="F5" s="570">
        <f>E5</f>
        <v>0</v>
      </c>
      <c r="G5" s="571"/>
      <c r="H5" s="569">
        <v>5500000</v>
      </c>
      <c r="I5" s="572">
        <v>5500000</v>
      </c>
      <c r="J5" s="573">
        <v>3284650</v>
      </c>
      <c r="K5" s="574">
        <v>0</v>
      </c>
      <c r="L5" s="575">
        <v>0</v>
      </c>
    </row>
    <row r="6" spans="1:12" ht="15" customHeight="1" x14ac:dyDescent="0.25">
      <c r="A6" s="576" t="s">
        <v>4</v>
      </c>
      <c r="B6" s="886" t="s">
        <v>995</v>
      </c>
      <c r="C6" s="887"/>
      <c r="D6" s="888"/>
      <c r="E6" s="577">
        <v>0</v>
      </c>
      <c r="F6" s="578">
        <f>E6</f>
        <v>0</v>
      </c>
      <c r="G6" s="579"/>
      <c r="H6" s="577">
        <v>0</v>
      </c>
      <c r="I6" s="578">
        <f>H6</f>
        <v>0</v>
      </c>
      <c r="J6" s="579"/>
      <c r="K6" s="580">
        <v>0</v>
      </c>
      <c r="L6" s="581">
        <v>0</v>
      </c>
    </row>
    <row r="7" spans="1:12" ht="15" customHeight="1" x14ac:dyDescent="0.25">
      <c r="A7" s="582" t="s">
        <v>5</v>
      </c>
      <c r="B7" s="898" t="s">
        <v>994</v>
      </c>
      <c r="C7" s="899"/>
      <c r="D7" s="900"/>
      <c r="E7" s="583">
        <v>0</v>
      </c>
      <c r="F7" s="584">
        <f>E7</f>
        <v>0</v>
      </c>
      <c r="G7" s="585"/>
      <c r="H7" s="583">
        <v>0</v>
      </c>
      <c r="I7" s="584">
        <f>H7</f>
        <v>0</v>
      </c>
      <c r="J7" s="585"/>
      <c r="K7" s="586">
        <v>0</v>
      </c>
      <c r="L7" s="587">
        <v>0</v>
      </c>
    </row>
    <row r="8" spans="1:12" ht="15" customHeight="1" x14ac:dyDescent="0.25">
      <c r="A8" s="894" t="s">
        <v>975</v>
      </c>
      <c r="B8" s="895"/>
      <c r="C8" s="895"/>
      <c r="D8" s="896"/>
      <c r="E8" s="588">
        <f>SUM(E5:E7)</f>
        <v>0</v>
      </c>
      <c r="F8" s="588">
        <f>SUM(F5:F7)</f>
        <v>0</v>
      </c>
      <c r="G8" s="588"/>
      <c r="H8" s="589">
        <f>SUM(H5:H7)</f>
        <v>5500000</v>
      </c>
      <c r="I8" s="589">
        <f>SUM(I5:I7)</f>
        <v>5500000</v>
      </c>
      <c r="J8" s="589">
        <f>SUM(J5:J7)</f>
        <v>3284650</v>
      </c>
      <c r="K8" s="590">
        <f>SUM(K5:K7)</f>
        <v>0</v>
      </c>
      <c r="L8" s="591">
        <f>SUM(L5:L7)</f>
        <v>0</v>
      </c>
    </row>
    <row r="9" spans="1:12" x14ac:dyDescent="0.25">
      <c r="A9" s="592"/>
      <c r="B9" s="592"/>
      <c r="C9" s="592"/>
      <c r="D9" s="593"/>
      <c r="E9" s="594"/>
      <c r="F9" s="594"/>
      <c r="G9" s="594"/>
      <c r="H9" s="595"/>
      <c r="I9" s="595"/>
      <c r="J9" s="595"/>
      <c r="K9" s="595"/>
      <c r="L9" s="558"/>
    </row>
    <row r="10" spans="1:12" x14ac:dyDescent="0.25">
      <c r="A10" s="560" t="s">
        <v>993</v>
      </c>
      <c r="B10" s="596"/>
      <c r="C10" s="596"/>
      <c r="D10" s="596"/>
      <c r="E10" s="596"/>
      <c r="F10" s="560"/>
      <c r="G10" s="560"/>
      <c r="H10" s="595"/>
      <c r="I10" s="595"/>
      <c r="J10" s="595"/>
      <c r="K10" s="595"/>
      <c r="L10" s="558"/>
    </row>
    <row r="11" spans="1:12" x14ac:dyDescent="0.25">
      <c r="A11" s="597"/>
      <c r="B11" s="597"/>
      <c r="C11" s="597"/>
      <c r="D11" s="597"/>
      <c r="E11" s="597"/>
      <c r="F11" s="597"/>
      <c r="G11" s="597"/>
      <c r="H11" s="595"/>
      <c r="I11" s="595"/>
      <c r="J11" s="595"/>
      <c r="K11" s="595"/>
      <c r="L11" s="558"/>
    </row>
    <row r="12" spans="1:12" x14ac:dyDescent="0.25">
      <c r="A12" s="598" t="s">
        <v>992</v>
      </c>
      <c r="B12" s="598"/>
      <c r="C12" s="598"/>
      <c r="D12" s="598"/>
      <c r="E12" s="598"/>
      <c r="F12" s="560"/>
      <c r="G12" s="560"/>
      <c r="H12" s="561"/>
      <c r="I12" s="561"/>
      <c r="J12" s="561"/>
      <c r="K12" s="561"/>
      <c r="L12" s="558"/>
    </row>
    <row r="13" spans="1:12" ht="69.75" customHeight="1" x14ac:dyDescent="0.25">
      <c r="A13" s="599" t="s">
        <v>626</v>
      </c>
      <c r="B13" s="897" t="s">
        <v>984</v>
      </c>
      <c r="C13" s="897"/>
      <c r="D13" s="897"/>
      <c r="E13" s="600" t="s">
        <v>983</v>
      </c>
      <c r="F13" s="600" t="s">
        <v>982</v>
      </c>
      <c r="G13" s="600" t="s">
        <v>785</v>
      </c>
      <c r="H13" s="600" t="s">
        <v>981</v>
      </c>
      <c r="I13" s="600" t="s">
        <v>980</v>
      </c>
      <c r="J13" s="600" t="s">
        <v>785</v>
      </c>
      <c r="K13" s="601" t="s">
        <v>979</v>
      </c>
      <c r="L13" s="567" t="s">
        <v>978</v>
      </c>
    </row>
    <row r="14" spans="1:12" x14ac:dyDescent="0.25">
      <c r="A14" s="901" t="s">
        <v>991</v>
      </c>
      <c r="B14" s="901"/>
      <c r="C14" s="901"/>
      <c r="D14" s="901"/>
      <c r="E14" s="602"/>
      <c r="F14" s="602"/>
      <c r="G14" s="602"/>
      <c r="H14" s="603"/>
      <c r="I14" s="603"/>
      <c r="J14" s="603"/>
      <c r="K14" s="603"/>
      <c r="L14" s="567"/>
    </row>
    <row r="15" spans="1:12" ht="15.75" customHeight="1" x14ac:dyDescent="0.25">
      <c r="A15" s="604" t="s">
        <v>3</v>
      </c>
      <c r="B15" s="902" t="s">
        <v>765</v>
      </c>
      <c r="C15" s="903"/>
      <c r="D15" s="904"/>
      <c r="E15" s="605">
        <v>0</v>
      </c>
      <c r="F15" s="606">
        <f t="shared" ref="F15:F21" si="0">E15</f>
        <v>0</v>
      </c>
      <c r="G15" s="607"/>
      <c r="H15" s="608">
        <v>5000000</v>
      </c>
      <c r="I15" s="608">
        <v>5000000</v>
      </c>
      <c r="J15" s="609">
        <v>3239832</v>
      </c>
      <c r="K15" s="610">
        <v>0</v>
      </c>
      <c r="L15" s="610">
        <v>0</v>
      </c>
    </row>
    <row r="16" spans="1:12" ht="15.75" customHeight="1" x14ac:dyDescent="0.25">
      <c r="A16" s="611" t="s">
        <v>4</v>
      </c>
      <c r="B16" s="876" t="s">
        <v>990</v>
      </c>
      <c r="C16" s="877"/>
      <c r="D16" s="878"/>
      <c r="E16" s="612">
        <v>0</v>
      </c>
      <c r="F16" s="613">
        <f t="shared" si="0"/>
        <v>0</v>
      </c>
      <c r="G16" s="614"/>
      <c r="H16" s="615">
        <v>4000000</v>
      </c>
      <c r="I16" s="615">
        <v>4000000</v>
      </c>
      <c r="J16" s="616">
        <v>3813190</v>
      </c>
      <c r="K16" s="617">
        <v>0</v>
      </c>
      <c r="L16" s="617">
        <v>0</v>
      </c>
    </row>
    <row r="17" spans="1:12" ht="15.75" customHeight="1" x14ac:dyDescent="0.25">
      <c r="A17" s="611" t="s">
        <v>5</v>
      </c>
      <c r="B17" s="876" t="s">
        <v>989</v>
      </c>
      <c r="C17" s="877"/>
      <c r="D17" s="878"/>
      <c r="E17" s="612">
        <v>0</v>
      </c>
      <c r="F17" s="613">
        <f t="shared" si="0"/>
        <v>0</v>
      </c>
      <c r="G17" s="614"/>
      <c r="H17" s="615">
        <v>6000000</v>
      </c>
      <c r="I17" s="615">
        <v>6000000</v>
      </c>
      <c r="J17" s="616">
        <v>5844617</v>
      </c>
      <c r="K17" s="617">
        <v>0</v>
      </c>
      <c r="L17" s="617">
        <v>0</v>
      </c>
    </row>
    <row r="18" spans="1:12" ht="15.75" customHeight="1" x14ac:dyDescent="0.25">
      <c r="A18" s="611" t="s">
        <v>6</v>
      </c>
      <c r="B18" s="876" t="s">
        <v>771</v>
      </c>
      <c r="C18" s="877"/>
      <c r="D18" s="878"/>
      <c r="E18" s="612">
        <v>0</v>
      </c>
      <c r="F18" s="613">
        <f t="shared" si="0"/>
        <v>0</v>
      </c>
      <c r="G18" s="614"/>
      <c r="H18" s="615">
        <v>0</v>
      </c>
      <c r="I18" s="615">
        <v>0</v>
      </c>
      <c r="J18" s="616">
        <v>0</v>
      </c>
      <c r="K18" s="617">
        <v>0</v>
      </c>
      <c r="L18" s="617">
        <v>0</v>
      </c>
    </row>
    <row r="19" spans="1:12" ht="15.75" customHeight="1" x14ac:dyDescent="0.25">
      <c r="A19" s="611" t="s">
        <v>7</v>
      </c>
      <c r="B19" s="876" t="s">
        <v>988</v>
      </c>
      <c r="C19" s="877"/>
      <c r="D19" s="878"/>
      <c r="E19" s="612">
        <v>0</v>
      </c>
      <c r="F19" s="613">
        <f t="shared" si="0"/>
        <v>0</v>
      </c>
      <c r="G19" s="614"/>
      <c r="H19" s="615">
        <v>200000</v>
      </c>
      <c r="I19" s="615">
        <v>200000</v>
      </c>
      <c r="J19" s="616">
        <v>228514</v>
      </c>
      <c r="K19" s="617">
        <v>0</v>
      </c>
      <c r="L19" s="617">
        <v>0</v>
      </c>
    </row>
    <row r="20" spans="1:12" ht="15.75" customHeight="1" x14ac:dyDescent="0.25">
      <c r="A20" s="611" t="s">
        <v>8</v>
      </c>
      <c r="B20" s="876" t="s">
        <v>987</v>
      </c>
      <c r="C20" s="877"/>
      <c r="D20" s="878"/>
      <c r="E20" s="612">
        <v>0</v>
      </c>
      <c r="F20" s="613">
        <f t="shared" si="0"/>
        <v>0</v>
      </c>
      <c r="G20" s="614"/>
      <c r="H20" s="615">
        <v>800000</v>
      </c>
      <c r="I20" s="615">
        <v>800000</v>
      </c>
      <c r="J20" s="616">
        <v>838450</v>
      </c>
      <c r="K20" s="617">
        <v>0</v>
      </c>
      <c r="L20" s="617">
        <v>0</v>
      </c>
    </row>
    <row r="21" spans="1:12" ht="15.75" customHeight="1" x14ac:dyDescent="0.25">
      <c r="A21" s="618" t="s">
        <v>9</v>
      </c>
      <c r="B21" s="882" t="s">
        <v>986</v>
      </c>
      <c r="C21" s="883"/>
      <c r="D21" s="884"/>
      <c r="E21" s="619">
        <v>0</v>
      </c>
      <c r="F21" s="620">
        <f t="shared" si="0"/>
        <v>0</v>
      </c>
      <c r="G21" s="621"/>
      <c r="H21" s="622">
        <v>125000</v>
      </c>
      <c r="I21" s="622">
        <v>125000</v>
      </c>
      <c r="J21" s="623">
        <v>5000</v>
      </c>
      <c r="K21" s="624">
        <v>0</v>
      </c>
      <c r="L21" s="624">
        <v>0</v>
      </c>
    </row>
    <row r="22" spans="1:12" ht="15.75" customHeight="1" x14ac:dyDescent="0.25">
      <c r="A22" s="879" t="s">
        <v>975</v>
      </c>
      <c r="B22" s="880"/>
      <c r="C22" s="880"/>
      <c r="D22" s="881"/>
      <c r="E22" s="625">
        <f>SUM(E15:E21)</f>
        <v>0</v>
      </c>
      <c r="F22" s="626">
        <f>SUM(F15:F21)</f>
        <v>0</v>
      </c>
      <c r="G22" s="626"/>
      <c r="H22" s="626">
        <f>SUM(H15:H21)</f>
        <v>16125000</v>
      </c>
      <c r="I22" s="626">
        <f>SUM(I15:I21)</f>
        <v>16125000</v>
      </c>
      <c r="J22" s="626">
        <f>SUM(J15:J21)</f>
        <v>13969603</v>
      </c>
      <c r="K22" s="626">
        <f>SUM(K15:K21)</f>
        <v>0</v>
      </c>
      <c r="L22" s="626">
        <f>SUM(L15:L21)</f>
        <v>0</v>
      </c>
    </row>
    <row r="23" spans="1:12" x14ac:dyDescent="0.25">
      <c r="A23" s="597"/>
      <c r="B23" s="597"/>
      <c r="C23" s="597"/>
      <c r="D23" s="597"/>
      <c r="E23" s="597"/>
      <c r="F23" s="597"/>
      <c r="G23" s="597"/>
      <c r="H23" s="595"/>
      <c r="I23" s="595"/>
      <c r="J23" s="595"/>
      <c r="K23" s="595"/>
      <c r="L23" s="558"/>
    </row>
    <row r="24" spans="1:12" x14ac:dyDescent="0.25">
      <c r="A24" s="908" t="s">
        <v>985</v>
      </c>
      <c r="B24" s="908"/>
      <c r="C24" s="908"/>
      <c r="D24" s="908"/>
      <c r="E24" s="908"/>
      <c r="F24" s="908"/>
      <c r="G24" s="908"/>
      <c r="H24" s="908"/>
      <c r="I24" s="908"/>
      <c r="J24" s="908"/>
      <c r="K24" s="908"/>
      <c r="L24" s="908"/>
    </row>
    <row r="25" spans="1:12" ht="70.5" customHeight="1" x14ac:dyDescent="0.25">
      <c r="A25" s="563" t="s">
        <v>626</v>
      </c>
      <c r="B25" s="892" t="s">
        <v>984</v>
      </c>
      <c r="C25" s="892"/>
      <c r="D25" s="893"/>
      <c r="E25" s="627" t="s">
        <v>983</v>
      </c>
      <c r="F25" s="627" t="s">
        <v>982</v>
      </c>
      <c r="G25" s="564" t="s">
        <v>785</v>
      </c>
      <c r="H25" s="628" t="s">
        <v>981</v>
      </c>
      <c r="I25" s="628" t="s">
        <v>980</v>
      </c>
      <c r="J25" s="564" t="s">
        <v>785</v>
      </c>
      <c r="K25" s="566" t="s">
        <v>979</v>
      </c>
      <c r="L25" s="567" t="s">
        <v>978</v>
      </c>
    </row>
    <row r="26" spans="1:12" s="634" customFormat="1" ht="20.25" customHeight="1" x14ac:dyDescent="0.25">
      <c r="A26" s="629" t="s">
        <v>3</v>
      </c>
      <c r="B26" s="907" t="s">
        <v>977</v>
      </c>
      <c r="C26" s="907"/>
      <c r="D26" s="907"/>
      <c r="E26" s="630">
        <v>0</v>
      </c>
      <c r="F26" s="631">
        <f>E26</f>
        <v>0</v>
      </c>
      <c r="G26" s="632"/>
      <c r="H26" s="630">
        <v>0</v>
      </c>
      <c r="I26" s="631">
        <f>H26</f>
        <v>0</v>
      </c>
      <c r="J26" s="632"/>
      <c r="K26" s="633">
        <v>0</v>
      </c>
      <c r="L26" s="633">
        <v>0</v>
      </c>
    </row>
    <row r="27" spans="1:12" ht="25.5" customHeight="1" x14ac:dyDescent="0.25">
      <c r="A27" s="635" t="s">
        <v>4</v>
      </c>
      <c r="B27" s="906" t="s">
        <v>976</v>
      </c>
      <c r="C27" s="906"/>
      <c r="D27" s="906"/>
      <c r="E27" s="636"/>
      <c r="F27" s="637"/>
      <c r="G27" s="638"/>
      <c r="H27" s="636">
        <v>5100000</v>
      </c>
      <c r="I27" s="639">
        <v>5100000</v>
      </c>
      <c r="J27" s="640">
        <v>5070500</v>
      </c>
      <c r="K27" s="641"/>
      <c r="L27" s="641"/>
    </row>
    <row r="28" spans="1:12" ht="25.5" customHeight="1" x14ac:dyDescent="0.25">
      <c r="A28" s="905" t="s">
        <v>975</v>
      </c>
      <c r="B28" s="905"/>
      <c r="C28" s="905"/>
      <c r="D28" s="905"/>
      <c r="E28" s="642">
        <f>SUM(E26:E27)</f>
        <v>0</v>
      </c>
      <c r="F28" s="643">
        <f>SUM(F26:F27)</f>
        <v>0</v>
      </c>
      <c r="G28" s="643"/>
      <c r="H28" s="642">
        <f>SUM(H26:H27)</f>
        <v>5100000</v>
      </c>
      <c r="I28" s="642">
        <f>SUM(I26:I27)</f>
        <v>5100000</v>
      </c>
      <c r="J28" s="642">
        <f>SUM(J26:J27)</f>
        <v>5070500</v>
      </c>
      <c r="K28" s="642">
        <f>SUM(K26:K27)</f>
        <v>0</v>
      </c>
      <c r="L28" s="642">
        <f>SUM(L26:L27)</f>
        <v>0</v>
      </c>
    </row>
    <row r="29" spans="1:12" x14ac:dyDescent="0.25">
      <c r="A29" s="644"/>
      <c r="B29" s="644"/>
      <c r="C29" s="645"/>
      <c r="D29" s="646"/>
      <c r="E29" s="560"/>
      <c r="F29" s="560"/>
      <c r="G29" s="560"/>
      <c r="H29" s="647"/>
      <c r="I29" s="647"/>
      <c r="J29" s="647"/>
      <c r="K29" s="647"/>
      <c r="L29" s="558"/>
    </row>
    <row r="30" spans="1:12" x14ac:dyDescent="0.25">
      <c r="A30" s="560" t="s">
        <v>974</v>
      </c>
      <c r="B30" s="560"/>
      <c r="C30" s="560"/>
      <c r="D30" s="560"/>
    </row>
  </sheetData>
  <mergeCells count="21">
    <mergeCell ref="A28:D28"/>
    <mergeCell ref="B20:D20"/>
    <mergeCell ref="B27:D27"/>
    <mergeCell ref="B26:D26"/>
    <mergeCell ref="A24:L24"/>
    <mergeCell ref="B25:D25"/>
    <mergeCell ref="B18:D18"/>
    <mergeCell ref="A22:D22"/>
    <mergeCell ref="B21:D21"/>
    <mergeCell ref="A1:L1"/>
    <mergeCell ref="B6:D6"/>
    <mergeCell ref="B5:D5"/>
    <mergeCell ref="B4:D4"/>
    <mergeCell ref="B16:D16"/>
    <mergeCell ref="B19:D19"/>
    <mergeCell ref="B17:D17"/>
    <mergeCell ref="A8:D8"/>
    <mergeCell ref="B13:D13"/>
    <mergeCell ref="B7:D7"/>
    <mergeCell ref="A14:D14"/>
    <mergeCell ref="B15:D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>&amp;CDunaharaszti Város Önkormányzat 2018. évi zárszámadás&amp;R&amp;A</oddHeader>
    <oddFooter xml:space="preserve">&amp;C&amp;P/&amp;N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5"/>
  <sheetViews>
    <sheetView view="pageBreakPreview" zoomScale="89" zoomScaleNormal="100" zoomScaleSheetLayoutView="89" workbookViewId="0">
      <selection activeCell="D12" sqref="D12"/>
    </sheetView>
  </sheetViews>
  <sheetFormatPr defaultRowHeight="14.4" x14ac:dyDescent="0.3"/>
  <cols>
    <col min="1" max="1" width="4.88671875" customWidth="1"/>
    <col min="2" max="2" width="30.5546875" bestFit="1" customWidth="1"/>
    <col min="3" max="3" width="15.44140625" customWidth="1"/>
    <col min="4" max="4" width="16.6640625" customWidth="1"/>
    <col min="5" max="5" width="16.88671875" customWidth="1"/>
    <col min="6" max="6" width="17" customWidth="1"/>
  </cols>
  <sheetData>
    <row r="1" spans="1:6" ht="18" x14ac:dyDescent="0.35">
      <c r="B1" s="911" t="s">
        <v>1427</v>
      </c>
      <c r="C1" s="911"/>
      <c r="D1" s="911"/>
      <c r="E1" s="911"/>
      <c r="F1" s="911"/>
    </row>
    <row r="2" spans="1:6" x14ac:dyDescent="0.3">
      <c r="B2" s="912" t="s">
        <v>1428</v>
      </c>
      <c r="C2" s="912"/>
      <c r="D2" s="912"/>
      <c r="E2" s="912"/>
      <c r="F2" s="912"/>
    </row>
    <row r="3" spans="1:6" ht="15.6" x14ac:dyDescent="0.3">
      <c r="B3" s="913" t="s">
        <v>1429</v>
      </c>
      <c r="C3" s="913"/>
      <c r="D3" s="913"/>
      <c r="E3" s="913"/>
      <c r="F3" s="913"/>
    </row>
    <row r="5" spans="1:6" ht="16.2" thickBot="1" x14ac:dyDescent="0.35">
      <c r="B5" s="491"/>
      <c r="C5" s="492"/>
    </row>
    <row r="6" spans="1:6" ht="72" customHeight="1" x14ac:dyDescent="0.3">
      <c r="A6" s="914" t="s">
        <v>1430</v>
      </c>
      <c r="B6" s="915"/>
      <c r="C6" s="493" t="s">
        <v>1431</v>
      </c>
      <c r="D6" s="493" t="s">
        <v>1432</v>
      </c>
      <c r="E6" s="493" t="s">
        <v>1433</v>
      </c>
      <c r="F6" s="494" t="s">
        <v>1434</v>
      </c>
    </row>
    <row r="7" spans="1:6" ht="15" thickBot="1" x14ac:dyDescent="0.35">
      <c r="A7" s="916" t="s">
        <v>1435</v>
      </c>
      <c r="B7" s="917"/>
      <c r="C7" s="495">
        <v>9000000</v>
      </c>
      <c r="D7" s="495">
        <v>9000000</v>
      </c>
      <c r="E7" s="496"/>
      <c r="F7" s="497">
        <v>0</v>
      </c>
    </row>
    <row r="8" spans="1:6" ht="51.75" customHeight="1" x14ac:dyDescent="0.3">
      <c r="A8" s="918" t="s">
        <v>1436</v>
      </c>
      <c r="B8" s="919"/>
      <c r="C8" s="498" t="s">
        <v>1437</v>
      </c>
      <c r="D8" s="493" t="s">
        <v>1438</v>
      </c>
      <c r="E8" s="493" t="s">
        <v>1439</v>
      </c>
      <c r="F8" s="494" t="s">
        <v>1434</v>
      </c>
    </row>
    <row r="9" spans="1:6" ht="18" customHeight="1" x14ac:dyDescent="0.3">
      <c r="A9" s="709" t="s">
        <v>3</v>
      </c>
      <c r="B9" s="500" t="s">
        <v>1440</v>
      </c>
      <c r="C9" s="501">
        <v>225000</v>
      </c>
      <c r="D9" s="502">
        <v>0</v>
      </c>
      <c r="E9" s="503"/>
      <c r="F9" s="504">
        <v>225000</v>
      </c>
    </row>
    <row r="10" spans="1:6" ht="18" customHeight="1" x14ac:dyDescent="0.3">
      <c r="A10" s="709" t="s">
        <v>4</v>
      </c>
      <c r="B10" s="500" t="s">
        <v>1441</v>
      </c>
      <c r="C10" s="501">
        <v>2160000</v>
      </c>
      <c r="D10" s="502">
        <v>0</v>
      </c>
      <c r="E10" s="501">
        <v>2160000</v>
      </c>
      <c r="F10" s="504">
        <f>C10-E10</f>
        <v>0</v>
      </c>
    </row>
    <row r="11" spans="1:6" ht="18" customHeight="1" x14ac:dyDescent="0.3">
      <c r="A11" s="709" t="s">
        <v>5</v>
      </c>
      <c r="B11" s="500" t="s">
        <v>1442</v>
      </c>
      <c r="C11" s="501">
        <v>6230000</v>
      </c>
      <c r="D11" s="502">
        <v>0</v>
      </c>
      <c r="E11" s="503"/>
      <c r="F11" s="504">
        <v>6230000</v>
      </c>
    </row>
    <row r="12" spans="1:6" ht="18" customHeight="1" x14ac:dyDescent="0.3">
      <c r="A12" s="709" t="s">
        <v>6</v>
      </c>
      <c r="B12" s="500" t="s">
        <v>1443</v>
      </c>
      <c r="C12" s="501">
        <v>270000</v>
      </c>
      <c r="D12" s="502">
        <v>0</v>
      </c>
      <c r="E12" s="503"/>
      <c r="F12" s="504">
        <v>270000</v>
      </c>
    </row>
    <row r="13" spans="1:6" ht="18" customHeight="1" x14ac:dyDescent="0.3">
      <c r="A13" s="709" t="s">
        <v>7</v>
      </c>
      <c r="B13" s="500" t="s">
        <v>1444</v>
      </c>
      <c r="C13" s="501">
        <v>45000</v>
      </c>
      <c r="D13" s="502">
        <v>0</v>
      </c>
      <c r="E13" s="503"/>
      <c r="F13" s="504">
        <v>45000</v>
      </c>
    </row>
    <row r="14" spans="1:6" ht="18" customHeight="1" thickBot="1" x14ac:dyDescent="0.35">
      <c r="A14" s="710" t="s">
        <v>8</v>
      </c>
      <c r="B14" s="505" t="s">
        <v>1445</v>
      </c>
      <c r="C14" s="495">
        <v>70000</v>
      </c>
      <c r="D14" s="506">
        <v>0</v>
      </c>
      <c r="E14" s="507"/>
      <c r="F14" s="497">
        <v>70000</v>
      </c>
    </row>
    <row r="15" spans="1:6" ht="27.75" customHeight="1" thickBot="1" x14ac:dyDescent="0.35">
      <c r="A15" s="909" t="s">
        <v>1446</v>
      </c>
      <c r="B15" s="910"/>
      <c r="C15" s="508">
        <f>SUM(C9:C14)</f>
        <v>9000000</v>
      </c>
      <c r="D15" s="509">
        <v>0</v>
      </c>
      <c r="E15" s="510"/>
      <c r="F15" s="511">
        <f>SUM(F9:F14)</f>
        <v>6840000</v>
      </c>
    </row>
  </sheetData>
  <mergeCells count="7">
    <mergeCell ref="A15:B15"/>
    <mergeCell ref="B1:F1"/>
    <mergeCell ref="B2:F2"/>
    <mergeCell ref="B3:F3"/>
    <mergeCell ref="A6:B6"/>
    <mergeCell ref="A7:B7"/>
    <mergeCell ref="A8:B8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6" orientation="portrait" r:id="rId1"/>
  <headerFooter>
    <oddHeader>&amp;CDunaharaszti Város Önkormányzata
2018. évi zárszámadás&amp;R&amp;A</oddHeader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5"/>
  <sheetViews>
    <sheetView view="pageBreakPreview" zoomScale="84" zoomScaleNormal="100" zoomScaleSheetLayoutView="84" workbookViewId="0">
      <selection activeCell="B21" sqref="B21"/>
    </sheetView>
  </sheetViews>
  <sheetFormatPr defaultRowHeight="14.4" x14ac:dyDescent="0.3"/>
  <cols>
    <col min="1" max="1" width="3.5546875" bestFit="1" customWidth="1"/>
    <col min="2" max="2" width="44.5546875" customWidth="1"/>
    <col min="3" max="3" width="22.109375" customWidth="1"/>
    <col min="4" max="4" width="21.88671875" bestFit="1" customWidth="1"/>
    <col min="5" max="6" width="21.88671875" customWidth="1"/>
    <col min="7" max="7" width="19.6640625" customWidth="1"/>
    <col min="8" max="8" width="14.5546875" bestFit="1" customWidth="1"/>
    <col min="9" max="9" width="11" bestFit="1" customWidth="1"/>
  </cols>
  <sheetData>
    <row r="1" spans="1:9" ht="18" x14ac:dyDescent="0.35">
      <c r="A1" s="911" t="s">
        <v>1447</v>
      </c>
      <c r="B1" s="911"/>
      <c r="C1" s="911"/>
      <c r="D1" s="911"/>
      <c r="E1" s="911"/>
      <c r="F1" s="911"/>
      <c r="G1" s="911"/>
    </row>
    <row r="2" spans="1:9" x14ac:dyDescent="0.3">
      <c r="A2" s="912" t="s">
        <v>1448</v>
      </c>
      <c r="B2" s="912"/>
      <c r="C2" s="912"/>
      <c r="D2" s="912"/>
      <c r="E2" s="912"/>
      <c r="F2" s="912"/>
      <c r="G2" s="912"/>
    </row>
    <row r="3" spans="1:9" ht="15.6" x14ac:dyDescent="0.3">
      <c r="A3" s="913" t="s">
        <v>1449</v>
      </c>
      <c r="B3" s="913"/>
      <c r="C3" s="913"/>
      <c r="D3" s="913"/>
      <c r="E3" s="913"/>
      <c r="F3" s="913"/>
      <c r="G3" s="913"/>
    </row>
    <row r="5" spans="1:9" ht="15.6" x14ac:dyDescent="0.3">
      <c r="B5" s="491"/>
      <c r="C5" s="492"/>
    </row>
    <row r="6" spans="1:9" ht="16.2" thickBot="1" x14ac:dyDescent="0.35">
      <c r="B6" s="491"/>
      <c r="C6" s="492"/>
    </row>
    <row r="7" spans="1:9" ht="45.75" customHeight="1" x14ac:dyDescent="0.3">
      <c r="A7" s="914" t="s">
        <v>1450</v>
      </c>
      <c r="B7" s="915"/>
      <c r="C7" s="493" t="s">
        <v>1431</v>
      </c>
      <c r="D7" s="493" t="s">
        <v>1451</v>
      </c>
      <c r="E7" s="493" t="s">
        <v>1432</v>
      </c>
      <c r="F7" s="493" t="s">
        <v>1433</v>
      </c>
      <c r="G7" s="494" t="s">
        <v>1434</v>
      </c>
    </row>
    <row r="8" spans="1:9" ht="23.25" customHeight="1" thickBot="1" x14ac:dyDescent="0.35">
      <c r="A8" s="916" t="s">
        <v>1435</v>
      </c>
      <c r="B8" s="917"/>
      <c r="C8" s="495">
        <v>397909188</v>
      </c>
      <c r="D8" s="495">
        <v>0</v>
      </c>
      <c r="E8" s="495">
        <v>369494188</v>
      </c>
      <c r="F8" s="495">
        <v>28415000</v>
      </c>
      <c r="G8" s="497">
        <f>C8-E8-F8</f>
        <v>0</v>
      </c>
    </row>
    <row r="9" spans="1:9" ht="15" thickBot="1" x14ac:dyDescent="0.35">
      <c r="A9" s="512"/>
      <c r="B9" s="513"/>
      <c r="C9" s="514"/>
      <c r="D9" s="514"/>
      <c r="E9" s="514"/>
      <c r="F9" s="515"/>
    </row>
    <row r="10" spans="1:9" ht="28.8" x14ac:dyDescent="0.3">
      <c r="A10" s="918" t="s">
        <v>1436</v>
      </c>
      <c r="B10" s="919"/>
      <c r="C10" s="498" t="s">
        <v>1437</v>
      </c>
      <c r="D10" s="516" t="s">
        <v>1452</v>
      </c>
      <c r="E10" s="493" t="s">
        <v>1438</v>
      </c>
      <c r="F10" s="493" t="s">
        <v>1439</v>
      </c>
      <c r="G10" s="494" t="s">
        <v>1434</v>
      </c>
    </row>
    <row r="11" spans="1:9" ht="21" customHeight="1" x14ac:dyDescent="0.3">
      <c r="A11" s="499" t="s">
        <v>3</v>
      </c>
      <c r="B11" s="517" t="s">
        <v>1453</v>
      </c>
      <c r="C11" s="501">
        <v>3789045</v>
      </c>
      <c r="D11" s="518">
        <v>0</v>
      </c>
      <c r="E11" s="501">
        <v>0</v>
      </c>
      <c r="F11" s="518">
        <v>3789045</v>
      </c>
      <c r="G11" s="504">
        <f t="shared" ref="G11:G18" si="0">C11-D11-E11-F11</f>
        <v>0</v>
      </c>
      <c r="H11" s="519">
        <f>SUM(D11:G11)</f>
        <v>3789045</v>
      </c>
      <c r="I11" s="519">
        <f>+H11-C11</f>
        <v>0</v>
      </c>
    </row>
    <row r="12" spans="1:9" ht="21" customHeight="1" x14ac:dyDescent="0.3">
      <c r="A12" s="499" t="s">
        <v>4</v>
      </c>
      <c r="B12" s="517" t="s">
        <v>1454</v>
      </c>
      <c r="C12" s="501">
        <v>2928430</v>
      </c>
      <c r="D12" s="518">
        <v>0</v>
      </c>
      <c r="E12" s="501">
        <v>2928430</v>
      </c>
      <c r="F12" s="518">
        <v>0</v>
      </c>
      <c r="G12" s="504">
        <f t="shared" si="0"/>
        <v>0</v>
      </c>
      <c r="H12" s="519">
        <f t="shared" ref="H12:H23" si="1">SUM(D12:G12)</f>
        <v>2928430</v>
      </c>
      <c r="I12" s="519">
        <f t="shared" ref="I12:I23" si="2">+H12-C12</f>
        <v>0</v>
      </c>
    </row>
    <row r="13" spans="1:9" ht="21" customHeight="1" x14ac:dyDescent="0.3">
      <c r="A13" s="499" t="s">
        <v>5</v>
      </c>
      <c r="B13" s="517" t="s">
        <v>1455</v>
      </c>
      <c r="C13" s="501">
        <v>3937000</v>
      </c>
      <c r="D13" s="518">
        <v>3937000</v>
      </c>
      <c r="E13" s="501">
        <v>0</v>
      </c>
      <c r="F13" s="518">
        <v>0</v>
      </c>
      <c r="G13" s="504">
        <f t="shared" si="0"/>
        <v>0</v>
      </c>
      <c r="H13" s="519">
        <f t="shared" si="1"/>
        <v>3937000</v>
      </c>
      <c r="I13" s="519">
        <f t="shared" si="2"/>
        <v>0</v>
      </c>
    </row>
    <row r="14" spans="1:9" ht="21" customHeight="1" x14ac:dyDescent="0.3">
      <c r="A14" s="499" t="s">
        <v>6</v>
      </c>
      <c r="B14" s="517" t="s">
        <v>1456</v>
      </c>
      <c r="C14" s="501">
        <v>999998</v>
      </c>
      <c r="D14" s="518">
        <v>999998</v>
      </c>
      <c r="E14" s="501">
        <v>0</v>
      </c>
      <c r="F14" s="518">
        <v>0</v>
      </c>
      <c r="G14" s="504">
        <f t="shared" si="0"/>
        <v>0</v>
      </c>
      <c r="H14" s="519">
        <f t="shared" si="1"/>
        <v>999998</v>
      </c>
      <c r="I14" s="519">
        <f t="shared" si="2"/>
        <v>0</v>
      </c>
    </row>
    <row r="15" spans="1:9" ht="21" customHeight="1" x14ac:dyDescent="0.3">
      <c r="A15" s="499" t="s">
        <v>7</v>
      </c>
      <c r="B15" s="517" t="s">
        <v>1457</v>
      </c>
      <c r="C15" s="501">
        <v>174110</v>
      </c>
      <c r="D15" s="518">
        <v>174110</v>
      </c>
      <c r="E15" s="501">
        <v>0</v>
      </c>
      <c r="F15" s="518">
        <v>0</v>
      </c>
      <c r="G15" s="504">
        <f t="shared" si="0"/>
        <v>0</v>
      </c>
      <c r="H15" s="519">
        <f t="shared" si="1"/>
        <v>174110</v>
      </c>
      <c r="I15" s="519">
        <f t="shared" si="2"/>
        <v>0</v>
      </c>
    </row>
    <row r="16" spans="1:9" ht="21.75" customHeight="1" x14ac:dyDescent="0.3">
      <c r="A16" s="499" t="s">
        <v>8</v>
      </c>
      <c r="B16" s="517" t="s">
        <v>1458</v>
      </c>
      <c r="C16" s="501">
        <v>1496857</v>
      </c>
      <c r="D16" s="518">
        <v>0</v>
      </c>
      <c r="E16" s="501">
        <v>0</v>
      </c>
      <c r="F16" s="518">
        <v>1496857</v>
      </c>
      <c r="G16" s="504">
        <f t="shared" si="0"/>
        <v>0</v>
      </c>
      <c r="H16" s="519">
        <f t="shared" si="1"/>
        <v>1496857</v>
      </c>
      <c r="I16" s="519">
        <f t="shared" si="2"/>
        <v>0</v>
      </c>
    </row>
    <row r="17" spans="1:9" ht="21.75" customHeight="1" x14ac:dyDescent="0.3">
      <c r="A17" s="499" t="s">
        <v>9</v>
      </c>
      <c r="B17" s="517" t="s">
        <v>1459</v>
      </c>
      <c r="C17" s="501">
        <v>200000</v>
      </c>
      <c r="D17" s="518">
        <v>0</v>
      </c>
      <c r="E17" s="501">
        <v>0</v>
      </c>
      <c r="F17" s="518">
        <v>200000</v>
      </c>
      <c r="G17" s="504">
        <f t="shared" si="0"/>
        <v>0</v>
      </c>
      <c r="H17" s="519">
        <f t="shared" si="1"/>
        <v>200000</v>
      </c>
      <c r="I17" s="519">
        <f t="shared" si="2"/>
        <v>0</v>
      </c>
    </row>
    <row r="18" spans="1:9" ht="21" customHeight="1" x14ac:dyDescent="0.3">
      <c r="A18" s="499" t="s">
        <v>23</v>
      </c>
      <c r="B18" s="517" t="s">
        <v>1460</v>
      </c>
      <c r="C18" s="501">
        <v>3746500</v>
      </c>
      <c r="D18" s="518">
        <v>0</v>
      </c>
      <c r="E18" s="501">
        <v>0</v>
      </c>
      <c r="F18" s="518">
        <v>3746500</v>
      </c>
      <c r="G18" s="504">
        <f t="shared" si="0"/>
        <v>0</v>
      </c>
      <c r="H18" s="519">
        <f t="shared" si="1"/>
        <v>3746500</v>
      </c>
      <c r="I18" s="519">
        <f t="shared" si="2"/>
        <v>0</v>
      </c>
    </row>
    <row r="19" spans="1:9" ht="21" customHeight="1" x14ac:dyDescent="0.3">
      <c r="A19" s="499" t="s">
        <v>25</v>
      </c>
      <c r="B19" s="517" t="s">
        <v>1461</v>
      </c>
      <c r="C19" s="501">
        <v>12125706</v>
      </c>
      <c r="D19" s="518">
        <v>0</v>
      </c>
      <c r="E19" s="501">
        <f>12155706-30000</f>
        <v>12125706</v>
      </c>
      <c r="F19" s="518">
        <v>-160020</v>
      </c>
      <c r="G19" s="504">
        <v>0</v>
      </c>
      <c r="H19" s="519">
        <f t="shared" si="1"/>
        <v>11965686</v>
      </c>
      <c r="I19" s="519">
        <f t="shared" si="2"/>
        <v>-160020</v>
      </c>
    </row>
    <row r="20" spans="1:9" ht="21" customHeight="1" x14ac:dyDescent="0.3">
      <c r="A20" s="499" t="s">
        <v>27</v>
      </c>
      <c r="B20" s="517" t="s">
        <v>1462</v>
      </c>
      <c r="C20" s="501">
        <v>9450000</v>
      </c>
      <c r="D20" s="518">
        <v>0</v>
      </c>
      <c r="E20" s="501">
        <v>0</v>
      </c>
      <c r="F20" s="518">
        <v>4725000</v>
      </c>
      <c r="G20" s="714">
        <f>C20-D20-E20-F20</f>
        <v>4725000</v>
      </c>
      <c r="H20" s="519">
        <f t="shared" si="1"/>
        <v>9450000</v>
      </c>
      <c r="I20" s="519">
        <f t="shared" si="2"/>
        <v>0</v>
      </c>
    </row>
    <row r="21" spans="1:9" ht="21" customHeight="1" x14ac:dyDescent="0.3">
      <c r="A21" s="499" t="s">
        <v>30</v>
      </c>
      <c r="B21" s="517" t="s">
        <v>1463</v>
      </c>
      <c r="C21" s="501">
        <v>329386319</v>
      </c>
      <c r="D21" s="518">
        <v>0</v>
      </c>
      <c r="E21" s="501">
        <v>0</v>
      </c>
      <c r="F21" s="518">
        <f>329386319-45113745-12180711</f>
        <v>272091863</v>
      </c>
      <c r="G21" s="714">
        <f>45113745+12180711</f>
        <v>57294456</v>
      </c>
      <c r="H21" s="519">
        <f t="shared" si="1"/>
        <v>329386319</v>
      </c>
      <c r="I21" s="519">
        <f t="shared" si="2"/>
        <v>0</v>
      </c>
    </row>
    <row r="22" spans="1:9" ht="21" customHeight="1" x14ac:dyDescent="0.3">
      <c r="A22" s="499" t="s">
        <v>32</v>
      </c>
      <c r="B22" s="517" t="s">
        <v>1464</v>
      </c>
      <c r="C22" s="501">
        <v>370000</v>
      </c>
      <c r="D22" s="518">
        <v>0</v>
      </c>
      <c r="E22" s="501">
        <v>157034</v>
      </c>
      <c r="F22" s="518">
        <f>205000+7966-2296</f>
        <v>210670</v>
      </c>
      <c r="G22" s="504">
        <v>0</v>
      </c>
      <c r="H22" s="519">
        <f t="shared" si="1"/>
        <v>367704</v>
      </c>
      <c r="I22" s="519">
        <f t="shared" si="2"/>
        <v>-2296</v>
      </c>
    </row>
    <row r="23" spans="1:9" ht="21" customHeight="1" x14ac:dyDescent="0.3">
      <c r="A23" s="499" t="s">
        <v>33</v>
      </c>
      <c r="B23" s="517" t="s">
        <v>1465</v>
      </c>
      <c r="C23" s="501">
        <v>29305223</v>
      </c>
      <c r="D23" s="518">
        <v>0</v>
      </c>
      <c r="E23" s="501">
        <v>0</v>
      </c>
      <c r="F23" s="518">
        <v>29305223</v>
      </c>
      <c r="G23" s="504">
        <f t="shared" ref="G23" si="3">C23-D23-E23-F23</f>
        <v>0</v>
      </c>
      <c r="H23" s="519">
        <f t="shared" si="1"/>
        <v>29305223</v>
      </c>
      <c r="I23" s="519">
        <f t="shared" si="2"/>
        <v>0</v>
      </c>
    </row>
    <row r="24" spans="1:9" ht="21" customHeight="1" x14ac:dyDescent="0.3">
      <c r="A24" s="520" t="s">
        <v>34</v>
      </c>
      <c r="B24" s="521" t="s">
        <v>1466</v>
      </c>
      <c r="C24" s="522"/>
      <c r="D24" s="523"/>
      <c r="E24" s="522"/>
      <c r="F24" s="523"/>
      <c r="G24" s="524">
        <f>476355-314039</f>
        <v>162316</v>
      </c>
      <c r="H24" s="519"/>
      <c r="I24" s="519"/>
    </row>
    <row r="25" spans="1:9" ht="28.5" customHeight="1" thickBot="1" x14ac:dyDescent="0.35">
      <c r="A25" s="920" t="s">
        <v>1446</v>
      </c>
      <c r="B25" s="921"/>
      <c r="C25" s="525">
        <f>SUM(C11:C23)</f>
        <v>397909188</v>
      </c>
      <c r="D25" s="712">
        <f>SUM(D11:D23)</f>
        <v>5111108</v>
      </c>
      <c r="E25" s="712">
        <f>SUM(E11:E23)</f>
        <v>15211170</v>
      </c>
      <c r="F25" s="712">
        <f>SUM(F11:F23)</f>
        <v>315405138</v>
      </c>
      <c r="G25" s="713">
        <f>SUM(G11:G24)</f>
        <v>62181772</v>
      </c>
      <c r="H25" s="526">
        <f>SUM(D25:G25)</f>
        <v>397909188</v>
      </c>
      <c r="I25" s="526">
        <f>+C25-H25</f>
        <v>0</v>
      </c>
    </row>
    <row r="26" spans="1:9" x14ac:dyDescent="0.3">
      <c r="C26" s="711"/>
    </row>
    <row r="27" spans="1:9" x14ac:dyDescent="0.3">
      <c r="F27" s="526"/>
      <c r="G27" s="526"/>
    </row>
    <row r="28" spans="1:9" ht="30" customHeight="1" x14ac:dyDescent="0.3">
      <c r="B28" s="922" t="s">
        <v>1467</v>
      </c>
      <c r="C28" s="923"/>
      <c r="D28" s="923"/>
      <c r="E28" s="923"/>
      <c r="F28" s="923"/>
      <c r="G28" s="923"/>
    </row>
    <row r="29" spans="1:9" x14ac:dyDescent="0.3">
      <c r="B29" t="s">
        <v>1468</v>
      </c>
      <c r="G29" s="526"/>
    </row>
    <row r="34" spans="7:7" x14ac:dyDescent="0.3">
      <c r="G34" s="519"/>
    </row>
    <row r="35" spans="7:7" x14ac:dyDescent="0.3">
      <c r="G35" s="519"/>
    </row>
  </sheetData>
  <mergeCells count="8">
    <mergeCell ref="A25:B25"/>
    <mergeCell ref="B28:G28"/>
    <mergeCell ref="A1:G1"/>
    <mergeCell ref="A2:G2"/>
    <mergeCell ref="A3:G3"/>
    <mergeCell ref="A7:B7"/>
    <mergeCell ref="A8:B8"/>
    <mergeCell ref="A10:B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&amp;CDunaharaszti Város Önkormányzata
2018. évi zárszámadás&amp;R&amp;A</oddHeader>
    <oddFooter>&amp;C&amp;P/&amp;N</oddFooter>
  </headerFooter>
  <colBreaks count="1" manualBreakCount="1">
    <brk id="7" max="2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5"/>
  <sheetViews>
    <sheetView view="pageBreakPreview" zoomScale="84" zoomScaleNormal="100" zoomScaleSheetLayoutView="84" workbookViewId="0">
      <selection activeCell="A5" sqref="A5:XFD5"/>
    </sheetView>
  </sheetViews>
  <sheetFormatPr defaultRowHeight="14.4" x14ac:dyDescent="0.3"/>
  <cols>
    <col min="1" max="1" width="2.5546875" bestFit="1" customWidth="1"/>
    <col min="2" max="2" width="45.109375" bestFit="1" customWidth="1"/>
    <col min="3" max="3" width="22.109375" customWidth="1"/>
    <col min="4" max="4" width="21.88671875" bestFit="1" customWidth="1"/>
    <col min="5" max="5" width="21.88671875" customWidth="1"/>
    <col min="6" max="6" width="16.109375" customWidth="1"/>
    <col min="7" max="7" width="14.5546875" bestFit="1" customWidth="1"/>
  </cols>
  <sheetData>
    <row r="1" spans="1:7" ht="18" x14ac:dyDescent="0.35">
      <c r="A1" s="911" t="s">
        <v>1469</v>
      </c>
      <c r="B1" s="911"/>
      <c r="C1" s="911"/>
      <c r="D1" s="911"/>
      <c r="E1" s="911"/>
      <c r="F1" s="911"/>
    </row>
    <row r="2" spans="1:7" x14ac:dyDescent="0.3">
      <c r="A2" s="912" t="s">
        <v>1470</v>
      </c>
      <c r="B2" s="912"/>
      <c r="C2" s="912"/>
      <c r="D2" s="912"/>
      <c r="E2" s="912"/>
      <c r="F2" s="912"/>
    </row>
    <row r="3" spans="1:7" ht="15.6" x14ac:dyDescent="0.3">
      <c r="A3" s="913" t="s">
        <v>1471</v>
      </c>
      <c r="B3" s="913"/>
      <c r="C3" s="913"/>
      <c r="D3" s="913"/>
      <c r="E3" s="913"/>
      <c r="F3" s="913"/>
    </row>
    <row r="5" spans="1:7" ht="16.2" thickBot="1" x14ac:dyDescent="0.35">
      <c r="B5" s="491"/>
      <c r="C5" s="492"/>
    </row>
    <row r="6" spans="1:7" ht="28.8" x14ac:dyDescent="0.3">
      <c r="A6" s="914" t="s">
        <v>1450</v>
      </c>
      <c r="B6" s="915"/>
      <c r="C6" s="493" t="s">
        <v>1431</v>
      </c>
      <c r="D6" s="493" t="s">
        <v>1432</v>
      </c>
      <c r="E6" s="493" t="s">
        <v>1433</v>
      </c>
      <c r="F6" s="494" t="s">
        <v>1434</v>
      </c>
    </row>
    <row r="7" spans="1:7" ht="38.25" customHeight="1" thickBot="1" x14ac:dyDescent="0.35">
      <c r="A7" s="926" t="s">
        <v>1472</v>
      </c>
      <c r="B7" s="917"/>
      <c r="C7" s="495">
        <v>106905920</v>
      </c>
      <c r="D7" s="495">
        <v>53452960</v>
      </c>
      <c r="E7" s="496">
        <v>53452960</v>
      </c>
      <c r="F7" s="497">
        <f>C7-D7-E7</f>
        <v>0</v>
      </c>
    </row>
    <row r="8" spans="1:7" ht="28.8" x14ac:dyDescent="0.3">
      <c r="A8" s="918" t="s">
        <v>1436</v>
      </c>
      <c r="B8" s="919"/>
      <c r="C8" s="498" t="s">
        <v>1437</v>
      </c>
      <c r="D8" s="493" t="s">
        <v>1438</v>
      </c>
      <c r="E8" s="493" t="s">
        <v>1439</v>
      </c>
      <c r="F8" s="494" t="s">
        <v>1434</v>
      </c>
    </row>
    <row r="9" spans="1:7" ht="23.25" customHeight="1" x14ac:dyDescent="0.3">
      <c r="A9" s="499" t="s">
        <v>3</v>
      </c>
      <c r="B9" s="517" t="s">
        <v>1473</v>
      </c>
      <c r="C9" s="501">
        <v>5134000</v>
      </c>
      <c r="D9" s="501">
        <v>5134000</v>
      </c>
      <c r="E9" s="518"/>
      <c r="F9" s="504">
        <v>0</v>
      </c>
    </row>
    <row r="10" spans="1:7" ht="23.25" customHeight="1" x14ac:dyDescent="0.3">
      <c r="A10" s="499" t="s">
        <v>4</v>
      </c>
      <c r="B10" s="517" t="s">
        <v>1474</v>
      </c>
      <c r="C10" s="501">
        <v>1244600</v>
      </c>
      <c r="D10" s="501">
        <v>1244600</v>
      </c>
      <c r="E10" s="518"/>
      <c r="F10" s="504">
        <v>0</v>
      </c>
    </row>
    <row r="11" spans="1:7" ht="23.25" customHeight="1" x14ac:dyDescent="0.3">
      <c r="A11" s="499" t="s">
        <v>5</v>
      </c>
      <c r="B11" s="517" t="s">
        <v>1475</v>
      </c>
      <c r="C11" s="501">
        <f>57444640+57444640-89164</f>
        <v>114800116</v>
      </c>
      <c r="D11" s="501">
        <f>57444640+57444640-89164</f>
        <v>114800116</v>
      </c>
      <c r="E11" s="518"/>
      <c r="F11" s="504">
        <v>0</v>
      </c>
    </row>
    <row r="12" spans="1:7" ht="23.25" customHeight="1" x14ac:dyDescent="0.3">
      <c r="A12" s="499" t="s">
        <v>6</v>
      </c>
      <c r="B12" s="517" t="s">
        <v>1476</v>
      </c>
      <c r="C12" s="501">
        <v>1244600</v>
      </c>
      <c r="D12" s="501">
        <v>1244600</v>
      </c>
      <c r="E12" s="518"/>
      <c r="F12" s="504">
        <v>0</v>
      </c>
    </row>
    <row r="13" spans="1:7" ht="23.25" customHeight="1" x14ac:dyDescent="0.3">
      <c r="A13" s="499" t="s">
        <v>7</v>
      </c>
      <c r="B13" s="517" t="s">
        <v>1477</v>
      </c>
      <c r="C13" s="501">
        <f>1524000+1524000</f>
        <v>3048000</v>
      </c>
      <c r="D13" s="527">
        <f>C13-F13</f>
        <v>3048000</v>
      </c>
      <c r="E13" s="528">
        <v>234949</v>
      </c>
      <c r="F13" s="504">
        <v>0</v>
      </c>
    </row>
    <row r="14" spans="1:7" ht="23.25" customHeight="1" thickBot="1" x14ac:dyDescent="0.35">
      <c r="A14" s="499" t="s">
        <v>8</v>
      </c>
      <c r="B14" s="517" t="s">
        <v>1444</v>
      </c>
      <c r="C14" s="522">
        <v>300355</v>
      </c>
      <c r="D14" s="522">
        <v>300355</v>
      </c>
      <c r="E14" s="523"/>
      <c r="F14" s="524">
        <v>0</v>
      </c>
    </row>
    <row r="15" spans="1:7" ht="30.75" customHeight="1" thickBot="1" x14ac:dyDescent="0.35">
      <c r="A15" s="924" t="s">
        <v>1446</v>
      </c>
      <c r="B15" s="925"/>
      <c r="C15" s="529">
        <f>SUM(C9:C14)</f>
        <v>125771671</v>
      </c>
      <c r="D15" s="529">
        <f>SUM(D9:D14)</f>
        <v>125771671</v>
      </c>
      <c r="E15" s="529">
        <f>SUM(E9:E14)</f>
        <v>234949</v>
      </c>
      <c r="F15" s="531">
        <f>SUM(F9:F14)</f>
        <v>0</v>
      </c>
      <c r="G15" s="519"/>
    </row>
  </sheetData>
  <mergeCells count="7">
    <mergeCell ref="A15:B15"/>
    <mergeCell ref="A1:F1"/>
    <mergeCell ref="A2:F2"/>
    <mergeCell ref="A3:F3"/>
    <mergeCell ref="A6:B6"/>
    <mergeCell ref="A7:B7"/>
    <mergeCell ref="A8:B8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7" orientation="landscape" verticalDpi="0" r:id="rId1"/>
  <headerFooter>
    <oddHeader>&amp;CDunaharaszti Város Önkormányzata
2018. évi zárszámadás&amp;R&amp;A</oddHeader>
    <oddFooter>&amp;C&amp;P/&amp;N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2"/>
  <sheetViews>
    <sheetView view="pageBreakPreview" zoomScale="86" zoomScaleNormal="100" zoomScaleSheetLayoutView="86" workbookViewId="0">
      <selection activeCell="D7" sqref="D7"/>
    </sheetView>
  </sheetViews>
  <sheetFormatPr defaultRowHeight="14.4" x14ac:dyDescent="0.3"/>
  <cols>
    <col min="1" max="1" width="2.5546875" bestFit="1" customWidth="1"/>
    <col min="2" max="2" width="45.109375" bestFit="1" customWidth="1"/>
    <col min="3" max="3" width="22.109375" customWidth="1"/>
    <col min="4" max="4" width="21.88671875" bestFit="1" customWidth="1"/>
    <col min="5" max="6" width="21.88671875" customWidth="1"/>
    <col min="7" max="7" width="14.5546875" bestFit="1" customWidth="1"/>
  </cols>
  <sheetData>
    <row r="1" spans="1:7" ht="18" x14ac:dyDescent="0.35">
      <c r="A1" s="911" t="s">
        <v>1490</v>
      </c>
      <c r="B1" s="911"/>
      <c r="C1" s="911"/>
      <c r="D1" s="911"/>
      <c r="E1" s="911"/>
      <c r="F1" s="911"/>
    </row>
    <row r="2" spans="1:7" x14ac:dyDescent="0.3">
      <c r="A2" s="912" t="s">
        <v>1491</v>
      </c>
      <c r="B2" s="912"/>
      <c r="C2" s="912"/>
      <c r="D2" s="912"/>
      <c r="E2" s="912"/>
      <c r="F2" s="912"/>
    </row>
    <row r="3" spans="1:7" ht="15.6" x14ac:dyDescent="0.3">
      <c r="A3" s="913" t="s">
        <v>1492</v>
      </c>
      <c r="B3" s="913"/>
      <c r="C3" s="913"/>
      <c r="D3" s="913"/>
      <c r="E3" s="913"/>
      <c r="F3" s="913"/>
    </row>
    <row r="5" spans="1:7" ht="16.2" thickBot="1" x14ac:dyDescent="0.35">
      <c r="B5" s="491"/>
      <c r="C5" s="492"/>
    </row>
    <row r="6" spans="1:7" ht="28.8" x14ac:dyDescent="0.3">
      <c r="A6" s="914" t="s">
        <v>1450</v>
      </c>
      <c r="B6" s="915"/>
      <c r="C6" s="493" t="s">
        <v>1431</v>
      </c>
      <c r="D6" s="493" t="s">
        <v>1432</v>
      </c>
      <c r="E6" s="493" t="s">
        <v>1433</v>
      </c>
      <c r="F6" s="494" t="s">
        <v>1434</v>
      </c>
    </row>
    <row r="7" spans="1:7" ht="36" customHeight="1" thickBot="1" x14ac:dyDescent="0.35">
      <c r="A7" s="926" t="s">
        <v>1493</v>
      </c>
      <c r="B7" s="917"/>
      <c r="C7" s="495">
        <v>2760000</v>
      </c>
      <c r="D7" s="495">
        <v>2760000</v>
      </c>
      <c r="E7" s="496">
        <v>0</v>
      </c>
      <c r="F7" s="497">
        <v>0</v>
      </c>
    </row>
    <row r="8" spans="1:7" ht="31.5" customHeight="1" x14ac:dyDescent="0.3">
      <c r="A8" s="918" t="s">
        <v>1436</v>
      </c>
      <c r="B8" s="919"/>
      <c r="C8" s="498" t="s">
        <v>1437</v>
      </c>
      <c r="D8" s="493" t="s">
        <v>1438</v>
      </c>
      <c r="E8" s="493" t="s">
        <v>1439</v>
      </c>
      <c r="F8" s="494" t="s">
        <v>1434</v>
      </c>
    </row>
    <row r="9" spans="1:7" ht="23.25" customHeight="1" x14ac:dyDescent="0.3">
      <c r="A9" s="499" t="s">
        <v>3</v>
      </c>
      <c r="B9" s="517" t="s">
        <v>1494</v>
      </c>
      <c r="C9" s="501">
        <v>3000000</v>
      </c>
      <c r="D9" s="501">
        <v>0</v>
      </c>
      <c r="E9" s="518">
        <v>3000000</v>
      </c>
      <c r="F9" s="504">
        <v>0</v>
      </c>
    </row>
    <row r="10" spans="1:7" ht="23.25" customHeight="1" x14ac:dyDescent="0.3">
      <c r="A10" s="499" t="s">
        <v>4</v>
      </c>
      <c r="B10" s="517" t="s">
        <v>1495</v>
      </c>
      <c r="C10" s="501">
        <v>1435608</v>
      </c>
      <c r="D10" s="501">
        <v>0</v>
      </c>
      <c r="E10" s="518">
        <v>1435608</v>
      </c>
      <c r="F10" s="504">
        <v>0</v>
      </c>
    </row>
    <row r="11" spans="1:7" ht="23.25" customHeight="1" thickBot="1" x14ac:dyDescent="0.35">
      <c r="A11" s="499" t="s">
        <v>5</v>
      </c>
      <c r="B11" s="517" t="s">
        <v>1496</v>
      </c>
      <c r="C11" s="501">
        <v>800000</v>
      </c>
      <c r="D11" s="501">
        <v>0</v>
      </c>
      <c r="E11" s="518">
        <v>800000</v>
      </c>
      <c r="F11" s="504">
        <v>0</v>
      </c>
    </row>
    <row r="12" spans="1:7" ht="27" customHeight="1" thickBot="1" x14ac:dyDescent="0.35">
      <c r="A12" s="924" t="s">
        <v>1446</v>
      </c>
      <c r="B12" s="925"/>
      <c r="C12" s="529">
        <f>SUM(C9:C11)</f>
        <v>5235608</v>
      </c>
      <c r="D12" s="529">
        <f>SUM(D9:D11)</f>
        <v>0</v>
      </c>
      <c r="E12" s="530">
        <v>5235608</v>
      </c>
      <c r="F12" s="531">
        <f>SUM(F9:F11)</f>
        <v>0</v>
      </c>
      <c r="G12" s="519"/>
    </row>
  </sheetData>
  <mergeCells count="7">
    <mergeCell ref="A12:B12"/>
    <mergeCell ref="A1:F1"/>
    <mergeCell ref="A2:F2"/>
    <mergeCell ref="A3:F3"/>
    <mergeCell ref="A6:B6"/>
    <mergeCell ref="A7:B7"/>
    <mergeCell ref="A8:B8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4" orientation="landscape" verticalDpi="0" r:id="rId1"/>
  <headerFooter>
    <oddHeader>&amp;CDunaharaszti Város Önkormányzata
2018. évi zárszámadás&amp;R&amp;A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5"/>
  <sheetViews>
    <sheetView tabSelected="1" view="pageBreakPreview" topLeftCell="A10" zoomScale="60" zoomScaleNormal="100" zoomScalePageLayoutView="70" workbookViewId="0">
      <selection activeCell="E10" sqref="E10"/>
    </sheetView>
  </sheetViews>
  <sheetFormatPr defaultColWidth="9.109375" defaultRowHeight="14.4" x14ac:dyDescent="0.3"/>
  <cols>
    <col min="1" max="1" width="8.109375" style="1" customWidth="1"/>
    <col min="2" max="2" width="9.109375" style="1"/>
    <col min="3" max="3" width="51.44140625" style="1" customWidth="1"/>
    <col min="4" max="11" width="23.88671875" style="1" customWidth="1"/>
    <col min="12" max="12" width="22.44140625" style="1" customWidth="1"/>
    <col min="13" max="13" width="25.6640625" style="1" customWidth="1"/>
    <col min="14" max="16384" width="9.109375" style="1"/>
  </cols>
  <sheetData>
    <row r="1" spans="1:13" ht="36.75" customHeight="1" x14ac:dyDescent="0.45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</row>
    <row r="2" spans="1:13" ht="40.5" customHeight="1" x14ac:dyDescent="0.3"/>
    <row r="3" spans="1:13" ht="19.5" customHeight="1" x14ac:dyDescent="0.4">
      <c r="A3" s="750" t="s">
        <v>1</v>
      </c>
      <c r="B3" s="751" t="s">
        <v>2</v>
      </c>
      <c r="C3" s="752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23</v>
      </c>
      <c r="L3" s="675" t="s">
        <v>25</v>
      </c>
      <c r="M3" s="755" t="s">
        <v>10</v>
      </c>
    </row>
    <row r="4" spans="1:13" ht="79.2" x14ac:dyDescent="0.3">
      <c r="A4" s="750"/>
      <c r="B4" s="753"/>
      <c r="C4" s="754"/>
      <c r="D4" s="676" t="s">
        <v>11</v>
      </c>
      <c r="E4" s="676" t="s">
        <v>12</v>
      </c>
      <c r="F4" s="676" t="s">
        <v>13</v>
      </c>
      <c r="G4" s="676" t="s">
        <v>14</v>
      </c>
      <c r="H4" s="676" t="s">
        <v>15</v>
      </c>
      <c r="I4" s="676" t="s">
        <v>1305</v>
      </c>
      <c r="J4" s="676" t="s">
        <v>1031</v>
      </c>
      <c r="K4" s="676" t="s">
        <v>1030</v>
      </c>
      <c r="L4" s="677" t="s">
        <v>39</v>
      </c>
      <c r="M4" s="756"/>
    </row>
    <row r="5" spans="1:13" ht="23.4" x14ac:dyDescent="0.35">
      <c r="A5" s="672" t="s">
        <v>3</v>
      </c>
      <c r="B5" s="757" t="s">
        <v>16</v>
      </c>
      <c r="C5" s="758"/>
      <c r="D5" s="673">
        <v>13512340</v>
      </c>
      <c r="E5" s="673">
        <v>8683394</v>
      </c>
      <c r="F5" s="673">
        <v>209574973</v>
      </c>
      <c r="G5" s="673">
        <v>1600717</v>
      </c>
      <c r="H5" s="673">
        <v>1773057</v>
      </c>
      <c r="I5" s="673">
        <v>4</v>
      </c>
      <c r="J5" s="673">
        <v>2439293</v>
      </c>
      <c r="K5" s="673">
        <v>11046176</v>
      </c>
      <c r="L5" s="674">
        <v>3185047</v>
      </c>
      <c r="M5" s="668">
        <f t="shared" ref="M5:M24" si="0">SUM(D5:L5)</f>
        <v>251815001</v>
      </c>
    </row>
    <row r="6" spans="1:13" ht="23.25" customHeight="1" x14ac:dyDescent="0.35">
      <c r="A6" s="649" t="s">
        <v>4</v>
      </c>
      <c r="B6" s="747" t="s">
        <v>17</v>
      </c>
      <c r="C6" s="748"/>
      <c r="D6" s="333">
        <v>498563274</v>
      </c>
      <c r="E6" s="333">
        <v>154398087</v>
      </c>
      <c r="F6" s="333">
        <v>616929732</v>
      </c>
      <c r="G6" s="333">
        <v>358958078</v>
      </c>
      <c r="H6" s="333">
        <v>234780187</v>
      </c>
      <c r="I6" s="333">
        <v>182250894</v>
      </c>
      <c r="J6" s="333">
        <v>46235879</v>
      </c>
      <c r="K6" s="333">
        <v>86081376</v>
      </c>
      <c r="L6" s="659">
        <v>55033529</v>
      </c>
      <c r="M6" s="668">
        <f t="shared" si="0"/>
        <v>2233231036</v>
      </c>
    </row>
    <row r="7" spans="1:13" ht="81" customHeight="1" x14ac:dyDescent="0.35">
      <c r="A7" s="650" t="s">
        <v>5</v>
      </c>
      <c r="B7" s="759" t="s">
        <v>18</v>
      </c>
      <c r="C7" s="760"/>
      <c r="D7" s="651">
        <f t="shared" ref="D7:L7" si="1">+D5-D6</f>
        <v>-485050934</v>
      </c>
      <c r="E7" s="651">
        <f t="shared" si="1"/>
        <v>-145714693</v>
      </c>
      <c r="F7" s="651">
        <f>+F5-F6</f>
        <v>-407354759</v>
      </c>
      <c r="G7" s="651">
        <f>+G5-G6</f>
        <v>-357357361</v>
      </c>
      <c r="H7" s="651">
        <f t="shared" si="1"/>
        <v>-233007130</v>
      </c>
      <c r="I7" s="651">
        <f t="shared" si="1"/>
        <v>-182250890</v>
      </c>
      <c r="J7" s="651">
        <f t="shared" si="1"/>
        <v>-43796586</v>
      </c>
      <c r="K7" s="651">
        <f t="shared" si="1"/>
        <v>-75035200</v>
      </c>
      <c r="L7" s="660">
        <f t="shared" si="1"/>
        <v>-51848482</v>
      </c>
      <c r="M7" s="669">
        <f t="shared" si="0"/>
        <v>-1981416035</v>
      </c>
    </row>
    <row r="8" spans="1:13" ht="23.25" customHeight="1" x14ac:dyDescent="0.35">
      <c r="A8" s="649" t="s">
        <v>6</v>
      </c>
      <c r="B8" s="747" t="s">
        <v>19</v>
      </c>
      <c r="C8" s="748"/>
      <c r="D8" s="333">
        <v>531074712</v>
      </c>
      <c r="E8" s="333">
        <v>167693032</v>
      </c>
      <c r="F8" s="333">
        <v>448127284</v>
      </c>
      <c r="G8" s="333">
        <v>379821115</v>
      </c>
      <c r="H8" s="333">
        <v>248536750</v>
      </c>
      <c r="I8" s="333">
        <v>197544281</v>
      </c>
      <c r="J8" s="333">
        <v>48113290</v>
      </c>
      <c r="K8" s="333">
        <v>82230697</v>
      </c>
      <c r="L8" s="659">
        <v>57241398</v>
      </c>
      <c r="M8" s="668">
        <f t="shared" si="0"/>
        <v>2160382559</v>
      </c>
    </row>
    <row r="9" spans="1:13" ht="23.25" customHeight="1" x14ac:dyDescent="0.35">
      <c r="A9" s="649" t="s">
        <v>7</v>
      </c>
      <c r="B9" s="747" t="s">
        <v>20</v>
      </c>
      <c r="C9" s="748"/>
      <c r="D9" s="333">
        <v>0</v>
      </c>
      <c r="E9" s="333">
        <v>0</v>
      </c>
      <c r="F9" s="333">
        <v>0</v>
      </c>
      <c r="G9" s="333">
        <v>0</v>
      </c>
      <c r="H9" s="333">
        <v>0</v>
      </c>
      <c r="I9" s="333">
        <v>0</v>
      </c>
      <c r="J9" s="333">
        <v>0</v>
      </c>
      <c r="K9" s="333">
        <v>0</v>
      </c>
      <c r="L9" s="659">
        <v>0</v>
      </c>
      <c r="M9" s="668">
        <f t="shared" si="0"/>
        <v>0</v>
      </c>
    </row>
    <row r="10" spans="1:13" ht="88.5" customHeight="1" x14ac:dyDescent="0.35">
      <c r="A10" s="652" t="s">
        <v>8</v>
      </c>
      <c r="B10" s="744" t="s">
        <v>21</v>
      </c>
      <c r="C10" s="737"/>
      <c r="D10" s="334">
        <f t="shared" ref="D10:L10" si="2">+D8-D9</f>
        <v>531074712</v>
      </c>
      <c r="E10" s="334">
        <f t="shared" si="2"/>
        <v>167693032</v>
      </c>
      <c r="F10" s="334">
        <f t="shared" si="2"/>
        <v>448127284</v>
      </c>
      <c r="G10" s="334">
        <f t="shared" si="2"/>
        <v>379821115</v>
      </c>
      <c r="H10" s="334">
        <f t="shared" si="2"/>
        <v>248536750</v>
      </c>
      <c r="I10" s="334">
        <v>197544281</v>
      </c>
      <c r="J10" s="334">
        <f t="shared" si="2"/>
        <v>48113290</v>
      </c>
      <c r="K10" s="334">
        <f t="shared" si="2"/>
        <v>82230697</v>
      </c>
      <c r="L10" s="661">
        <f t="shared" si="2"/>
        <v>57241398</v>
      </c>
      <c r="M10" s="668">
        <f t="shared" si="0"/>
        <v>2160382559</v>
      </c>
    </row>
    <row r="11" spans="1:13" ht="73.95" customHeight="1" x14ac:dyDescent="0.35">
      <c r="A11" s="652" t="s">
        <v>9</v>
      </c>
      <c r="B11" s="744" t="s">
        <v>22</v>
      </c>
      <c r="C11" s="737"/>
      <c r="D11" s="334">
        <f t="shared" ref="D11:L11" si="3">+D7+D10</f>
        <v>46023778</v>
      </c>
      <c r="E11" s="334">
        <f t="shared" si="3"/>
        <v>21978339</v>
      </c>
      <c r="F11" s="334">
        <f t="shared" si="3"/>
        <v>40772525</v>
      </c>
      <c r="G11" s="334">
        <f t="shared" si="3"/>
        <v>22463754</v>
      </c>
      <c r="H11" s="334">
        <f t="shared" si="3"/>
        <v>15529620</v>
      </c>
      <c r="I11" s="334">
        <v>15293391</v>
      </c>
      <c r="J11" s="334">
        <f t="shared" si="3"/>
        <v>4316704</v>
      </c>
      <c r="K11" s="334">
        <v>7195497</v>
      </c>
      <c r="L11" s="661">
        <f t="shared" si="3"/>
        <v>5392916</v>
      </c>
      <c r="M11" s="668">
        <f t="shared" si="0"/>
        <v>178966524</v>
      </c>
    </row>
    <row r="12" spans="1:13" ht="23.25" customHeight="1" x14ac:dyDescent="0.35">
      <c r="A12" s="652" t="s">
        <v>23</v>
      </c>
      <c r="B12" s="744" t="s">
        <v>24</v>
      </c>
      <c r="C12" s="737"/>
      <c r="D12" s="334">
        <v>0</v>
      </c>
      <c r="E12" s="334">
        <v>0</v>
      </c>
      <c r="F12" s="334">
        <v>0</v>
      </c>
      <c r="G12" s="334">
        <v>0</v>
      </c>
      <c r="H12" s="334">
        <v>0</v>
      </c>
      <c r="I12" s="334">
        <v>0</v>
      </c>
      <c r="J12" s="334">
        <v>0</v>
      </c>
      <c r="K12" s="334">
        <v>0</v>
      </c>
      <c r="L12" s="661">
        <v>0</v>
      </c>
      <c r="M12" s="668">
        <f t="shared" si="0"/>
        <v>0</v>
      </c>
    </row>
    <row r="13" spans="1:13" ht="60.75" customHeight="1" x14ac:dyDescent="0.35">
      <c r="A13" s="652" t="s">
        <v>25</v>
      </c>
      <c r="B13" s="740" t="s">
        <v>26</v>
      </c>
      <c r="C13" s="741"/>
      <c r="D13" s="653">
        <f>+D11+D12</f>
        <v>46023778</v>
      </c>
      <c r="E13" s="653">
        <f t="shared" ref="E13:L13" si="4">+E11+E12</f>
        <v>21978339</v>
      </c>
      <c r="F13" s="653">
        <f t="shared" si="4"/>
        <v>40772525</v>
      </c>
      <c r="G13" s="653">
        <f t="shared" si="4"/>
        <v>22463754</v>
      </c>
      <c r="H13" s="653">
        <f t="shared" si="4"/>
        <v>15529620</v>
      </c>
      <c r="I13" s="653">
        <f t="shared" si="4"/>
        <v>15293391</v>
      </c>
      <c r="J13" s="653">
        <f t="shared" si="4"/>
        <v>4316704</v>
      </c>
      <c r="K13" s="653">
        <f t="shared" si="4"/>
        <v>7195497</v>
      </c>
      <c r="L13" s="662">
        <f t="shared" si="4"/>
        <v>5392916</v>
      </c>
      <c r="M13" s="668">
        <f t="shared" si="0"/>
        <v>178966524</v>
      </c>
    </row>
    <row r="14" spans="1:13" ht="42.75" customHeight="1" x14ac:dyDescent="0.35">
      <c r="A14" s="652" t="s">
        <v>27</v>
      </c>
      <c r="B14" s="745" t="s">
        <v>1027</v>
      </c>
      <c r="C14" s="746"/>
      <c r="D14" s="335">
        <v>559189</v>
      </c>
      <c r="E14" s="335">
        <v>181798</v>
      </c>
      <c r="F14" s="335">
        <v>11314801</v>
      </c>
      <c r="G14" s="335">
        <v>613015</v>
      </c>
      <c r="H14" s="335">
        <v>585777</v>
      </c>
      <c r="I14" s="335">
        <v>5727</v>
      </c>
      <c r="J14" s="335">
        <v>91950</v>
      </c>
      <c r="K14" s="335">
        <f>+'13.c.sz.m.Kötött maradvány'!C198</f>
        <v>80194</v>
      </c>
      <c r="L14" s="663">
        <v>52050</v>
      </c>
      <c r="M14" s="668">
        <f t="shared" si="0"/>
        <v>13484501</v>
      </c>
    </row>
    <row r="15" spans="1:13" ht="23.25" customHeight="1" x14ac:dyDescent="0.3">
      <c r="A15" s="731"/>
      <c r="B15" s="733" t="s">
        <v>28</v>
      </c>
      <c r="C15" s="734"/>
      <c r="D15" s="336">
        <f>+'13.c.sz.m.Kötött maradvány'!C171</f>
        <v>559189</v>
      </c>
      <c r="E15" s="336">
        <f>+'13.c.sz.m.Kötött maradvány'!C89+'13.c.sz.m.Kötött maradvány'!C90+'13.c.sz.m.Kötött maradvány'!C91+'13.c.sz.m.Kötött maradvány'!C92</f>
        <v>66019</v>
      </c>
      <c r="F15" s="336">
        <f>+'13.c.sz.m.Kötött maradvány'!C142</f>
        <v>11314801</v>
      </c>
      <c r="G15" s="336">
        <f>+'13.c.sz.m.Kötött maradvány'!C159</f>
        <v>613015</v>
      </c>
      <c r="H15" s="336">
        <f>+'13.c.sz.m.Kötött maradvány'!C181</f>
        <v>585777</v>
      </c>
      <c r="I15" s="336">
        <f>+'13.c.sz.m.Kötött maradvány'!C205</f>
        <v>5727</v>
      </c>
      <c r="J15" s="336">
        <f>+'13.c.sz.m.Kötött maradvány'!C214</f>
        <v>91950</v>
      </c>
      <c r="K15" s="336">
        <v>0</v>
      </c>
      <c r="L15" s="664">
        <f>+'13.c.sz.m.Kötött maradvány'!C190</f>
        <v>52050</v>
      </c>
      <c r="M15" s="669">
        <f t="shared" si="0"/>
        <v>13288528</v>
      </c>
    </row>
    <row r="16" spans="1:13" ht="23.25" customHeight="1" x14ac:dyDescent="0.3">
      <c r="A16" s="732"/>
      <c r="B16" s="733" t="s">
        <v>29</v>
      </c>
      <c r="C16" s="734"/>
      <c r="D16" s="336">
        <v>0</v>
      </c>
      <c r="E16" s="336">
        <f>+'13.c.sz.m.Kötött maradvány'!C93+'13.c.sz.m.Kötött maradvány'!C94</f>
        <v>115779</v>
      </c>
      <c r="F16" s="336">
        <v>0</v>
      </c>
      <c r="G16" s="336">
        <v>0</v>
      </c>
      <c r="H16" s="336">
        <v>0</v>
      </c>
      <c r="I16" s="336">
        <v>0</v>
      </c>
      <c r="J16" s="336">
        <v>0</v>
      </c>
      <c r="K16" s="336"/>
      <c r="L16" s="664">
        <v>0</v>
      </c>
      <c r="M16" s="669">
        <f t="shared" si="0"/>
        <v>115779</v>
      </c>
    </row>
    <row r="17" spans="1:13" ht="59.25" customHeight="1" x14ac:dyDescent="0.35">
      <c r="A17" s="652" t="s">
        <v>30</v>
      </c>
      <c r="B17" s="740" t="s">
        <v>31</v>
      </c>
      <c r="C17" s="741"/>
      <c r="D17" s="653">
        <f t="shared" ref="D17:L17" si="5">+D11-D14</f>
        <v>45464589</v>
      </c>
      <c r="E17" s="653">
        <f>+E11-E14</f>
        <v>21796541</v>
      </c>
      <c r="F17" s="653">
        <f t="shared" si="5"/>
        <v>29457724</v>
      </c>
      <c r="G17" s="653">
        <f t="shared" si="5"/>
        <v>21850739</v>
      </c>
      <c r="H17" s="653">
        <f t="shared" si="5"/>
        <v>14943843</v>
      </c>
      <c r="I17" s="653">
        <f t="shared" si="5"/>
        <v>15287664</v>
      </c>
      <c r="J17" s="653">
        <f t="shared" si="5"/>
        <v>4224754</v>
      </c>
      <c r="K17" s="653">
        <f t="shared" si="5"/>
        <v>7115303</v>
      </c>
      <c r="L17" s="662">
        <f t="shared" si="5"/>
        <v>5340866</v>
      </c>
      <c r="M17" s="668">
        <f t="shared" si="0"/>
        <v>165482023</v>
      </c>
    </row>
    <row r="18" spans="1:13" ht="45.75" customHeight="1" x14ac:dyDescent="0.35">
      <c r="A18" s="652" t="s">
        <v>32</v>
      </c>
      <c r="B18" s="737" t="s">
        <v>1303</v>
      </c>
      <c r="C18" s="737"/>
      <c r="D18" s="653">
        <v>0</v>
      </c>
      <c r="E18" s="653">
        <v>0</v>
      </c>
      <c r="F18" s="653">
        <v>0</v>
      </c>
      <c r="G18" s="653">
        <v>0</v>
      </c>
      <c r="H18" s="653">
        <v>0</v>
      </c>
      <c r="I18" s="653">
        <v>0</v>
      </c>
      <c r="J18" s="653">
        <v>0</v>
      </c>
      <c r="K18" s="653">
        <v>0</v>
      </c>
      <c r="L18" s="662">
        <v>0</v>
      </c>
      <c r="M18" s="668">
        <f t="shared" si="0"/>
        <v>0</v>
      </c>
    </row>
    <row r="19" spans="1:13" ht="23.25" customHeight="1" x14ac:dyDescent="0.35">
      <c r="A19" s="652" t="s">
        <v>33</v>
      </c>
      <c r="B19" s="738" t="s">
        <v>1304</v>
      </c>
      <c r="C19" s="739"/>
      <c r="D19" s="653">
        <v>0</v>
      </c>
      <c r="E19" s="653">
        <v>0</v>
      </c>
      <c r="F19" s="653">
        <v>0</v>
      </c>
      <c r="G19" s="653">
        <v>0</v>
      </c>
      <c r="H19" s="653">
        <v>0</v>
      </c>
      <c r="I19" s="653">
        <v>0</v>
      </c>
      <c r="J19" s="653">
        <f>+J20+J21</f>
        <v>144355</v>
      </c>
      <c r="K19" s="653">
        <v>0</v>
      </c>
      <c r="L19" s="662">
        <v>0</v>
      </c>
      <c r="M19" s="668">
        <f t="shared" si="0"/>
        <v>144355</v>
      </c>
    </row>
    <row r="20" spans="1:13" ht="23.25" customHeight="1" x14ac:dyDescent="0.3">
      <c r="A20" s="731"/>
      <c r="B20" s="733" t="s">
        <v>28</v>
      </c>
      <c r="C20" s="734"/>
      <c r="D20" s="654">
        <v>0</v>
      </c>
      <c r="E20" s="654">
        <v>0</v>
      </c>
      <c r="F20" s="654">
        <v>0</v>
      </c>
      <c r="G20" s="654">
        <v>0</v>
      </c>
      <c r="H20" s="654">
        <v>0</v>
      </c>
      <c r="I20" s="654">
        <v>0</v>
      </c>
      <c r="J20" s="654">
        <v>0</v>
      </c>
      <c r="K20" s="654">
        <v>0</v>
      </c>
      <c r="L20" s="665">
        <v>0</v>
      </c>
      <c r="M20" s="669">
        <f t="shared" si="0"/>
        <v>0</v>
      </c>
    </row>
    <row r="21" spans="1:13" ht="23.25" customHeight="1" x14ac:dyDescent="0.3">
      <c r="A21" s="732"/>
      <c r="B21" s="733" t="s">
        <v>29</v>
      </c>
      <c r="C21" s="734"/>
      <c r="D21" s="654">
        <v>0</v>
      </c>
      <c r="E21" s="654">
        <v>0</v>
      </c>
      <c r="F21" s="654">
        <v>0</v>
      </c>
      <c r="G21" s="654">
        <v>0</v>
      </c>
      <c r="H21" s="654">
        <v>0</v>
      </c>
      <c r="I21" s="654">
        <v>0</v>
      </c>
      <c r="J21" s="654">
        <v>144355</v>
      </c>
      <c r="K21" s="654">
        <v>0</v>
      </c>
      <c r="L21" s="665">
        <v>0</v>
      </c>
      <c r="M21" s="669">
        <f t="shared" si="0"/>
        <v>144355</v>
      </c>
    </row>
    <row r="22" spans="1:13" ht="47.4" customHeight="1" x14ac:dyDescent="0.35">
      <c r="A22" s="652" t="s">
        <v>34</v>
      </c>
      <c r="B22" s="738" t="s">
        <v>35</v>
      </c>
      <c r="C22" s="739"/>
      <c r="D22" s="653">
        <f>+D17-D18-D19</f>
        <v>45464589</v>
      </c>
      <c r="E22" s="653">
        <f t="shared" ref="E22:L22" si="6">+E17-E18-E19</f>
        <v>21796541</v>
      </c>
      <c r="F22" s="653">
        <f t="shared" si="6"/>
        <v>29457724</v>
      </c>
      <c r="G22" s="653">
        <f t="shared" si="6"/>
        <v>21850739</v>
      </c>
      <c r="H22" s="653">
        <f t="shared" si="6"/>
        <v>14943843</v>
      </c>
      <c r="I22" s="653">
        <f t="shared" ref="I22:K22" si="7">+I17-I18-I19</f>
        <v>15287664</v>
      </c>
      <c r="J22" s="653">
        <f>+J17-J18</f>
        <v>4224754</v>
      </c>
      <c r="K22" s="653">
        <f t="shared" si="7"/>
        <v>7115303</v>
      </c>
      <c r="L22" s="662">
        <f t="shared" si="6"/>
        <v>5340866</v>
      </c>
      <c r="M22" s="668">
        <f t="shared" si="0"/>
        <v>165482023</v>
      </c>
    </row>
    <row r="23" spans="1:13" s="216" customFormat="1" ht="47.4" customHeight="1" x14ac:dyDescent="0.35">
      <c r="A23" s="655" t="s">
        <v>36</v>
      </c>
      <c r="B23" s="742" t="s">
        <v>999</v>
      </c>
      <c r="C23" s="743"/>
      <c r="D23" s="656"/>
      <c r="E23" s="656"/>
      <c r="F23" s="656"/>
      <c r="G23" s="656"/>
      <c r="H23" s="656"/>
      <c r="I23" s="656"/>
      <c r="J23" s="656"/>
      <c r="K23" s="656"/>
      <c r="L23" s="666"/>
      <c r="M23" s="670"/>
    </row>
    <row r="24" spans="1:13" ht="23.25" customHeight="1" x14ac:dyDescent="0.35">
      <c r="A24" s="652" t="s">
        <v>38</v>
      </c>
      <c r="B24" s="735" t="s">
        <v>37</v>
      </c>
      <c r="C24" s="736"/>
      <c r="D24" s="657">
        <f>+D22-D23</f>
        <v>45464589</v>
      </c>
      <c r="E24" s="658">
        <f t="shared" ref="E24:L24" si="8">+E22</f>
        <v>21796541</v>
      </c>
      <c r="F24" s="658">
        <f t="shared" si="8"/>
        <v>29457724</v>
      </c>
      <c r="G24" s="658">
        <f t="shared" si="8"/>
        <v>21850739</v>
      </c>
      <c r="H24" s="658">
        <f t="shared" si="8"/>
        <v>14943843</v>
      </c>
      <c r="I24" s="658">
        <f t="shared" ref="I24:K24" si="9">+I22</f>
        <v>15287664</v>
      </c>
      <c r="J24" s="658">
        <f t="shared" si="9"/>
        <v>4224754</v>
      </c>
      <c r="K24" s="658">
        <f t="shared" si="9"/>
        <v>7115303</v>
      </c>
      <c r="L24" s="667">
        <f t="shared" si="8"/>
        <v>5340866</v>
      </c>
      <c r="M24" s="671">
        <f t="shared" si="0"/>
        <v>165482023</v>
      </c>
    </row>
    <row r="25" spans="1:13" ht="23.4" x14ac:dyDescent="0.45">
      <c r="A25" s="332" t="s">
        <v>1306</v>
      </c>
    </row>
  </sheetData>
  <mergeCells count="26">
    <mergeCell ref="B12:C12"/>
    <mergeCell ref="B13:C13"/>
    <mergeCell ref="B14:C14"/>
    <mergeCell ref="B6:C6"/>
    <mergeCell ref="A1:M1"/>
    <mergeCell ref="A3:A4"/>
    <mergeCell ref="B3:C4"/>
    <mergeCell ref="M3:M4"/>
    <mergeCell ref="B5:C5"/>
    <mergeCell ref="B7:C7"/>
    <mergeCell ref="B8:C8"/>
    <mergeCell ref="B9:C9"/>
    <mergeCell ref="B10:C10"/>
    <mergeCell ref="B11:C11"/>
    <mergeCell ref="A15:A16"/>
    <mergeCell ref="B15:C15"/>
    <mergeCell ref="B16:C16"/>
    <mergeCell ref="B24:C24"/>
    <mergeCell ref="B18:C18"/>
    <mergeCell ref="B19:C19"/>
    <mergeCell ref="A20:A21"/>
    <mergeCell ref="B20:C20"/>
    <mergeCell ref="B21:C21"/>
    <mergeCell ref="B22:C22"/>
    <mergeCell ref="B17:C17"/>
    <mergeCell ref="B23:C23"/>
  </mergeCells>
  <pageMargins left="0.31496062992125984" right="0.23622047244094491" top="0.59055118110236227" bottom="0.74803149606299213" header="0.31496062992125984" footer="0.31496062992125984"/>
  <pageSetup paperSize="9" scale="46" orientation="landscape" r:id="rId1"/>
  <headerFooter>
    <oddHeader>&amp;CDunaharaszti Város Önkormányzat 2018. évi zárszámadás&amp;R&amp;A</oddHeader>
    <oddFooter xml:space="preserve">&amp;C&amp;P/&amp;N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2"/>
  <sheetViews>
    <sheetView view="pageBreakPreview" zoomScale="60" zoomScaleNormal="100" workbookViewId="0">
      <selection activeCell="E9" sqref="E9"/>
    </sheetView>
  </sheetViews>
  <sheetFormatPr defaultRowHeight="14.4" x14ac:dyDescent="0.3"/>
  <cols>
    <col min="1" max="1" width="2.5546875" bestFit="1" customWidth="1"/>
    <col min="2" max="2" width="51" customWidth="1"/>
    <col min="3" max="3" width="20.6640625" customWidth="1"/>
    <col min="4" max="4" width="21.88671875" bestFit="1" customWidth="1"/>
    <col min="5" max="5" width="21.88671875" customWidth="1"/>
    <col min="6" max="6" width="20.6640625" customWidth="1"/>
    <col min="7" max="7" width="14.5546875" bestFit="1" customWidth="1"/>
  </cols>
  <sheetData>
    <row r="1" spans="1:7" ht="18" x14ac:dyDescent="0.35">
      <c r="A1" s="911" t="s">
        <v>1502</v>
      </c>
      <c r="B1" s="911"/>
      <c r="C1" s="911"/>
      <c r="D1" s="911"/>
      <c r="E1" s="911"/>
      <c r="F1" s="911"/>
    </row>
    <row r="2" spans="1:7" x14ac:dyDescent="0.3">
      <c r="A2" s="912" t="s">
        <v>1503</v>
      </c>
      <c r="B2" s="912"/>
      <c r="C2" s="912"/>
      <c r="D2" s="912"/>
      <c r="E2" s="912"/>
      <c r="F2" s="912"/>
    </row>
    <row r="3" spans="1:7" ht="15.6" x14ac:dyDescent="0.3">
      <c r="A3" s="913" t="s">
        <v>1504</v>
      </c>
      <c r="B3" s="913"/>
      <c r="C3" s="913"/>
      <c r="D3" s="913"/>
      <c r="E3" s="913"/>
      <c r="F3" s="913"/>
    </row>
    <row r="5" spans="1:7" ht="16.2" thickBot="1" x14ac:dyDescent="0.35">
      <c r="B5" s="491"/>
      <c r="C5" s="492"/>
    </row>
    <row r="6" spans="1:7" ht="28.8" x14ac:dyDescent="0.3">
      <c r="A6" s="914" t="s">
        <v>1450</v>
      </c>
      <c r="B6" s="915"/>
      <c r="C6" s="493" t="s">
        <v>1431</v>
      </c>
      <c r="D6" s="493" t="s">
        <v>1432</v>
      </c>
      <c r="E6" s="493" t="s">
        <v>1433</v>
      </c>
      <c r="F6" s="494" t="s">
        <v>1434</v>
      </c>
    </row>
    <row r="7" spans="1:7" ht="15" thickBot="1" x14ac:dyDescent="0.35">
      <c r="A7" s="926" t="s">
        <v>1505</v>
      </c>
      <c r="B7" s="917"/>
      <c r="C7" s="495">
        <v>3000000</v>
      </c>
      <c r="D7" s="495">
        <v>3000000</v>
      </c>
      <c r="E7" s="496">
        <v>0</v>
      </c>
      <c r="F7" s="497">
        <v>0</v>
      </c>
    </row>
    <row r="8" spans="1:7" ht="28.8" x14ac:dyDescent="0.3">
      <c r="A8" s="918" t="s">
        <v>1436</v>
      </c>
      <c r="B8" s="919"/>
      <c r="C8" s="498" t="s">
        <v>1437</v>
      </c>
      <c r="D8" s="493" t="s">
        <v>1438</v>
      </c>
      <c r="E8" s="493" t="s">
        <v>1439</v>
      </c>
      <c r="F8" s="494" t="s">
        <v>1434</v>
      </c>
    </row>
    <row r="9" spans="1:7" ht="28.8" x14ac:dyDescent="0.3">
      <c r="A9" s="715" t="s">
        <v>3</v>
      </c>
      <c r="B9" s="517" t="s">
        <v>1506</v>
      </c>
      <c r="C9" s="501">
        <v>3000000</v>
      </c>
      <c r="D9" s="501">
        <v>0</v>
      </c>
      <c r="E9" s="518">
        <v>3000000</v>
      </c>
      <c r="F9" s="504">
        <v>0</v>
      </c>
    </row>
    <row r="10" spans="1:7" ht="22.5" customHeight="1" x14ac:dyDescent="0.3">
      <c r="A10" s="499" t="s">
        <v>4</v>
      </c>
      <c r="B10" s="517" t="s">
        <v>1507</v>
      </c>
      <c r="C10" s="501">
        <v>4620000</v>
      </c>
      <c r="D10" s="501">
        <v>0</v>
      </c>
      <c r="E10" s="518">
        <v>4620000</v>
      </c>
      <c r="F10" s="504">
        <v>0</v>
      </c>
    </row>
    <row r="11" spans="1:7" ht="22.5" customHeight="1" thickBot="1" x14ac:dyDescent="0.35">
      <c r="A11" s="499" t="s">
        <v>5</v>
      </c>
      <c r="B11" s="517" t="s">
        <v>1508</v>
      </c>
      <c r="C11" s="501">
        <v>1143000</v>
      </c>
      <c r="D11" s="501">
        <v>0</v>
      </c>
      <c r="E11" s="518">
        <v>1143000</v>
      </c>
      <c r="F11" s="504">
        <v>0</v>
      </c>
    </row>
    <row r="12" spans="1:7" ht="25.5" customHeight="1" thickBot="1" x14ac:dyDescent="0.35">
      <c r="A12" s="924" t="s">
        <v>1446</v>
      </c>
      <c r="B12" s="925"/>
      <c r="C12" s="529">
        <f>SUM(C9:C11)</f>
        <v>8763000</v>
      </c>
      <c r="D12" s="529">
        <f>SUM(D9:D11)</f>
        <v>0</v>
      </c>
      <c r="E12" s="530">
        <v>8763000</v>
      </c>
      <c r="F12" s="531">
        <v>0</v>
      </c>
      <c r="G12" s="519"/>
    </row>
  </sheetData>
  <mergeCells count="7">
    <mergeCell ref="A12:B12"/>
    <mergeCell ref="A1:F1"/>
    <mergeCell ref="A2:F2"/>
    <mergeCell ref="A3:F3"/>
    <mergeCell ref="A6:B6"/>
    <mergeCell ref="A7:B7"/>
    <mergeCell ref="A8:B8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3" orientation="landscape" verticalDpi="0" r:id="rId1"/>
  <headerFooter>
    <oddHeader>&amp;CDunaharaszti Város Önkormányzata
2018. évi zárszámadás&amp;R&amp;A</oddHeader>
    <oddFooter>&amp;C&amp;P/&amp;N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3"/>
  <sheetViews>
    <sheetView view="pageBreakPreview" zoomScale="87" zoomScaleNormal="100" zoomScaleSheetLayoutView="87" workbookViewId="0">
      <selection activeCell="D23" sqref="D23"/>
    </sheetView>
  </sheetViews>
  <sheetFormatPr defaultRowHeight="14.4" x14ac:dyDescent="0.3"/>
  <cols>
    <col min="1" max="1" width="2.5546875" bestFit="1" customWidth="1"/>
    <col min="2" max="2" width="45.109375" bestFit="1" customWidth="1"/>
    <col min="3" max="3" width="22.109375" customWidth="1"/>
    <col min="4" max="4" width="21.88671875" bestFit="1" customWidth="1"/>
    <col min="5" max="5" width="21.88671875" customWidth="1"/>
    <col min="6" max="6" width="18.33203125" customWidth="1"/>
    <col min="7" max="7" width="14.5546875" bestFit="1" customWidth="1"/>
  </cols>
  <sheetData>
    <row r="1" spans="1:7" ht="18" x14ac:dyDescent="0.35">
      <c r="A1" s="911" t="s">
        <v>1515</v>
      </c>
      <c r="B1" s="911"/>
      <c r="C1" s="911"/>
      <c r="D1" s="911"/>
      <c r="E1" s="911"/>
      <c r="F1" s="911"/>
    </row>
    <row r="2" spans="1:7" x14ac:dyDescent="0.3">
      <c r="A2" s="912" t="s">
        <v>1516</v>
      </c>
      <c r="B2" s="912"/>
      <c r="C2" s="912"/>
      <c r="D2" s="912"/>
      <c r="E2" s="912"/>
      <c r="F2" s="912"/>
    </row>
    <row r="3" spans="1:7" ht="15.6" x14ac:dyDescent="0.3">
      <c r="A3" s="492"/>
      <c r="B3" s="492"/>
      <c r="C3" s="492"/>
      <c r="D3" s="492"/>
      <c r="E3" s="492"/>
      <c r="F3" s="492"/>
    </row>
    <row r="4" spans="1:7" ht="16.2" thickBot="1" x14ac:dyDescent="0.35">
      <c r="B4" s="491"/>
      <c r="C4" s="492"/>
    </row>
    <row r="5" spans="1:7" ht="36.75" customHeight="1" x14ac:dyDescent="0.3">
      <c r="A5" s="914" t="s">
        <v>1517</v>
      </c>
      <c r="B5" s="915"/>
      <c r="C5" s="493" t="s">
        <v>1431</v>
      </c>
      <c r="D5" s="493" t="s">
        <v>1432</v>
      </c>
      <c r="E5" s="493" t="s">
        <v>1433</v>
      </c>
      <c r="F5" s="494" t="s">
        <v>1434</v>
      </c>
    </row>
    <row r="6" spans="1:7" ht="19.5" customHeight="1" thickBot="1" x14ac:dyDescent="0.35">
      <c r="A6" s="926" t="s">
        <v>1435</v>
      </c>
      <c r="B6" s="917"/>
      <c r="C6" s="495">
        <v>150000000</v>
      </c>
      <c r="D6" s="495">
        <v>150000000</v>
      </c>
      <c r="E6" s="496">
        <v>0</v>
      </c>
      <c r="F6" s="497">
        <v>0</v>
      </c>
    </row>
    <row r="7" spans="1:7" ht="28.8" x14ac:dyDescent="0.3">
      <c r="A7" s="918" t="s">
        <v>1436</v>
      </c>
      <c r="B7" s="919"/>
      <c r="C7" s="498" t="s">
        <v>1437</v>
      </c>
      <c r="D7" s="493" t="s">
        <v>1438</v>
      </c>
      <c r="E7" s="493" t="s">
        <v>1439</v>
      </c>
      <c r="F7" s="494" t="s">
        <v>1434</v>
      </c>
    </row>
    <row r="8" spans="1:7" ht="18.75" customHeight="1" x14ac:dyDescent="0.3">
      <c r="A8" s="499" t="s">
        <v>3</v>
      </c>
      <c r="B8" s="517" t="s">
        <v>1518</v>
      </c>
      <c r="C8" s="501">
        <v>13500000</v>
      </c>
      <c r="D8" s="501">
        <v>0</v>
      </c>
      <c r="E8" s="518">
        <v>13500000</v>
      </c>
      <c r="F8" s="504">
        <v>0</v>
      </c>
    </row>
    <row r="9" spans="1:7" ht="18.75" customHeight="1" x14ac:dyDescent="0.3">
      <c r="A9" s="499" t="s">
        <v>4</v>
      </c>
      <c r="B9" s="517" t="s">
        <v>1519</v>
      </c>
      <c r="C9" s="501">
        <v>98500000</v>
      </c>
      <c r="D9" s="501">
        <v>0</v>
      </c>
      <c r="E9" s="518">
        <v>98500000</v>
      </c>
      <c r="F9" s="504">
        <v>0</v>
      </c>
    </row>
    <row r="10" spans="1:7" ht="18.75" customHeight="1" x14ac:dyDescent="0.3">
      <c r="A10" s="499" t="s">
        <v>5</v>
      </c>
      <c r="B10" s="517" t="s">
        <v>1520</v>
      </c>
      <c r="C10" s="501">
        <v>30500000</v>
      </c>
      <c r="D10" s="501">
        <v>0</v>
      </c>
      <c r="E10" s="518">
        <v>30500000</v>
      </c>
      <c r="F10" s="504">
        <v>0</v>
      </c>
    </row>
    <row r="11" spans="1:7" ht="18.75" customHeight="1" x14ac:dyDescent="0.3">
      <c r="A11" s="499" t="s">
        <v>6</v>
      </c>
      <c r="B11" s="517" t="s">
        <v>1521</v>
      </c>
      <c r="C11" s="501">
        <v>3500000</v>
      </c>
      <c r="D11" s="501">
        <v>0</v>
      </c>
      <c r="E11" s="518">
        <v>3500000</v>
      </c>
      <c r="F11" s="504">
        <v>0</v>
      </c>
    </row>
    <row r="12" spans="1:7" ht="18.75" customHeight="1" thickBot="1" x14ac:dyDescent="0.35">
      <c r="A12" s="499" t="s">
        <v>7</v>
      </c>
      <c r="B12" s="517" t="s">
        <v>1522</v>
      </c>
      <c r="C12" s="501">
        <v>4000000</v>
      </c>
      <c r="D12" s="527">
        <v>0</v>
      </c>
      <c r="E12" s="528">
        <v>4000000</v>
      </c>
      <c r="F12" s="504">
        <v>0</v>
      </c>
    </row>
    <row r="13" spans="1:7" ht="20.25" customHeight="1" thickBot="1" x14ac:dyDescent="0.35">
      <c r="A13" s="924" t="s">
        <v>1446</v>
      </c>
      <c r="B13" s="925"/>
      <c r="C13" s="529">
        <f>SUM(C8:C12)</f>
        <v>150000000</v>
      </c>
      <c r="D13" s="529">
        <f>SUM(D8:D12)</f>
        <v>0</v>
      </c>
      <c r="E13" s="530">
        <f>SUM(E8:E12)</f>
        <v>150000000</v>
      </c>
      <c r="F13" s="531">
        <f>SUM(F8:F12)</f>
        <v>0</v>
      </c>
      <c r="G13" s="519"/>
    </row>
  </sheetData>
  <mergeCells count="6">
    <mergeCell ref="A13:B13"/>
    <mergeCell ref="A1:F1"/>
    <mergeCell ref="A2:F2"/>
    <mergeCell ref="A5:B5"/>
    <mergeCell ref="A6:B6"/>
    <mergeCell ref="A7:B7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6" orientation="landscape" verticalDpi="0" r:id="rId1"/>
  <headerFooter>
    <oddHeader>&amp;CDunaharaszti Város Önkormányzata
2018. évi zárszámadás&amp;R&amp;A</oddHeader>
    <oddFooter>&amp;C&amp;P/&amp;N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1"/>
  <sheetViews>
    <sheetView view="pageBreakPreview" zoomScale="60" zoomScaleNormal="100" workbookViewId="0">
      <selection activeCell="G10" sqref="G10"/>
    </sheetView>
  </sheetViews>
  <sheetFormatPr defaultRowHeight="14.4" x14ac:dyDescent="0.3"/>
  <cols>
    <col min="1" max="1" width="2.5546875" bestFit="1" customWidth="1"/>
    <col min="2" max="2" width="54" bestFit="1" customWidth="1"/>
    <col min="3" max="4" width="22.109375" customWidth="1"/>
    <col min="5" max="5" width="21.88671875" customWidth="1"/>
    <col min="6" max="6" width="18.33203125" customWidth="1"/>
    <col min="7" max="7" width="14.5546875" bestFit="1" customWidth="1"/>
  </cols>
  <sheetData>
    <row r="1" spans="1:6" ht="18" x14ac:dyDescent="0.35">
      <c r="A1" s="911" t="s">
        <v>1523</v>
      </c>
      <c r="B1" s="911"/>
      <c r="C1" s="911"/>
      <c r="D1" s="911"/>
      <c r="E1" s="911"/>
      <c r="F1" s="911"/>
    </row>
    <row r="2" spans="1:6" x14ac:dyDescent="0.3">
      <c r="A2" s="912" t="s">
        <v>1524</v>
      </c>
      <c r="B2" s="912"/>
      <c r="C2" s="912"/>
      <c r="D2" s="912"/>
      <c r="E2" s="912"/>
      <c r="F2" s="912"/>
    </row>
    <row r="3" spans="1:6" ht="15.6" x14ac:dyDescent="0.3">
      <c r="A3" s="492"/>
      <c r="B3" s="492"/>
      <c r="C3" s="492"/>
      <c r="D3" s="492"/>
      <c r="E3" s="492"/>
      <c r="F3" s="492"/>
    </row>
    <row r="4" spans="1:6" ht="16.2" thickBot="1" x14ac:dyDescent="0.35">
      <c r="B4" s="491"/>
      <c r="C4" s="492"/>
      <c r="D4" s="492"/>
    </row>
    <row r="5" spans="1:6" ht="34.5" customHeight="1" x14ac:dyDescent="0.3">
      <c r="A5" s="914" t="s">
        <v>1525</v>
      </c>
      <c r="B5" s="915"/>
      <c r="C5" s="493" t="s">
        <v>1431</v>
      </c>
      <c r="D5" s="493" t="s">
        <v>1432</v>
      </c>
      <c r="E5" s="493" t="s">
        <v>1433</v>
      </c>
      <c r="F5" s="494" t="s">
        <v>1434</v>
      </c>
    </row>
    <row r="6" spans="1:6" ht="22.5" customHeight="1" thickBot="1" x14ac:dyDescent="0.35">
      <c r="A6" s="926" t="s">
        <v>1526</v>
      </c>
      <c r="B6" s="917"/>
      <c r="C6" s="495">
        <v>167235060</v>
      </c>
      <c r="D6" s="496">
        <v>0</v>
      </c>
      <c r="E6" s="496">
        <v>125426295</v>
      </c>
      <c r="F6" s="497">
        <f>C6-E6</f>
        <v>41808765</v>
      </c>
    </row>
    <row r="7" spans="1:6" ht="28.8" x14ac:dyDescent="0.3">
      <c r="A7" s="918" t="s">
        <v>1436</v>
      </c>
      <c r="B7" s="919"/>
      <c r="C7" s="498" t="s">
        <v>1437</v>
      </c>
      <c r="D7" s="493" t="s">
        <v>1438</v>
      </c>
      <c r="E7" s="493" t="s">
        <v>1439</v>
      </c>
      <c r="F7" s="494" t="s">
        <v>1434</v>
      </c>
    </row>
    <row r="8" spans="1:6" ht="29.25" customHeight="1" x14ac:dyDescent="0.3">
      <c r="A8" s="927" t="s">
        <v>3</v>
      </c>
      <c r="B8" s="539" t="s">
        <v>1527</v>
      </c>
      <c r="C8" s="540">
        <v>168361667</v>
      </c>
      <c r="D8" s="541"/>
      <c r="E8" s="518">
        <v>29494617</v>
      </c>
      <c r="F8" s="716">
        <f>C8-E8</f>
        <v>138867050</v>
      </c>
    </row>
    <row r="9" spans="1:6" ht="33" customHeight="1" x14ac:dyDescent="0.3">
      <c r="A9" s="928"/>
      <c r="B9" s="539" t="s">
        <v>1528</v>
      </c>
      <c r="C9" s="540">
        <v>6200000</v>
      </c>
      <c r="D9" s="541"/>
      <c r="E9" s="518"/>
      <c r="F9" s="716">
        <f t="shared" ref="F9:F20" si="0">C9-E9</f>
        <v>6200000</v>
      </c>
    </row>
    <row r="10" spans="1:6" ht="32.25" customHeight="1" x14ac:dyDescent="0.3">
      <c r="A10" s="928"/>
      <c r="B10" s="543" t="s">
        <v>1570</v>
      </c>
      <c r="C10" s="540">
        <v>749999</v>
      </c>
      <c r="D10" s="541"/>
      <c r="E10" s="518"/>
      <c r="F10" s="716">
        <f t="shared" si="0"/>
        <v>749999</v>
      </c>
    </row>
    <row r="11" spans="1:6" ht="18" customHeight="1" x14ac:dyDescent="0.3">
      <c r="A11" s="929"/>
      <c r="B11" s="544" t="s">
        <v>1529</v>
      </c>
      <c r="C11" s="540">
        <v>2800000</v>
      </c>
      <c r="D11" s="541"/>
      <c r="E11" s="518"/>
      <c r="F11" s="716">
        <f t="shared" si="0"/>
        <v>2800000</v>
      </c>
    </row>
    <row r="12" spans="1:6" ht="30.75" customHeight="1" x14ac:dyDescent="0.3">
      <c r="A12" s="927" t="s">
        <v>4</v>
      </c>
      <c r="B12" s="539" t="s">
        <v>1530</v>
      </c>
      <c r="C12" s="540">
        <v>2000000</v>
      </c>
      <c r="D12" s="541">
        <v>2538600</v>
      </c>
      <c r="E12" s="518"/>
      <c r="F12" s="716">
        <f>C12-E12-D12</f>
        <v>-538600</v>
      </c>
    </row>
    <row r="13" spans="1:6" ht="18" customHeight="1" x14ac:dyDescent="0.3">
      <c r="A13" s="928"/>
      <c r="B13" s="545" t="s">
        <v>1531</v>
      </c>
      <c r="C13" s="540">
        <v>3378200</v>
      </c>
      <c r="D13" s="541"/>
      <c r="E13" s="518">
        <v>3344701</v>
      </c>
      <c r="F13" s="716">
        <f t="shared" si="0"/>
        <v>33499</v>
      </c>
    </row>
    <row r="14" spans="1:6" ht="18" customHeight="1" x14ac:dyDescent="0.3">
      <c r="A14" s="929"/>
      <c r="B14" s="545" t="s">
        <v>1532</v>
      </c>
      <c r="C14" s="540">
        <v>4000000</v>
      </c>
      <c r="D14" s="541"/>
      <c r="E14" s="518">
        <v>6642100</v>
      </c>
      <c r="F14" s="716">
        <f t="shared" si="0"/>
        <v>-2642100</v>
      </c>
    </row>
    <row r="15" spans="1:6" ht="18" customHeight="1" x14ac:dyDescent="0.3">
      <c r="A15" s="499" t="s">
        <v>5</v>
      </c>
      <c r="B15" s="545" t="s">
        <v>1533</v>
      </c>
      <c r="C15" s="540">
        <v>1968280</v>
      </c>
      <c r="D15" s="541"/>
      <c r="E15" s="518">
        <v>1243000</v>
      </c>
      <c r="F15" s="716">
        <f t="shared" si="0"/>
        <v>725280</v>
      </c>
    </row>
    <row r="16" spans="1:6" ht="18" customHeight="1" x14ac:dyDescent="0.3">
      <c r="A16" s="499" t="s">
        <v>6</v>
      </c>
      <c r="B16" s="545" t="s">
        <v>1534</v>
      </c>
      <c r="C16" s="540">
        <v>1968280</v>
      </c>
      <c r="D16" s="541"/>
      <c r="E16" s="518">
        <v>1968280</v>
      </c>
      <c r="F16" s="716">
        <f t="shared" si="0"/>
        <v>0</v>
      </c>
    </row>
    <row r="17" spans="1:7" ht="18" customHeight="1" x14ac:dyDescent="0.3">
      <c r="A17" s="499" t="s">
        <v>7</v>
      </c>
      <c r="B17" s="545" t="s">
        <v>1535</v>
      </c>
      <c r="C17" s="540">
        <v>4920703</v>
      </c>
      <c r="D17" s="541"/>
      <c r="E17" s="518"/>
      <c r="F17" s="716">
        <f t="shared" si="0"/>
        <v>4920703</v>
      </c>
    </row>
    <row r="18" spans="1:7" ht="18" customHeight="1" x14ac:dyDescent="0.3">
      <c r="A18" s="927" t="s">
        <v>8</v>
      </c>
      <c r="B18" s="545" t="s">
        <v>1536</v>
      </c>
      <c r="C18" s="540">
        <v>63500</v>
      </c>
      <c r="D18" s="541"/>
      <c r="E18" s="518">
        <v>30000</v>
      </c>
      <c r="F18" s="716">
        <f t="shared" si="0"/>
        <v>33500</v>
      </c>
    </row>
    <row r="19" spans="1:7" ht="18" customHeight="1" x14ac:dyDescent="0.3">
      <c r="A19" s="928"/>
      <c r="B19" s="545" t="s">
        <v>1537</v>
      </c>
      <c r="C19" s="540">
        <v>19000</v>
      </c>
      <c r="D19" s="541"/>
      <c r="E19" s="518"/>
      <c r="F19" s="716">
        <f t="shared" si="0"/>
        <v>19000</v>
      </c>
    </row>
    <row r="20" spans="1:7" ht="18" customHeight="1" thickBot="1" x14ac:dyDescent="0.35">
      <c r="A20" s="930"/>
      <c r="B20" s="545" t="s">
        <v>1538</v>
      </c>
      <c r="C20" s="540">
        <v>317500</v>
      </c>
      <c r="D20" s="541"/>
      <c r="E20" s="518"/>
      <c r="F20" s="716">
        <f t="shared" si="0"/>
        <v>317500</v>
      </c>
    </row>
    <row r="21" spans="1:7" ht="28.5" customHeight="1" thickBot="1" x14ac:dyDescent="0.35">
      <c r="A21" s="924" t="s">
        <v>1446</v>
      </c>
      <c r="B21" s="925"/>
      <c r="C21" s="546">
        <f>SUM(C8:C20)</f>
        <v>196747129</v>
      </c>
      <c r="D21" s="530">
        <f>SUM(D8:D20)</f>
        <v>2538600</v>
      </c>
      <c r="E21" s="530">
        <f>SUM(E8:E20)</f>
        <v>42722698</v>
      </c>
      <c r="F21" s="717">
        <f>SUM(F8:F20)</f>
        <v>151485831</v>
      </c>
      <c r="G21" s="519"/>
    </row>
  </sheetData>
  <mergeCells count="9">
    <mergeCell ref="A12:A14"/>
    <mergeCell ref="A18:A20"/>
    <mergeCell ref="A21:B21"/>
    <mergeCell ref="A1:F1"/>
    <mergeCell ref="A2:F2"/>
    <mergeCell ref="A5:B5"/>
    <mergeCell ref="A6:B6"/>
    <mergeCell ref="A7:B7"/>
    <mergeCell ref="A8:A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verticalDpi="0" r:id="rId1"/>
  <headerFooter>
    <oddHeader>&amp;CDunaharaszti Város Önkormányzata
2018. évi zárszámadás&amp;R&amp;A</oddHeader>
    <oddFooter>&amp;C&amp;P/&amp;N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4"/>
  <sheetViews>
    <sheetView view="pageBreakPreview" zoomScale="84" zoomScaleNormal="100" zoomScaleSheetLayoutView="84" workbookViewId="0">
      <selection activeCell="D8" sqref="D8"/>
    </sheetView>
  </sheetViews>
  <sheetFormatPr defaultRowHeight="14.4" x14ac:dyDescent="0.3"/>
  <cols>
    <col min="1" max="1" width="2.5546875" bestFit="1" customWidth="1"/>
    <col min="2" max="2" width="56.88671875" customWidth="1"/>
    <col min="3" max="3" width="22.109375" customWidth="1"/>
    <col min="4" max="4" width="21.88671875" customWidth="1"/>
    <col min="5" max="5" width="18.33203125" customWidth="1"/>
    <col min="6" max="6" width="14.5546875" bestFit="1" customWidth="1"/>
  </cols>
  <sheetData>
    <row r="1" spans="1:6" ht="18" x14ac:dyDescent="0.35">
      <c r="A1" s="911" t="s">
        <v>1539</v>
      </c>
      <c r="B1" s="911"/>
      <c r="C1" s="911"/>
      <c r="D1" s="911"/>
      <c r="E1" s="911"/>
    </row>
    <row r="2" spans="1:6" x14ac:dyDescent="0.3">
      <c r="A2" s="912" t="s">
        <v>1540</v>
      </c>
      <c r="B2" s="912"/>
      <c r="C2" s="912"/>
      <c r="D2" s="912"/>
      <c r="E2" s="912"/>
    </row>
    <row r="4" spans="1:6" ht="16.2" thickBot="1" x14ac:dyDescent="0.35">
      <c r="B4" s="491"/>
      <c r="C4" s="492"/>
    </row>
    <row r="5" spans="1:6" ht="36.75" customHeight="1" x14ac:dyDescent="0.3">
      <c r="A5" s="914" t="s">
        <v>1525</v>
      </c>
      <c r="B5" s="915"/>
      <c r="C5" s="493" t="s">
        <v>1431</v>
      </c>
      <c r="D5" s="493" t="s">
        <v>1433</v>
      </c>
      <c r="E5" s="494" t="s">
        <v>1434</v>
      </c>
    </row>
    <row r="6" spans="1:6" ht="22.5" customHeight="1" thickBot="1" x14ac:dyDescent="0.35">
      <c r="A6" s="926" t="s">
        <v>1526</v>
      </c>
      <c r="B6" s="917"/>
      <c r="C6" s="495">
        <v>294598883</v>
      </c>
      <c r="D6" s="496">
        <v>220949160</v>
      </c>
      <c r="E6" s="497">
        <f>C6-D6</f>
        <v>73649723</v>
      </c>
    </row>
    <row r="7" spans="1:6" ht="28.8" x14ac:dyDescent="0.3">
      <c r="A7" s="918" t="s">
        <v>1436</v>
      </c>
      <c r="B7" s="919"/>
      <c r="C7" s="498" t="s">
        <v>1437</v>
      </c>
      <c r="D7" s="493" t="s">
        <v>1439</v>
      </c>
      <c r="E7" s="494" t="s">
        <v>1434</v>
      </c>
    </row>
    <row r="8" spans="1:6" ht="33" customHeight="1" x14ac:dyDescent="0.3">
      <c r="A8" s="548" t="s">
        <v>3</v>
      </c>
      <c r="B8" s="549" t="s">
        <v>1541</v>
      </c>
      <c r="C8" s="718">
        <v>327478361</v>
      </c>
      <c r="D8" s="719">
        <v>81333782</v>
      </c>
      <c r="E8" s="716">
        <f>C8-D8</f>
        <v>246144579</v>
      </c>
    </row>
    <row r="9" spans="1:6" ht="28.8" x14ac:dyDescent="0.3">
      <c r="A9" s="548" t="s">
        <v>4</v>
      </c>
      <c r="B9" s="550" t="s">
        <v>1542</v>
      </c>
      <c r="C9" s="720">
        <f>6809560+1200000</f>
        <v>8009560</v>
      </c>
      <c r="D9" s="719">
        <v>6757177</v>
      </c>
      <c r="E9" s="716">
        <f t="shared" ref="E9:E13" si="0">C9-D9</f>
        <v>1252383</v>
      </c>
    </row>
    <row r="10" spans="1:6" ht="23.25" customHeight="1" x14ac:dyDescent="0.3">
      <c r="A10" s="548" t="s">
        <v>5</v>
      </c>
      <c r="B10" s="551" t="s">
        <v>1533</v>
      </c>
      <c r="C10" s="720">
        <v>1270000</v>
      </c>
      <c r="D10" s="719">
        <v>862000</v>
      </c>
      <c r="E10" s="716">
        <f t="shared" si="0"/>
        <v>408000</v>
      </c>
    </row>
    <row r="11" spans="1:6" ht="23.25" customHeight="1" x14ac:dyDescent="0.3">
      <c r="A11" s="548" t="s">
        <v>6</v>
      </c>
      <c r="B11" s="552" t="s">
        <v>1534</v>
      </c>
      <c r="C11" s="718">
        <v>3429000</v>
      </c>
      <c r="D11" s="719"/>
      <c r="E11" s="716">
        <f t="shared" si="0"/>
        <v>3429000</v>
      </c>
    </row>
    <row r="12" spans="1:6" ht="23.25" customHeight="1" x14ac:dyDescent="0.3">
      <c r="A12" s="548" t="s">
        <v>7</v>
      </c>
      <c r="B12" s="552" t="s">
        <v>1543</v>
      </c>
      <c r="C12" s="718">
        <v>6000000</v>
      </c>
      <c r="D12" s="719"/>
      <c r="E12" s="716">
        <f t="shared" si="0"/>
        <v>6000000</v>
      </c>
    </row>
    <row r="13" spans="1:6" ht="23.25" customHeight="1" thickBot="1" x14ac:dyDescent="0.35">
      <c r="A13" s="548" t="s">
        <v>8</v>
      </c>
      <c r="B13" s="552" t="s">
        <v>1536</v>
      </c>
      <c r="C13" s="718">
        <v>400000</v>
      </c>
      <c r="D13" s="719"/>
      <c r="E13" s="716">
        <f t="shared" si="0"/>
        <v>400000</v>
      </c>
    </row>
    <row r="14" spans="1:6" ht="24.75" customHeight="1" thickBot="1" x14ac:dyDescent="0.35">
      <c r="A14" s="924" t="s">
        <v>1446</v>
      </c>
      <c r="B14" s="925"/>
      <c r="C14" s="721">
        <f>SUM(C8:C13)</f>
        <v>346586921</v>
      </c>
      <c r="D14" s="722">
        <f>SUM(D8:D13)</f>
        <v>88952959</v>
      </c>
      <c r="E14" s="717">
        <f>SUM(E8:E13)</f>
        <v>257633962</v>
      </c>
      <c r="F14" s="519"/>
    </row>
  </sheetData>
  <mergeCells count="6">
    <mergeCell ref="A14:B14"/>
    <mergeCell ref="A1:E1"/>
    <mergeCell ref="A2:E2"/>
    <mergeCell ref="A5:B5"/>
    <mergeCell ref="A6:B6"/>
    <mergeCell ref="A7:B7"/>
  </mergeCells>
  <printOptions horizontalCentered="1"/>
  <pageMargins left="0.70866141732283472" right="0.70866141732283472" top="1.1417322834645669" bottom="0.74803149606299213" header="0.31496062992125984" footer="0.31496062992125984"/>
  <pageSetup paperSize="9" scale="72" orientation="landscape" verticalDpi="0" r:id="rId1"/>
  <headerFooter>
    <oddHeader>&amp;CDunaharaszti Város Önkormányzata
2018. évi zárszámadás&amp;R&amp;A</oddHeader>
    <oddFooter>&amp;C&amp;P/&amp;N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"/>
  <sheetViews>
    <sheetView view="pageBreakPreview" zoomScale="91" zoomScaleNormal="100" zoomScaleSheetLayoutView="91" workbookViewId="0">
      <selection activeCell="F22" sqref="F22"/>
    </sheetView>
  </sheetViews>
  <sheetFormatPr defaultRowHeight="14.4" x14ac:dyDescent="0.3"/>
  <cols>
    <col min="1" max="1" width="2.5546875" bestFit="1" customWidth="1"/>
    <col min="2" max="2" width="54" bestFit="1" customWidth="1"/>
    <col min="3" max="3" width="22.109375" customWidth="1"/>
    <col min="4" max="4" width="21.88671875" customWidth="1"/>
    <col min="5" max="5" width="18.33203125" customWidth="1"/>
    <col min="6" max="6" width="14.5546875" bestFit="1" customWidth="1"/>
  </cols>
  <sheetData>
    <row r="1" spans="1:6" ht="18" x14ac:dyDescent="0.35">
      <c r="A1" s="911" t="s">
        <v>1544</v>
      </c>
      <c r="B1" s="911"/>
      <c r="C1" s="911"/>
      <c r="D1" s="911"/>
      <c r="E1" s="911"/>
    </row>
    <row r="2" spans="1:6" x14ac:dyDescent="0.3">
      <c r="A2" s="912" t="s">
        <v>1545</v>
      </c>
      <c r="B2" s="912"/>
      <c r="C2" s="912"/>
      <c r="D2" s="912"/>
      <c r="E2" s="912"/>
    </row>
    <row r="4" spans="1:6" ht="16.2" thickBot="1" x14ac:dyDescent="0.35">
      <c r="B4" s="491"/>
      <c r="C4" s="492"/>
    </row>
    <row r="5" spans="1:6" ht="39.75" customHeight="1" x14ac:dyDescent="0.3">
      <c r="A5" s="914" t="s">
        <v>1525</v>
      </c>
      <c r="B5" s="915"/>
      <c r="C5" s="493" t="s">
        <v>1431</v>
      </c>
      <c r="D5" s="493" t="s">
        <v>1433</v>
      </c>
      <c r="E5" s="494" t="s">
        <v>1434</v>
      </c>
    </row>
    <row r="6" spans="1:6" ht="15" thickBot="1" x14ac:dyDescent="0.35">
      <c r="A6" s="926" t="s">
        <v>1546</v>
      </c>
      <c r="B6" s="917"/>
      <c r="C6" s="495">
        <v>44029765</v>
      </c>
      <c r="D6" s="496">
        <v>24216370</v>
      </c>
      <c r="E6" s="497">
        <f>C6-D6</f>
        <v>19813395</v>
      </c>
    </row>
    <row r="7" spans="1:6" ht="28.8" x14ac:dyDescent="0.3">
      <c r="A7" s="918" t="s">
        <v>1436</v>
      </c>
      <c r="B7" s="919"/>
      <c r="C7" s="498" t="s">
        <v>1437</v>
      </c>
      <c r="D7" s="493" t="s">
        <v>1439</v>
      </c>
      <c r="E7" s="494" t="s">
        <v>1434</v>
      </c>
    </row>
    <row r="8" spans="1:6" ht="28.8" x14ac:dyDescent="0.3">
      <c r="A8" s="548" t="s">
        <v>3</v>
      </c>
      <c r="B8" s="539" t="s">
        <v>1547</v>
      </c>
      <c r="C8" s="540">
        <v>47976715</v>
      </c>
      <c r="D8" s="553">
        <v>0</v>
      </c>
      <c r="E8" s="554">
        <f>C8-D8</f>
        <v>47976715</v>
      </c>
    </row>
    <row r="9" spans="1:6" ht="22.5" customHeight="1" x14ac:dyDescent="0.3">
      <c r="A9" s="548" t="s">
        <v>4</v>
      </c>
      <c r="B9" s="539" t="s">
        <v>1548</v>
      </c>
      <c r="C9" s="540">
        <v>8620760</v>
      </c>
      <c r="D9" s="553">
        <v>0</v>
      </c>
      <c r="E9" s="554">
        <f t="shared" ref="E9:E15" si="0">C9-D9</f>
        <v>8620760</v>
      </c>
    </row>
    <row r="10" spans="1:6" ht="28.8" x14ac:dyDescent="0.3">
      <c r="A10" s="548" t="s">
        <v>5</v>
      </c>
      <c r="B10" s="543" t="s">
        <v>1549</v>
      </c>
      <c r="C10" s="540">
        <v>959880</v>
      </c>
      <c r="D10" s="553">
        <v>0</v>
      </c>
      <c r="E10" s="554">
        <f t="shared" si="0"/>
        <v>959880</v>
      </c>
    </row>
    <row r="11" spans="1:6" ht="57.6" x14ac:dyDescent="0.3">
      <c r="A11" s="548" t="s">
        <v>6</v>
      </c>
      <c r="B11" s="539" t="s">
        <v>1550</v>
      </c>
      <c r="C11" s="540">
        <v>2727310</v>
      </c>
      <c r="D11" s="553">
        <v>1118356</v>
      </c>
      <c r="E11" s="554">
        <f t="shared" si="0"/>
        <v>1608954</v>
      </c>
    </row>
    <row r="12" spans="1:6" ht="28.8" x14ac:dyDescent="0.3">
      <c r="A12" s="548" t="s">
        <v>7</v>
      </c>
      <c r="B12" s="539" t="s">
        <v>1551</v>
      </c>
      <c r="C12" s="540">
        <v>450000</v>
      </c>
      <c r="D12" s="553">
        <v>0</v>
      </c>
      <c r="E12" s="554">
        <f t="shared" si="0"/>
        <v>450000</v>
      </c>
    </row>
    <row r="13" spans="1:6" ht="19.5" customHeight="1" x14ac:dyDescent="0.3">
      <c r="A13" s="548" t="s">
        <v>8</v>
      </c>
      <c r="B13" s="545" t="s">
        <v>1534</v>
      </c>
      <c r="C13" s="540">
        <v>470000</v>
      </c>
      <c r="D13" s="553">
        <v>0</v>
      </c>
      <c r="E13" s="554">
        <f t="shared" si="0"/>
        <v>470000</v>
      </c>
    </row>
    <row r="14" spans="1:6" ht="19.5" customHeight="1" x14ac:dyDescent="0.3">
      <c r="A14" s="548" t="s">
        <v>9</v>
      </c>
      <c r="B14" s="545" t="s">
        <v>1535</v>
      </c>
      <c r="C14" s="540">
        <v>1400000</v>
      </c>
      <c r="D14" s="555">
        <v>0</v>
      </c>
      <c r="E14" s="554">
        <f t="shared" si="0"/>
        <v>1400000</v>
      </c>
    </row>
    <row r="15" spans="1:6" ht="29.4" thickBot="1" x14ac:dyDescent="0.35">
      <c r="A15" s="548" t="s">
        <v>23</v>
      </c>
      <c r="B15" s="539" t="s">
        <v>1552</v>
      </c>
      <c r="C15" s="540">
        <v>295000</v>
      </c>
      <c r="D15" s="556">
        <v>0</v>
      </c>
      <c r="E15" s="554">
        <f t="shared" si="0"/>
        <v>295000</v>
      </c>
    </row>
    <row r="16" spans="1:6" ht="21.75" customHeight="1" thickBot="1" x14ac:dyDescent="0.35">
      <c r="A16" s="924" t="s">
        <v>1446</v>
      </c>
      <c r="B16" s="925"/>
      <c r="C16" s="557">
        <f>SUM(C8:C15)</f>
        <v>62899665</v>
      </c>
      <c r="D16" s="557">
        <f t="shared" ref="D16:E16" si="1">SUM(D8:D15)</f>
        <v>1118356</v>
      </c>
      <c r="E16" s="723">
        <f t="shared" si="1"/>
        <v>61781309</v>
      </c>
      <c r="F16" s="526"/>
    </row>
  </sheetData>
  <mergeCells count="6">
    <mergeCell ref="A16:B16"/>
    <mergeCell ref="A1:E1"/>
    <mergeCell ref="A2:E2"/>
    <mergeCell ref="A5:B5"/>
    <mergeCell ref="A6:B6"/>
    <mergeCell ref="A7:B7"/>
  </mergeCells>
  <printOptions horizontalCentered="1"/>
  <pageMargins left="0.70866141732283472" right="0.70866141732283472" top="1.1417322834645669" bottom="0.74803149606299213" header="0.31496062992125984" footer="0.31496062992125984"/>
  <pageSetup paperSize="9" scale="73" orientation="landscape" verticalDpi="0" r:id="rId1"/>
  <headerFooter>
    <oddHeader>&amp;CDunaharaszti Város Önkormányzata
2018. évi zárszámadás&amp;R&amp;A</oddHeader>
    <oddFooter>&amp;C&amp;P/&amp;N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7"/>
  <sheetViews>
    <sheetView view="pageBreakPreview" zoomScale="91" zoomScaleNormal="100" zoomScaleSheetLayoutView="91" workbookViewId="0">
      <selection activeCell="A4" sqref="A4:XFD5"/>
    </sheetView>
  </sheetViews>
  <sheetFormatPr defaultRowHeight="14.4" x14ac:dyDescent="0.3"/>
  <cols>
    <col min="1" max="1" width="2.5546875" bestFit="1" customWidth="1"/>
    <col min="2" max="2" width="54" bestFit="1" customWidth="1"/>
    <col min="3" max="3" width="22.109375" customWidth="1"/>
    <col min="4" max="4" width="21.88671875" customWidth="1"/>
    <col min="5" max="5" width="18.33203125" customWidth="1"/>
    <col min="6" max="6" width="14.5546875" bestFit="1" customWidth="1"/>
  </cols>
  <sheetData>
    <row r="1" spans="1:5" ht="18" x14ac:dyDescent="0.35">
      <c r="A1" s="911" t="s">
        <v>1553</v>
      </c>
      <c r="B1" s="911"/>
      <c r="C1" s="911"/>
      <c r="D1" s="911"/>
      <c r="E1" s="911"/>
    </row>
    <row r="2" spans="1:5" x14ac:dyDescent="0.3">
      <c r="A2" s="912" t="s">
        <v>1554</v>
      </c>
      <c r="B2" s="912"/>
      <c r="C2" s="912"/>
      <c r="D2" s="912"/>
      <c r="E2" s="912"/>
    </row>
    <row r="3" spans="1:5" ht="15.6" x14ac:dyDescent="0.3">
      <c r="A3" s="492"/>
      <c r="B3" s="492"/>
      <c r="C3" s="492"/>
      <c r="D3" s="492"/>
      <c r="E3" s="492"/>
    </row>
    <row r="4" spans="1:5" ht="16.2" thickBot="1" x14ac:dyDescent="0.35">
      <c r="B4" s="491"/>
      <c r="C4" s="492"/>
    </row>
    <row r="5" spans="1:5" ht="28.8" x14ac:dyDescent="0.3">
      <c r="A5" s="914" t="s">
        <v>1525</v>
      </c>
      <c r="B5" s="915"/>
      <c r="C5" s="493" t="s">
        <v>1431</v>
      </c>
      <c r="D5" s="493" t="s">
        <v>1433</v>
      </c>
      <c r="E5" s="494" t="s">
        <v>1434</v>
      </c>
    </row>
    <row r="6" spans="1:5" ht="15" thickBot="1" x14ac:dyDescent="0.35">
      <c r="A6" s="926" t="s">
        <v>1555</v>
      </c>
      <c r="B6" s="917"/>
      <c r="C6" s="495">
        <v>93094080</v>
      </c>
      <c r="D6" s="496">
        <v>0</v>
      </c>
      <c r="E6" s="497">
        <f>C6-D6</f>
        <v>93094080</v>
      </c>
    </row>
    <row r="7" spans="1:5" ht="28.8" x14ac:dyDescent="0.3">
      <c r="A7" s="918" t="s">
        <v>1436</v>
      </c>
      <c r="B7" s="919"/>
      <c r="C7" s="498" t="s">
        <v>1437</v>
      </c>
      <c r="D7" s="493" t="s">
        <v>1439</v>
      </c>
      <c r="E7" s="494" t="s">
        <v>1434</v>
      </c>
    </row>
    <row r="8" spans="1:5" ht="28.8" x14ac:dyDescent="0.3">
      <c r="A8" s="548" t="s">
        <v>3</v>
      </c>
      <c r="B8" s="539" t="s">
        <v>1556</v>
      </c>
      <c r="C8" s="540">
        <v>143538928</v>
      </c>
      <c r="D8" s="518">
        <v>0</v>
      </c>
      <c r="E8" s="542">
        <f>C8-D8</f>
        <v>143538928</v>
      </c>
    </row>
    <row r="9" spans="1:5" ht="28.8" x14ac:dyDescent="0.3">
      <c r="A9" s="548" t="s">
        <v>4</v>
      </c>
      <c r="B9" s="539" t="s">
        <v>1557</v>
      </c>
      <c r="C9" s="540">
        <v>3240176</v>
      </c>
      <c r="D9" s="518">
        <v>0</v>
      </c>
      <c r="E9" s="542">
        <f t="shared" ref="E9:E16" si="0">C9-D9</f>
        <v>3240176</v>
      </c>
    </row>
    <row r="10" spans="1:5" ht="28.8" x14ac:dyDescent="0.3">
      <c r="A10" s="548" t="s">
        <v>5</v>
      </c>
      <c r="B10" s="539" t="s">
        <v>1558</v>
      </c>
      <c r="C10" s="540">
        <v>812800</v>
      </c>
      <c r="D10" s="518">
        <v>0</v>
      </c>
      <c r="E10" s="542">
        <f t="shared" si="0"/>
        <v>812800</v>
      </c>
    </row>
    <row r="11" spans="1:5" ht="16.5" customHeight="1" x14ac:dyDescent="0.3">
      <c r="A11" s="548" t="s">
        <v>6</v>
      </c>
      <c r="B11" s="539" t="s">
        <v>1559</v>
      </c>
      <c r="C11" s="540">
        <v>228600</v>
      </c>
      <c r="D11" s="518">
        <v>0</v>
      </c>
      <c r="E11" s="542">
        <f t="shared" si="0"/>
        <v>228600</v>
      </c>
    </row>
    <row r="12" spans="1:5" ht="43.2" x14ac:dyDescent="0.3">
      <c r="A12" s="548" t="s">
        <v>7</v>
      </c>
      <c r="B12" s="539" t="s">
        <v>1560</v>
      </c>
      <c r="C12" s="540">
        <v>3029114</v>
      </c>
      <c r="D12" s="518">
        <v>0</v>
      </c>
      <c r="E12" s="542">
        <f t="shared" si="0"/>
        <v>3029114</v>
      </c>
    </row>
    <row r="13" spans="1:5" ht="28.8" x14ac:dyDescent="0.3">
      <c r="A13" s="548" t="s">
        <v>8</v>
      </c>
      <c r="B13" s="539" t="s">
        <v>1551</v>
      </c>
      <c r="C13" s="540">
        <v>1562100</v>
      </c>
      <c r="D13" s="518">
        <v>762000</v>
      </c>
      <c r="E13" s="542">
        <f t="shared" si="0"/>
        <v>800100</v>
      </c>
    </row>
    <row r="14" spans="1:5" x14ac:dyDescent="0.3">
      <c r="A14" s="548" t="s">
        <v>9</v>
      </c>
      <c r="B14" s="545" t="s">
        <v>1534</v>
      </c>
      <c r="C14" s="540">
        <v>1562100</v>
      </c>
      <c r="D14" s="518">
        <v>0</v>
      </c>
      <c r="E14" s="542">
        <f t="shared" si="0"/>
        <v>1562100</v>
      </c>
    </row>
    <row r="15" spans="1:5" x14ac:dyDescent="0.3">
      <c r="A15" s="548" t="s">
        <v>23</v>
      </c>
      <c r="B15" s="545" t="s">
        <v>1535</v>
      </c>
      <c r="C15" s="540">
        <v>2720262</v>
      </c>
      <c r="D15" s="518">
        <v>0</v>
      </c>
      <c r="E15" s="542">
        <f t="shared" si="0"/>
        <v>2720262</v>
      </c>
    </row>
    <row r="16" spans="1:5" ht="29.4" thickBot="1" x14ac:dyDescent="0.35">
      <c r="A16" s="548" t="s">
        <v>25</v>
      </c>
      <c r="B16" s="539" t="s">
        <v>1561</v>
      </c>
      <c r="C16" s="540">
        <v>400000</v>
      </c>
      <c r="D16" s="518">
        <v>0</v>
      </c>
      <c r="E16" s="542">
        <f t="shared" si="0"/>
        <v>400000</v>
      </c>
    </row>
    <row r="17" spans="1:6" ht="15" thickBot="1" x14ac:dyDescent="0.35">
      <c r="A17" s="924" t="s">
        <v>1446</v>
      </c>
      <c r="B17" s="925"/>
      <c r="C17" s="546">
        <f>SUM(C8:C16)</f>
        <v>157094080</v>
      </c>
      <c r="D17" s="530">
        <f>SUM(D8:D16)</f>
        <v>762000</v>
      </c>
      <c r="E17" s="547">
        <f>SUM(E8:E16)</f>
        <v>156332080</v>
      </c>
      <c r="F17" s="519"/>
    </row>
  </sheetData>
  <mergeCells count="6">
    <mergeCell ref="A17:B17"/>
    <mergeCell ref="A1:E1"/>
    <mergeCell ref="A2:E2"/>
    <mergeCell ref="A5:B5"/>
    <mergeCell ref="A6:B6"/>
    <mergeCell ref="A7:B7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verticalDpi="0" r:id="rId1"/>
  <headerFooter>
    <oddHeader>&amp;CDunaharaszti Város Önkormányzata
2018. évi zárszámadás&amp;R&amp;A</oddHeader>
    <oddFooter>&amp;C&amp;P/&amp;N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1"/>
  <sheetViews>
    <sheetView view="pageBreakPreview" zoomScale="89" zoomScaleNormal="100" zoomScaleSheetLayoutView="89" workbookViewId="0">
      <selection activeCell="D3" sqref="D3"/>
    </sheetView>
  </sheetViews>
  <sheetFormatPr defaultRowHeight="14.4" x14ac:dyDescent="0.3"/>
  <cols>
    <col min="1" max="1" width="2.5546875" bestFit="1" customWidth="1"/>
    <col min="2" max="2" width="45.109375" bestFit="1" customWidth="1"/>
    <col min="3" max="3" width="21.33203125" customWidth="1"/>
    <col min="4" max="4" width="21.88671875" customWidth="1"/>
    <col min="5" max="5" width="18.33203125" customWidth="1"/>
    <col min="6" max="6" width="14.5546875" bestFit="1" customWidth="1"/>
  </cols>
  <sheetData>
    <row r="1" spans="1:6" ht="18" x14ac:dyDescent="0.35">
      <c r="A1" s="911" t="s">
        <v>1562</v>
      </c>
      <c r="B1" s="911"/>
      <c r="C1" s="911"/>
      <c r="D1" s="911"/>
      <c r="E1" s="911"/>
    </row>
    <row r="2" spans="1:6" x14ac:dyDescent="0.3">
      <c r="A2" s="912" t="s">
        <v>1563</v>
      </c>
      <c r="B2" s="912"/>
      <c r="C2" s="912"/>
      <c r="D2" s="912"/>
      <c r="E2" s="912"/>
    </row>
    <row r="3" spans="1:6" ht="15.6" x14ac:dyDescent="0.3">
      <c r="A3" s="492"/>
      <c r="B3" s="492"/>
      <c r="C3" s="492"/>
      <c r="D3" s="492"/>
      <c r="E3" s="492"/>
    </row>
    <row r="4" spans="1:6" ht="16.2" thickBot="1" x14ac:dyDescent="0.35">
      <c r="B4" s="491"/>
      <c r="C4" s="492"/>
    </row>
    <row r="5" spans="1:6" ht="35.25" customHeight="1" x14ac:dyDescent="0.3">
      <c r="A5" s="914" t="s">
        <v>1517</v>
      </c>
      <c r="B5" s="915"/>
      <c r="C5" s="493" t="s">
        <v>1431</v>
      </c>
      <c r="D5" s="493" t="s">
        <v>1433</v>
      </c>
      <c r="E5" s="494" t="s">
        <v>1434</v>
      </c>
    </row>
    <row r="6" spans="1:6" ht="27" customHeight="1" thickBot="1" x14ac:dyDescent="0.35">
      <c r="A6" s="926" t="s">
        <v>1435</v>
      </c>
      <c r="B6" s="917"/>
      <c r="C6" s="495">
        <v>3322756</v>
      </c>
      <c r="D6" s="496">
        <v>3322756</v>
      </c>
      <c r="E6" s="497">
        <v>0</v>
      </c>
    </row>
    <row r="7" spans="1:6" ht="28.8" x14ac:dyDescent="0.3">
      <c r="A7" s="918" t="s">
        <v>1436</v>
      </c>
      <c r="B7" s="919"/>
      <c r="C7" s="498" t="s">
        <v>1437</v>
      </c>
      <c r="D7" s="493" t="s">
        <v>1439</v>
      </c>
      <c r="E7" s="494" t="s">
        <v>1434</v>
      </c>
    </row>
    <row r="8" spans="1:6" ht="21.75" customHeight="1" x14ac:dyDescent="0.3">
      <c r="A8" s="499" t="s">
        <v>3</v>
      </c>
      <c r="B8" s="517" t="s">
        <v>1564</v>
      </c>
      <c r="C8" s="518">
        <v>8276</v>
      </c>
      <c r="D8" s="518">
        <v>0</v>
      </c>
      <c r="E8" s="504">
        <f>C8-D8</f>
        <v>8276</v>
      </c>
    </row>
    <row r="9" spans="1:6" ht="21.75" customHeight="1" x14ac:dyDescent="0.3">
      <c r="A9" s="499" t="s">
        <v>4</v>
      </c>
      <c r="B9" s="517" t="s">
        <v>1565</v>
      </c>
      <c r="C9" s="518">
        <v>3175000</v>
      </c>
      <c r="D9" s="518">
        <v>0</v>
      </c>
      <c r="E9" s="504">
        <f t="shared" ref="E9:E10" si="0">C9-D9</f>
        <v>3175000</v>
      </c>
    </row>
    <row r="10" spans="1:6" ht="21.75" customHeight="1" thickBot="1" x14ac:dyDescent="0.35">
      <c r="A10" s="499" t="s">
        <v>5</v>
      </c>
      <c r="B10" s="517" t="s">
        <v>1566</v>
      </c>
      <c r="C10" s="518">
        <v>139480</v>
      </c>
      <c r="D10" s="518">
        <v>0</v>
      </c>
      <c r="E10" s="504">
        <f t="shared" si="0"/>
        <v>139480</v>
      </c>
    </row>
    <row r="11" spans="1:6" ht="24" customHeight="1" thickBot="1" x14ac:dyDescent="0.35">
      <c r="A11" s="924" t="s">
        <v>1446</v>
      </c>
      <c r="B11" s="925"/>
      <c r="C11" s="529">
        <f>SUM(C8:C10)</f>
        <v>3322756</v>
      </c>
      <c r="D11" s="530">
        <f>SUM(D8:D10)</f>
        <v>0</v>
      </c>
      <c r="E11" s="529">
        <f>SUM(E8:E10)</f>
        <v>3322756</v>
      </c>
      <c r="F11" s="519"/>
    </row>
  </sheetData>
  <mergeCells count="6">
    <mergeCell ref="A11:B11"/>
    <mergeCell ref="A1:E1"/>
    <mergeCell ref="A2:E2"/>
    <mergeCell ref="A5:B5"/>
    <mergeCell ref="A6:B6"/>
    <mergeCell ref="A7:B7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0" orientation="portrait" verticalDpi="0" r:id="rId1"/>
  <headerFooter>
    <oddHeader>&amp;CDunaharaszti Város Önkormányzata
2018. évi zárszámadás&amp;R&amp;A</oddHeader>
    <oddFooter>&amp;C&amp;P/&amp;N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view="pageBreakPreview" zoomScale="87" zoomScaleNormal="100" zoomScaleSheetLayoutView="87" workbookViewId="0">
      <selection activeCell="D6" sqref="D6"/>
    </sheetView>
  </sheetViews>
  <sheetFormatPr defaultRowHeight="14.4" x14ac:dyDescent="0.3"/>
  <cols>
    <col min="1" max="1" width="67.6640625" bestFit="1" customWidth="1"/>
    <col min="2" max="6" width="12" bestFit="1" customWidth="1"/>
  </cols>
  <sheetData>
    <row r="1" spans="1:17" ht="17.399999999999999" x14ac:dyDescent="0.35">
      <c r="A1" s="932" t="s">
        <v>601</v>
      </c>
      <c r="B1" s="932"/>
      <c r="C1" s="932"/>
      <c r="D1" s="932"/>
      <c r="E1" s="932"/>
      <c r="F1" s="932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5.6" x14ac:dyDescent="0.3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7" x14ac:dyDescent="0.3">
      <c r="A3" s="166"/>
      <c r="B3" s="166"/>
      <c r="C3" s="166"/>
      <c r="D3" s="166"/>
      <c r="E3" s="166"/>
      <c r="F3" s="166"/>
      <c r="G3" s="166"/>
      <c r="H3" s="166"/>
      <c r="I3" s="166"/>
      <c r="J3" s="166"/>
      <c r="L3" s="166"/>
      <c r="M3" s="166"/>
      <c r="N3" s="166"/>
      <c r="O3" s="166"/>
      <c r="P3" s="166"/>
      <c r="Q3" s="166"/>
    </row>
    <row r="4" spans="1:17" ht="15.6" x14ac:dyDescent="0.3">
      <c r="A4" s="931" t="s">
        <v>612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166"/>
      <c r="N4" s="166"/>
      <c r="O4" s="166"/>
      <c r="P4" s="166"/>
      <c r="Q4" s="166"/>
    </row>
    <row r="5" spans="1:17" ht="15.6" x14ac:dyDescent="0.3">
      <c r="A5" s="167" t="s">
        <v>613</v>
      </c>
      <c r="B5" s="167"/>
      <c r="C5" s="160"/>
      <c r="D5" s="160"/>
      <c r="E5" s="160"/>
      <c r="F5" s="160"/>
      <c r="G5" s="160"/>
      <c r="H5" s="160"/>
      <c r="I5" s="160"/>
      <c r="J5" s="160"/>
      <c r="L5" s="166"/>
      <c r="M5" s="166"/>
      <c r="N5" s="166"/>
      <c r="O5" s="166"/>
      <c r="P5" s="166"/>
      <c r="Q5" s="166"/>
    </row>
    <row r="6" spans="1:17" ht="15.6" x14ac:dyDescent="0.3">
      <c r="A6" s="168" t="s">
        <v>614</v>
      </c>
      <c r="B6" s="169"/>
      <c r="C6" s="160"/>
      <c r="D6" s="160"/>
      <c r="E6" s="160"/>
      <c r="F6" s="160"/>
      <c r="G6" s="160"/>
      <c r="H6" s="160"/>
      <c r="I6" s="160"/>
      <c r="J6" s="160"/>
      <c r="L6" s="166"/>
      <c r="M6" s="166"/>
      <c r="N6" s="166"/>
      <c r="O6" s="166"/>
      <c r="P6" s="166"/>
      <c r="Q6" s="166"/>
    </row>
    <row r="7" spans="1:17" ht="15.6" x14ac:dyDescent="0.3">
      <c r="A7" s="159" t="s">
        <v>604</v>
      </c>
      <c r="B7" s="159"/>
      <c r="C7" s="160"/>
      <c r="D7" s="160"/>
      <c r="E7" s="160"/>
      <c r="F7" s="160"/>
      <c r="G7" s="160"/>
      <c r="H7" s="160"/>
      <c r="I7" s="160"/>
      <c r="J7" s="160"/>
      <c r="L7" s="166"/>
      <c r="M7" s="166"/>
      <c r="N7" s="166"/>
      <c r="O7" s="166"/>
      <c r="P7" s="166"/>
      <c r="Q7" s="166"/>
    </row>
    <row r="10" spans="1:17" x14ac:dyDescent="0.3">
      <c r="A10" s="161"/>
      <c r="B10" s="170">
        <v>41887</v>
      </c>
      <c r="C10" s="170">
        <f>B10+365</f>
        <v>42252</v>
      </c>
      <c r="D10" s="170">
        <f>C10+365</f>
        <v>42617</v>
      </c>
      <c r="E10" s="170">
        <f>D10+365</f>
        <v>42982</v>
      </c>
      <c r="F10" s="170">
        <f>E10+365</f>
        <v>43347</v>
      </c>
    </row>
    <row r="11" spans="1:17" x14ac:dyDescent="0.3">
      <c r="A11" s="162" t="s">
        <v>605</v>
      </c>
      <c r="B11" s="161">
        <v>65</v>
      </c>
      <c r="C11" s="161">
        <v>65</v>
      </c>
      <c r="D11" s="161">
        <v>65</v>
      </c>
      <c r="E11" s="161">
        <v>65</v>
      </c>
      <c r="F11" s="161">
        <v>65</v>
      </c>
    </row>
    <row r="12" spans="1:17" ht="26.4" x14ac:dyDescent="0.3">
      <c r="A12" s="162" t="s">
        <v>615</v>
      </c>
      <c r="B12" s="161">
        <v>242</v>
      </c>
      <c r="C12" s="161">
        <v>242</v>
      </c>
      <c r="D12" s="161">
        <v>242</v>
      </c>
      <c r="E12" s="161">
        <v>242</v>
      </c>
      <c r="F12" s="161">
        <v>242</v>
      </c>
    </row>
    <row r="13" spans="1:17" x14ac:dyDescent="0.3">
      <c r="A13" s="162" t="s">
        <v>606</v>
      </c>
      <c r="B13" s="161">
        <v>19</v>
      </c>
      <c r="C13" s="161">
        <v>19</v>
      </c>
      <c r="D13" s="161">
        <v>19</v>
      </c>
      <c r="E13" s="161">
        <v>19</v>
      </c>
      <c r="F13" s="161">
        <v>19</v>
      </c>
    </row>
    <row r="15" spans="1:17" ht="15.6" x14ac:dyDescent="0.3">
      <c r="A15" s="159" t="s">
        <v>607</v>
      </c>
    </row>
    <row r="16" spans="1:17" x14ac:dyDescent="0.3">
      <c r="A16" s="163" t="s">
        <v>616</v>
      </c>
      <c r="B16" s="161">
        <v>86</v>
      </c>
      <c r="C16" s="161">
        <v>86</v>
      </c>
      <c r="D16" s="161">
        <v>86</v>
      </c>
      <c r="E16" s="161">
        <v>86</v>
      </c>
      <c r="F16" s="161">
        <v>86</v>
      </c>
    </row>
    <row r="17" spans="1:6" x14ac:dyDescent="0.3">
      <c r="A17" s="163" t="s">
        <v>617</v>
      </c>
      <c r="B17" s="161">
        <v>57</v>
      </c>
      <c r="C17" s="161">
        <v>57</v>
      </c>
      <c r="D17" s="161">
        <v>57</v>
      </c>
      <c r="E17" s="161">
        <v>57</v>
      </c>
      <c r="F17" s="161">
        <v>57</v>
      </c>
    </row>
    <row r="18" spans="1:6" x14ac:dyDescent="0.3">
      <c r="A18" s="163" t="s">
        <v>618</v>
      </c>
      <c r="B18" s="161">
        <v>16350</v>
      </c>
      <c r="C18" s="161">
        <v>16350</v>
      </c>
      <c r="D18" s="161">
        <v>16350</v>
      </c>
      <c r="E18" s="161">
        <v>16350</v>
      </c>
      <c r="F18" s="161">
        <v>16350</v>
      </c>
    </row>
    <row r="19" spans="1:6" x14ac:dyDescent="0.3">
      <c r="A19" s="163" t="s">
        <v>619</v>
      </c>
      <c r="B19" s="161">
        <v>8530</v>
      </c>
      <c r="C19" s="161">
        <v>8530</v>
      </c>
      <c r="D19" s="161">
        <v>8530</v>
      </c>
      <c r="E19" s="161">
        <v>8530</v>
      </c>
      <c r="F19" s="161">
        <v>8530</v>
      </c>
    </row>
    <row r="20" spans="1:6" x14ac:dyDescent="0.3">
      <c r="A20" s="163" t="s">
        <v>620</v>
      </c>
      <c r="B20" s="161">
        <v>350</v>
      </c>
      <c r="C20" s="161">
        <v>350</v>
      </c>
      <c r="D20" s="161">
        <v>350</v>
      </c>
      <c r="E20" s="161">
        <v>350</v>
      </c>
      <c r="F20" s="161">
        <v>350</v>
      </c>
    </row>
    <row r="21" spans="1:6" x14ac:dyDescent="0.3">
      <c r="A21" s="163" t="s">
        <v>621</v>
      </c>
      <c r="B21" s="161">
        <v>350</v>
      </c>
      <c r="C21" s="161">
        <v>350</v>
      </c>
      <c r="D21" s="161">
        <v>350</v>
      </c>
      <c r="E21" s="161">
        <v>350</v>
      </c>
      <c r="F21" s="161">
        <v>350</v>
      </c>
    </row>
    <row r="22" spans="1:6" ht="28.8" x14ac:dyDescent="0.3">
      <c r="A22" s="163" t="s">
        <v>608</v>
      </c>
      <c r="B22" s="164" t="s">
        <v>609</v>
      </c>
      <c r="C22" s="164" t="s">
        <v>609</v>
      </c>
      <c r="D22" s="164" t="s">
        <v>609</v>
      </c>
      <c r="E22" s="164" t="s">
        <v>609</v>
      </c>
      <c r="F22" s="164" t="s">
        <v>609</v>
      </c>
    </row>
    <row r="23" spans="1:6" x14ac:dyDescent="0.3">
      <c r="A23" s="163" t="s">
        <v>622</v>
      </c>
      <c r="B23" s="161">
        <v>24</v>
      </c>
      <c r="C23" s="161">
        <v>24</v>
      </c>
      <c r="D23" s="161">
        <v>24</v>
      </c>
      <c r="E23" s="161">
        <v>24</v>
      </c>
      <c r="F23" s="161">
        <v>24</v>
      </c>
    </row>
    <row r="24" spans="1:6" x14ac:dyDescent="0.3">
      <c r="A24" s="163" t="s">
        <v>623</v>
      </c>
      <c r="B24" s="161">
        <v>1</v>
      </c>
      <c r="C24" s="161">
        <v>1</v>
      </c>
      <c r="D24" s="161">
        <v>1</v>
      </c>
      <c r="E24" s="161">
        <v>1</v>
      </c>
      <c r="F24" s="161">
        <v>1</v>
      </c>
    </row>
    <row r="25" spans="1:6" x14ac:dyDescent="0.3">
      <c r="A25" s="161"/>
      <c r="B25" s="161"/>
      <c r="C25" s="161"/>
      <c r="D25" s="161"/>
      <c r="E25" s="161"/>
      <c r="F25" s="161"/>
    </row>
    <row r="26" spans="1:6" x14ac:dyDescent="0.3">
      <c r="A26" s="161"/>
      <c r="B26" s="161"/>
      <c r="C26" s="161"/>
      <c r="D26" s="161"/>
      <c r="E26" s="161"/>
      <c r="F26" s="161"/>
    </row>
    <row r="27" spans="1:6" ht="28.8" x14ac:dyDescent="0.3">
      <c r="A27" s="163" t="s">
        <v>624</v>
      </c>
      <c r="B27" s="161">
        <v>20</v>
      </c>
      <c r="C27" s="161">
        <v>20</v>
      </c>
      <c r="D27" s="161">
        <v>20</v>
      </c>
      <c r="E27" s="161">
        <v>20</v>
      </c>
      <c r="F27" s="161">
        <v>20</v>
      </c>
    </row>
    <row r="28" spans="1:6" ht="28.8" x14ac:dyDescent="0.3">
      <c r="A28" s="163" t="s">
        <v>625</v>
      </c>
      <c r="B28" s="161">
        <v>86</v>
      </c>
      <c r="C28" s="161">
        <v>86</v>
      </c>
      <c r="D28" s="161">
        <v>86</v>
      </c>
      <c r="E28" s="161">
        <v>86</v>
      </c>
      <c r="F28" s="161">
        <v>86</v>
      </c>
    </row>
    <row r="29" spans="1:6" ht="28.8" x14ac:dyDescent="0.3">
      <c r="A29" s="163" t="s">
        <v>610</v>
      </c>
      <c r="B29" s="164" t="s">
        <v>609</v>
      </c>
      <c r="C29" s="164" t="s">
        <v>609</v>
      </c>
      <c r="D29" s="164" t="s">
        <v>609</v>
      </c>
      <c r="E29" s="164" t="s">
        <v>609</v>
      </c>
      <c r="F29" s="164" t="s">
        <v>609</v>
      </c>
    </row>
    <row r="30" spans="1:6" x14ac:dyDescent="0.3">
      <c r="A30" s="163" t="s">
        <v>611</v>
      </c>
      <c r="B30" s="164" t="s">
        <v>609</v>
      </c>
      <c r="C30" s="164" t="s">
        <v>609</v>
      </c>
      <c r="D30" s="164" t="s">
        <v>609</v>
      </c>
      <c r="E30" s="164" t="s">
        <v>609</v>
      </c>
      <c r="F30" s="164" t="s">
        <v>609</v>
      </c>
    </row>
  </sheetData>
  <mergeCells count="2">
    <mergeCell ref="A4:L4"/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&amp;CDunaharaszti Város Önkormányzat 2018. évi zárszámadás&amp;R&amp;A</oddHeader>
    <oddFooter>&amp;C&amp;P/&amp;N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Normal="100" zoomScaleSheetLayoutView="100" workbookViewId="0">
      <selection activeCell="K13" sqref="K13"/>
    </sheetView>
  </sheetViews>
  <sheetFormatPr defaultRowHeight="14.4" x14ac:dyDescent="0.3"/>
  <cols>
    <col min="1" max="1" width="94.109375" bestFit="1" customWidth="1"/>
    <col min="2" max="3" width="10.109375" bestFit="1" customWidth="1"/>
  </cols>
  <sheetData>
    <row r="1" spans="1:11" ht="17.399999999999999" x14ac:dyDescent="0.35">
      <c r="A1" s="932" t="s">
        <v>601</v>
      </c>
      <c r="B1" s="932"/>
      <c r="C1" s="932"/>
      <c r="D1" s="932"/>
      <c r="E1" s="932"/>
      <c r="F1" s="932"/>
      <c r="G1" s="932"/>
      <c r="H1" s="151"/>
      <c r="I1" s="151"/>
      <c r="J1" s="151"/>
      <c r="K1" s="152"/>
    </row>
    <row r="2" spans="1:11" ht="17.399999999999999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2"/>
    </row>
    <row r="3" spans="1:11" x14ac:dyDescent="0.3">
      <c r="H3" s="154"/>
      <c r="I3" s="154"/>
    </row>
    <row r="4" spans="1:11" x14ac:dyDescent="0.3">
      <c r="H4" s="154"/>
      <c r="I4" s="154"/>
    </row>
    <row r="5" spans="1:11" ht="15.6" x14ac:dyDescent="0.3">
      <c r="A5" s="155" t="s">
        <v>1000</v>
      </c>
      <c r="B5" s="156"/>
      <c r="C5" s="156"/>
      <c r="D5" s="156"/>
      <c r="E5" s="156"/>
      <c r="F5" s="154"/>
      <c r="G5" s="154"/>
      <c r="H5" s="154"/>
      <c r="I5" s="154"/>
    </row>
    <row r="6" spans="1:11" ht="15.6" x14ac:dyDescent="0.3">
      <c r="A6" s="157" t="s">
        <v>1001</v>
      </c>
      <c r="B6" s="157"/>
      <c r="C6" s="157"/>
      <c r="D6" s="157"/>
      <c r="E6" s="157"/>
      <c r="F6" s="154"/>
      <c r="G6" s="154"/>
      <c r="H6" s="154"/>
      <c r="I6" s="154"/>
    </row>
    <row r="7" spans="1:11" x14ac:dyDescent="0.3">
      <c r="A7" s="158" t="s">
        <v>602</v>
      </c>
      <c r="B7" s="154"/>
      <c r="C7" s="154"/>
      <c r="D7" s="154"/>
      <c r="E7" s="154"/>
      <c r="F7" s="154"/>
      <c r="G7" s="154"/>
      <c r="H7" s="154"/>
      <c r="I7" s="154"/>
    </row>
    <row r="10" spans="1:11" ht="15.6" x14ac:dyDescent="0.3">
      <c r="A10" s="159" t="s">
        <v>604</v>
      </c>
      <c r="B10" s="159"/>
      <c r="C10" s="160"/>
      <c r="D10" s="160"/>
      <c r="E10" s="160"/>
      <c r="F10" s="160"/>
    </row>
    <row r="12" spans="1:11" x14ac:dyDescent="0.3">
      <c r="A12" s="161"/>
      <c r="B12" s="202" t="s">
        <v>576</v>
      </c>
      <c r="C12" s="202" t="s">
        <v>577</v>
      </c>
      <c r="D12" s="202" t="s">
        <v>578</v>
      </c>
      <c r="E12" s="202" t="s">
        <v>579</v>
      </c>
      <c r="F12" s="202" t="s">
        <v>580</v>
      </c>
      <c r="G12" s="203" t="s">
        <v>92</v>
      </c>
    </row>
    <row r="13" spans="1:11" ht="39.6" x14ac:dyDescent="0.3">
      <c r="A13" s="162" t="s">
        <v>1002</v>
      </c>
      <c r="B13" s="161">
        <v>138.6</v>
      </c>
      <c r="C13" s="161">
        <v>138.6</v>
      </c>
      <c r="D13" s="161">
        <v>138.6</v>
      </c>
      <c r="E13" s="161">
        <v>138.6</v>
      </c>
      <c r="F13" s="161">
        <v>138.6</v>
      </c>
      <c r="G13" s="161">
        <f>SUM(B13:F13)</f>
        <v>693</v>
      </c>
    </row>
    <row r="14" spans="1:11" x14ac:dyDescent="0.3">
      <c r="A14" s="162" t="s">
        <v>605</v>
      </c>
      <c r="B14" s="161">
        <v>3.85E-2</v>
      </c>
      <c r="C14" s="161">
        <v>3.85E-2</v>
      </c>
      <c r="D14" s="161">
        <v>3.85E-2</v>
      </c>
      <c r="E14" s="161">
        <v>3.85E-2</v>
      </c>
      <c r="F14" s="161">
        <v>3.85E-2</v>
      </c>
      <c r="G14" s="161">
        <f>SUM(B14:F14)</f>
        <v>0.1925</v>
      </c>
    </row>
    <row r="15" spans="1:11" x14ac:dyDescent="0.3">
      <c r="A15" s="162" t="s">
        <v>606</v>
      </c>
      <c r="B15" s="161">
        <v>35.989800000000002</v>
      </c>
      <c r="C15" s="161">
        <v>35.989800000000002</v>
      </c>
      <c r="D15" s="161">
        <v>35.989800000000002</v>
      </c>
      <c r="E15" s="161">
        <v>35.989800000000002</v>
      </c>
      <c r="F15" s="161">
        <v>35.989800000000002</v>
      </c>
      <c r="G15" s="161">
        <f>SUM(B15:F15)</f>
        <v>179.94900000000001</v>
      </c>
    </row>
    <row r="17" spans="1:6" ht="15.6" x14ac:dyDescent="0.3">
      <c r="A17" s="159" t="s">
        <v>607</v>
      </c>
    </row>
    <row r="18" spans="1:6" x14ac:dyDescent="0.3">
      <c r="A18" s="163" t="s">
        <v>608</v>
      </c>
      <c r="B18" s="164" t="s">
        <v>609</v>
      </c>
      <c r="C18" s="164" t="s">
        <v>609</v>
      </c>
      <c r="D18" s="164" t="s">
        <v>609</v>
      </c>
      <c r="E18" s="164" t="s">
        <v>609</v>
      </c>
      <c r="F18" s="164" t="s">
        <v>609</v>
      </c>
    </row>
    <row r="19" spans="1:6" x14ac:dyDescent="0.3">
      <c r="A19" s="161" t="s">
        <v>1003</v>
      </c>
      <c r="B19" s="161">
        <v>2</v>
      </c>
      <c r="C19" s="161">
        <v>2</v>
      </c>
      <c r="D19" s="161">
        <v>2</v>
      </c>
      <c r="E19" s="161">
        <v>2</v>
      </c>
      <c r="F19" s="161">
        <v>2</v>
      </c>
    </row>
    <row r="20" spans="1:6" x14ac:dyDescent="0.3">
      <c r="A20" s="161"/>
      <c r="B20" s="161"/>
      <c r="C20" s="161"/>
      <c r="D20" s="161"/>
      <c r="E20" s="161"/>
      <c r="F20" s="161"/>
    </row>
    <row r="21" spans="1:6" x14ac:dyDescent="0.3">
      <c r="A21" s="163" t="s">
        <v>610</v>
      </c>
      <c r="B21" s="164" t="s">
        <v>609</v>
      </c>
      <c r="C21" s="164" t="s">
        <v>609</v>
      </c>
      <c r="D21" s="164" t="s">
        <v>609</v>
      </c>
      <c r="E21" s="164" t="s">
        <v>609</v>
      </c>
      <c r="F21" s="164" t="s">
        <v>609</v>
      </c>
    </row>
    <row r="22" spans="1:6" x14ac:dyDescent="0.3">
      <c r="A22" s="163" t="s">
        <v>611</v>
      </c>
      <c r="B22" s="164" t="s">
        <v>609</v>
      </c>
      <c r="C22" s="164" t="s">
        <v>609</v>
      </c>
      <c r="D22" s="164" t="s">
        <v>609</v>
      </c>
      <c r="E22" s="164" t="s">
        <v>609</v>
      </c>
      <c r="F22" s="164" t="s">
        <v>609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Header>&amp;CDunaharaszti Város Önkormányzat 2018. évi zárszámadás&amp;R&amp;A</oddHeader>
    <oddFooter>&amp;C&amp;P/&amp;N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91" zoomScaleNormal="100" zoomScaleSheetLayoutView="91" workbookViewId="0">
      <selection activeCell="A19" sqref="A19"/>
    </sheetView>
  </sheetViews>
  <sheetFormatPr defaultRowHeight="14.4" x14ac:dyDescent="0.3"/>
  <cols>
    <col min="1" max="1" width="92.44140625" customWidth="1"/>
  </cols>
  <sheetData>
    <row r="1" spans="1:11" ht="17.399999999999999" x14ac:dyDescent="0.35">
      <c r="A1" s="932" t="s">
        <v>601</v>
      </c>
      <c r="B1" s="932"/>
      <c r="C1" s="932"/>
      <c r="D1" s="932"/>
      <c r="E1" s="932"/>
      <c r="F1" s="932"/>
      <c r="G1" s="932"/>
      <c r="H1" s="151"/>
      <c r="I1" s="151"/>
      <c r="J1" s="151"/>
      <c r="K1" s="152"/>
    </row>
    <row r="2" spans="1:11" ht="15" customHeight="1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2"/>
    </row>
    <row r="3" spans="1:11" x14ac:dyDescent="0.3">
      <c r="H3" s="154"/>
      <c r="I3" s="154"/>
    </row>
    <row r="4" spans="1:11" x14ac:dyDescent="0.3">
      <c r="H4" s="154"/>
      <c r="I4" s="154"/>
    </row>
    <row r="5" spans="1:11" ht="15.6" x14ac:dyDescent="0.3">
      <c r="A5" s="155" t="s">
        <v>1004</v>
      </c>
      <c r="B5" s="156"/>
      <c r="C5" s="156"/>
      <c r="D5" s="156"/>
      <c r="E5" s="156"/>
      <c r="F5" s="154"/>
      <c r="G5" s="154"/>
      <c r="H5" s="154"/>
      <c r="I5" s="154"/>
    </row>
    <row r="6" spans="1:11" ht="15.6" x14ac:dyDescent="0.3">
      <c r="A6" s="157" t="s">
        <v>1005</v>
      </c>
      <c r="B6" s="157"/>
      <c r="C6" s="157"/>
      <c r="D6" s="157"/>
      <c r="E6" s="157"/>
      <c r="F6" s="154"/>
      <c r="G6" s="154"/>
      <c r="H6" s="154"/>
      <c r="I6" s="154"/>
    </row>
    <row r="7" spans="1:11" x14ac:dyDescent="0.3">
      <c r="A7" s="158" t="s">
        <v>602</v>
      </c>
      <c r="B7" s="154"/>
      <c r="C7" s="154"/>
      <c r="D7" s="154"/>
      <c r="E7" s="154"/>
      <c r="F7" s="154"/>
      <c r="G7" s="154"/>
      <c r="H7" s="154"/>
      <c r="I7" s="154"/>
    </row>
    <row r="9" spans="1:11" ht="15.6" x14ac:dyDescent="0.3">
      <c r="A9" s="159" t="s">
        <v>604</v>
      </c>
      <c r="B9" s="159"/>
      <c r="C9" s="160"/>
      <c r="D9" s="160"/>
      <c r="E9" s="160"/>
      <c r="F9" s="160"/>
    </row>
    <row r="11" spans="1:11" x14ac:dyDescent="0.3">
      <c r="A11" s="161"/>
      <c r="B11" s="202" t="s">
        <v>576</v>
      </c>
      <c r="C11" s="202" t="s">
        <v>577</v>
      </c>
      <c r="D11" s="202" t="s">
        <v>578</v>
      </c>
      <c r="E11" s="202" t="s">
        <v>579</v>
      </c>
      <c r="F11" s="202" t="s">
        <v>580</v>
      </c>
      <c r="G11" s="203" t="s">
        <v>92</v>
      </c>
    </row>
    <row r="12" spans="1:11" ht="39.6" x14ac:dyDescent="0.3">
      <c r="A12" s="162" t="s">
        <v>1002</v>
      </c>
      <c r="B12" s="161">
        <v>203.76</v>
      </c>
      <c r="C12" s="204">
        <f>B12</f>
        <v>203.76</v>
      </c>
      <c r="D12" s="204">
        <f t="shared" ref="D12:F13" si="0">C12</f>
        <v>203.76</v>
      </c>
      <c r="E12" s="204">
        <f t="shared" si="0"/>
        <v>203.76</v>
      </c>
      <c r="F12" s="204">
        <f t="shared" si="0"/>
        <v>203.76</v>
      </c>
      <c r="G12" s="205">
        <f>SUM(B12:F12)</f>
        <v>1018.8</v>
      </c>
    </row>
    <row r="13" spans="1:11" x14ac:dyDescent="0.3">
      <c r="A13" s="162" t="s">
        <v>605</v>
      </c>
      <c r="B13" s="204">
        <v>5.6599999999999998E-2</v>
      </c>
      <c r="C13" s="204">
        <f>B13</f>
        <v>5.6599999999999998E-2</v>
      </c>
      <c r="D13" s="204">
        <f t="shared" si="0"/>
        <v>5.6599999999999998E-2</v>
      </c>
      <c r="E13" s="204">
        <f t="shared" si="0"/>
        <v>5.6599999999999998E-2</v>
      </c>
      <c r="F13" s="204">
        <f t="shared" si="0"/>
        <v>5.6599999999999998E-2</v>
      </c>
      <c r="G13" s="161">
        <f>SUM(B13:F13)</f>
        <v>0.28299999999999997</v>
      </c>
    </row>
    <row r="14" spans="1:11" x14ac:dyDescent="0.3">
      <c r="A14" s="162" t="s">
        <v>606</v>
      </c>
      <c r="B14" s="161">
        <v>52.91</v>
      </c>
      <c r="C14" s="161">
        <v>52.91</v>
      </c>
      <c r="D14" s="161">
        <v>52.91</v>
      </c>
      <c r="E14" s="161">
        <v>52.91</v>
      </c>
      <c r="F14" s="161">
        <v>52.91</v>
      </c>
      <c r="G14" s="161">
        <f>SUM(B14:F14)</f>
        <v>264.54999999999995</v>
      </c>
    </row>
    <row r="16" spans="1:11" ht="15.6" x14ac:dyDescent="0.3">
      <c r="A16" s="159" t="s">
        <v>607</v>
      </c>
    </row>
    <row r="17" spans="1:6" x14ac:dyDescent="0.3">
      <c r="A17" s="163" t="s">
        <v>608</v>
      </c>
      <c r="B17" s="164" t="s">
        <v>609</v>
      </c>
      <c r="C17" s="164" t="s">
        <v>609</v>
      </c>
      <c r="D17" s="164" t="s">
        <v>609</v>
      </c>
      <c r="E17" s="164" t="s">
        <v>609</v>
      </c>
      <c r="F17" s="164" t="s">
        <v>609</v>
      </c>
    </row>
    <row r="18" spans="1:6" x14ac:dyDescent="0.3">
      <c r="A18" s="161" t="s">
        <v>1003</v>
      </c>
      <c r="B18" s="161">
        <v>2</v>
      </c>
      <c r="C18" s="161">
        <v>2</v>
      </c>
      <c r="D18" s="161">
        <v>2</v>
      </c>
      <c r="E18" s="161">
        <v>2</v>
      </c>
      <c r="F18" s="161">
        <v>2</v>
      </c>
    </row>
    <row r="19" spans="1:6" x14ac:dyDescent="0.3">
      <c r="A19" s="161"/>
      <c r="B19" s="161"/>
      <c r="C19" s="161"/>
      <c r="D19" s="161"/>
      <c r="E19" s="161"/>
      <c r="F19" s="161"/>
    </row>
    <row r="20" spans="1:6" x14ac:dyDescent="0.3">
      <c r="A20" s="163" t="s">
        <v>610</v>
      </c>
      <c r="B20" s="164" t="s">
        <v>609</v>
      </c>
      <c r="C20" s="164" t="s">
        <v>609</v>
      </c>
      <c r="D20" s="164" t="s">
        <v>609</v>
      </c>
      <c r="E20" s="164" t="s">
        <v>609</v>
      </c>
      <c r="F20" s="164" t="s">
        <v>609</v>
      </c>
    </row>
    <row r="21" spans="1:6" x14ac:dyDescent="0.3">
      <c r="A21" s="163" t="s">
        <v>611</v>
      </c>
      <c r="B21" s="164" t="s">
        <v>609</v>
      </c>
      <c r="C21" s="164" t="s">
        <v>609</v>
      </c>
      <c r="D21" s="164" t="s">
        <v>609</v>
      </c>
      <c r="E21" s="164" t="s">
        <v>609</v>
      </c>
      <c r="F21" s="164" t="s">
        <v>609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&amp;CDunaharaszti Város Önkormányzat 2018. évi zárszámadás&amp;R&amp;A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40"/>
  <sheetViews>
    <sheetView view="pageBreakPreview" zoomScale="60" zoomScaleNormal="100" zoomScalePageLayoutView="69" workbookViewId="0">
      <selection sqref="A1:XFD1"/>
    </sheetView>
  </sheetViews>
  <sheetFormatPr defaultColWidth="9.109375" defaultRowHeight="14.4" x14ac:dyDescent="0.3"/>
  <cols>
    <col min="1" max="2" width="9.109375" style="1"/>
    <col min="3" max="3" width="78.44140625" style="1" customWidth="1"/>
    <col min="4" max="11" width="31.6640625" style="1" customWidth="1"/>
    <col min="12" max="16384" width="9.109375" style="1"/>
  </cols>
  <sheetData>
    <row r="1" spans="1:11" ht="36" customHeight="1" x14ac:dyDescent="0.45">
      <c r="A1" s="767" t="s">
        <v>40</v>
      </c>
      <c r="B1" s="767"/>
      <c r="C1" s="767"/>
      <c r="D1" s="767"/>
      <c r="E1" s="767"/>
      <c r="F1" s="767"/>
    </row>
    <row r="4" spans="1:11" ht="40.5" customHeight="1" x14ac:dyDescent="0.45">
      <c r="A4" s="768" t="s">
        <v>1</v>
      </c>
      <c r="B4" s="752" t="s">
        <v>2</v>
      </c>
      <c r="C4" s="752"/>
      <c r="D4" s="752" t="s">
        <v>41</v>
      </c>
      <c r="E4" s="770" t="s">
        <v>42</v>
      </c>
      <c r="F4" s="772" t="s">
        <v>43</v>
      </c>
      <c r="G4" s="3"/>
      <c r="H4" s="3"/>
      <c r="I4" s="3"/>
      <c r="J4" s="3"/>
      <c r="K4" s="3"/>
    </row>
    <row r="5" spans="1:11" ht="66.75" customHeight="1" x14ac:dyDescent="0.45">
      <c r="A5" s="769"/>
      <c r="B5" s="763"/>
      <c r="C5" s="763"/>
      <c r="D5" s="763"/>
      <c r="E5" s="771"/>
      <c r="F5" s="773"/>
      <c r="G5" s="3"/>
      <c r="H5" s="3"/>
      <c r="I5" s="3"/>
      <c r="J5" s="3"/>
      <c r="K5" s="3"/>
    </row>
    <row r="6" spans="1:11" ht="42" customHeight="1" x14ac:dyDescent="0.45">
      <c r="A6" s="4" t="s">
        <v>3</v>
      </c>
      <c r="B6" s="766" t="s">
        <v>16</v>
      </c>
      <c r="C6" s="766"/>
      <c r="D6" s="5">
        <f>+'13.a.sz.m.Maradvány - int'!M5</f>
        <v>251815001</v>
      </c>
      <c r="E6" s="5">
        <v>5788133628</v>
      </c>
      <c r="F6" s="6">
        <f>+D6+E6</f>
        <v>6039948629</v>
      </c>
      <c r="G6" s="3"/>
      <c r="H6" s="3"/>
      <c r="I6" s="3"/>
      <c r="J6" s="3"/>
      <c r="K6" s="3"/>
    </row>
    <row r="7" spans="1:11" ht="42" customHeight="1" x14ac:dyDescent="0.45">
      <c r="A7" s="4" t="s">
        <v>4</v>
      </c>
      <c r="B7" s="766" t="s">
        <v>17</v>
      </c>
      <c r="C7" s="766"/>
      <c r="D7" s="5">
        <f>+'13.a.sz.m.Maradvány - int'!M6</f>
        <v>2233231036</v>
      </c>
      <c r="E7" s="5">
        <v>3099451666</v>
      </c>
      <c r="F7" s="6">
        <f t="shared" ref="F7:F30" si="0">+D7+E7</f>
        <v>5332682702</v>
      </c>
      <c r="G7" s="3"/>
      <c r="H7" s="3"/>
      <c r="I7" s="3"/>
      <c r="J7" s="3"/>
      <c r="K7" s="3"/>
    </row>
    <row r="8" spans="1:11" ht="81.75" customHeight="1" x14ac:dyDescent="0.45">
      <c r="A8" s="7" t="s">
        <v>5</v>
      </c>
      <c r="B8" s="774" t="s">
        <v>18</v>
      </c>
      <c r="C8" s="774"/>
      <c r="D8" s="5">
        <f>+'13.a.sz.m.Maradvány - int'!M7</f>
        <v>-1981416035</v>
      </c>
      <c r="E8" s="5">
        <f>+E6-E7</f>
        <v>2688681962</v>
      </c>
      <c r="F8" s="6">
        <f t="shared" si="0"/>
        <v>707265927</v>
      </c>
      <c r="G8" s="8"/>
      <c r="H8" s="8"/>
      <c r="I8" s="8"/>
      <c r="J8" s="8"/>
      <c r="K8" s="8"/>
    </row>
    <row r="9" spans="1:11" ht="41.25" customHeight="1" x14ac:dyDescent="0.45">
      <c r="A9" s="4" t="s">
        <v>6</v>
      </c>
      <c r="B9" s="766" t="s">
        <v>19</v>
      </c>
      <c r="C9" s="766"/>
      <c r="D9" s="5">
        <f>+'13.a.sz.m.Maradvány - int'!M8</f>
        <v>2160382559</v>
      </c>
      <c r="E9" s="5">
        <v>2933589340</v>
      </c>
      <c r="F9" s="6">
        <f t="shared" si="0"/>
        <v>5093971899</v>
      </c>
      <c r="G9" s="3"/>
      <c r="H9" s="3"/>
      <c r="I9" s="3"/>
      <c r="J9" s="3"/>
      <c r="K9" s="3"/>
    </row>
    <row r="10" spans="1:11" ht="41.25" customHeight="1" x14ac:dyDescent="0.45">
      <c r="A10" s="4" t="s">
        <v>7</v>
      </c>
      <c r="B10" s="766" t="s">
        <v>20</v>
      </c>
      <c r="C10" s="766"/>
      <c r="D10" s="5">
        <f>+'13.a.sz.m.Maradvány - int'!M9</f>
        <v>0</v>
      </c>
      <c r="E10" s="5">
        <v>3363583767</v>
      </c>
      <c r="F10" s="6">
        <f t="shared" si="0"/>
        <v>3363583767</v>
      </c>
      <c r="G10" s="3"/>
      <c r="H10" s="3"/>
      <c r="I10" s="3"/>
      <c r="J10" s="3"/>
      <c r="K10" s="3"/>
    </row>
    <row r="11" spans="1:11" ht="81" customHeight="1" x14ac:dyDescent="0.45">
      <c r="A11" s="9" t="s">
        <v>8</v>
      </c>
      <c r="B11" s="763" t="s">
        <v>21</v>
      </c>
      <c r="C11" s="763"/>
      <c r="D11" s="5">
        <f>+'13.a.sz.m.Maradvány - int'!M10</f>
        <v>2160382559</v>
      </c>
      <c r="E11" s="5">
        <f>+E9-E10</f>
        <v>-429994427</v>
      </c>
      <c r="F11" s="6">
        <f t="shared" si="0"/>
        <v>1730388132</v>
      </c>
      <c r="G11" s="10"/>
      <c r="H11" s="10"/>
      <c r="I11" s="10"/>
      <c r="J11" s="10"/>
      <c r="K11" s="10"/>
    </row>
    <row r="12" spans="1:11" ht="81" customHeight="1" x14ac:dyDescent="0.45">
      <c r="A12" s="9" t="s">
        <v>9</v>
      </c>
      <c r="B12" s="763" t="s">
        <v>22</v>
      </c>
      <c r="C12" s="763"/>
      <c r="D12" s="5">
        <f>+'13.a.sz.m.Maradvány - int'!M11</f>
        <v>178966524</v>
      </c>
      <c r="E12" s="5">
        <f>+E8+E11</f>
        <v>2258687535</v>
      </c>
      <c r="F12" s="484">
        <f t="shared" si="0"/>
        <v>2437654059</v>
      </c>
      <c r="G12" s="10"/>
      <c r="H12" s="10"/>
      <c r="I12" s="10"/>
      <c r="J12" s="10"/>
      <c r="K12" s="10"/>
    </row>
    <row r="13" spans="1:11" ht="40.5" customHeight="1" x14ac:dyDescent="0.45">
      <c r="A13" s="9" t="s">
        <v>23</v>
      </c>
      <c r="B13" s="763" t="s">
        <v>24</v>
      </c>
      <c r="C13" s="763"/>
      <c r="D13" s="5">
        <f>+'13.a.sz.m.Maradvány - int'!M12</f>
        <v>0</v>
      </c>
      <c r="E13" s="5">
        <v>0</v>
      </c>
      <c r="F13" s="6">
        <f t="shared" si="0"/>
        <v>0</v>
      </c>
      <c r="G13" s="10"/>
      <c r="H13" s="10"/>
      <c r="I13" s="10"/>
      <c r="J13" s="10"/>
      <c r="K13" s="10"/>
    </row>
    <row r="14" spans="1:11" ht="81.75" customHeight="1" x14ac:dyDescent="0.45">
      <c r="A14" s="9" t="s">
        <v>27</v>
      </c>
      <c r="B14" s="763" t="s">
        <v>44</v>
      </c>
      <c r="C14" s="763"/>
      <c r="D14" s="5">
        <f>+'13.a.sz.m.Maradvány - int'!M13</f>
        <v>178966524</v>
      </c>
      <c r="E14" s="5">
        <f>SUM(E12:E13)</f>
        <v>2258687535</v>
      </c>
      <c r="F14" s="6">
        <f t="shared" si="0"/>
        <v>2437654059</v>
      </c>
      <c r="G14" s="10"/>
      <c r="H14" s="10"/>
      <c r="I14" s="10"/>
      <c r="J14" s="10"/>
      <c r="K14" s="10"/>
    </row>
    <row r="15" spans="1:11" ht="51.75" customHeight="1" x14ac:dyDescent="0.45">
      <c r="A15" s="9" t="s">
        <v>30</v>
      </c>
      <c r="B15" s="766" t="s">
        <v>1027</v>
      </c>
      <c r="C15" s="766"/>
      <c r="D15" s="5">
        <f>+'13.a.sz.m.Maradvány - int'!M14</f>
        <v>13484501</v>
      </c>
      <c r="E15" s="5">
        <v>513920347</v>
      </c>
      <c r="F15" s="6">
        <f t="shared" si="0"/>
        <v>527404848</v>
      </c>
      <c r="G15" s="36">
        <f>+E16+E17</f>
        <v>513920347</v>
      </c>
      <c r="H15" s="11"/>
      <c r="I15" s="11"/>
      <c r="J15" s="11"/>
      <c r="K15" s="11"/>
    </row>
    <row r="16" spans="1:11" ht="32.25" customHeight="1" x14ac:dyDescent="0.45">
      <c r="A16" s="7"/>
      <c r="B16" s="762" t="s">
        <v>28</v>
      </c>
      <c r="C16" s="762"/>
      <c r="D16" s="5">
        <f>+'13.a.sz.m.Maradvány - int'!M15</f>
        <v>13288528</v>
      </c>
      <c r="E16" s="12">
        <f>+'13.c.sz.m.Kötött maradvány'!F43</f>
        <v>47759701</v>
      </c>
      <c r="F16" s="13">
        <f t="shared" si="0"/>
        <v>61048229</v>
      </c>
      <c r="G16" s="14"/>
      <c r="H16" s="14"/>
      <c r="I16" s="14"/>
      <c r="J16" s="14"/>
      <c r="K16" s="14"/>
    </row>
    <row r="17" spans="1:11" ht="32.25" customHeight="1" x14ac:dyDescent="0.45">
      <c r="A17" s="7"/>
      <c r="B17" s="762" t="s">
        <v>29</v>
      </c>
      <c r="C17" s="762"/>
      <c r="D17" s="5">
        <f>+'13.a.sz.m.Maradvány - int'!M16</f>
        <v>115779</v>
      </c>
      <c r="E17" s="12">
        <f>+'13.c.sz.m.Kötött maradvány'!F44</f>
        <v>466160646</v>
      </c>
      <c r="F17" s="13">
        <f t="shared" si="0"/>
        <v>466276425</v>
      </c>
      <c r="G17" s="14"/>
      <c r="H17" s="15">
        <f>SUM(E16:E17)</f>
        <v>513920347</v>
      </c>
      <c r="I17" s="14"/>
      <c r="J17" s="14"/>
      <c r="K17" s="14"/>
    </row>
    <row r="18" spans="1:11" ht="84" customHeight="1" x14ac:dyDescent="0.45">
      <c r="A18" s="9" t="s">
        <v>32</v>
      </c>
      <c r="B18" s="763" t="s">
        <v>45</v>
      </c>
      <c r="C18" s="763"/>
      <c r="D18" s="5">
        <f>+'13.a.sz.m.Maradvány - int'!M17</f>
        <v>165482023</v>
      </c>
      <c r="E18" s="5">
        <f>+E14-E15</f>
        <v>1744767188</v>
      </c>
      <c r="F18" s="483">
        <f t="shared" si="0"/>
        <v>1910249211</v>
      </c>
      <c r="G18" s="16" t="s">
        <v>46</v>
      </c>
      <c r="H18" s="16"/>
      <c r="I18" s="11" t="s">
        <v>47</v>
      </c>
      <c r="J18" s="17">
        <v>725133</v>
      </c>
      <c r="K18" s="16"/>
    </row>
    <row r="19" spans="1:11" ht="53.25" customHeight="1" x14ac:dyDescent="0.45">
      <c r="A19" s="9" t="s">
        <v>33</v>
      </c>
      <c r="B19" s="763" t="s">
        <v>1303</v>
      </c>
      <c r="C19" s="763"/>
      <c r="D19" s="5">
        <f>+'13.a.sz.m.Maradvány - int'!M18</f>
        <v>0</v>
      </c>
      <c r="E19" s="5">
        <f>+E20+E21</f>
        <v>0</v>
      </c>
      <c r="F19" s="6">
        <f t="shared" si="0"/>
        <v>0</v>
      </c>
      <c r="G19" s="16"/>
      <c r="H19" s="16"/>
      <c r="I19" s="16"/>
      <c r="J19" s="16"/>
      <c r="K19" s="16"/>
    </row>
    <row r="20" spans="1:11" ht="30.75" customHeight="1" x14ac:dyDescent="0.45">
      <c r="A20" s="7"/>
      <c r="B20" s="762" t="s">
        <v>28</v>
      </c>
      <c r="C20" s="762"/>
      <c r="D20" s="5">
        <v>0</v>
      </c>
      <c r="E20" s="5">
        <f>+'13.a.sz.m.Maradvány - int'!N19</f>
        <v>0</v>
      </c>
      <c r="F20" s="13">
        <f>+E20+D20</f>
        <v>0</v>
      </c>
      <c r="G20" s="18"/>
      <c r="H20" s="18"/>
      <c r="I20" s="18"/>
      <c r="J20" s="18"/>
      <c r="K20" s="18"/>
    </row>
    <row r="21" spans="1:11" ht="30.75" customHeight="1" x14ac:dyDescent="0.45">
      <c r="A21" s="7"/>
      <c r="B21" s="762" t="s">
        <v>29</v>
      </c>
      <c r="C21" s="762"/>
      <c r="D21" s="5">
        <f>+'13.a.sz.m.Maradvány - int'!M20</f>
        <v>0</v>
      </c>
      <c r="E21" s="12">
        <v>0</v>
      </c>
      <c r="F21" s="13">
        <f>+E21+D21</f>
        <v>0</v>
      </c>
      <c r="G21" s="18"/>
      <c r="H21" s="18"/>
      <c r="I21" s="18"/>
      <c r="J21" s="18"/>
      <c r="K21" s="18"/>
    </row>
    <row r="22" spans="1:11" ht="59.25" customHeight="1" x14ac:dyDescent="0.45">
      <c r="A22" s="9" t="s">
        <v>34</v>
      </c>
      <c r="B22" s="763" t="s">
        <v>1420</v>
      </c>
      <c r="C22" s="763"/>
      <c r="D22" s="5">
        <f>SUM(D23:D24)</f>
        <v>144355</v>
      </c>
      <c r="E22" s="5">
        <f>SUM(E23:E24)</f>
        <v>127619319</v>
      </c>
      <c r="F22" s="6">
        <f t="shared" si="0"/>
        <v>127763674</v>
      </c>
      <c r="G22" s="16"/>
      <c r="H22" s="16"/>
      <c r="I22" s="16"/>
      <c r="J22" s="16"/>
      <c r="K22" s="16"/>
    </row>
    <row r="23" spans="1:11" ht="34.5" customHeight="1" x14ac:dyDescent="0.45">
      <c r="A23" s="7"/>
      <c r="B23" s="762" t="s">
        <v>28</v>
      </c>
      <c r="C23" s="762"/>
      <c r="D23" s="5">
        <f>+'13.a.sz.m.Maradvány - int'!J20</f>
        <v>0</v>
      </c>
      <c r="E23" s="5">
        <f>+'13.a.sz.m.Maradvány - int'!N22</f>
        <v>0</v>
      </c>
      <c r="F23" s="13">
        <f>+D23+E23</f>
        <v>0</v>
      </c>
      <c r="G23" s="18"/>
      <c r="H23" s="19">
        <f>+E18-E19-E22</f>
        <v>1617147869</v>
      </c>
      <c r="I23" s="18"/>
      <c r="J23" s="18"/>
      <c r="K23" s="18"/>
    </row>
    <row r="24" spans="1:11" ht="34.5" customHeight="1" x14ac:dyDescent="0.45">
      <c r="A24" s="7"/>
      <c r="B24" s="762" t="s">
        <v>29</v>
      </c>
      <c r="C24" s="762"/>
      <c r="D24" s="5">
        <f>+'13.a.sz.m.Maradvány - int'!J21</f>
        <v>144355</v>
      </c>
      <c r="E24" s="5">
        <f>+'13.c.sz.m.Kötött maradvány'!C85</f>
        <v>127619319</v>
      </c>
      <c r="F24" s="13">
        <f>+E24+D24</f>
        <v>127763674</v>
      </c>
      <c r="G24" s="19">
        <f>SUM(E23:E24)</f>
        <v>127619319</v>
      </c>
      <c r="H24" s="18"/>
      <c r="I24" s="18"/>
      <c r="J24" s="19">
        <f>+F15+F19+F22</f>
        <v>655168522</v>
      </c>
      <c r="K24" s="18"/>
    </row>
    <row r="25" spans="1:11" ht="58.5" customHeight="1" x14ac:dyDescent="0.45">
      <c r="A25" s="9" t="s">
        <v>36</v>
      </c>
      <c r="B25" s="763" t="s">
        <v>1308</v>
      </c>
      <c r="C25" s="763"/>
      <c r="D25" s="5">
        <f>+D18-D19-0</f>
        <v>165482023</v>
      </c>
      <c r="E25" s="5">
        <f>+E18-E19-E22-D22</f>
        <v>1617003514</v>
      </c>
      <c r="F25" s="6">
        <f>+D25+E25</f>
        <v>1782485537</v>
      </c>
      <c r="G25" s="16"/>
      <c r="H25" s="16"/>
      <c r="I25" s="16"/>
      <c r="J25" s="16"/>
      <c r="K25" s="16"/>
    </row>
    <row r="26" spans="1:11" s="220" customFormat="1" ht="32.25" customHeight="1" x14ac:dyDescent="0.45">
      <c r="A26" s="217" t="s">
        <v>38</v>
      </c>
      <c r="B26" s="764" t="s">
        <v>37</v>
      </c>
      <c r="C26" s="764"/>
      <c r="D26" s="5">
        <v>-165482023</v>
      </c>
      <c r="E26" s="218">
        <v>0</v>
      </c>
      <c r="F26" s="219">
        <f t="shared" si="0"/>
        <v>-165482023</v>
      </c>
      <c r="G26" s="11"/>
      <c r="H26" s="11"/>
      <c r="I26" s="11"/>
      <c r="J26" s="11"/>
      <c r="K26" s="11"/>
    </row>
    <row r="27" spans="1:11" s="220" customFormat="1" ht="32.25" customHeight="1" x14ac:dyDescent="0.45">
      <c r="A27" s="217" t="s">
        <v>48</v>
      </c>
      <c r="B27" s="764" t="s">
        <v>49</v>
      </c>
      <c r="C27" s="764"/>
      <c r="D27" s="5">
        <f>+'13.a.sz.m.Maradvány - int'!M26</f>
        <v>0</v>
      </c>
      <c r="E27" s="218">
        <f>-D26</f>
        <v>165482023</v>
      </c>
      <c r="F27" s="219">
        <f t="shared" si="0"/>
        <v>165482023</v>
      </c>
      <c r="G27" s="11"/>
      <c r="H27" s="11"/>
      <c r="I27" s="11"/>
      <c r="J27" s="11"/>
      <c r="K27" s="11"/>
    </row>
    <row r="28" spans="1:11" ht="63" customHeight="1" x14ac:dyDescent="0.45">
      <c r="A28" s="9" t="s">
        <v>50</v>
      </c>
      <c r="B28" s="765" t="s">
        <v>66</v>
      </c>
      <c r="C28" s="765"/>
      <c r="D28" s="5">
        <f>+D25+D26</f>
        <v>0</v>
      </c>
      <c r="E28" s="5">
        <f>+E25+E27</f>
        <v>1782485537</v>
      </c>
      <c r="F28" s="6">
        <f>+D28+E28</f>
        <v>1782485537</v>
      </c>
      <c r="G28" s="11"/>
      <c r="H28" s="11"/>
      <c r="I28" s="11"/>
      <c r="J28" s="11"/>
      <c r="K28" s="11"/>
    </row>
    <row r="29" spans="1:11" ht="34.5" customHeight="1" x14ac:dyDescent="0.45">
      <c r="A29" s="7"/>
      <c r="B29" s="762" t="s">
        <v>28</v>
      </c>
      <c r="C29" s="762"/>
      <c r="D29" s="5">
        <f>+'13.a.sz.m.Maradvány - int'!M28</f>
        <v>0</v>
      </c>
      <c r="E29" s="12">
        <f>+'13.d.sz.m.Szabad maradvány'!F40+241055052</f>
        <v>822226875</v>
      </c>
      <c r="F29" s="6">
        <f t="shared" si="0"/>
        <v>822226875</v>
      </c>
      <c r="G29" s="18"/>
      <c r="H29" s="18"/>
      <c r="I29" s="18"/>
      <c r="J29" s="18"/>
      <c r="K29" s="18"/>
    </row>
    <row r="30" spans="1:11" ht="34.5" customHeight="1" x14ac:dyDescent="0.45">
      <c r="A30" s="20"/>
      <c r="B30" s="761" t="s">
        <v>29</v>
      </c>
      <c r="C30" s="761"/>
      <c r="D30" s="337">
        <f>+'13.a.sz.m.Maradvány - int'!M29</f>
        <v>0</v>
      </c>
      <c r="E30" s="185">
        <f>+'13.d.sz.m.Szabad maradvány'!F91</f>
        <v>960258661</v>
      </c>
      <c r="F30" s="340">
        <f t="shared" si="0"/>
        <v>960258661</v>
      </c>
      <c r="G30" s="18"/>
      <c r="H30" s="18"/>
      <c r="I30" s="18"/>
      <c r="J30" s="18"/>
      <c r="K30" s="18"/>
    </row>
    <row r="31" spans="1:11" ht="23.4" x14ac:dyDescent="0.45">
      <c r="A31" s="21"/>
      <c r="B31" s="22"/>
      <c r="C31" s="22"/>
      <c r="D31" s="23"/>
      <c r="E31" s="186"/>
      <c r="F31" s="23"/>
      <c r="G31" s="11" t="s">
        <v>790</v>
      </c>
      <c r="H31" s="36">
        <f>+F16+F20+F23+F29</f>
        <v>883275104</v>
      </c>
      <c r="I31" s="11"/>
      <c r="J31" s="11"/>
      <c r="K31" s="11"/>
    </row>
    <row r="32" spans="1:11" ht="23.4" x14ac:dyDescent="0.45">
      <c r="A32" s="21"/>
      <c r="B32" s="22"/>
      <c r="C32" s="22"/>
      <c r="D32" s="23"/>
      <c r="E32" s="186"/>
      <c r="F32" s="24"/>
      <c r="G32" s="11" t="s">
        <v>791</v>
      </c>
      <c r="H32" s="36">
        <f>+F30+F24+F21+F17</f>
        <v>1554298760</v>
      </c>
      <c r="I32" s="11"/>
      <c r="J32" s="11"/>
      <c r="K32" s="11"/>
    </row>
    <row r="33" spans="1:11" ht="23.4" x14ac:dyDescent="0.45">
      <c r="A33" s="332" t="s">
        <v>1307</v>
      </c>
      <c r="B33" s="22"/>
      <c r="C33" s="22"/>
      <c r="D33" s="23"/>
      <c r="E33" s="23"/>
      <c r="F33" s="23"/>
      <c r="G33" s="11" t="s">
        <v>792</v>
      </c>
      <c r="H33" s="36">
        <f>SUM(H31:H32)</f>
        <v>2437573864</v>
      </c>
      <c r="I33" s="11"/>
      <c r="J33" s="11"/>
      <c r="K33" s="11"/>
    </row>
    <row r="35" spans="1:11" x14ac:dyDescent="0.3">
      <c r="E35" s="180">
        <f>+E29+E30</f>
        <v>1782485536</v>
      </c>
    </row>
    <row r="36" spans="1:11" x14ac:dyDescent="0.3">
      <c r="E36" s="180"/>
    </row>
    <row r="38" spans="1:11" x14ac:dyDescent="0.3">
      <c r="G38" s="1" t="s">
        <v>882</v>
      </c>
      <c r="H38" s="180">
        <f>+F15+F19+F22</f>
        <v>655168522</v>
      </c>
    </row>
    <row r="39" spans="1:11" x14ac:dyDescent="0.3">
      <c r="G39" s="1" t="s">
        <v>66</v>
      </c>
      <c r="H39" s="180">
        <f>+F28</f>
        <v>1782485537</v>
      </c>
    </row>
    <row r="40" spans="1:11" x14ac:dyDescent="0.3">
      <c r="G40" s="1" t="s">
        <v>883</v>
      </c>
      <c r="H40" s="180">
        <f>SUM(H38:H39)</f>
        <v>2437654059</v>
      </c>
    </row>
  </sheetData>
  <mergeCells count="31">
    <mergeCell ref="B11:C11"/>
    <mergeCell ref="A1:F1"/>
    <mergeCell ref="A4:A5"/>
    <mergeCell ref="B4:C5"/>
    <mergeCell ref="D4:D5"/>
    <mergeCell ref="E4:E5"/>
    <mergeCell ref="F4:F5"/>
    <mergeCell ref="B6:C6"/>
    <mergeCell ref="B7:C7"/>
    <mergeCell ref="B8:C8"/>
    <mergeCell ref="B9:C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0:C30"/>
    <mergeCell ref="B24:C24"/>
    <mergeCell ref="B25:C25"/>
    <mergeCell ref="B26:C26"/>
    <mergeCell ref="B27:C27"/>
    <mergeCell ref="B28:C28"/>
    <mergeCell ref="B29:C29"/>
  </mergeCells>
  <pageMargins left="0.27559055118110237" right="0.27559055118110237" top="0.74803149606299213" bottom="0.62992125984251968" header="0.31496062992125984" footer="0.31496062992125984"/>
  <pageSetup paperSize="9" scale="51" orientation="portrait" r:id="rId1"/>
  <headerFooter>
    <oddHeader>&amp;CDunaharaszti Város Önkormányzat 2018. évi zárszámadás&amp;R&amp;A</oddHeader>
    <oddFooter xml:space="preserve">&amp;C&amp;P/&amp;N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="84" zoomScaleNormal="100" zoomScaleSheetLayoutView="84" workbookViewId="0">
      <selection activeCell="Q16" sqref="Q16"/>
    </sheetView>
  </sheetViews>
  <sheetFormatPr defaultRowHeight="14.4" x14ac:dyDescent="0.3"/>
  <cols>
    <col min="1" max="1" width="49.109375" customWidth="1"/>
    <col min="2" max="2" width="12.6640625" customWidth="1"/>
    <col min="8" max="8" width="11.109375" customWidth="1"/>
    <col min="10" max="10" width="11.33203125" customWidth="1"/>
  </cols>
  <sheetData>
    <row r="1" spans="1:11" ht="17.399999999999999" x14ac:dyDescent="0.35">
      <c r="A1" s="932" t="s">
        <v>601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</row>
    <row r="2" spans="1:11" x14ac:dyDescent="0.3">
      <c r="A2" s="172"/>
      <c r="B2" s="172"/>
      <c r="C2" s="172"/>
      <c r="D2" s="172"/>
      <c r="E2" s="172"/>
      <c r="F2" s="174"/>
      <c r="G2" s="174"/>
      <c r="H2" s="174"/>
      <c r="I2" s="174"/>
      <c r="J2" s="174"/>
    </row>
    <row r="3" spans="1:11" ht="18" x14ac:dyDescent="0.3">
      <c r="A3" s="934"/>
      <c r="B3" s="934"/>
      <c r="C3" s="934"/>
      <c r="D3" s="934"/>
      <c r="E3" s="934"/>
      <c r="F3" s="934"/>
      <c r="G3" s="934"/>
      <c r="H3" s="174"/>
      <c r="I3" s="174"/>
      <c r="J3" s="174"/>
    </row>
    <row r="4" spans="1:11" x14ac:dyDescent="0.3">
      <c r="A4" s="174"/>
      <c r="B4" s="174"/>
      <c r="C4" s="174"/>
      <c r="D4" s="174"/>
      <c r="E4" s="174"/>
      <c r="F4" s="174"/>
      <c r="G4" s="174"/>
      <c r="H4" s="174"/>
      <c r="I4" s="174"/>
      <c r="J4" s="174"/>
    </row>
    <row r="5" spans="1:11" ht="31.5" customHeight="1" x14ac:dyDescent="0.3">
      <c r="A5" s="935" t="s">
        <v>1006</v>
      </c>
      <c r="B5" s="935"/>
      <c r="C5" s="935"/>
      <c r="D5" s="935"/>
      <c r="E5" s="935"/>
      <c r="F5" s="935"/>
      <c r="G5" s="935"/>
      <c r="H5" s="935"/>
      <c r="I5" s="935"/>
      <c r="J5" s="935"/>
      <c r="K5" s="935"/>
    </row>
    <row r="6" spans="1:11" ht="15.6" x14ac:dyDescent="0.3">
      <c r="A6" s="175" t="s">
        <v>1007</v>
      </c>
      <c r="B6" s="175"/>
      <c r="C6" s="175"/>
      <c r="D6" s="175"/>
      <c r="E6" s="175"/>
      <c r="F6" s="174"/>
      <c r="G6" s="174"/>
      <c r="H6" s="174"/>
      <c r="I6" s="174"/>
      <c r="J6" s="174"/>
    </row>
    <row r="7" spans="1:11" ht="15.6" x14ac:dyDescent="0.3">
      <c r="A7" s="175" t="s">
        <v>878</v>
      </c>
      <c r="B7" s="175"/>
      <c r="C7" s="175"/>
      <c r="D7" s="175"/>
      <c r="E7" s="175"/>
      <c r="F7" s="174"/>
      <c r="G7" s="174"/>
      <c r="H7" s="174"/>
      <c r="I7" s="174"/>
      <c r="J7" s="174"/>
    </row>
    <row r="8" spans="1:11" ht="15.6" x14ac:dyDescent="0.3">
      <c r="A8" s="176" t="s">
        <v>604</v>
      </c>
      <c r="B8" s="176"/>
      <c r="C8" s="176"/>
      <c r="D8" s="176"/>
      <c r="E8" s="176"/>
      <c r="F8" s="174"/>
      <c r="G8" s="174"/>
      <c r="H8" s="174"/>
      <c r="I8" s="174"/>
      <c r="J8" s="174"/>
    </row>
    <row r="9" spans="1:11" ht="25.5" customHeight="1" x14ac:dyDescent="0.35">
      <c r="A9" s="936" t="s">
        <v>651</v>
      </c>
      <c r="B9" s="936"/>
      <c r="C9" s="936"/>
      <c r="D9" s="936"/>
      <c r="E9" s="936"/>
      <c r="F9" s="936"/>
      <c r="G9" s="936"/>
      <c r="H9" s="936"/>
      <c r="I9" s="936"/>
      <c r="J9" s="936"/>
      <c r="K9" s="936"/>
    </row>
    <row r="10" spans="1:11" s="207" customFormat="1" ht="15.6" x14ac:dyDescent="0.3">
      <c r="A10" s="937" t="s">
        <v>1008</v>
      </c>
      <c r="B10" s="206" t="s">
        <v>1009</v>
      </c>
      <c r="C10" s="937" t="s">
        <v>873</v>
      </c>
      <c r="D10" s="937" t="s">
        <v>1010</v>
      </c>
      <c r="E10" s="937"/>
      <c r="F10" s="937"/>
      <c r="G10" s="937" t="s">
        <v>1011</v>
      </c>
      <c r="H10" s="937"/>
      <c r="I10" s="937"/>
      <c r="J10" s="937"/>
      <c r="K10" s="937"/>
    </row>
    <row r="11" spans="1:11" s="207" customFormat="1" ht="32.25" customHeight="1" x14ac:dyDescent="0.3">
      <c r="A11" s="937"/>
      <c r="B11" s="206" t="s">
        <v>1012</v>
      </c>
      <c r="C11" s="937"/>
      <c r="D11" s="937" t="s">
        <v>1013</v>
      </c>
      <c r="E11" s="937"/>
      <c r="F11" s="937"/>
      <c r="G11" s="937"/>
      <c r="H11" s="937"/>
      <c r="I11" s="937"/>
      <c r="J11" s="937"/>
      <c r="K11" s="937"/>
    </row>
    <row r="12" spans="1:11" s="207" customFormat="1" ht="15.6" x14ac:dyDescent="0.3">
      <c r="A12" s="937"/>
      <c r="B12" s="206" t="s">
        <v>1014</v>
      </c>
      <c r="C12" s="208">
        <v>2012</v>
      </c>
      <c r="D12" s="208">
        <v>2013</v>
      </c>
      <c r="E12" s="208">
        <v>2014</v>
      </c>
      <c r="F12" s="208" t="s">
        <v>87</v>
      </c>
      <c r="G12" s="208">
        <v>2015</v>
      </c>
      <c r="H12" s="208">
        <v>2016</v>
      </c>
      <c r="I12" s="208">
        <v>2017</v>
      </c>
      <c r="J12" s="208">
        <v>2018</v>
      </c>
      <c r="K12" s="208">
        <v>2019</v>
      </c>
    </row>
    <row r="13" spans="1:11" s="207" customFormat="1" ht="15.6" x14ac:dyDescent="0.3">
      <c r="A13" s="933" t="s">
        <v>1015</v>
      </c>
      <c r="B13" s="933"/>
      <c r="C13" s="933"/>
      <c r="D13" s="933"/>
      <c r="E13" s="933"/>
      <c r="F13" s="933"/>
      <c r="G13" s="933"/>
      <c r="H13" s="933"/>
      <c r="I13" s="933"/>
      <c r="J13" s="933"/>
      <c r="K13" s="933"/>
    </row>
    <row r="14" spans="1:11" s="207" customFormat="1" ht="31.2" x14ac:dyDescent="0.3">
      <c r="A14" s="209" t="s">
        <v>1016</v>
      </c>
      <c r="B14" s="210" t="s">
        <v>875</v>
      </c>
      <c r="C14" s="211">
        <v>0</v>
      </c>
      <c r="D14" s="211">
        <v>0</v>
      </c>
      <c r="E14" s="211">
        <v>1</v>
      </c>
      <c r="F14" s="211" t="s">
        <v>87</v>
      </c>
      <c r="G14" s="212"/>
      <c r="H14" s="212"/>
      <c r="I14" s="212"/>
      <c r="J14" s="212"/>
      <c r="K14" s="212"/>
    </row>
    <row r="15" spans="1:11" s="207" customFormat="1" ht="31.2" x14ac:dyDescent="0.3">
      <c r="A15" s="209" t="s">
        <v>1017</v>
      </c>
      <c r="B15" s="210" t="s">
        <v>875</v>
      </c>
      <c r="C15" s="211">
        <v>0</v>
      </c>
      <c r="D15" s="211">
        <v>0</v>
      </c>
      <c r="E15" s="211">
        <v>6</v>
      </c>
      <c r="F15" s="211" t="s">
        <v>87</v>
      </c>
      <c r="G15" s="211">
        <v>6</v>
      </c>
      <c r="H15" s="211">
        <v>6</v>
      </c>
      <c r="I15" s="211">
        <v>6</v>
      </c>
      <c r="J15" s="211">
        <v>6</v>
      </c>
      <c r="K15" s="211">
        <v>6</v>
      </c>
    </row>
    <row r="16" spans="1:11" s="207" customFormat="1" ht="46.8" x14ac:dyDescent="0.3">
      <c r="A16" s="209" t="s">
        <v>1018</v>
      </c>
      <c r="B16" s="210" t="s">
        <v>875</v>
      </c>
      <c r="C16" s="211">
        <v>0</v>
      </c>
      <c r="D16" s="211">
        <v>0</v>
      </c>
      <c r="E16" s="211">
        <v>120</v>
      </c>
      <c r="F16" s="211" t="s">
        <v>87</v>
      </c>
      <c r="G16" s="211">
        <v>120</v>
      </c>
      <c r="H16" s="211">
        <v>120</v>
      </c>
      <c r="I16" s="211">
        <v>120</v>
      </c>
      <c r="J16" s="211">
        <v>120</v>
      </c>
      <c r="K16" s="211">
        <v>120</v>
      </c>
    </row>
    <row r="17" spans="1:11" s="207" customFormat="1" ht="15.6" x14ac:dyDescent="0.3">
      <c r="A17" s="209" t="s">
        <v>1019</v>
      </c>
      <c r="B17" s="210" t="s">
        <v>875</v>
      </c>
      <c r="C17" s="211">
        <v>0</v>
      </c>
      <c r="D17" s="211">
        <v>0</v>
      </c>
      <c r="E17" s="211">
        <v>20</v>
      </c>
      <c r="F17" s="210" t="s">
        <v>87</v>
      </c>
      <c r="G17" s="208"/>
      <c r="H17" s="208"/>
      <c r="I17" s="208"/>
      <c r="J17" s="208"/>
      <c r="K17" s="208"/>
    </row>
    <row r="18" spans="1:11" s="207" customFormat="1" ht="15.6" x14ac:dyDescent="0.3">
      <c r="A18" s="209" t="s">
        <v>1020</v>
      </c>
      <c r="B18" s="210" t="s">
        <v>875</v>
      </c>
      <c r="C18" s="211">
        <v>0</v>
      </c>
      <c r="D18" s="211">
        <v>0</v>
      </c>
      <c r="E18" s="211">
        <v>1</v>
      </c>
      <c r="F18" s="211" t="s">
        <v>87</v>
      </c>
      <c r="G18" s="208"/>
      <c r="H18" s="208"/>
      <c r="I18" s="208"/>
      <c r="J18" s="208"/>
      <c r="K18" s="208"/>
    </row>
    <row r="19" spans="1:11" s="207" customFormat="1" ht="15.6" x14ac:dyDescent="0.3">
      <c r="A19" s="933" t="s">
        <v>1021</v>
      </c>
      <c r="B19" s="933"/>
      <c r="C19" s="933"/>
      <c r="D19" s="933"/>
      <c r="E19" s="933"/>
      <c r="F19" s="933"/>
      <c r="G19" s="933"/>
      <c r="H19" s="933"/>
      <c r="I19" s="933"/>
      <c r="J19" s="933"/>
      <c r="K19" s="933"/>
    </row>
    <row r="20" spans="1:11" s="207" customFormat="1" ht="31.2" x14ac:dyDescent="0.3">
      <c r="A20" s="209" t="s">
        <v>1022</v>
      </c>
      <c r="B20" s="210" t="s">
        <v>874</v>
      </c>
      <c r="C20" s="211">
        <v>0</v>
      </c>
      <c r="D20" s="213"/>
      <c r="E20" s="213"/>
      <c r="F20" s="213"/>
      <c r="G20" s="211">
        <v>120</v>
      </c>
      <c r="H20" s="211">
        <v>120</v>
      </c>
      <c r="I20" s="211">
        <v>120</v>
      </c>
      <c r="J20" s="211">
        <v>120</v>
      </c>
      <c r="K20" s="211">
        <v>120</v>
      </c>
    </row>
    <row r="21" spans="1:11" s="207" customFormat="1" ht="46.8" x14ac:dyDescent="0.3">
      <c r="A21" s="209" t="s">
        <v>1023</v>
      </c>
      <c r="B21" s="210" t="s">
        <v>874</v>
      </c>
      <c r="C21" s="211">
        <v>0</v>
      </c>
      <c r="D21" s="213"/>
      <c r="E21" s="213"/>
      <c r="F21" s="213"/>
      <c r="G21" s="211">
        <v>1</v>
      </c>
      <c r="H21" s="211">
        <v>1</v>
      </c>
      <c r="I21" s="211">
        <v>1</v>
      </c>
      <c r="J21" s="211">
        <v>1</v>
      </c>
      <c r="K21" s="211">
        <v>1</v>
      </c>
    </row>
    <row r="22" spans="1:11" s="207" customFormat="1" ht="46.8" x14ac:dyDescent="0.3">
      <c r="A22" s="209" t="s">
        <v>1024</v>
      </c>
      <c r="B22" s="210" t="s">
        <v>874</v>
      </c>
      <c r="C22" s="211">
        <v>0</v>
      </c>
      <c r="D22" s="213"/>
      <c r="E22" s="213"/>
      <c r="F22" s="213"/>
      <c r="G22" s="211">
        <v>0</v>
      </c>
      <c r="H22" s="211">
        <v>0</v>
      </c>
      <c r="I22" s="211">
        <v>0</v>
      </c>
      <c r="J22" s="211">
        <v>0</v>
      </c>
      <c r="K22" s="211">
        <v>0</v>
      </c>
    </row>
    <row r="23" spans="1:11" s="207" customFormat="1" ht="46.8" x14ac:dyDescent="0.3">
      <c r="A23" s="209" t="s">
        <v>1025</v>
      </c>
      <c r="B23" s="210" t="s">
        <v>874</v>
      </c>
      <c r="C23" s="210">
        <v>0</v>
      </c>
      <c r="D23" s="214"/>
      <c r="E23" s="214"/>
      <c r="F23" s="214"/>
      <c r="G23" s="210">
        <v>0</v>
      </c>
      <c r="H23" s="210">
        <v>0</v>
      </c>
      <c r="I23" s="210">
        <v>0</v>
      </c>
      <c r="J23" s="210">
        <v>0</v>
      </c>
      <c r="K23" s="210">
        <v>0</v>
      </c>
    </row>
    <row r="24" spans="1:11" s="215" customFormat="1" x14ac:dyDescent="0.3"/>
  </sheetData>
  <mergeCells count="11">
    <mergeCell ref="A13:K13"/>
    <mergeCell ref="A19:K19"/>
    <mergeCell ref="A1:K1"/>
    <mergeCell ref="A3:G3"/>
    <mergeCell ref="A5:K5"/>
    <mergeCell ref="A9:K9"/>
    <mergeCell ref="A10:A12"/>
    <mergeCell ref="C10:C11"/>
    <mergeCell ref="D10:F10"/>
    <mergeCell ref="G10:K11"/>
    <mergeCell ref="D11:F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&amp;CDunaharaszti Város Önkormányzat 2018. évi zárszámadás&amp;R&amp;A</oddHeader>
    <oddFooter>&amp;C&amp;P/&amp;N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9"/>
  <sheetViews>
    <sheetView view="pageBreakPreview" zoomScale="60" zoomScaleNormal="100" workbookViewId="0">
      <selection activeCell="D23" sqref="D23"/>
    </sheetView>
  </sheetViews>
  <sheetFormatPr defaultRowHeight="14.4" x14ac:dyDescent="0.3"/>
  <cols>
    <col min="1" max="1" width="50.88671875" customWidth="1"/>
    <col min="2" max="2" width="12.6640625" customWidth="1"/>
    <col min="5" max="5" width="11.109375" customWidth="1"/>
  </cols>
  <sheetData>
    <row r="1" spans="1:6" ht="37.5" customHeight="1" x14ac:dyDescent="0.35">
      <c r="A1" s="938" t="s">
        <v>1478</v>
      </c>
      <c r="B1" s="939"/>
      <c r="C1" s="939"/>
      <c r="D1" s="939"/>
      <c r="E1" s="939"/>
      <c r="F1" s="939"/>
    </row>
    <row r="2" spans="1:6" x14ac:dyDescent="0.3">
      <c r="A2" s="172"/>
      <c r="B2" s="172"/>
      <c r="C2" s="172"/>
      <c r="D2" s="174"/>
      <c r="E2" s="174"/>
      <c r="F2" s="174"/>
    </row>
    <row r="3" spans="1:6" ht="18" x14ac:dyDescent="0.3">
      <c r="A3" s="940"/>
      <c r="B3" s="940"/>
      <c r="C3" s="940"/>
      <c r="D3" s="940"/>
      <c r="E3" s="174"/>
      <c r="F3" s="174"/>
    </row>
    <row r="4" spans="1:6" x14ac:dyDescent="0.3">
      <c r="A4" s="174"/>
      <c r="B4" s="174"/>
      <c r="C4" s="174"/>
      <c r="D4" s="174"/>
      <c r="E4" s="174"/>
      <c r="F4" s="174"/>
    </row>
    <row r="5" spans="1:6" ht="15.6" x14ac:dyDescent="0.3">
      <c r="A5" s="935" t="s">
        <v>1479</v>
      </c>
      <c r="B5" s="935"/>
      <c r="C5" s="935"/>
      <c r="D5" s="935"/>
      <c r="E5" s="935"/>
      <c r="F5" s="935"/>
    </row>
    <row r="6" spans="1:6" ht="15.6" x14ac:dyDescent="0.3">
      <c r="A6" s="532" t="s">
        <v>1480</v>
      </c>
      <c r="B6" s="532"/>
      <c r="C6" s="532"/>
      <c r="D6" s="174"/>
      <c r="E6" s="174"/>
      <c r="F6" s="174"/>
    </row>
    <row r="7" spans="1:6" ht="15.6" x14ac:dyDescent="0.3">
      <c r="A7" s="532"/>
      <c r="B7" s="532"/>
      <c r="C7" s="532"/>
      <c r="D7" s="174"/>
      <c r="E7" s="174"/>
      <c r="F7" s="174"/>
    </row>
    <row r="8" spans="1:6" ht="15.6" x14ac:dyDescent="0.3">
      <c r="A8" s="533" t="s">
        <v>1481</v>
      </c>
      <c r="B8" s="533"/>
      <c r="C8" s="533"/>
      <c r="D8" s="174"/>
      <c r="E8" s="174"/>
      <c r="F8" s="174"/>
    </row>
    <row r="9" spans="1:6" ht="17.399999999999999" x14ac:dyDescent="0.35">
      <c r="A9" s="941"/>
      <c r="B9" s="941"/>
      <c r="C9" s="941"/>
      <c r="D9" s="941"/>
      <c r="E9" s="941"/>
      <c r="F9" s="941"/>
    </row>
    <row r="10" spans="1:6" s="207" customFormat="1" ht="31.5" customHeight="1" x14ac:dyDescent="0.3">
      <c r="A10" s="942" t="s">
        <v>1008</v>
      </c>
      <c r="B10" s="943" t="s">
        <v>872</v>
      </c>
      <c r="C10" s="942" t="s">
        <v>652</v>
      </c>
      <c r="D10" s="946" t="s">
        <v>1011</v>
      </c>
      <c r="E10" s="947"/>
      <c r="F10" s="948"/>
    </row>
    <row r="11" spans="1:6" s="207" customFormat="1" ht="15.6" x14ac:dyDescent="0.3">
      <c r="A11" s="942"/>
      <c r="B11" s="944"/>
      <c r="C11" s="942"/>
      <c r="D11" s="949"/>
      <c r="E11" s="950"/>
      <c r="F11" s="951"/>
    </row>
    <row r="12" spans="1:6" s="207" customFormat="1" ht="15.6" x14ac:dyDescent="0.3">
      <c r="A12" s="942"/>
      <c r="B12" s="945"/>
      <c r="C12" s="534">
        <v>2017</v>
      </c>
      <c r="D12" s="534">
        <v>2018</v>
      </c>
      <c r="E12" s="534">
        <v>2019</v>
      </c>
      <c r="F12" s="534">
        <v>2020</v>
      </c>
    </row>
    <row r="13" spans="1:6" s="207" customFormat="1" ht="31.2" x14ac:dyDescent="0.3">
      <c r="A13" s="535" t="s">
        <v>1482</v>
      </c>
      <c r="B13" s="536" t="s">
        <v>1483</v>
      </c>
      <c r="C13" s="537">
        <v>958</v>
      </c>
      <c r="D13" s="537">
        <v>958</v>
      </c>
      <c r="E13" s="537">
        <v>958</v>
      </c>
      <c r="F13" s="537">
        <v>958</v>
      </c>
    </row>
    <row r="14" spans="1:6" s="207" customFormat="1" ht="18.75" customHeight="1" x14ac:dyDescent="0.3">
      <c r="A14" s="535" t="s">
        <v>1484</v>
      </c>
      <c r="B14" s="536" t="s">
        <v>875</v>
      </c>
      <c r="C14" s="537">
        <v>3</v>
      </c>
      <c r="D14" s="537">
        <v>3</v>
      </c>
      <c r="E14" s="537">
        <v>3</v>
      </c>
      <c r="F14" s="537">
        <v>3</v>
      </c>
    </row>
    <row r="15" spans="1:6" s="207" customFormat="1" ht="18.75" customHeight="1" x14ac:dyDescent="0.3">
      <c r="A15" s="535" t="s">
        <v>1485</v>
      </c>
      <c r="B15" s="536" t="s">
        <v>875</v>
      </c>
      <c r="C15" s="537">
        <v>4</v>
      </c>
      <c r="D15" s="537">
        <v>4</v>
      </c>
      <c r="E15" s="537">
        <v>4</v>
      </c>
      <c r="F15" s="537">
        <v>4</v>
      </c>
    </row>
    <row r="16" spans="1:6" s="207" customFormat="1" ht="18.75" customHeight="1" x14ac:dyDescent="0.3">
      <c r="A16" s="535" t="s">
        <v>1486</v>
      </c>
      <c r="B16" s="536" t="s">
        <v>1487</v>
      </c>
      <c r="C16" s="537">
        <v>6</v>
      </c>
      <c r="D16" s="537">
        <v>6</v>
      </c>
      <c r="E16" s="537">
        <v>6</v>
      </c>
      <c r="F16" s="537">
        <v>6</v>
      </c>
    </row>
    <row r="17" spans="1:6" s="207" customFormat="1" ht="18.75" customHeight="1" x14ac:dyDescent="0.3">
      <c r="A17" s="535" t="s">
        <v>1488</v>
      </c>
      <c r="B17" s="536" t="s">
        <v>1483</v>
      </c>
      <c r="C17" s="537">
        <v>1786</v>
      </c>
      <c r="D17" s="537">
        <v>1786</v>
      </c>
      <c r="E17" s="537">
        <v>1786</v>
      </c>
      <c r="F17" s="537">
        <v>1786</v>
      </c>
    </row>
    <row r="18" spans="1:6" s="207" customFormat="1" ht="18.75" customHeight="1" x14ac:dyDescent="0.3">
      <c r="A18" s="535" t="s">
        <v>1489</v>
      </c>
      <c r="B18" s="536" t="s">
        <v>1483</v>
      </c>
      <c r="C18" s="537">
        <v>38</v>
      </c>
      <c r="D18" s="537">
        <v>38</v>
      </c>
      <c r="E18" s="537">
        <v>38</v>
      </c>
      <c r="F18" s="537">
        <v>38</v>
      </c>
    </row>
    <row r="19" spans="1:6" s="215" customFormat="1" x14ac:dyDescent="0.3"/>
  </sheetData>
  <mergeCells count="8">
    <mergeCell ref="A1:F1"/>
    <mergeCell ref="A3:D3"/>
    <mergeCell ref="A5:F5"/>
    <mergeCell ref="A9:F9"/>
    <mergeCell ref="A10:A12"/>
    <mergeCell ref="B10:B12"/>
    <mergeCell ref="C10:C11"/>
    <mergeCell ref="D10:F11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6" orientation="portrait" verticalDpi="0" r:id="rId1"/>
  <headerFooter>
    <oddHeader>&amp;C Dunaharaszti Város Önkormányzata
2018. évi zárszámadás&amp;R&amp;A</oddHeader>
    <oddFooter>&amp;C&amp;P/&amp;N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4"/>
  <sheetViews>
    <sheetView view="pageBreakPreview" zoomScale="60" zoomScaleNormal="100" workbookViewId="0">
      <selection activeCell="H22" sqref="H22"/>
    </sheetView>
  </sheetViews>
  <sheetFormatPr defaultRowHeight="14.4" x14ac:dyDescent="0.3"/>
  <cols>
    <col min="1" max="1" width="49.109375" customWidth="1"/>
    <col min="2" max="2" width="12.6640625" customWidth="1"/>
    <col min="3" max="3" width="10.109375" customWidth="1"/>
    <col min="5" max="5" width="11.109375" customWidth="1"/>
  </cols>
  <sheetData>
    <row r="1" spans="1:8" ht="37.5" customHeight="1" x14ac:dyDescent="0.35">
      <c r="A1" s="938" t="s">
        <v>1497</v>
      </c>
      <c r="B1" s="938"/>
      <c r="C1" s="938"/>
      <c r="D1" s="938"/>
      <c r="E1" s="938"/>
      <c r="F1" s="938"/>
      <c r="G1" s="938"/>
      <c r="H1" s="938"/>
    </row>
    <row r="2" spans="1:8" x14ac:dyDescent="0.3">
      <c r="A2" s="172"/>
      <c r="B2" s="172"/>
      <c r="C2" s="172"/>
      <c r="D2" s="174"/>
      <c r="E2" s="174"/>
      <c r="F2" s="174"/>
    </row>
    <row r="3" spans="1:8" ht="18" x14ac:dyDescent="0.3">
      <c r="A3" s="940"/>
      <c r="B3" s="940"/>
      <c r="C3" s="940"/>
      <c r="D3" s="940"/>
      <c r="E3" s="174"/>
      <c r="F3" s="174"/>
    </row>
    <row r="4" spans="1:8" x14ac:dyDescent="0.3">
      <c r="A4" s="174"/>
      <c r="B4" s="174"/>
      <c r="C4" s="174"/>
      <c r="D4" s="174"/>
      <c r="E4" s="174"/>
      <c r="F4" s="174"/>
    </row>
    <row r="5" spans="1:8" ht="15.6" x14ac:dyDescent="0.3">
      <c r="A5" s="935" t="s">
        <v>1498</v>
      </c>
      <c r="B5" s="935"/>
      <c r="C5" s="935"/>
      <c r="D5" s="935"/>
      <c r="E5" s="935"/>
      <c r="F5" s="935"/>
    </row>
    <row r="6" spans="1:8" ht="15.6" x14ac:dyDescent="0.3">
      <c r="A6" s="532" t="s">
        <v>1499</v>
      </c>
      <c r="B6" s="532"/>
      <c r="C6" s="532"/>
      <c r="D6" s="174"/>
      <c r="E6" s="174"/>
      <c r="F6" s="174"/>
    </row>
    <row r="7" spans="1:8" ht="15.6" x14ac:dyDescent="0.3">
      <c r="A7" s="532"/>
      <c r="B7" s="532"/>
      <c r="C7" s="532"/>
      <c r="D7" s="174"/>
      <c r="E7" s="174"/>
      <c r="F7" s="174"/>
    </row>
    <row r="8" spans="1:8" ht="15.6" x14ac:dyDescent="0.3">
      <c r="A8" s="533" t="s">
        <v>1481</v>
      </c>
      <c r="B8" s="533"/>
      <c r="C8" s="533"/>
      <c r="D8" s="174"/>
      <c r="E8" s="174"/>
      <c r="F8" s="174"/>
    </row>
    <row r="9" spans="1:8" ht="17.399999999999999" x14ac:dyDescent="0.35">
      <c r="A9" s="941"/>
      <c r="B9" s="941"/>
      <c r="C9" s="941"/>
      <c r="D9" s="941"/>
      <c r="E9" s="941"/>
      <c r="F9" s="941"/>
    </row>
    <row r="10" spans="1:8" s="207" customFormat="1" ht="17.25" customHeight="1" x14ac:dyDescent="0.3">
      <c r="A10" s="942" t="s">
        <v>1008</v>
      </c>
      <c r="B10" s="943" t="s">
        <v>872</v>
      </c>
      <c r="C10" s="942" t="s">
        <v>652</v>
      </c>
      <c r="D10" s="946" t="s">
        <v>1011</v>
      </c>
      <c r="E10" s="947"/>
      <c r="F10" s="947"/>
      <c r="G10" s="947"/>
      <c r="H10" s="948"/>
    </row>
    <row r="11" spans="1:8" s="207" customFormat="1" ht="15.6" x14ac:dyDescent="0.3">
      <c r="A11" s="942"/>
      <c r="B11" s="944"/>
      <c r="C11" s="942"/>
      <c r="D11" s="949"/>
      <c r="E11" s="950"/>
      <c r="F11" s="950"/>
      <c r="G11" s="950"/>
      <c r="H11" s="951"/>
    </row>
    <row r="12" spans="1:8" s="207" customFormat="1" ht="15.6" x14ac:dyDescent="0.3">
      <c r="A12" s="942"/>
      <c r="B12" s="945"/>
      <c r="C12" s="534">
        <v>2018</v>
      </c>
      <c r="D12" s="534">
        <v>2019</v>
      </c>
      <c r="E12" s="534">
        <v>2020</v>
      </c>
      <c r="F12" s="534">
        <v>2021</v>
      </c>
      <c r="G12" s="534">
        <v>2022</v>
      </c>
      <c r="H12" s="534">
        <v>2023</v>
      </c>
    </row>
    <row r="13" spans="1:8" s="207" customFormat="1" ht="21" customHeight="1" x14ac:dyDescent="0.3">
      <c r="A13" s="535" t="s">
        <v>1500</v>
      </c>
      <c r="B13" s="536" t="s">
        <v>1501</v>
      </c>
      <c r="C13" s="537">
        <v>2</v>
      </c>
      <c r="D13" s="537">
        <v>2</v>
      </c>
      <c r="E13" s="537">
        <v>2</v>
      </c>
      <c r="F13" s="537">
        <v>2</v>
      </c>
      <c r="G13" s="537">
        <v>2</v>
      </c>
      <c r="H13" s="537">
        <v>2</v>
      </c>
    </row>
    <row r="14" spans="1:8" s="215" customFormat="1" x14ac:dyDescent="0.3"/>
  </sheetData>
  <mergeCells count="8">
    <mergeCell ref="A1:H1"/>
    <mergeCell ref="A3:D3"/>
    <mergeCell ref="A5:F5"/>
    <mergeCell ref="A9:F9"/>
    <mergeCell ref="A10:A12"/>
    <mergeCell ref="B10:B12"/>
    <mergeCell ref="C10:C11"/>
    <mergeCell ref="D10:H11"/>
  </mergeCells>
  <printOptions horizontalCentered="1"/>
  <pageMargins left="0.70866141732283472" right="0.70866141732283472" top="1.1417322834645669" bottom="0.74803149606299213" header="0.31496062992125984" footer="0.31496062992125984"/>
  <pageSetup paperSize="9" scale="73" orientation="portrait" verticalDpi="0" r:id="rId1"/>
  <headerFooter>
    <oddHeader>&amp;CDunaharaszti Város Önkormányzata
2018. évi zárszámadás&amp;R&amp;A</oddHeader>
    <oddFooter>&amp;C&amp;P/&amp;N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6"/>
  <sheetViews>
    <sheetView view="pageBreakPreview" zoomScale="80" zoomScaleNormal="100" zoomScaleSheetLayoutView="80" workbookViewId="0">
      <selection activeCell="P27" sqref="P27"/>
    </sheetView>
  </sheetViews>
  <sheetFormatPr defaultRowHeight="14.4" x14ac:dyDescent="0.3"/>
  <cols>
    <col min="1" max="1" width="49.109375" customWidth="1"/>
    <col min="2" max="2" width="12.6640625" customWidth="1"/>
    <col min="3" max="3" width="13.33203125" customWidth="1"/>
    <col min="4" max="16" width="11.88671875" bestFit="1" customWidth="1"/>
    <col min="17" max="17" width="13.109375" bestFit="1" customWidth="1"/>
    <col min="18" max="18" width="11.88671875" bestFit="1" customWidth="1"/>
  </cols>
  <sheetData>
    <row r="1" spans="1:18" ht="37.5" customHeight="1" x14ac:dyDescent="0.35">
      <c r="A1" s="938" t="s">
        <v>1509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</row>
    <row r="2" spans="1:18" x14ac:dyDescent="0.3">
      <c r="A2" s="172"/>
      <c r="B2" s="172"/>
      <c r="C2" s="172"/>
      <c r="D2" s="174"/>
      <c r="E2" s="174"/>
      <c r="F2" s="174"/>
    </row>
    <row r="3" spans="1:18" ht="18" x14ac:dyDescent="0.3">
      <c r="A3" s="940"/>
      <c r="B3" s="940"/>
      <c r="C3" s="940"/>
      <c r="D3" s="940"/>
      <c r="E3" s="174"/>
      <c r="F3" s="174"/>
    </row>
    <row r="4" spans="1:18" x14ac:dyDescent="0.3">
      <c r="A4" s="174"/>
      <c r="B4" s="174"/>
      <c r="C4" s="174"/>
      <c r="D4" s="174"/>
      <c r="E4" s="174"/>
      <c r="F4" s="174"/>
    </row>
    <row r="5" spans="1:18" ht="15.6" x14ac:dyDescent="0.3">
      <c r="A5" s="935" t="s">
        <v>1510</v>
      </c>
      <c r="B5" s="935"/>
      <c r="C5" s="935"/>
      <c r="D5" s="935"/>
      <c r="E5" s="935"/>
      <c r="F5" s="935"/>
    </row>
    <row r="6" spans="1:18" ht="15.6" x14ac:dyDescent="0.3">
      <c r="A6" s="532" t="s">
        <v>1511</v>
      </c>
      <c r="B6" s="532"/>
      <c r="C6" s="532"/>
      <c r="D6" s="174"/>
      <c r="E6" s="174"/>
      <c r="F6" s="174"/>
    </row>
    <row r="7" spans="1:18" ht="15.6" x14ac:dyDescent="0.3">
      <c r="A7" s="532"/>
      <c r="B7" s="532"/>
      <c r="C7" s="532"/>
      <c r="D7" s="174"/>
      <c r="E7" s="174"/>
      <c r="F7" s="174"/>
    </row>
    <row r="8" spans="1:18" ht="15.6" x14ac:dyDescent="0.3">
      <c r="A8" s="533" t="s">
        <v>1481</v>
      </c>
      <c r="B8" s="533"/>
      <c r="C8" s="533"/>
      <c r="D8" s="174"/>
      <c r="E8" s="174"/>
      <c r="F8" s="174"/>
    </row>
    <row r="9" spans="1:18" ht="17.399999999999999" x14ac:dyDescent="0.35">
      <c r="A9" s="941"/>
      <c r="B9" s="941"/>
      <c r="C9" s="941"/>
      <c r="D9" s="941"/>
      <c r="E9" s="941"/>
      <c r="F9" s="941"/>
    </row>
    <row r="10" spans="1:18" s="207" customFormat="1" ht="31.5" customHeight="1" x14ac:dyDescent="0.3">
      <c r="A10" s="942" t="s">
        <v>1008</v>
      </c>
      <c r="B10" s="943" t="s">
        <v>872</v>
      </c>
      <c r="C10" s="942" t="s">
        <v>652</v>
      </c>
      <c r="D10" s="946" t="s">
        <v>1011</v>
      </c>
      <c r="E10" s="947"/>
      <c r="F10" s="947"/>
      <c r="G10" s="947"/>
      <c r="H10" s="947"/>
      <c r="I10" s="947"/>
      <c r="J10" s="947"/>
      <c r="K10" s="947"/>
      <c r="L10" s="947"/>
      <c r="M10" s="947"/>
      <c r="N10" s="947"/>
      <c r="O10" s="947"/>
      <c r="P10" s="947"/>
      <c r="Q10" s="947"/>
      <c r="R10" s="948"/>
    </row>
    <row r="11" spans="1:18" s="207" customFormat="1" ht="15.6" x14ac:dyDescent="0.3">
      <c r="A11" s="942"/>
      <c r="B11" s="944"/>
      <c r="C11" s="942"/>
      <c r="D11" s="949"/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1"/>
    </row>
    <row r="12" spans="1:18" s="207" customFormat="1" ht="15.6" x14ac:dyDescent="0.3">
      <c r="A12" s="942"/>
      <c r="B12" s="945"/>
      <c r="C12" s="534">
        <v>2018</v>
      </c>
      <c r="D12" s="534">
        <v>2019</v>
      </c>
      <c r="E12" s="534">
        <v>2020</v>
      </c>
      <c r="F12" s="534">
        <v>2021</v>
      </c>
      <c r="G12" s="534">
        <v>2022</v>
      </c>
      <c r="H12" s="534">
        <v>2023</v>
      </c>
      <c r="I12" s="534">
        <v>2024</v>
      </c>
      <c r="J12" s="534">
        <v>2025</v>
      </c>
      <c r="K12" s="534">
        <v>2026</v>
      </c>
      <c r="L12" s="534">
        <v>2027</v>
      </c>
      <c r="M12" s="534">
        <v>2028</v>
      </c>
      <c r="N12" s="534">
        <v>2029</v>
      </c>
      <c r="O12" s="534">
        <v>2030</v>
      </c>
      <c r="P12" s="534">
        <v>2031</v>
      </c>
      <c r="Q12" s="534">
        <v>2032</v>
      </c>
      <c r="R12" s="534">
        <v>2033</v>
      </c>
    </row>
    <row r="13" spans="1:18" s="207" customFormat="1" ht="20.25" customHeight="1" x14ac:dyDescent="0.3">
      <c r="A13" s="535" t="s">
        <v>1512</v>
      </c>
      <c r="B13" s="536" t="s">
        <v>876</v>
      </c>
      <c r="C13" s="537">
        <v>1190</v>
      </c>
      <c r="D13" s="537">
        <v>1190</v>
      </c>
      <c r="E13" s="537">
        <v>1190</v>
      </c>
      <c r="F13" s="537">
        <v>1190</v>
      </c>
      <c r="G13" s="537">
        <v>1190</v>
      </c>
      <c r="H13" s="537">
        <v>1190</v>
      </c>
      <c r="I13" s="537">
        <v>1190</v>
      </c>
      <c r="J13" s="537">
        <v>1190</v>
      </c>
      <c r="K13" s="537">
        <v>1190</v>
      </c>
      <c r="L13" s="537">
        <v>1190</v>
      </c>
      <c r="M13" s="537">
        <v>1190</v>
      </c>
      <c r="N13" s="537">
        <v>1190</v>
      </c>
      <c r="O13" s="537">
        <v>1190</v>
      </c>
      <c r="P13" s="537">
        <v>1190</v>
      </c>
      <c r="Q13" s="537">
        <v>1190</v>
      </c>
      <c r="R13" s="537">
        <v>1190</v>
      </c>
    </row>
    <row r="14" spans="1:18" s="207" customFormat="1" ht="20.25" customHeight="1" x14ac:dyDescent="0.3">
      <c r="A14" s="535" t="s">
        <v>1513</v>
      </c>
      <c r="B14" s="536" t="s">
        <v>877</v>
      </c>
      <c r="C14" s="538">
        <v>4499000</v>
      </c>
      <c r="D14" s="538">
        <v>4543990</v>
      </c>
      <c r="E14" s="538">
        <v>4566710</v>
      </c>
      <c r="F14" s="538">
        <v>4589543</v>
      </c>
      <c r="G14" s="538">
        <v>4612491</v>
      </c>
      <c r="H14" s="538">
        <v>4635553</v>
      </c>
      <c r="I14" s="538">
        <v>4658731</v>
      </c>
      <c r="J14" s="538">
        <v>4682025</v>
      </c>
      <c r="K14" s="538">
        <v>4705435</v>
      </c>
      <c r="L14" s="538">
        <v>4728962</v>
      </c>
      <c r="M14" s="538">
        <v>4752607</v>
      </c>
      <c r="N14" s="538">
        <v>4776370</v>
      </c>
      <c r="O14" s="538">
        <v>4800252</v>
      </c>
      <c r="P14" s="538">
        <v>4824253</v>
      </c>
      <c r="Q14" s="538">
        <v>48484374</v>
      </c>
      <c r="R14" s="538">
        <v>4872616</v>
      </c>
    </row>
    <row r="15" spans="1:18" s="207" customFormat="1" ht="20.25" customHeight="1" x14ac:dyDescent="0.3">
      <c r="A15" s="535" t="s">
        <v>1514</v>
      </c>
      <c r="B15" s="536" t="s">
        <v>1483</v>
      </c>
      <c r="C15" s="537">
        <v>50</v>
      </c>
      <c r="D15" s="537">
        <v>50</v>
      </c>
      <c r="E15" s="537">
        <v>50</v>
      </c>
      <c r="F15" s="537">
        <v>50</v>
      </c>
      <c r="G15" s="537">
        <v>50</v>
      </c>
      <c r="H15" s="537">
        <v>50</v>
      </c>
      <c r="I15" s="537">
        <v>50</v>
      </c>
      <c r="J15" s="537">
        <v>50</v>
      </c>
      <c r="K15" s="537">
        <v>50</v>
      </c>
      <c r="L15" s="537">
        <v>50</v>
      </c>
      <c r="M15" s="537">
        <v>50</v>
      </c>
      <c r="N15" s="537">
        <v>50</v>
      </c>
      <c r="O15" s="537">
        <v>50</v>
      </c>
      <c r="P15" s="537">
        <v>50</v>
      </c>
      <c r="Q15" s="537">
        <v>50</v>
      </c>
      <c r="R15" s="537">
        <v>50</v>
      </c>
    </row>
    <row r="16" spans="1:18" s="215" customFormat="1" x14ac:dyDescent="0.3"/>
  </sheetData>
  <mergeCells count="8">
    <mergeCell ref="A1:R1"/>
    <mergeCell ref="A3:D3"/>
    <mergeCell ref="A5:F5"/>
    <mergeCell ref="A9:F9"/>
    <mergeCell ref="A10:A12"/>
    <mergeCell ref="B10:B12"/>
    <mergeCell ref="C10:C11"/>
    <mergeCell ref="D10:R1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1" orientation="landscape" r:id="rId1"/>
  <headerFooter>
    <oddHeader>&amp;CDunaharaszti Város Önkormányzata
2018. évi zárszámadás&amp;R&amp;A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0"/>
  <sheetViews>
    <sheetView view="pageBreakPreview" topLeftCell="A229" zoomScale="80" zoomScaleNormal="50" zoomScaleSheetLayoutView="80" zoomScalePageLayoutView="78" workbookViewId="0">
      <selection activeCell="C224" sqref="C224"/>
    </sheetView>
  </sheetViews>
  <sheetFormatPr defaultColWidth="9.109375" defaultRowHeight="14.4" x14ac:dyDescent="0.3"/>
  <cols>
    <col min="1" max="1" width="9.109375" style="1"/>
    <col min="2" max="2" width="102.6640625" style="1" customWidth="1"/>
    <col min="3" max="3" width="33" style="179" customWidth="1"/>
    <col min="4" max="4" width="40.109375" style="1" customWidth="1"/>
    <col min="5" max="5" width="24.44140625" style="1" bestFit="1" customWidth="1"/>
    <col min="6" max="6" width="71.44140625" style="1" customWidth="1"/>
    <col min="7" max="7" width="28.44140625" style="1" customWidth="1"/>
    <col min="8" max="8" width="21" style="1" bestFit="1" customWidth="1"/>
    <col min="9" max="258" width="9.109375" style="1"/>
    <col min="259" max="259" width="96.33203125" style="1" customWidth="1"/>
    <col min="260" max="260" width="33" style="1" customWidth="1"/>
    <col min="261" max="261" width="22.5546875" style="1" customWidth="1"/>
    <col min="262" max="262" width="13.44140625" style="1" bestFit="1" customWidth="1"/>
    <col min="263" max="514" width="9.109375" style="1"/>
    <col min="515" max="515" width="96.33203125" style="1" customWidth="1"/>
    <col min="516" max="516" width="33" style="1" customWidth="1"/>
    <col min="517" max="517" width="22.5546875" style="1" customWidth="1"/>
    <col min="518" max="518" width="13.44140625" style="1" bestFit="1" customWidth="1"/>
    <col min="519" max="770" width="9.109375" style="1"/>
    <col min="771" max="771" width="96.33203125" style="1" customWidth="1"/>
    <col min="772" max="772" width="33" style="1" customWidth="1"/>
    <col min="773" max="773" width="22.5546875" style="1" customWidth="1"/>
    <col min="774" max="774" width="13.44140625" style="1" bestFit="1" customWidth="1"/>
    <col min="775" max="1026" width="9.109375" style="1"/>
    <col min="1027" max="1027" width="96.33203125" style="1" customWidth="1"/>
    <col min="1028" max="1028" width="33" style="1" customWidth="1"/>
    <col min="1029" max="1029" width="22.5546875" style="1" customWidth="1"/>
    <col min="1030" max="1030" width="13.44140625" style="1" bestFit="1" customWidth="1"/>
    <col min="1031" max="1282" width="9.109375" style="1"/>
    <col min="1283" max="1283" width="96.33203125" style="1" customWidth="1"/>
    <col min="1284" max="1284" width="33" style="1" customWidth="1"/>
    <col min="1285" max="1285" width="22.5546875" style="1" customWidth="1"/>
    <col min="1286" max="1286" width="13.44140625" style="1" bestFit="1" customWidth="1"/>
    <col min="1287" max="1538" width="9.109375" style="1"/>
    <col min="1539" max="1539" width="96.33203125" style="1" customWidth="1"/>
    <col min="1540" max="1540" width="33" style="1" customWidth="1"/>
    <col min="1541" max="1541" width="22.5546875" style="1" customWidth="1"/>
    <col min="1542" max="1542" width="13.44140625" style="1" bestFit="1" customWidth="1"/>
    <col min="1543" max="1794" width="9.109375" style="1"/>
    <col min="1795" max="1795" width="96.33203125" style="1" customWidth="1"/>
    <col min="1796" max="1796" width="33" style="1" customWidth="1"/>
    <col min="1797" max="1797" width="22.5546875" style="1" customWidth="1"/>
    <col min="1798" max="1798" width="13.44140625" style="1" bestFit="1" customWidth="1"/>
    <col min="1799" max="2050" width="9.109375" style="1"/>
    <col min="2051" max="2051" width="96.33203125" style="1" customWidth="1"/>
    <col min="2052" max="2052" width="33" style="1" customWidth="1"/>
    <col min="2053" max="2053" width="22.5546875" style="1" customWidth="1"/>
    <col min="2054" max="2054" width="13.44140625" style="1" bestFit="1" customWidth="1"/>
    <col min="2055" max="2306" width="9.109375" style="1"/>
    <col min="2307" max="2307" width="96.33203125" style="1" customWidth="1"/>
    <col min="2308" max="2308" width="33" style="1" customWidth="1"/>
    <col min="2309" max="2309" width="22.5546875" style="1" customWidth="1"/>
    <col min="2310" max="2310" width="13.44140625" style="1" bestFit="1" customWidth="1"/>
    <col min="2311" max="2562" width="9.109375" style="1"/>
    <col min="2563" max="2563" width="96.33203125" style="1" customWidth="1"/>
    <col min="2564" max="2564" width="33" style="1" customWidth="1"/>
    <col min="2565" max="2565" width="22.5546875" style="1" customWidth="1"/>
    <col min="2566" max="2566" width="13.44140625" style="1" bestFit="1" customWidth="1"/>
    <col min="2567" max="2818" width="9.109375" style="1"/>
    <col min="2819" max="2819" width="96.33203125" style="1" customWidth="1"/>
    <col min="2820" max="2820" width="33" style="1" customWidth="1"/>
    <col min="2821" max="2821" width="22.5546875" style="1" customWidth="1"/>
    <col min="2822" max="2822" width="13.44140625" style="1" bestFit="1" customWidth="1"/>
    <col min="2823" max="3074" width="9.109375" style="1"/>
    <col min="3075" max="3075" width="96.33203125" style="1" customWidth="1"/>
    <col min="3076" max="3076" width="33" style="1" customWidth="1"/>
    <col min="3077" max="3077" width="22.5546875" style="1" customWidth="1"/>
    <col min="3078" max="3078" width="13.44140625" style="1" bestFit="1" customWidth="1"/>
    <col min="3079" max="3330" width="9.109375" style="1"/>
    <col min="3331" max="3331" width="96.33203125" style="1" customWidth="1"/>
    <col min="3332" max="3332" width="33" style="1" customWidth="1"/>
    <col min="3333" max="3333" width="22.5546875" style="1" customWidth="1"/>
    <col min="3334" max="3334" width="13.44140625" style="1" bestFit="1" customWidth="1"/>
    <col min="3335" max="3586" width="9.109375" style="1"/>
    <col min="3587" max="3587" width="96.33203125" style="1" customWidth="1"/>
    <col min="3588" max="3588" width="33" style="1" customWidth="1"/>
    <col min="3589" max="3589" width="22.5546875" style="1" customWidth="1"/>
    <col min="3590" max="3590" width="13.44140625" style="1" bestFit="1" customWidth="1"/>
    <col min="3591" max="3842" width="9.109375" style="1"/>
    <col min="3843" max="3843" width="96.33203125" style="1" customWidth="1"/>
    <col min="3844" max="3844" width="33" style="1" customWidth="1"/>
    <col min="3845" max="3845" width="22.5546875" style="1" customWidth="1"/>
    <col min="3846" max="3846" width="13.44140625" style="1" bestFit="1" customWidth="1"/>
    <col min="3847" max="4098" width="9.109375" style="1"/>
    <col min="4099" max="4099" width="96.33203125" style="1" customWidth="1"/>
    <col min="4100" max="4100" width="33" style="1" customWidth="1"/>
    <col min="4101" max="4101" width="22.5546875" style="1" customWidth="1"/>
    <col min="4102" max="4102" width="13.44140625" style="1" bestFit="1" customWidth="1"/>
    <col min="4103" max="4354" width="9.109375" style="1"/>
    <col min="4355" max="4355" width="96.33203125" style="1" customWidth="1"/>
    <col min="4356" max="4356" width="33" style="1" customWidth="1"/>
    <col min="4357" max="4357" width="22.5546875" style="1" customWidth="1"/>
    <col min="4358" max="4358" width="13.44140625" style="1" bestFit="1" customWidth="1"/>
    <col min="4359" max="4610" width="9.109375" style="1"/>
    <col min="4611" max="4611" width="96.33203125" style="1" customWidth="1"/>
    <col min="4612" max="4612" width="33" style="1" customWidth="1"/>
    <col min="4613" max="4613" width="22.5546875" style="1" customWidth="1"/>
    <col min="4614" max="4614" width="13.44140625" style="1" bestFit="1" customWidth="1"/>
    <col min="4615" max="4866" width="9.109375" style="1"/>
    <col min="4867" max="4867" width="96.33203125" style="1" customWidth="1"/>
    <col min="4868" max="4868" width="33" style="1" customWidth="1"/>
    <col min="4869" max="4869" width="22.5546875" style="1" customWidth="1"/>
    <col min="4870" max="4870" width="13.44140625" style="1" bestFit="1" customWidth="1"/>
    <col min="4871" max="5122" width="9.109375" style="1"/>
    <col min="5123" max="5123" width="96.33203125" style="1" customWidth="1"/>
    <col min="5124" max="5124" width="33" style="1" customWidth="1"/>
    <col min="5125" max="5125" width="22.5546875" style="1" customWidth="1"/>
    <col min="5126" max="5126" width="13.44140625" style="1" bestFit="1" customWidth="1"/>
    <col min="5127" max="5378" width="9.109375" style="1"/>
    <col min="5379" max="5379" width="96.33203125" style="1" customWidth="1"/>
    <col min="5380" max="5380" width="33" style="1" customWidth="1"/>
    <col min="5381" max="5381" width="22.5546875" style="1" customWidth="1"/>
    <col min="5382" max="5382" width="13.44140625" style="1" bestFit="1" customWidth="1"/>
    <col min="5383" max="5634" width="9.109375" style="1"/>
    <col min="5635" max="5635" width="96.33203125" style="1" customWidth="1"/>
    <col min="5636" max="5636" width="33" style="1" customWidth="1"/>
    <col min="5637" max="5637" width="22.5546875" style="1" customWidth="1"/>
    <col min="5638" max="5638" width="13.44140625" style="1" bestFit="1" customWidth="1"/>
    <col min="5639" max="5890" width="9.109375" style="1"/>
    <col min="5891" max="5891" width="96.33203125" style="1" customWidth="1"/>
    <col min="5892" max="5892" width="33" style="1" customWidth="1"/>
    <col min="5893" max="5893" width="22.5546875" style="1" customWidth="1"/>
    <col min="5894" max="5894" width="13.44140625" style="1" bestFit="1" customWidth="1"/>
    <col min="5895" max="6146" width="9.109375" style="1"/>
    <col min="6147" max="6147" width="96.33203125" style="1" customWidth="1"/>
    <col min="6148" max="6148" width="33" style="1" customWidth="1"/>
    <col min="6149" max="6149" width="22.5546875" style="1" customWidth="1"/>
    <col min="6150" max="6150" width="13.44140625" style="1" bestFit="1" customWidth="1"/>
    <col min="6151" max="6402" width="9.109375" style="1"/>
    <col min="6403" max="6403" width="96.33203125" style="1" customWidth="1"/>
    <col min="6404" max="6404" width="33" style="1" customWidth="1"/>
    <col min="6405" max="6405" width="22.5546875" style="1" customWidth="1"/>
    <col min="6406" max="6406" width="13.44140625" style="1" bestFit="1" customWidth="1"/>
    <col min="6407" max="6658" width="9.109375" style="1"/>
    <col min="6659" max="6659" width="96.33203125" style="1" customWidth="1"/>
    <col min="6660" max="6660" width="33" style="1" customWidth="1"/>
    <col min="6661" max="6661" width="22.5546875" style="1" customWidth="1"/>
    <col min="6662" max="6662" width="13.44140625" style="1" bestFit="1" customWidth="1"/>
    <col min="6663" max="6914" width="9.109375" style="1"/>
    <col min="6915" max="6915" width="96.33203125" style="1" customWidth="1"/>
    <col min="6916" max="6916" width="33" style="1" customWidth="1"/>
    <col min="6917" max="6917" width="22.5546875" style="1" customWidth="1"/>
    <col min="6918" max="6918" width="13.44140625" style="1" bestFit="1" customWidth="1"/>
    <col min="6919" max="7170" width="9.109375" style="1"/>
    <col min="7171" max="7171" width="96.33203125" style="1" customWidth="1"/>
    <col min="7172" max="7172" width="33" style="1" customWidth="1"/>
    <col min="7173" max="7173" width="22.5546875" style="1" customWidth="1"/>
    <col min="7174" max="7174" width="13.44140625" style="1" bestFit="1" customWidth="1"/>
    <col min="7175" max="7426" width="9.109375" style="1"/>
    <col min="7427" max="7427" width="96.33203125" style="1" customWidth="1"/>
    <col min="7428" max="7428" width="33" style="1" customWidth="1"/>
    <col min="7429" max="7429" width="22.5546875" style="1" customWidth="1"/>
    <col min="7430" max="7430" width="13.44140625" style="1" bestFit="1" customWidth="1"/>
    <col min="7431" max="7682" width="9.109375" style="1"/>
    <col min="7683" max="7683" width="96.33203125" style="1" customWidth="1"/>
    <col min="7684" max="7684" width="33" style="1" customWidth="1"/>
    <col min="7685" max="7685" width="22.5546875" style="1" customWidth="1"/>
    <col min="7686" max="7686" width="13.44140625" style="1" bestFit="1" customWidth="1"/>
    <col min="7687" max="7938" width="9.109375" style="1"/>
    <col min="7939" max="7939" width="96.33203125" style="1" customWidth="1"/>
    <col min="7940" max="7940" width="33" style="1" customWidth="1"/>
    <col min="7941" max="7941" width="22.5546875" style="1" customWidth="1"/>
    <col min="7942" max="7942" width="13.44140625" style="1" bestFit="1" customWidth="1"/>
    <col min="7943" max="8194" width="9.109375" style="1"/>
    <col min="8195" max="8195" width="96.33203125" style="1" customWidth="1"/>
    <col min="8196" max="8196" width="33" style="1" customWidth="1"/>
    <col min="8197" max="8197" width="22.5546875" style="1" customWidth="1"/>
    <col min="8198" max="8198" width="13.44140625" style="1" bestFit="1" customWidth="1"/>
    <col min="8199" max="8450" width="9.109375" style="1"/>
    <col min="8451" max="8451" width="96.33203125" style="1" customWidth="1"/>
    <col min="8452" max="8452" width="33" style="1" customWidth="1"/>
    <col min="8453" max="8453" width="22.5546875" style="1" customWidth="1"/>
    <col min="8454" max="8454" width="13.44140625" style="1" bestFit="1" customWidth="1"/>
    <col min="8455" max="8706" width="9.109375" style="1"/>
    <col min="8707" max="8707" width="96.33203125" style="1" customWidth="1"/>
    <col min="8708" max="8708" width="33" style="1" customWidth="1"/>
    <col min="8709" max="8709" width="22.5546875" style="1" customWidth="1"/>
    <col min="8710" max="8710" width="13.44140625" style="1" bestFit="1" customWidth="1"/>
    <col min="8711" max="8962" width="9.109375" style="1"/>
    <col min="8963" max="8963" width="96.33203125" style="1" customWidth="1"/>
    <col min="8964" max="8964" width="33" style="1" customWidth="1"/>
    <col min="8965" max="8965" width="22.5546875" style="1" customWidth="1"/>
    <col min="8966" max="8966" width="13.44140625" style="1" bestFit="1" customWidth="1"/>
    <col min="8967" max="9218" width="9.109375" style="1"/>
    <col min="9219" max="9219" width="96.33203125" style="1" customWidth="1"/>
    <col min="9220" max="9220" width="33" style="1" customWidth="1"/>
    <col min="9221" max="9221" width="22.5546875" style="1" customWidth="1"/>
    <col min="9222" max="9222" width="13.44140625" style="1" bestFit="1" customWidth="1"/>
    <col min="9223" max="9474" width="9.109375" style="1"/>
    <col min="9475" max="9475" width="96.33203125" style="1" customWidth="1"/>
    <col min="9476" max="9476" width="33" style="1" customWidth="1"/>
    <col min="9477" max="9477" width="22.5546875" style="1" customWidth="1"/>
    <col min="9478" max="9478" width="13.44140625" style="1" bestFit="1" customWidth="1"/>
    <col min="9479" max="9730" width="9.109375" style="1"/>
    <col min="9731" max="9731" width="96.33203125" style="1" customWidth="1"/>
    <col min="9732" max="9732" width="33" style="1" customWidth="1"/>
    <col min="9733" max="9733" width="22.5546875" style="1" customWidth="1"/>
    <col min="9734" max="9734" width="13.44140625" style="1" bestFit="1" customWidth="1"/>
    <col min="9735" max="9986" width="9.109375" style="1"/>
    <col min="9987" max="9987" width="96.33203125" style="1" customWidth="1"/>
    <col min="9988" max="9988" width="33" style="1" customWidth="1"/>
    <col min="9989" max="9989" width="22.5546875" style="1" customWidth="1"/>
    <col min="9990" max="9990" width="13.44140625" style="1" bestFit="1" customWidth="1"/>
    <col min="9991" max="10242" width="9.109375" style="1"/>
    <col min="10243" max="10243" width="96.33203125" style="1" customWidth="1"/>
    <col min="10244" max="10244" width="33" style="1" customWidth="1"/>
    <col min="10245" max="10245" width="22.5546875" style="1" customWidth="1"/>
    <col min="10246" max="10246" width="13.44140625" style="1" bestFit="1" customWidth="1"/>
    <col min="10247" max="10498" width="9.109375" style="1"/>
    <col min="10499" max="10499" width="96.33203125" style="1" customWidth="1"/>
    <col min="10500" max="10500" width="33" style="1" customWidth="1"/>
    <col min="10501" max="10501" width="22.5546875" style="1" customWidth="1"/>
    <col min="10502" max="10502" width="13.44140625" style="1" bestFit="1" customWidth="1"/>
    <col min="10503" max="10754" width="9.109375" style="1"/>
    <col min="10755" max="10755" width="96.33203125" style="1" customWidth="1"/>
    <col min="10756" max="10756" width="33" style="1" customWidth="1"/>
    <col min="10757" max="10757" width="22.5546875" style="1" customWidth="1"/>
    <col min="10758" max="10758" width="13.44140625" style="1" bestFit="1" customWidth="1"/>
    <col min="10759" max="11010" width="9.109375" style="1"/>
    <col min="11011" max="11011" width="96.33203125" style="1" customWidth="1"/>
    <col min="11012" max="11012" width="33" style="1" customWidth="1"/>
    <col min="11013" max="11013" width="22.5546875" style="1" customWidth="1"/>
    <col min="11014" max="11014" width="13.44140625" style="1" bestFit="1" customWidth="1"/>
    <col min="11015" max="11266" width="9.109375" style="1"/>
    <col min="11267" max="11267" width="96.33203125" style="1" customWidth="1"/>
    <col min="11268" max="11268" width="33" style="1" customWidth="1"/>
    <col min="11269" max="11269" width="22.5546875" style="1" customWidth="1"/>
    <col min="11270" max="11270" width="13.44140625" style="1" bestFit="1" customWidth="1"/>
    <col min="11271" max="11522" width="9.109375" style="1"/>
    <col min="11523" max="11523" width="96.33203125" style="1" customWidth="1"/>
    <col min="11524" max="11524" width="33" style="1" customWidth="1"/>
    <col min="11525" max="11525" width="22.5546875" style="1" customWidth="1"/>
    <col min="11526" max="11526" width="13.44140625" style="1" bestFit="1" customWidth="1"/>
    <col min="11527" max="11778" width="9.109375" style="1"/>
    <col min="11779" max="11779" width="96.33203125" style="1" customWidth="1"/>
    <col min="11780" max="11780" width="33" style="1" customWidth="1"/>
    <col min="11781" max="11781" width="22.5546875" style="1" customWidth="1"/>
    <col min="11782" max="11782" width="13.44140625" style="1" bestFit="1" customWidth="1"/>
    <col min="11783" max="12034" width="9.109375" style="1"/>
    <col min="12035" max="12035" width="96.33203125" style="1" customWidth="1"/>
    <col min="12036" max="12036" width="33" style="1" customWidth="1"/>
    <col min="12037" max="12037" width="22.5546875" style="1" customWidth="1"/>
    <col min="12038" max="12038" width="13.44140625" style="1" bestFit="1" customWidth="1"/>
    <col min="12039" max="12290" width="9.109375" style="1"/>
    <col min="12291" max="12291" width="96.33203125" style="1" customWidth="1"/>
    <col min="12292" max="12292" width="33" style="1" customWidth="1"/>
    <col min="12293" max="12293" width="22.5546875" style="1" customWidth="1"/>
    <col min="12294" max="12294" width="13.44140625" style="1" bestFit="1" customWidth="1"/>
    <col min="12295" max="12546" width="9.109375" style="1"/>
    <col min="12547" max="12547" width="96.33203125" style="1" customWidth="1"/>
    <col min="12548" max="12548" width="33" style="1" customWidth="1"/>
    <col min="12549" max="12549" width="22.5546875" style="1" customWidth="1"/>
    <col min="12550" max="12550" width="13.44140625" style="1" bestFit="1" customWidth="1"/>
    <col min="12551" max="12802" width="9.109375" style="1"/>
    <col min="12803" max="12803" width="96.33203125" style="1" customWidth="1"/>
    <col min="12804" max="12804" width="33" style="1" customWidth="1"/>
    <col min="12805" max="12805" width="22.5546875" style="1" customWidth="1"/>
    <col min="12806" max="12806" width="13.44140625" style="1" bestFit="1" customWidth="1"/>
    <col min="12807" max="13058" width="9.109375" style="1"/>
    <col min="13059" max="13059" width="96.33203125" style="1" customWidth="1"/>
    <col min="13060" max="13060" width="33" style="1" customWidth="1"/>
    <col min="13061" max="13061" width="22.5546875" style="1" customWidth="1"/>
    <col min="13062" max="13062" width="13.44140625" style="1" bestFit="1" customWidth="1"/>
    <col min="13063" max="13314" width="9.109375" style="1"/>
    <col min="13315" max="13315" width="96.33203125" style="1" customWidth="1"/>
    <col min="13316" max="13316" width="33" style="1" customWidth="1"/>
    <col min="13317" max="13317" width="22.5546875" style="1" customWidth="1"/>
    <col min="13318" max="13318" width="13.44140625" style="1" bestFit="1" customWidth="1"/>
    <col min="13319" max="13570" width="9.109375" style="1"/>
    <col min="13571" max="13571" width="96.33203125" style="1" customWidth="1"/>
    <col min="13572" max="13572" width="33" style="1" customWidth="1"/>
    <col min="13573" max="13573" width="22.5546875" style="1" customWidth="1"/>
    <col min="13574" max="13574" width="13.44140625" style="1" bestFit="1" customWidth="1"/>
    <col min="13575" max="13826" width="9.109375" style="1"/>
    <col min="13827" max="13827" width="96.33203125" style="1" customWidth="1"/>
    <col min="13828" max="13828" width="33" style="1" customWidth="1"/>
    <col min="13829" max="13829" width="22.5546875" style="1" customWidth="1"/>
    <col min="13830" max="13830" width="13.44140625" style="1" bestFit="1" customWidth="1"/>
    <col min="13831" max="14082" width="9.109375" style="1"/>
    <col min="14083" max="14083" width="96.33203125" style="1" customWidth="1"/>
    <col min="14084" max="14084" width="33" style="1" customWidth="1"/>
    <col min="14085" max="14085" width="22.5546875" style="1" customWidth="1"/>
    <col min="14086" max="14086" width="13.44140625" style="1" bestFit="1" customWidth="1"/>
    <col min="14087" max="14338" width="9.109375" style="1"/>
    <col min="14339" max="14339" width="96.33203125" style="1" customWidth="1"/>
    <col min="14340" max="14340" width="33" style="1" customWidth="1"/>
    <col min="14341" max="14341" width="22.5546875" style="1" customWidth="1"/>
    <col min="14342" max="14342" width="13.44140625" style="1" bestFit="1" customWidth="1"/>
    <col min="14343" max="14594" width="9.109375" style="1"/>
    <col min="14595" max="14595" width="96.33203125" style="1" customWidth="1"/>
    <col min="14596" max="14596" width="33" style="1" customWidth="1"/>
    <col min="14597" max="14597" width="22.5546875" style="1" customWidth="1"/>
    <col min="14598" max="14598" width="13.44140625" style="1" bestFit="1" customWidth="1"/>
    <col min="14599" max="14850" width="9.109375" style="1"/>
    <col min="14851" max="14851" width="96.33203125" style="1" customWidth="1"/>
    <col min="14852" max="14852" width="33" style="1" customWidth="1"/>
    <col min="14853" max="14853" width="22.5546875" style="1" customWidth="1"/>
    <col min="14854" max="14854" width="13.44140625" style="1" bestFit="1" customWidth="1"/>
    <col min="14855" max="15106" width="9.109375" style="1"/>
    <col min="15107" max="15107" width="96.33203125" style="1" customWidth="1"/>
    <col min="15108" max="15108" width="33" style="1" customWidth="1"/>
    <col min="15109" max="15109" width="22.5546875" style="1" customWidth="1"/>
    <col min="15110" max="15110" width="13.44140625" style="1" bestFit="1" customWidth="1"/>
    <col min="15111" max="15362" width="9.109375" style="1"/>
    <col min="15363" max="15363" width="96.33203125" style="1" customWidth="1"/>
    <col min="15364" max="15364" width="33" style="1" customWidth="1"/>
    <col min="15365" max="15365" width="22.5546875" style="1" customWidth="1"/>
    <col min="15366" max="15366" width="13.44140625" style="1" bestFit="1" customWidth="1"/>
    <col min="15367" max="15618" width="9.109375" style="1"/>
    <col min="15619" max="15619" width="96.33203125" style="1" customWidth="1"/>
    <col min="15620" max="15620" width="33" style="1" customWidth="1"/>
    <col min="15621" max="15621" width="22.5546875" style="1" customWidth="1"/>
    <col min="15622" max="15622" width="13.44140625" style="1" bestFit="1" customWidth="1"/>
    <col min="15623" max="15874" width="9.109375" style="1"/>
    <col min="15875" max="15875" width="96.33203125" style="1" customWidth="1"/>
    <col min="15876" max="15876" width="33" style="1" customWidth="1"/>
    <col min="15877" max="15877" width="22.5546875" style="1" customWidth="1"/>
    <col min="15878" max="15878" width="13.44140625" style="1" bestFit="1" customWidth="1"/>
    <col min="15879" max="16130" width="9.109375" style="1"/>
    <col min="16131" max="16131" width="96.33203125" style="1" customWidth="1"/>
    <col min="16132" max="16132" width="33" style="1" customWidth="1"/>
    <col min="16133" max="16133" width="22.5546875" style="1" customWidth="1"/>
    <col min="16134" max="16134" width="13.44140625" style="1" bestFit="1" customWidth="1"/>
    <col min="16135" max="16384" width="9.109375" style="1"/>
  </cols>
  <sheetData>
    <row r="1" spans="1:14" s="26" customFormat="1" ht="48.75" customHeight="1" x14ac:dyDescent="0.3">
      <c r="A1" s="785" t="s">
        <v>51</v>
      </c>
      <c r="B1" s="785"/>
      <c r="C1" s="785"/>
      <c r="D1" s="78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90" customFormat="1" ht="23.4" x14ac:dyDescent="0.45">
      <c r="A2" s="187"/>
      <c r="B2" s="188" t="s">
        <v>52</v>
      </c>
      <c r="C2" s="189"/>
      <c r="D2" s="286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23.4" x14ac:dyDescent="0.45">
      <c r="A3" s="269"/>
      <c r="B3" s="307" t="s">
        <v>53</v>
      </c>
      <c r="C3" s="308"/>
      <c r="D3" s="269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23.4" x14ac:dyDescent="0.45">
      <c r="A4" s="269"/>
      <c r="B4" s="181" t="s">
        <v>54</v>
      </c>
      <c r="C4" s="260" t="s">
        <v>55</v>
      </c>
      <c r="D4" s="266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23.25" customHeight="1" x14ac:dyDescent="0.45">
      <c r="A5" s="783" t="s">
        <v>56</v>
      </c>
      <c r="B5" s="30" t="s">
        <v>1112</v>
      </c>
      <c r="C5" s="261">
        <v>650000</v>
      </c>
      <c r="D5" s="794" t="s">
        <v>1035</v>
      </c>
      <c r="E5" s="27"/>
      <c r="F5" s="29">
        <f>SUM(C4:C6)</f>
        <v>962420</v>
      </c>
      <c r="G5" s="27"/>
      <c r="H5" s="27"/>
      <c r="I5" s="27"/>
      <c r="J5" s="27"/>
      <c r="K5" s="27"/>
      <c r="L5" s="27"/>
      <c r="M5" s="27"/>
      <c r="N5" s="27"/>
    </row>
    <row r="6" spans="1:14" ht="23.4" customHeight="1" x14ac:dyDescent="0.45">
      <c r="A6" s="783"/>
      <c r="B6" s="30" t="s">
        <v>1113</v>
      </c>
      <c r="C6" s="261">
        <v>312420</v>
      </c>
      <c r="D6" s="795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23.4" x14ac:dyDescent="0.45">
      <c r="A7" s="783"/>
      <c r="B7" s="30" t="s">
        <v>1114</v>
      </c>
      <c r="C7" s="261">
        <v>810788</v>
      </c>
      <c r="D7" s="795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23.4" x14ac:dyDescent="0.45">
      <c r="A8" s="783"/>
      <c r="B8" s="30" t="s">
        <v>1115</v>
      </c>
      <c r="C8" s="261">
        <v>76200</v>
      </c>
      <c r="D8" s="795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24.75" customHeight="1" x14ac:dyDescent="0.45">
      <c r="A9" s="783"/>
      <c r="B9" s="30" t="s">
        <v>1116</v>
      </c>
      <c r="C9" s="261">
        <v>114300</v>
      </c>
      <c r="D9" s="795"/>
      <c r="E9" s="27"/>
      <c r="F9" s="29" t="e">
        <f>+C6+C7+#REF!</f>
        <v>#REF!</v>
      </c>
      <c r="G9" s="27"/>
      <c r="H9" s="27"/>
      <c r="I9" s="27"/>
      <c r="J9" s="27"/>
      <c r="K9" s="27"/>
      <c r="L9" s="27"/>
      <c r="M9" s="27"/>
      <c r="N9" s="27"/>
    </row>
    <row r="10" spans="1:14" ht="23.4" x14ac:dyDescent="0.45">
      <c r="A10" s="783"/>
      <c r="B10" s="30" t="s">
        <v>1028</v>
      </c>
      <c r="C10" s="261">
        <v>2435898</v>
      </c>
      <c r="D10" s="795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23.4" x14ac:dyDescent="0.45">
      <c r="A11" s="783"/>
      <c r="B11" s="30" t="s">
        <v>1028</v>
      </c>
      <c r="C11" s="261">
        <v>1094000</v>
      </c>
      <c r="D11" s="795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23.4" x14ac:dyDescent="0.45">
      <c r="A12" s="783"/>
      <c r="B12" s="30" t="s">
        <v>1117</v>
      </c>
      <c r="C12" s="261">
        <v>3689412</v>
      </c>
      <c r="D12" s="795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23.4" x14ac:dyDescent="0.45">
      <c r="A13" s="783"/>
      <c r="B13" s="30" t="s">
        <v>1029</v>
      </c>
      <c r="C13" s="261">
        <v>762000</v>
      </c>
      <c r="D13" s="795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22.5" customHeight="1" x14ac:dyDescent="0.45">
      <c r="A14" s="783"/>
      <c r="B14" s="30" t="s">
        <v>1118</v>
      </c>
      <c r="C14" s="261">
        <v>1354923</v>
      </c>
      <c r="D14" s="795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24" customHeight="1" x14ac:dyDescent="0.45">
      <c r="A15" s="783"/>
      <c r="B15" s="30" t="s">
        <v>1118</v>
      </c>
      <c r="C15" s="261">
        <v>5000000</v>
      </c>
      <c r="D15" s="795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23.4" x14ac:dyDescent="0.45">
      <c r="A16" s="783"/>
      <c r="B16" s="30" t="s">
        <v>1119</v>
      </c>
      <c r="C16" s="261">
        <v>254000</v>
      </c>
      <c r="D16" s="795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23.4" x14ac:dyDescent="0.45">
      <c r="A17" s="783"/>
      <c r="B17" s="30" t="s">
        <v>1120</v>
      </c>
      <c r="C17" s="261">
        <v>4725000</v>
      </c>
      <c r="D17" s="795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23.4" x14ac:dyDescent="0.45">
      <c r="A18" s="783"/>
      <c r="B18" s="30" t="s">
        <v>1121</v>
      </c>
      <c r="C18" s="261">
        <v>381000</v>
      </c>
      <c r="D18" s="795"/>
      <c r="E18" s="27"/>
      <c r="F18" s="27" t="s">
        <v>879</v>
      </c>
      <c r="G18" s="29" t="e">
        <f>+E22+#REF!+#REF!+C95+#REF!+#REF!+C171</f>
        <v>#REF!</v>
      </c>
      <c r="H18" s="27"/>
      <c r="I18" s="27"/>
      <c r="J18" s="27"/>
      <c r="K18" s="27"/>
      <c r="L18" s="27"/>
      <c r="M18" s="27"/>
      <c r="N18" s="27"/>
    </row>
    <row r="19" spans="1:14" ht="23.4" x14ac:dyDescent="0.45">
      <c r="A19" s="783"/>
      <c r="B19" s="30" t="s">
        <v>1122</v>
      </c>
      <c r="C19" s="261">
        <v>1174750</v>
      </c>
      <c r="D19" s="795"/>
      <c r="E19" s="27"/>
      <c r="F19" s="27" t="s">
        <v>881</v>
      </c>
      <c r="G19" s="29" t="e">
        <f>+#REF!+#REF!+#REF!+#REF!+#REF!+#REF!+#REF!+#REF!+#REF!+#REF!+C218</f>
        <v>#REF!</v>
      </c>
      <c r="H19" s="27"/>
      <c r="I19" s="27"/>
      <c r="J19" s="27"/>
      <c r="K19" s="27"/>
      <c r="L19" s="27"/>
      <c r="M19" s="27"/>
      <c r="N19" s="27"/>
    </row>
    <row r="20" spans="1:14" ht="23.25" customHeight="1" x14ac:dyDescent="0.45">
      <c r="A20" s="783"/>
      <c r="B20" s="30" t="s">
        <v>1123</v>
      </c>
      <c r="C20" s="261">
        <v>1324432</v>
      </c>
      <c r="D20" s="795"/>
      <c r="E20" s="27"/>
      <c r="F20" s="27" t="s">
        <v>880</v>
      </c>
      <c r="G20" s="29">
        <f>+'[1]13.d.sz.m.Szabad maradvány'!D74</f>
        <v>3756000</v>
      </c>
      <c r="H20" s="27"/>
      <c r="I20" s="27"/>
      <c r="J20" s="27"/>
      <c r="K20" s="27"/>
      <c r="L20" s="27"/>
      <c r="M20" s="27"/>
      <c r="N20" s="27"/>
    </row>
    <row r="21" spans="1:14" ht="23.4" x14ac:dyDescent="0.45">
      <c r="A21" s="783"/>
      <c r="B21" s="30" t="s">
        <v>1124</v>
      </c>
      <c r="C21" s="261">
        <v>381000</v>
      </c>
      <c r="D21" s="795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23.4" x14ac:dyDescent="0.45">
      <c r="A22" s="783"/>
      <c r="B22" s="30" t="s">
        <v>1125</v>
      </c>
      <c r="C22" s="261">
        <v>985266</v>
      </c>
      <c r="D22" s="795"/>
      <c r="E22" s="29">
        <f>SUM(C6:C22)</f>
        <v>24875389</v>
      </c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23.4" x14ac:dyDescent="0.45">
      <c r="A23" s="783"/>
      <c r="B23" s="30" t="s">
        <v>1126</v>
      </c>
      <c r="C23" s="261">
        <v>862965</v>
      </c>
      <c r="D23" s="795"/>
      <c r="E23" s="29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23.4" x14ac:dyDescent="0.45">
      <c r="A24" s="783"/>
      <c r="B24" s="30" t="s">
        <v>1127</v>
      </c>
      <c r="C24" s="261">
        <v>420000</v>
      </c>
      <c r="D24" s="795"/>
      <c r="E24" s="29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23.4" x14ac:dyDescent="0.45">
      <c r="A25" s="783"/>
      <c r="B25" s="30" t="s">
        <v>1128</v>
      </c>
      <c r="C25" s="261">
        <v>152400</v>
      </c>
      <c r="D25" s="795"/>
      <c r="E25" s="29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23.4" x14ac:dyDescent="0.45">
      <c r="A26" s="783"/>
      <c r="B26" s="30" t="s">
        <v>1129</v>
      </c>
      <c r="C26" s="261">
        <v>184471</v>
      </c>
      <c r="D26" s="795"/>
      <c r="E26" s="29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23.4" x14ac:dyDescent="0.45">
      <c r="A27" s="783"/>
      <c r="B27" s="30" t="s">
        <v>1130</v>
      </c>
      <c r="C27" s="261">
        <v>650000</v>
      </c>
      <c r="D27" s="795"/>
      <c r="E27" s="29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23.4" x14ac:dyDescent="0.45">
      <c r="A28" s="783"/>
      <c r="B28" s="30" t="s">
        <v>1131</v>
      </c>
      <c r="C28" s="261">
        <v>7988300</v>
      </c>
      <c r="D28" s="795"/>
      <c r="E28" s="29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23.4" x14ac:dyDescent="0.45">
      <c r="A29" s="783"/>
      <c r="B29" s="30" t="s">
        <v>1132</v>
      </c>
      <c r="C29" s="261">
        <v>12922</v>
      </c>
      <c r="D29" s="795"/>
      <c r="E29" s="29"/>
      <c r="F29" s="27"/>
      <c r="G29" s="27"/>
      <c r="H29" s="27"/>
      <c r="I29" s="27"/>
      <c r="J29" s="27"/>
      <c r="K29" s="27"/>
      <c r="L29" s="27"/>
      <c r="M29" s="27"/>
      <c r="N29" s="27"/>
    </row>
    <row r="30" spans="1:14" ht="23.4" x14ac:dyDescent="0.45">
      <c r="A30" s="783"/>
      <c r="B30" s="30" t="s">
        <v>1133</v>
      </c>
      <c r="C30" s="261">
        <v>256620</v>
      </c>
      <c r="D30" s="795"/>
      <c r="E30" s="29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23.4" x14ac:dyDescent="0.45">
      <c r="A31" s="783"/>
      <c r="B31" s="30" t="s">
        <v>1134</v>
      </c>
      <c r="C31" s="261">
        <v>764286</v>
      </c>
      <c r="D31" s="795"/>
      <c r="E31" s="29"/>
      <c r="F31" s="27"/>
      <c r="G31" s="27"/>
      <c r="H31" s="27"/>
      <c r="I31" s="27"/>
      <c r="J31" s="27"/>
      <c r="K31" s="27"/>
      <c r="L31" s="27"/>
      <c r="M31" s="27"/>
      <c r="N31" s="27"/>
    </row>
    <row r="32" spans="1:14" ht="23.4" x14ac:dyDescent="0.45">
      <c r="A32" s="783"/>
      <c r="B32" s="30" t="s">
        <v>1135</v>
      </c>
      <c r="C32" s="261">
        <v>994156</v>
      </c>
      <c r="D32" s="795"/>
      <c r="E32" s="29"/>
      <c r="F32" s="27"/>
      <c r="G32" s="27"/>
      <c r="H32" s="27"/>
      <c r="I32" s="27"/>
      <c r="J32" s="27"/>
      <c r="K32" s="27"/>
      <c r="L32" s="27"/>
      <c r="M32" s="27"/>
      <c r="N32" s="27"/>
    </row>
    <row r="33" spans="1:14" ht="23.4" x14ac:dyDescent="0.45">
      <c r="A33" s="783"/>
      <c r="B33" s="30" t="s">
        <v>1136</v>
      </c>
      <c r="C33" s="261">
        <v>2455609</v>
      </c>
      <c r="D33" s="795"/>
      <c r="E33" s="29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23.4" x14ac:dyDescent="0.45">
      <c r="A34" s="783"/>
      <c r="B34" s="30" t="s">
        <v>1137</v>
      </c>
      <c r="C34" s="261">
        <v>190500</v>
      </c>
      <c r="D34" s="795"/>
      <c r="E34" s="29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23.4" x14ac:dyDescent="0.45">
      <c r="A35" s="783"/>
      <c r="B35" s="30" t="s">
        <v>1138</v>
      </c>
      <c r="C35" s="261">
        <v>139700</v>
      </c>
      <c r="D35" s="795"/>
      <c r="E35" s="29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23.4" x14ac:dyDescent="0.45">
      <c r="A36" s="783"/>
      <c r="B36" s="30" t="s">
        <v>1139</v>
      </c>
      <c r="C36" s="261">
        <v>254000</v>
      </c>
      <c r="D36" s="795"/>
      <c r="E36" s="29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23.4" x14ac:dyDescent="0.45">
      <c r="A37" s="783"/>
      <c r="B37" s="30" t="s">
        <v>1140</v>
      </c>
      <c r="C37" s="261">
        <v>8938</v>
      </c>
      <c r="D37" s="795"/>
      <c r="E37" s="29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23.4" x14ac:dyDescent="0.45">
      <c r="A38" s="783"/>
      <c r="B38" s="30" t="s">
        <v>1141</v>
      </c>
      <c r="C38" s="261">
        <v>6106</v>
      </c>
      <c r="D38" s="795"/>
      <c r="E38" s="29"/>
      <c r="F38" s="27"/>
      <c r="G38" s="27"/>
      <c r="H38" s="27"/>
      <c r="I38" s="27"/>
      <c r="J38" s="27"/>
      <c r="K38" s="27"/>
      <c r="L38" s="27"/>
      <c r="M38" s="27"/>
      <c r="N38" s="27"/>
    </row>
    <row r="39" spans="1:14" ht="23.4" x14ac:dyDescent="0.45">
      <c r="A39" s="783"/>
      <c r="B39" s="30" t="s">
        <v>1142</v>
      </c>
      <c r="C39" s="261">
        <v>162814</v>
      </c>
      <c r="D39" s="795"/>
      <c r="E39" s="29"/>
      <c r="F39" s="27"/>
      <c r="G39" s="27"/>
      <c r="H39" s="27"/>
      <c r="I39" s="27"/>
      <c r="J39" s="27"/>
      <c r="K39" s="27"/>
      <c r="L39" s="27"/>
      <c r="M39" s="27"/>
      <c r="N39" s="27"/>
    </row>
    <row r="40" spans="1:14" ht="23.4" x14ac:dyDescent="0.45">
      <c r="A40" s="783"/>
      <c r="B40" s="30" t="s">
        <v>1302</v>
      </c>
      <c r="C40" s="261">
        <v>2730525</v>
      </c>
      <c r="D40" s="795"/>
      <c r="E40" s="29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23.4" x14ac:dyDescent="0.45">
      <c r="A41" s="783"/>
      <c r="B41" s="30" t="s">
        <v>1143</v>
      </c>
      <c r="C41" s="261">
        <v>1000000</v>
      </c>
      <c r="D41" s="795"/>
      <c r="E41" s="29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23.4" x14ac:dyDescent="0.45">
      <c r="A42" s="783"/>
      <c r="B42" s="30" t="s">
        <v>1144</v>
      </c>
      <c r="C42" s="261">
        <v>3000000</v>
      </c>
      <c r="D42" s="795"/>
      <c r="E42" s="29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23.4" x14ac:dyDescent="0.45">
      <c r="A43" s="783" t="s">
        <v>57</v>
      </c>
      <c r="B43" s="30" t="s">
        <v>1145</v>
      </c>
      <c r="C43" s="261">
        <v>952500</v>
      </c>
      <c r="D43" s="795"/>
      <c r="E43" s="29"/>
      <c r="F43" s="29">
        <f>SUM(C5:C42)</f>
        <v>47759701</v>
      </c>
      <c r="G43" s="27"/>
      <c r="H43" s="27"/>
      <c r="I43" s="27"/>
      <c r="J43" s="27"/>
      <c r="K43" s="27"/>
      <c r="L43" s="27"/>
      <c r="M43" s="27"/>
      <c r="N43" s="27"/>
    </row>
    <row r="44" spans="1:14" ht="23.4" x14ac:dyDescent="0.45">
      <c r="A44" s="783"/>
      <c r="B44" s="30" t="s">
        <v>1146</v>
      </c>
      <c r="C44" s="261">
        <v>58989235</v>
      </c>
      <c r="D44" s="795"/>
      <c r="E44" s="29"/>
      <c r="F44" s="29">
        <f>SUM(C43:C73)</f>
        <v>466160646</v>
      </c>
      <c r="G44" s="27"/>
      <c r="H44" s="27"/>
      <c r="I44" s="27"/>
      <c r="J44" s="27"/>
      <c r="K44" s="27"/>
      <c r="L44" s="27"/>
      <c r="M44" s="27"/>
      <c r="N44" s="27"/>
    </row>
    <row r="45" spans="1:14" ht="23.25" customHeight="1" x14ac:dyDescent="0.45">
      <c r="A45" s="783"/>
      <c r="B45" s="30" t="s">
        <v>1147</v>
      </c>
      <c r="C45" s="261">
        <v>616966</v>
      </c>
      <c r="D45" s="795"/>
      <c r="E45" s="37"/>
      <c r="F45" s="29">
        <f>SUM(C5:C73)</f>
        <v>513920347</v>
      </c>
      <c r="G45" s="27"/>
      <c r="H45" s="27"/>
      <c r="I45" s="27"/>
      <c r="J45" s="27"/>
      <c r="K45" s="27"/>
      <c r="L45" s="27"/>
      <c r="M45" s="27"/>
      <c r="N45" s="27"/>
    </row>
    <row r="46" spans="1:14" ht="23.25" customHeight="1" x14ac:dyDescent="0.45">
      <c r="A46" s="783"/>
      <c r="B46" s="30" t="s">
        <v>1148</v>
      </c>
      <c r="C46" s="261">
        <v>45113745</v>
      </c>
      <c r="D46" s="795"/>
      <c r="E46" s="37"/>
      <c r="F46" s="29"/>
      <c r="G46" s="27"/>
      <c r="H46" s="27"/>
      <c r="I46" s="27"/>
      <c r="J46" s="27"/>
      <c r="K46" s="27"/>
      <c r="L46" s="27"/>
      <c r="M46" s="27"/>
      <c r="N46" s="27"/>
    </row>
    <row r="47" spans="1:14" ht="23.25" customHeight="1" x14ac:dyDescent="0.45">
      <c r="A47" s="783"/>
      <c r="B47" s="30" t="s">
        <v>1149</v>
      </c>
      <c r="C47" s="261">
        <v>609600</v>
      </c>
      <c r="D47" s="795"/>
      <c r="E47" s="37"/>
      <c r="F47" s="29"/>
      <c r="G47" s="27"/>
      <c r="H47" s="27"/>
      <c r="I47" s="27"/>
      <c r="J47" s="27"/>
      <c r="K47" s="27"/>
      <c r="L47" s="27"/>
      <c r="M47" s="27"/>
      <c r="N47" s="27"/>
    </row>
    <row r="48" spans="1:14" ht="23.25" customHeight="1" x14ac:dyDescent="0.45">
      <c r="A48" s="783"/>
      <c r="B48" s="30" t="s">
        <v>1150</v>
      </c>
      <c r="C48" s="261">
        <v>7620000</v>
      </c>
      <c r="D48" s="795"/>
      <c r="E48" s="37"/>
      <c r="F48" s="29"/>
      <c r="G48" s="27"/>
      <c r="H48" s="27"/>
      <c r="I48" s="27"/>
      <c r="J48" s="27"/>
      <c r="K48" s="27"/>
      <c r="L48" s="27"/>
      <c r="M48" s="27"/>
      <c r="N48" s="27"/>
    </row>
    <row r="49" spans="1:14" ht="23.25" customHeight="1" x14ac:dyDescent="0.45">
      <c r="A49" s="783"/>
      <c r="B49" s="30" t="s">
        <v>1151</v>
      </c>
      <c r="C49" s="261">
        <v>25843668</v>
      </c>
      <c r="D49" s="795"/>
      <c r="E49" s="37"/>
      <c r="F49" s="29"/>
      <c r="G49" s="27"/>
      <c r="H49" s="27"/>
      <c r="I49" s="27"/>
      <c r="J49" s="27"/>
      <c r="K49" s="27"/>
      <c r="L49" s="27"/>
      <c r="M49" s="27"/>
      <c r="N49" s="27"/>
    </row>
    <row r="50" spans="1:14" ht="23.25" customHeight="1" x14ac:dyDescent="0.45">
      <c r="A50" s="783"/>
      <c r="B50" s="30" t="s">
        <v>1152</v>
      </c>
      <c r="C50" s="261">
        <v>7996662</v>
      </c>
      <c r="D50" s="795"/>
      <c r="E50" s="37"/>
      <c r="F50" s="29"/>
      <c r="G50" s="27"/>
      <c r="H50" s="27"/>
      <c r="I50" s="27"/>
      <c r="J50" s="27"/>
      <c r="K50" s="27"/>
      <c r="L50" s="27"/>
      <c r="M50" s="27"/>
      <c r="N50" s="27"/>
    </row>
    <row r="51" spans="1:14" ht="23.25" customHeight="1" x14ac:dyDescent="0.45">
      <c r="A51" s="783"/>
      <c r="B51" s="30" t="s">
        <v>1153</v>
      </c>
      <c r="C51" s="261">
        <v>7204127</v>
      </c>
      <c r="D51" s="795"/>
      <c r="E51" s="37"/>
      <c r="F51" s="29"/>
      <c r="G51" s="27"/>
      <c r="H51" s="27"/>
      <c r="I51" s="27"/>
      <c r="J51" s="27"/>
      <c r="K51" s="27"/>
      <c r="L51" s="27"/>
      <c r="M51" s="27"/>
      <c r="N51" s="27"/>
    </row>
    <row r="52" spans="1:14" ht="23.25" customHeight="1" x14ac:dyDescent="0.45">
      <c r="A52" s="783"/>
      <c r="B52" s="30" t="s">
        <v>1154</v>
      </c>
      <c r="C52" s="261">
        <v>2140000</v>
      </c>
      <c r="D52" s="795"/>
      <c r="E52" s="37"/>
      <c r="F52" s="29"/>
      <c r="G52" s="27"/>
      <c r="H52" s="27"/>
      <c r="I52" s="27"/>
      <c r="J52" s="27"/>
      <c r="K52" s="27"/>
      <c r="L52" s="27"/>
      <c r="M52" s="27"/>
      <c r="N52" s="27"/>
    </row>
    <row r="53" spans="1:14" ht="23.25" customHeight="1" x14ac:dyDescent="0.45">
      <c r="A53" s="783"/>
      <c r="B53" s="30" t="s">
        <v>1155</v>
      </c>
      <c r="C53" s="261">
        <v>1714500</v>
      </c>
      <c r="D53" s="795"/>
      <c r="E53" s="37"/>
      <c r="F53" s="29"/>
      <c r="G53" s="27"/>
      <c r="H53" s="27"/>
      <c r="I53" s="27"/>
      <c r="J53" s="27"/>
      <c r="K53" s="27"/>
      <c r="L53" s="27"/>
      <c r="M53" s="27"/>
      <c r="N53" s="27"/>
    </row>
    <row r="54" spans="1:14" ht="23.25" customHeight="1" x14ac:dyDescent="0.45">
      <c r="A54" s="783"/>
      <c r="B54" s="30" t="s">
        <v>1156</v>
      </c>
      <c r="C54" s="261">
        <v>16114304</v>
      </c>
      <c r="D54" s="795"/>
      <c r="E54" s="37"/>
      <c r="F54" s="29"/>
      <c r="G54" s="27"/>
      <c r="H54" s="27"/>
      <c r="I54" s="27"/>
      <c r="J54" s="27"/>
      <c r="K54" s="27"/>
      <c r="L54" s="27"/>
      <c r="M54" s="27"/>
      <c r="N54" s="27"/>
    </row>
    <row r="55" spans="1:14" ht="23.25" customHeight="1" x14ac:dyDescent="0.45">
      <c r="A55" s="783"/>
      <c r="B55" s="30" t="s">
        <v>1157</v>
      </c>
      <c r="C55" s="261">
        <v>4989125</v>
      </c>
      <c r="D55" s="795"/>
      <c r="E55" s="37"/>
      <c r="F55" s="29"/>
      <c r="G55" s="27"/>
      <c r="H55" s="27"/>
      <c r="I55" s="27"/>
      <c r="J55" s="27"/>
      <c r="K55" s="27"/>
      <c r="L55" s="27"/>
      <c r="M55" s="27"/>
      <c r="N55" s="27"/>
    </row>
    <row r="56" spans="1:14" ht="23.25" customHeight="1" x14ac:dyDescent="0.45">
      <c r="A56" s="783"/>
      <c r="B56" s="30" t="s">
        <v>1158</v>
      </c>
      <c r="C56" s="261">
        <v>609600</v>
      </c>
      <c r="D56" s="795"/>
      <c r="E56" s="37"/>
      <c r="F56" s="29"/>
      <c r="G56" s="27"/>
      <c r="H56" s="27"/>
      <c r="I56" s="27"/>
      <c r="J56" s="27"/>
      <c r="K56" s="27"/>
      <c r="L56" s="27"/>
      <c r="M56" s="27"/>
      <c r="N56" s="27"/>
    </row>
    <row r="57" spans="1:14" ht="23.25" customHeight="1" x14ac:dyDescent="0.45">
      <c r="A57" s="783"/>
      <c r="B57" s="30" t="s">
        <v>1159</v>
      </c>
      <c r="C57" s="261">
        <v>648716</v>
      </c>
      <c r="D57" s="795"/>
      <c r="E57" s="37"/>
      <c r="F57" s="29"/>
      <c r="G57" s="27"/>
      <c r="H57" s="27"/>
      <c r="I57" s="27"/>
      <c r="J57" s="27"/>
      <c r="K57" s="27"/>
      <c r="L57" s="27"/>
      <c r="M57" s="27"/>
      <c r="N57" s="27"/>
    </row>
    <row r="58" spans="1:14" ht="23.25" customHeight="1" x14ac:dyDescent="0.45">
      <c r="A58" s="783"/>
      <c r="B58" s="30" t="s">
        <v>1160</v>
      </c>
      <c r="C58" s="261">
        <v>411480</v>
      </c>
      <c r="D58" s="795"/>
      <c r="E58" s="37"/>
      <c r="F58" s="29"/>
      <c r="G58" s="27"/>
      <c r="H58" s="27"/>
      <c r="I58" s="27"/>
      <c r="J58" s="27"/>
      <c r="K58" s="27"/>
      <c r="L58" s="27"/>
      <c r="M58" s="27"/>
      <c r="N58" s="27"/>
    </row>
    <row r="59" spans="1:14" ht="23.25" customHeight="1" x14ac:dyDescent="0.45">
      <c r="A59" s="783"/>
      <c r="B59" s="30" t="s">
        <v>1161</v>
      </c>
      <c r="C59" s="261">
        <v>457200</v>
      </c>
      <c r="D59" s="795"/>
      <c r="E59" s="37"/>
      <c r="F59" s="29"/>
      <c r="G59" s="27"/>
      <c r="H59" s="27"/>
      <c r="I59" s="27"/>
      <c r="J59" s="27"/>
      <c r="K59" s="27"/>
      <c r="L59" s="27"/>
      <c r="M59" s="27"/>
      <c r="N59" s="27"/>
    </row>
    <row r="60" spans="1:14" ht="23.25" customHeight="1" x14ac:dyDescent="0.45">
      <c r="A60" s="783"/>
      <c r="B60" s="30" t="s">
        <v>1162</v>
      </c>
      <c r="C60" s="261">
        <v>187960</v>
      </c>
      <c r="D60" s="795"/>
      <c r="E60" s="37"/>
      <c r="F60" s="29"/>
      <c r="G60" s="27"/>
      <c r="H60" s="27"/>
      <c r="I60" s="27"/>
      <c r="J60" s="27"/>
      <c r="K60" s="27"/>
      <c r="L60" s="27"/>
      <c r="M60" s="27"/>
      <c r="N60" s="27"/>
    </row>
    <row r="61" spans="1:14" ht="23.25" customHeight="1" x14ac:dyDescent="0.45">
      <c r="A61" s="783"/>
      <c r="B61" s="30" t="s">
        <v>1163</v>
      </c>
      <c r="C61" s="261">
        <v>8788542</v>
      </c>
      <c r="D61" s="795"/>
      <c r="E61" s="37"/>
      <c r="F61" s="29"/>
      <c r="G61" s="27"/>
      <c r="H61" s="27"/>
      <c r="I61" s="27"/>
      <c r="J61" s="27"/>
      <c r="K61" s="27"/>
      <c r="L61" s="27"/>
      <c r="M61" s="27"/>
      <c r="N61" s="27"/>
    </row>
    <row r="62" spans="1:14" ht="23.25" customHeight="1" x14ac:dyDescent="0.45">
      <c r="A62" s="783"/>
      <c r="B62" s="30" t="s">
        <v>1164</v>
      </c>
      <c r="C62" s="261">
        <v>19434278</v>
      </c>
      <c r="D62" s="795"/>
      <c r="E62" s="37"/>
      <c r="F62" s="29"/>
      <c r="G62" s="27"/>
      <c r="H62" s="27"/>
      <c r="I62" s="27"/>
      <c r="J62" s="27"/>
      <c r="K62" s="27"/>
      <c r="L62" s="27"/>
      <c r="M62" s="27"/>
      <c r="N62" s="27"/>
    </row>
    <row r="63" spans="1:14" ht="23.25" customHeight="1" x14ac:dyDescent="0.45">
      <c r="A63" s="783"/>
      <c r="B63" s="30" t="s">
        <v>1165</v>
      </c>
      <c r="C63" s="261">
        <v>192134128</v>
      </c>
      <c r="D63" s="795"/>
      <c r="E63" s="37"/>
      <c r="F63" s="29"/>
      <c r="G63" s="27"/>
      <c r="H63" s="27"/>
      <c r="I63" s="27"/>
      <c r="J63" s="27"/>
      <c r="K63" s="27"/>
      <c r="L63" s="27"/>
      <c r="M63" s="27"/>
      <c r="N63" s="27"/>
    </row>
    <row r="64" spans="1:14" ht="23.25" customHeight="1" x14ac:dyDescent="0.45">
      <c r="A64" s="783"/>
      <c r="B64" s="30" t="s">
        <v>1166</v>
      </c>
      <c r="C64" s="261">
        <v>3429000</v>
      </c>
      <c r="D64" s="795"/>
      <c r="E64" s="37"/>
      <c r="F64" s="29"/>
      <c r="G64" s="27"/>
      <c r="H64" s="27"/>
      <c r="I64" s="27"/>
      <c r="J64" s="27"/>
      <c r="K64" s="27"/>
      <c r="L64" s="27"/>
      <c r="M64" s="27"/>
      <c r="N64" s="27"/>
    </row>
    <row r="65" spans="1:14" ht="23.25" customHeight="1" x14ac:dyDescent="0.45">
      <c r="A65" s="783"/>
      <c r="B65" s="30" t="s">
        <v>1167</v>
      </c>
      <c r="C65" s="261">
        <v>14562931</v>
      </c>
      <c r="D65" s="795"/>
      <c r="E65" s="37"/>
      <c r="F65" s="29"/>
      <c r="G65" s="27"/>
      <c r="H65" s="27"/>
      <c r="I65" s="27"/>
      <c r="J65" s="27"/>
      <c r="K65" s="27"/>
      <c r="L65" s="27"/>
      <c r="M65" s="27"/>
      <c r="N65" s="27"/>
    </row>
    <row r="66" spans="1:14" ht="23.25" customHeight="1" x14ac:dyDescent="0.45">
      <c r="A66" s="783"/>
      <c r="B66" s="30" t="s">
        <v>1168</v>
      </c>
      <c r="C66" s="261">
        <v>2891790</v>
      </c>
      <c r="D66" s="795"/>
      <c r="E66" s="37"/>
      <c r="F66" s="29"/>
      <c r="G66" s="27"/>
      <c r="H66" s="27"/>
      <c r="I66" s="27"/>
      <c r="J66" s="27"/>
      <c r="K66" s="27"/>
      <c r="L66" s="27"/>
      <c r="M66" s="27"/>
      <c r="N66" s="27"/>
    </row>
    <row r="67" spans="1:14" ht="23.25" customHeight="1" x14ac:dyDescent="0.45">
      <c r="A67" s="783"/>
      <c r="B67" s="30" t="s">
        <v>1169</v>
      </c>
      <c r="C67" s="261">
        <v>7188200</v>
      </c>
      <c r="D67" s="795"/>
      <c r="E67" s="37"/>
      <c r="F67" s="29"/>
      <c r="G67" s="27"/>
      <c r="H67" s="27"/>
      <c r="I67" s="27"/>
      <c r="J67" s="27"/>
      <c r="K67" s="27"/>
      <c r="L67" s="27"/>
      <c r="M67" s="27"/>
      <c r="N67" s="27"/>
    </row>
    <row r="68" spans="1:14" ht="23.25" customHeight="1" x14ac:dyDescent="0.45">
      <c r="A68" s="783"/>
      <c r="B68" s="30" t="s">
        <v>1170</v>
      </c>
      <c r="C68" s="261">
        <v>3250248</v>
      </c>
      <c r="D68" s="795"/>
      <c r="E68" s="37"/>
      <c r="F68" s="29"/>
      <c r="G68" s="27"/>
      <c r="H68" s="27"/>
      <c r="I68" s="27"/>
      <c r="J68" s="27"/>
      <c r="K68" s="27"/>
      <c r="L68" s="27"/>
      <c r="M68" s="27"/>
      <c r="N68" s="27"/>
    </row>
    <row r="69" spans="1:14" ht="23.25" customHeight="1" x14ac:dyDescent="0.45">
      <c r="A69" s="783"/>
      <c r="B69" s="30" t="s">
        <v>1171</v>
      </c>
      <c r="C69" s="261">
        <v>7949159</v>
      </c>
      <c r="D69" s="795"/>
      <c r="E69" s="37"/>
      <c r="F69" s="29"/>
      <c r="G69" s="27"/>
      <c r="H69" s="27"/>
      <c r="I69" s="27"/>
      <c r="J69" s="27"/>
      <c r="K69" s="27"/>
      <c r="L69" s="27"/>
      <c r="M69" s="27"/>
      <c r="N69" s="27"/>
    </row>
    <row r="70" spans="1:14" ht="23.25" customHeight="1" x14ac:dyDescent="0.45">
      <c r="A70" s="783"/>
      <c r="B70" s="30" t="s">
        <v>1172</v>
      </c>
      <c r="C70" s="261">
        <v>550192</v>
      </c>
      <c r="D70" s="795"/>
      <c r="E70" s="37"/>
      <c r="F70" s="29"/>
      <c r="G70" s="27"/>
      <c r="H70" s="27"/>
      <c r="I70" s="27"/>
      <c r="J70" s="27"/>
      <c r="K70" s="27"/>
      <c r="L70" s="27"/>
      <c r="M70" s="27"/>
      <c r="N70" s="27"/>
    </row>
    <row r="71" spans="1:14" ht="23.25" customHeight="1" x14ac:dyDescent="0.45">
      <c r="A71" s="783"/>
      <c r="B71" s="30" t="s">
        <v>1173</v>
      </c>
      <c r="C71" s="261">
        <v>15662120</v>
      </c>
      <c r="D71" s="795"/>
      <c r="E71" s="37"/>
      <c r="F71" s="29"/>
      <c r="G71" s="27"/>
      <c r="H71" s="27"/>
      <c r="I71" s="27"/>
      <c r="J71" s="27"/>
      <c r="K71" s="27"/>
      <c r="L71" s="27"/>
      <c r="M71" s="27"/>
      <c r="N71" s="27"/>
    </row>
    <row r="72" spans="1:14" ht="23.25" customHeight="1" x14ac:dyDescent="0.45">
      <c r="A72" s="783"/>
      <c r="B72" s="30" t="s">
        <v>1174</v>
      </c>
      <c r="C72" s="261">
        <v>7941920</v>
      </c>
      <c r="D72" s="795"/>
      <c r="E72" s="37"/>
      <c r="F72" s="29"/>
      <c r="G72" s="27"/>
      <c r="H72" s="27"/>
      <c r="I72" s="27"/>
      <c r="J72" s="27"/>
      <c r="K72" s="27"/>
      <c r="L72" s="27"/>
      <c r="M72" s="27"/>
      <c r="N72" s="27"/>
    </row>
    <row r="73" spans="1:14" ht="23.25" customHeight="1" x14ac:dyDescent="0.45">
      <c r="A73" s="783"/>
      <c r="B73" s="30" t="s">
        <v>1175</v>
      </c>
      <c r="C73" s="261">
        <v>158750</v>
      </c>
      <c r="D73" s="796"/>
      <c r="E73" s="37"/>
      <c r="F73" s="29"/>
      <c r="G73" s="27"/>
      <c r="H73" s="27"/>
      <c r="I73" s="27"/>
      <c r="J73" s="27"/>
      <c r="K73" s="27"/>
      <c r="L73" s="27"/>
      <c r="M73" s="27"/>
      <c r="N73" s="27"/>
    </row>
    <row r="74" spans="1:14" ht="23.4" x14ac:dyDescent="0.45">
      <c r="A74" s="797" t="s">
        <v>58</v>
      </c>
      <c r="B74" s="777"/>
      <c r="C74" s="260">
        <f>SUM(C5:C73)</f>
        <v>513920347</v>
      </c>
      <c r="D74" s="266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23.4" x14ac:dyDescent="0.45">
      <c r="A75" s="282"/>
      <c r="B75" s="280" t="s">
        <v>788</v>
      </c>
      <c r="C75" s="268">
        <v>0</v>
      </c>
      <c r="D75" s="283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ht="23.4" x14ac:dyDescent="0.45">
      <c r="A76" s="269"/>
      <c r="B76" s="280" t="s">
        <v>59</v>
      </c>
      <c r="C76" s="268"/>
      <c r="D76" s="267"/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1:14" ht="23.4" x14ac:dyDescent="0.45">
      <c r="A77" s="783" t="s">
        <v>57</v>
      </c>
      <c r="B77" s="30" t="s">
        <v>1176</v>
      </c>
      <c r="C77" s="268">
        <v>2044893</v>
      </c>
      <c r="D77" s="798"/>
      <c r="E77" s="27"/>
      <c r="F77"/>
      <c r="G77" s="318"/>
      <c r="H77" s="27"/>
      <c r="I77" s="27"/>
      <c r="J77" s="27"/>
      <c r="K77" s="27"/>
      <c r="L77" s="27"/>
      <c r="M77" s="27"/>
      <c r="N77" s="27"/>
    </row>
    <row r="78" spans="1:14" ht="23.4" x14ac:dyDescent="0.45">
      <c r="A78" s="783"/>
      <c r="B78" s="30" t="s">
        <v>1177</v>
      </c>
      <c r="C78" s="268">
        <v>659324</v>
      </c>
      <c r="D78" s="798"/>
      <c r="E78" s="27"/>
      <c r="F78"/>
      <c r="G78" s="315"/>
      <c r="H78" s="27"/>
      <c r="I78" s="27"/>
      <c r="J78" s="27"/>
      <c r="K78" s="27"/>
      <c r="L78" s="27"/>
      <c r="M78" s="27"/>
      <c r="N78" s="27"/>
    </row>
    <row r="79" spans="1:14" ht="23.4" x14ac:dyDescent="0.45">
      <c r="A79" s="783"/>
      <c r="B79" s="30" t="s">
        <v>1178</v>
      </c>
      <c r="C79" s="268">
        <v>5190055</v>
      </c>
      <c r="D79" s="798"/>
      <c r="E79" s="27"/>
      <c r="F79"/>
      <c r="G79" s="315"/>
      <c r="H79" s="27"/>
      <c r="I79" s="27"/>
      <c r="J79" s="27"/>
      <c r="K79" s="27"/>
      <c r="L79" s="27"/>
      <c r="M79" s="27"/>
      <c r="N79" s="27"/>
    </row>
    <row r="80" spans="1:14" ht="23.4" x14ac:dyDescent="0.45">
      <c r="A80" s="783"/>
      <c r="B80" s="30" t="s">
        <v>1179</v>
      </c>
      <c r="C80" s="268">
        <v>588203</v>
      </c>
      <c r="D80" s="798"/>
      <c r="E80" s="27"/>
      <c r="F80"/>
      <c r="G80" s="315"/>
      <c r="H80" s="27"/>
      <c r="I80" s="27"/>
      <c r="J80" s="27"/>
      <c r="K80" s="27"/>
      <c r="L80" s="27"/>
      <c r="M80" s="27"/>
      <c r="N80" s="27"/>
    </row>
    <row r="81" spans="1:14" ht="23.4" x14ac:dyDescent="0.45">
      <c r="A81" s="783"/>
      <c r="B81" s="30" t="s">
        <v>1180</v>
      </c>
      <c r="C81" s="268">
        <v>9494228</v>
      </c>
      <c r="D81" s="798"/>
      <c r="E81" s="27"/>
      <c r="F81"/>
      <c r="G81" s="316"/>
      <c r="H81" s="27"/>
      <c r="I81" s="27"/>
      <c r="J81" s="27"/>
      <c r="K81" s="27"/>
      <c r="L81" s="27"/>
      <c r="M81" s="27"/>
      <c r="N81" s="27"/>
    </row>
    <row r="82" spans="1:14" ht="23.4" x14ac:dyDescent="0.45">
      <c r="A82" s="783"/>
      <c r="B82" s="30" t="s">
        <v>1181</v>
      </c>
      <c r="C82" s="268">
        <v>47076102</v>
      </c>
      <c r="D82" s="798"/>
      <c r="E82" s="27"/>
      <c r="F82"/>
      <c r="G82" s="315"/>
      <c r="H82" s="27"/>
      <c r="I82" s="27"/>
      <c r="J82" s="27"/>
      <c r="K82" s="27"/>
      <c r="L82" s="27"/>
      <c r="M82" s="27"/>
      <c r="N82" s="27"/>
    </row>
    <row r="83" spans="1:14" ht="23.4" x14ac:dyDescent="0.45">
      <c r="A83" s="783"/>
      <c r="B83" s="30" t="s">
        <v>1182</v>
      </c>
      <c r="C83" s="268">
        <v>62550811</v>
      </c>
      <c r="D83" s="798"/>
      <c r="E83" s="27"/>
      <c r="F83"/>
      <c r="G83" s="316"/>
      <c r="H83" s="27"/>
      <c r="I83" s="27"/>
      <c r="J83" s="27"/>
      <c r="K83" s="27"/>
      <c r="L83" s="27"/>
      <c r="M83" s="27"/>
      <c r="N83" s="27"/>
    </row>
    <row r="84" spans="1:14" ht="23.4" x14ac:dyDescent="0.45">
      <c r="A84" s="276"/>
      <c r="B84" s="30" t="s">
        <v>1183</v>
      </c>
      <c r="C84" s="268">
        <v>15703</v>
      </c>
      <c r="D84" s="798"/>
      <c r="E84" s="27"/>
      <c r="F84" s="317"/>
      <c r="G84" s="316"/>
      <c r="H84" s="27"/>
      <c r="I84" s="27"/>
      <c r="J84" s="27"/>
      <c r="K84" s="27"/>
      <c r="L84" s="27"/>
      <c r="M84" s="27"/>
      <c r="N84" s="27"/>
    </row>
    <row r="85" spans="1:14" ht="23.4" x14ac:dyDescent="0.45">
      <c r="A85" s="781" t="s">
        <v>60</v>
      </c>
      <c r="B85" s="782"/>
      <c r="C85" s="266">
        <f>SUM(C75:C84)</f>
        <v>127619319</v>
      </c>
      <c r="D85" s="267"/>
      <c r="E85" s="27"/>
      <c r="F85" s="317"/>
      <c r="G85" s="316"/>
      <c r="H85" s="27"/>
      <c r="I85" s="27"/>
      <c r="J85" s="27"/>
      <c r="K85" s="27"/>
      <c r="L85" s="27"/>
      <c r="M85" s="27"/>
      <c r="N85" s="27"/>
    </row>
    <row r="86" spans="1:14" ht="23.4" x14ac:dyDescent="0.45">
      <c r="A86" s="276"/>
      <c r="B86" s="276"/>
      <c r="C86" s="288"/>
      <c r="D86" s="278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s="190" customFormat="1" ht="23.4" x14ac:dyDescent="0.45">
      <c r="A87" s="187"/>
      <c r="B87" s="188" t="s">
        <v>12</v>
      </c>
      <c r="C87" s="189"/>
      <c r="D87" s="286"/>
      <c r="E87" s="187"/>
      <c r="F87" s="27"/>
      <c r="G87" s="27"/>
      <c r="H87" s="187"/>
      <c r="I87" s="187"/>
      <c r="J87" s="187"/>
      <c r="K87" s="187"/>
      <c r="L87" s="187"/>
      <c r="M87" s="187"/>
      <c r="N87" s="187"/>
    </row>
    <row r="88" spans="1:14" ht="23.4" x14ac:dyDescent="0.45">
      <c r="A88" s="269"/>
      <c r="B88" s="307" t="s">
        <v>53</v>
      </c>
      <c r="C88" s="308"/>
      <c r="D88" s="269"/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1:14" ht="23.25" customHeight="1" x14ac:dyDescent="0.45">
      <c r="A89" s="783" t="s">
        <v>56</v>
      </c>
      <c r="B89" s="30" t="s">
        <v>1108</v>
      </c>
      <c r="C89" s="262">
        <v>20379</v>
      </c>
      <c r="D89" s="788" t="s">
        <v>1036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</row>
    <row r="90" spans="1:14" ht="23.4" x14ac:dyDescent="0.45">
      <c r="A90" s="783"/>
      <c r="B90" s="30" t="s">
        <v>1109</v>
      </c>
      <c r="C90" s="262">
        <v>20843</v>
      </c>
      <c r="D90" s="788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1:14" ht="23.4" x14ac:dyDescent="0.45">
      <c r="A91" s="783"/>
      <c r="B91" s="30" t="s">
        <v>1110</v>
      </c>
      <c r="C91" s="262">
        <v>8287</v>
      </c>
      <c r="D91" s="788"/>
      <c r="E91" s="27"/>
      <c r="F91" s="27"/>
      <c r="G91" s="27"/>
      <c r="H91" s="27"/>
      <c r="I91" s="27"/>
      <c r="J91" s="27"/>
      <c r="K91" s="27"/>
      <c r="L91" s="27"/>
      <c r="M91" s="27"/>
      <c r="N91" s="27"/>
    </row>
    <row r="92" spans="1:14" ht="23.4" x14ac:dyDescent="0.45">
      <c r="A92" s="783"/>
      <c r="B92" s="30" t="s">
        <v>1111</v>
      </c>
      <c r="C92" s="262">
        <v>16510</v>
      </c>
      <c r="D92" s="788"/>
      <c r="E92" s="27"/>
      <c r="F92" s="31">
        <f>SUM(C105:C106)</f>
        <v>33534</v>
      </c>
      <c r="G92" s="27"/>
      <c r="H92" s="27"/>
      <c r="I92" s="27"/>
      <c r="J92" s="27"/>
      <c r="K92" s="27"/>
      <c r="L92" s="27"/>
      <c r="M92" s="27"/>
      <c r="N92" s="27"/>
    </row>
    <row r="93" spans="1:14" ht="57" customHeight="1" x14ac:dyDescent="0.45">
      <c r="A93" s="783" t="s">
        <v>57</v>
      </c>
      <c r="B93" s="30" t="s">
        <v>1107</v>
      </c>
      <c r="C93" s="313">
        <v>36586</v>
      </c>
      <c r="D93" s="788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ht="57" customHeight="1" x14ac:dyDescent="0.45">
      <c r="A94" s="783"/>
      <c r="B94" s="30" t="s">
        <v>1108</v>
      </c>
      <c r="C94" s="313">
        <v>79193</v>
      </c>
      <c r="D94" s="788"/>
      <c r="E94" s="27"/>
      <c r="F94" s="27"/>
      <c r="G94" s="27"/>
      <c r="H94" s="27"/>
      <c r="I94" s="27"/>
      <c r="J94" s="27"/>
      <c r="K94" s="27"/>
      <c r="L94" s="27"/>
      <c r="M94" s="27"/>
      <c r="N94" s="27"/>
    </row>
    <row r="95" spans="1:14" ht="23.4" x14ac:dyDescent="0.45">
      <c r="A95" s="777" t="s">
        <v>58</v>
      </c>
      <c r="B95" s="777"/>
      <c r="C95" s="260">
        <f>SUM(C89:C94)</f>
        <v>181798</v>
      </c>
      <c r="D95" s="268"/>
      <c r="E95" s="27"/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23.4" x14ac:dyDescent="0.45">
      <c r="A96" s="275"/>
      <c r="B96" s="280" t="s">
        <v>788</v>
      </c>
      <c r="C96" s="300">
        <v>0</v>
      </c>
      <c r="D96" s="268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23.4" x14ac:dyDescent="0.45">
      <c r="A97" s="281"/>
      <c r="B97" s="280" t="s">
        <v>59</v>
      </c>
      <c r="C97" s="300">
        <v>0</v>
      </c>
      <c r="D97" s="268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23.4" x14ac:dyDescent="0.45">
      <c r="A98" s="27"/>
      <c r="B98" s="33"/>
      <c r="C98" s="33"/>
      <c r="D98" s="285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s="190" customFormat="1" ht="23.4" x14ac:dyDescent="0.45">
      <c r="A99" s="187"/>
      <c r="B99" s="188" t="s">
        <v>13</v>
      </c>
      <c r="C99" s="189"/>
      <c r="D99" s="286"/>
      <c r="E99" s="187"/>
      <c r="F99" s="27"/>
      <c r="G99" s="27"/>
      <c r="H99" s="187"/>
      <c r="I99" s="187"/>
      <c r="J99" s="187"/>
      <c r="K99" s="187"/>
      <c r="L99" s="187"/>
      <c r="M99" s="187"/>
      <c r="N99" s="187"/>
    </row>
    <row r="100" spans="1:14" ht="23.4" x14ac:dyDescent="0.45">
      <c r="A100" s="269"/>
      <c r="B100" s="307" t="s">
        <v>53</v>
      </c>
      <c r="C100" s="308"/>
      <c r="D100" s="269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23.25" customHeight="1" x14ac:dyDescent="0.45">
      <c r="A101" s="793" t="s">
        <v>56</v>
      </c>
      <c r="B101" s="34" t="s">
        <v>1037</v>
      </c>
      <c r="C101" s="262">
        <v>-3358</v>
      </c>
      <c r="D101" s="788" t="s">
        <v>1036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1:14" ht="23.4" x14ac:dyDescent="0.45">
      <c r="A102" s="793"/>
      <c r="B102" s="34" t="s">
        <v>1038</v>
      </c>
      <c r="C102" s="262">
        <v>8229</v>
      </c>
      <c r="D102" s="788"/>
      <c r="E102" s="27"/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1:14" ht="23.4" x14ac:dyDescent="0.45">
      <c r="A103" s="793"/>
      <c r="B103" s="34" t="s">
        <v>1039</v>
      </c>
      <c r="C103" s="262">
        <v>2718</v>
      </c>
      <c r="D103" s="788"/>
      <c r="E103" s="27"/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1:14" ht="23.4" x14ac:dyDescent="0.45">
      <c r="A104" s="793"/>
      <c r="B104" s="34" t="s">
        <v>1040</v>
      </c>
      <c r="C104" s="262">
        <v>2150</v>
      </c>
      <c r="D104" s="788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ht="23.4" x14ac:dyDescent="0.45">
      <c r="A105" s="793"/>
      <c r="B105" s="34" t="s">
        <v>1041</v>
      </c>
      <c r="C105" s="262">
        <v>10754</v>
      </c>
      <c r="D105" s="788"/>
      <c r="E105" s="27"/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1:14" ht="23.4" x14ac:dyDescent="0.45">
      <c r="A106" s="793"/>
      <c r="B106" s="34" t="s">
        <v>1042</v>
      </c>
      <c r="C106" s="262">
        <v>22780</v>
      </c>
      <c r="D106" s="788"/>
      <c r="E106" s="31">
        <f>SUM(C101:C103)</f>
        <v>7589</v>
      </c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1:14" ht="23.4" x14ac:dyDescent="0.45">
      <c r="A107" s="793"/>
      <c r="B107" s="34" t="s">
        <v>1043</v>
      </c>
      <c r="C107" s="262">
        <v>105114</v>
      </c>
      <c r="D107" s="788"/>
      <c r="E107" s="27"/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1:14" ht="23.4" x14ac:dyDescent="0.45">
      <c r="A108" s="793"/>
      <c r="B108" s="34" t="s">
        <v>1044</v>
      </c>
      <c r="C108" s="262">
        <v>27161</v>
      </c>
      <c r="D108" s="788"/>
      <c r="E108" s="31">
        <f>SUM(C107:C108)</f>
        <v>132275</v>
      </c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1:14" ht="23.4" x14ac:dyDescent="0.45">
      <c r="A109" s="793"/>
      <c r="B109" s="34" t="s">
        <v>1045</v>
      </c>
      <c r="C109" s="262">
        <v>18106</v>
      </c>
      <c r="D109" s="788"/>
      <c r="E109" s="31"/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1:14" ht="23.4" x14ac:dyDescent="0.45">
      <c r="A110" s="793"/>
      <c r="B110" s="34" t="s">
        <v>1046</v>
      </c>
      <c r="C110" s="262">
        <v>168021</v>
      </c>
      <c r="D110" s="788"/>
      <c r="E110" s="31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ht="23.4" x14ac:dyDescent="0.45">
      <c r="A111" s="793"/>
      <c r="B111" s="34" t="s">
        <v>1047</v>
      </c>
      <c r="C111" s="262">
        <v>42558</v>
      </c>
      <c r="D111" s="788"/>
      <c r="E111" s="31"/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1:14" ht="23.4" x14ac:dyDescent="0.45">
      <c r="A112" s="793"/>
      <c r="B112" s="34" t="s">
        <v>1048</v>
      </c>
      <c r="C112" s="262">
        <v>120000</v>
      </c>
      <c r="D112" s="788"/>
      <c r="E112" s="31"/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1:14" ht="23.4" x14ac:dyDescent="0.45">
      <c r="A113" s="793"/>
      <c r="B113" s="34" t="s">
        <v>1049</v>
      </c>
      <c r="C113" s="262">
        <v>48622</v>
      </c>
      <c r="D113" s="788"/>
      <c r="E113" s="31"/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1:14" ht="23.4" x14ac:dyDescent="0.45">
      <c r="A114" s="793"/>
      <c r="B114" s="34" t="s">
        <v>1050</v>
      </c>
      <c r="C114" s="262">
        <v>16076</v>
      </c>
      <c r="D114" s="788"/>
      <c r="E114" s="31"/>
      <c r="F114" s="27"/>
      <c r="G114" s="27"/>
      <c r="H114" s="27"/>
      <c r="I114" s="27"/>
      <c r="J114" s="27"/>
      <c r="K114" s="27"/>
      <c r="L114" s="27"/>
      <c r="M114" s="27"/>
      <c r="N114" s="27"/>
    </row>
    <row r="115" spans="1:14" ht="23.4" x14ac:dyDescent="0.45">
      <c r="A115" s="793"/>
      <c r="B115" s="34" t="s">
        <v>1051</v>
      </c>
      <c r="C115" s="262">
        <v>21202</v>
      </c>
      <c r="D115" s="788"/>
      <c r="E115" s="31"/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1:14" ht="23.4" x14ac:dyDescent="0.45">
      <c r="A116" s="793"/>
      <c r="B116" s="34" t="s">
        <v>1052</v>
      </c>
      <c r="C116" s="262">
        <v>15117</v>
      </c>
      <c r="D116" s="788"/>
      <c r="E116" s="31"/>
      <c r="F116" s="27"/>
      <c r="G116" s="27"/>
      <c r="H116" s="27"/>
      <c r="I116" s="27"/>
      <c r="J116" s="27"/>
      <c r="K116" s="27"/>
      <c r="L116" s="27"/>
      <c r="M116" s="27"/>
      <c r="N116" s="27"/>
    </row>
    <row r="117" spans="1:14" ht="23.4" x14ac:dyDescent="0.45">
      <c r="A117" s="793"/>
      <c r="B117" s="34" t="s">
        <v>1053</v>
      </c>
      <c r="C117" s="262">
        <v>2048</v>
      </c>
      <c r="D117" s="788"/>
      <c r="E117" s="31"/>
      <c r="F117" s="27"/>
      <c r="G117" s="27"/>
      <c r="H117" s="27"/>
      <c r="I117" s="27"/>
      <c r="J117" s="27"/>
      <c r="K117" s="27"/>
      <c r="L117" s="27"/>
      <c r="M117" s="27"/>
      <c r="N117" s="27"/>
    </row>
    <row r="118" spans="1:14" ht="23.4" x14ac:dyDescent="0.45">
      <c r="A118" s="793"/>
      <c r="B118" s="34" t="s">
        <v>1054</v>
      </c>
      <c r="C118" s="262">
        <v>51</v>
      </c>
      <c r="D118" s="788"/>
      <c r="E118" s="27"/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1:14" ht="23.4" x14ac:dyDescent="0.45">
      <c r="A119" s="793"/>
      <c r="B119" s="34" t="s">
        <v>1055</v>
      </c>
      <c r="C119" s="262">
        <v>74328</v>
      </c>
      <c r="D119" s="788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 ht="23.4" x14ac:dyDescent="0.45">
      <c r="A120" s="793"/>
      <c r="B120" s="34" t="s">
        <v>1056</v>
      </c>
      <c r="C120" s="262">
        <v>42376</v>
      </c>
      <c r="D120" s="788"/>
      <c r="E120" s="27"/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1:14" ht="23.4" x14ac:dyDescent="0.45">
      <c r="A121" s="793"/>
      <c r="B121" s="34" t="s">
        <v>1057</v>
      </c>
      <c r="C121" s="262">
        <v>4170</v>
      </c>
      <c r="D121" s="788"/>
      <c r="E121" s="27"/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1:14" ht="23.4" x14ac:dyDescent="0.45">
      <c r="A122" s="793"/>
      <c r="B122" s="34" t="s">
        <v>1058</v>
      </c>
      <c r="C122" s="262">
        <v>30451</v>
      </c>
      <c r="D122" s="788"/>
      <c r="E122" s="27"/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1:14" ht="23.4" x14ac:dyDescent="0.45">
      <c r="A123" s="793"/>
      <c r="B123" s="34" t="s">
        <v>1059</v>
      </c>
      <c r="C123" s="262">
        <v>1094737</v>
      </c>
      <c r="D123" s="788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23.4" x14ac:dyDescent="0.45">
      <c r="A124" s="793"/>
      <c r="B124" s="34" t="s">
        <v>1060</v>
      </c>
      <c r="C124" s="262">
        <v>326347</v>
      </c>
      <c r="D124" s="788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ht="23.4" x14ac:dyDescent="0.45">
      <c r="A125" s="793"/>
      <c r="B125" s="34" t="s">
        <v>1061</v>
      </c>
      <c r="C125" s="262">
        <v>638928</v>
      </c>
      <c r="D125" s="788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23.4" x14ac:dyDescent="0.45">
      <c r="A126" s="793"/>
      <c r="B126" s="34" t="s">
        <v>1062</v>
      </c>
      <c r="C126" s="262">
        <v>1017872</v>
      </c>
      <c r="D126" s="788"/>
      <c r="E126" s="27"/>
      <c r="F126" s="27"/>
      <c r="G126" s="27"/>
      <c r="H126" s="27"/>
      <c r="I126" s="27"/>
      <c r="J126" s="27"/>
      <c r="K126" s="27"/>
      <c r="L126" s="27"/>
      <c r="M126" s="27"/>
      <c r="N126" s="27"/>
    </row>
    <row r="127" spans="1:14" ht="23.4" x14ac:dyDescent="0.45">
      <c r="A127" s="793"/>
      <c r="B127" s="34" t="s">
        <v>1063</v>
      </c>
      <c r="C127" s="262">
        <v>351033</v>
      </c>
      <c r="D127" s="788"/>
      <c r="E127" s="27"/>
      <c r="F127" s="27"/>
      <c r="G127" s="27"/>
      <c r="H127" s="27"/>
      <c r="I127" s="27"/>
      <c r="J127" s="27"/>
      <c r="K127" s="27"/>
      <c r="L127" s="27"/>
      <c r="M127" s="27"/>
      <c r="N127" s="27"/>
    </row>
    <row r="128" spans="1:14" ht="23.4" x14ac:dyDescent="0.45">
      <c r="A128" s="793"/>
      <c r="B128" s="34" t="s">
        <v>1064</v>
      </c>
      <c r="C128" s="262">
        <v>927100</v>
      </c>
      <c r="D128" s="788"/>
      <c r="E128" s="27"/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1:14" ht="23.4" x14ac:dyDescent="0.45">
      <c r="A129" s="793"/>
      <c r="B129" s="34" t="s">
        <v>1065</v>
      </c>
      <c r="C129" s="262">
        <v>802818</v>
      </c>
      <c r="D129" s="788"/>
      <c r="E129" s="27"/>
      <c r="F129" s="27"/>
      <c r="G129" s="27"/>
      <c r="H129" s="27"/>
      <c r="I129" s="27"/>
      <c r="J129" s="27"/>
      <c r="K129" s="27"/>
      <c r="L129" s="27"/>
      <c r="M129" s="27"/>
      <c r="N129" s="27"/>
    </row>
    <row r="130" spans="1:14" ht="23.4" x14ac:dyDescent="0.45">
      <c r="A130" s="793"/>
      <c r="B130" s="34" t="s">
        <v>1066</v>
      </c>
      <c r="C130" s="262">
        <v>1143472</v>
      </c>
      <c r="D130" s="788"/>
      <c r="E130" s="27"/>
      <c r="F130" s="27"/>
      <c r="G130" s="27"/>
      <c r="H130" s="27"/>
      <c r="I130" s="27"/>
      <c r="J130" s="27"/>
      <c r="K130" s="27"/>
      <c r="L130" s="27"/>
      <c r="M130" s="27"/>
      <c r="N130" s="27"/>
    </row>
    <row r="131" spans="1:14" ht="23.4" x14ac:dyDescent="0.45">
      <c r="A131" s="793"/>
      <c r="B131" s="34" t="s">
        <v>1067</v>
      </c>
      <c r="C131" s="262">
        <v>1897668</v>
      </c>
      <c r="D131" s="788"/>
      <c r="E131" s="27"/>
      <c r="F131" s="192"/>
      <c r="G131" s="192"/>
      <c r="H131" s="27"/>
      <c r="I131" s="27"/>
      <c r="J131" s="27"/>
      <c r="K131" s="27"/>
      <c r="L131" s="27"/>
      <c r="M131" s="27"/>
      <c r="N131" s="27"/>
    </row>
    <row r="132" spans="1:14" ht="23.4" x14ac:dyDescent="0.45">
      <c r="A132" s="793"/>
      <c r="B132" s="34" t="s">
        <v>1068</v>
      </c>
      <c r="C132" s="262">
        <v>1306223</v>
      </c>
      <c r="D132" s="788"/>
      <c r="E132" s="27"/>
      <c r="F132" s="27"/>
      <c r="G132" s="27"/>
      <c r="H132" s="27"/>
      <c r="I132" s="27"/>
      <c r="J132" s="27"/>
      <c r="K132" s="27"/>
      <c r="L132" s="27"/>
      <c r="M132" s="27"/>
      <c r="N132" s="27"/>
    </row>
    <row r="133" spans="1:14" ht="23.4" x14ac:dyDescent="0.45">
      <c r="A133" s="793"/>
      <c r="B133" s="34" t="s">
        <v>1069</v>
      </c>
      <c r="C133" s="262">
        <v>261804</v>
      </c>
      <c r="D133" s="788"/>
      <c r="E133" s="27"/>
      <c r="F133" s="27"/>
      <c r="G133" s="27"/>
      <c r="H133" s="27"/>
      <c r="I133" s="27"/>
      <c r="J133" s="27"/>
      <c r="K133" s="27"/>
      <c r="L133" s="27"/>
      <c r="M133" s="27"/>
      <c r="N133" s="27"/>
    </row>
    <row r="134" spans="1:14" ht="23.4" x14ac:dyDescent="0.45">
      <c r="A134" s="793"/>
      <c r="B134" s="34" t="s">
        <v>1070</v>
      </c>
      <c r="C134" s="262">
        <v>5212</v>
      </c>
      <c r="D134" s="788"/>
      <c r="E134" s="27"/>
      <c r="F134" s="27"/>
      <c r="G134" s="27"/>
      <c r="H134" s="27"/>
      <c r="I134" s="27"/>
      <c r="J134" s="27"/>
      <c r="K134" s="27"/>
      <c r="L134" s="27"/>
      <c r="M134" s="27"/>
      <c r="N134" s="27"/>
    </row>
    <row r="135" spans="1:14" ht="23.4" x14ac:dyDescent="0.45">
      <c r="A135" s="793"/>
      <c r="B135" s="34" t="s">
        <v>1071</v>
      </c>
      <c r="C135" s="262">
        <v>366866</v>
      </c>
      <c r="D135" s="788"/>
      <c r="E135" s="27"/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1:14" ht="23.4" x14ac:dyDescent="0.45">
      <c r="A136" s="793"/>
      <c r="B136" s="34" t="s">
        <v>1072</v>
      </c>
      <c r="C136" s="262">
        <v>24161</v>
      </c>
      <c r="D136" s="788"/>
      <c r="E136" s="27"/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1:14" ht="23.4" x14ac:dyDescent="0.45">
      <c r="A137" s="793"/>
      <c r="B137" s="34" t="s">
        <v>1073</v>
      </c>
      <c r="C137" s="262">
        <v>103776</v>
      </c>
      <c r="D137" s="788"/>
      <c r="E137" s="27"/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1:14" ht="23.4" x14ac:dyDescent="0.45">
      <c r="A138" s="793"/>
      <c r="B138" s="34" t="s">
        <v>1074</v>
      </c>
      <c r="C138" s="262">
        <v>102777</v>
      </c>
      <c r="D138" s="788"/>
      <c r="E138" s="27"/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1:14" ht="23.4" x14ac:dyDescent="0.45">
      <c r="A139" s="793"/>
      <c r="B139" s="34" t="s">
        <v>1075</v>
      </c>
      <c r="C139" s="262">
        <v>106905</v>
      </c>
      <c r="D139" s="788"/>
      <c r="E139" s="27"/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1:14" ht="23.4" x14ac:dyDescent="0.45">
      <c r="A140" s="793"/>
      <c r="B140" s="34" t="s">
        <v>1076</v>
      </c>
      <c r="C140" s="262">
        <v>49248</v>
      </c>
      <c r="D140" s="788"/>
      <c r="E140" s="27"/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1:14" ht="23.4" x14ac:dyDescent="0.45">
      <c r="A141" s="793"/>
      <c r="B141" s="34" t="s">
        <v>1077</v>
      </c>
      <c r="C141" s="262">
        <v>9180</v>
      </c>
      <c r="D141" s="788"/>
      <c r="E141" s="27"/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1:14" ht="23.4" x14ac:dyDescent="0.45">
      <c r="A142" s="777" t="s">
        <v>58</v>
      </c>
      <c r="B142" s="777"/>
      <c r="C142" s="260">
        <f>SUM(C101:C141)</f>
        <v>11314801</v>
      </c>
      <c r="D142" s="268"/>
      <c r="E142" s="27"/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1:14" ht="23.4" x14ac:dyDescent="0.45">
      <c r="A143" s="275"/>
      <c r="B143" s="280" t="s">
        <v>788</v>
      </c>
      <c r="C143" s="301">
        <v>0</v>
      </c>
      <c r="D143" s="270"/>
      <c r="E143" s="27"/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1:14" ht="23.4" x14ac:dyDescent="0.45">
      <c r="A144" s="281"/>
      <c r="B144" s="280" t="s">
        <v>59</v>
      </c>
      <c r="C144" s="301">
        <v>0</v>
      </c>
      <c r="D144" s="267"/>
      <c r="E144" s="27"/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1:14" ht="23.4" x14ac:dyDescent="0.45">
      <c r="A145" s="27"/>
      <c r="B145" s="27"/>
      <c r="C145" s="177"/>
      <c r="D145" s="284"/>
      <c r="E145" s="27"/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1:14" s="195" customFormat="1" ht="23.4" x14ac:dyDescent="0.45">
      <c r="A146" s="192"/>
      <c r="B146" s="193" t="s">
        <v>14</v>
      </c>
      <c r="C146" s="194"/>
      <c r="D146" s="287"/>
      <c r="E146" s="192"/>
      <c r="F146" s="27"/>
      <c r="G146" s="27"/>
      <c r="H146" s="192"/>
      <c r="I146" s="192"/>
      <c r="J146" s="192"/>
      <c r="K146" s="192"/>
      <c r="L146" s="192"/>
      <c r="M146" s="192"/>
      <c r="N146" s="192"/>
    </row>
    <row r="147" spans="1:14" ht="23.4" x14ac:dyDescent="0.45">
      <c r="A147" s="269"/>
      <c r="B147" s="307" t="s">
        <v>53</v>
      </c>
      <c r="C147" s="309"/>
      <c r="D147" s="309"/>
      <c r="E147" s="27"/>
      <c r="F147" s="27"/>
      <c r="G147" s="27"/>
      <c r="H147" s="27"/>
      <c r="I147" s="27"/>
      <c r="J147" s="27"/>
      <c r="K147" s="27"/>
      <c r="L147" s="27"/>
      <c r="M147" s="27"/>
      <c r="N147" s="27"/>
    </row>
    <row r="148" spans="1:14" ht="23.25" customHeight="1" x14ac:dyDescent="0.45">
      <c r="A148" s="790" t="s">
        <v>56</v>
      </c>
      <c r="B148" s="34" t="s">
        <v>1087</v>
      </c>
      <c r="C148" s="262">
        <v>127000</v>
      </c>
      <c r="D148" s="780" t="s">
        <v>1036</v>
      </c>
      <c r="E148" s="27"/>
      <c r="F148" s="187"/>
      <c r="G148" s="187"/>
      <c r="H148" s="27"/>
      <c r="I148" s="27"/>
      <c r="J148" s="27"/>
      <c r="K148" s="27"/>
      <c r="L148" s="27"/>
      <c r="M148" s="27"/>
      <c r="N148" s="27"/>
    </row>
    <row r="149" spans="1:14" ht="23.4" x14ac:dyDescent="0.45">
      <c r="A149" s="791"/>
      <c r="B149" s="34" t="s">
        <v>1088</v>
      </c>
      <c r="C149" s="262">
        <v>44100</v>
      </c>
      <c r="D149" s="780"/>
      <c r="E149" s="27"/>
      <c r="F149" s="27"/>
      <c r="G149" s="27"/>
      <c r="H149" s="27"/>
      <c r="I149" s="27"/>
      <c r="J149" s="27"/>
      <c r="K149" s="27"/>
      <c r="L149" s="27"/>
      <c r="M149" s="27"/>
      <c r="N149" s="27"/>
    </row>
    <row r="150" spans="1:14" ht="23.4" x14ac:dyDescent="0.45">
      <c r="A150" s="791"/>
      <c r="B150" s="34" t="s">
        <v>1089</v>
      </c>
      <c r="C150" s="262">
        <v>2935</v>
      </c>
      <c r="D150" s="780"/>
      <c r="E150" s="27"/>
      <c r="F150" s="27"/>
      <c r="G150" s="27"/>
      <c r="H150" s="27"/>
      <c r="I150" s="27"/>
      <c r="J150" s="27"/>
      <c r="K150" s="27"/>
      <c r="L150" s="27"/>
      <c r="M150" s="27"/>
      <c r="N150" s="27"/>
    </row>
    <row r="151" spans="1:14" ht="23.4" x14ac:dyDescent="0.45">
      <c r="A151" s="791"/>
      <c r="B151" s="34" t="s">
        <v>1090</v>
      </c>
      <c r="C151" s="262">
        <v>12112</v>
      </c>
      <c r="D151" s="780"/>
      <c r="E151" s="27"/>
      <c r="F151" s="27"/>
      <c r="G151" s="27"/>
      <c r="H151" s="27"/>
      <c r="I151" s="27"/>
      <c r="J151" s="27"/>
      <c r="K151" s="27"/>
      <c r="L151" s="27"/>
      <c r="M151" s="27"/>
      <c r="N151" s="27"/>
    </row>
    <row r="152" spans="1:14" ht="23.4" x14ac:dyDescent="0.45">
      <c r="A152" s="791"/>
      <c r="B152" s="34" t="s">
        <v>1091</v>
      </c>
      <c r="C152" s="262">
        <v>40000</v>
      </c>
      <c r="D152" s="780"/>
      <c r="E152" s="27"/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1:14" ht="23.4" x14ac:dyDescent="0.45">
      <c r="A153" s="791"/>
      <c r="B153" s="34" t="s">
        <v>1092</v>
      </c>
      <c r="C153" s="262">
        <v>147444</v>
      </c>
      <c r="D153" s="780"/>
      <c r="E153" s="27"/>
      <c r="F153" s="27"/>
      <c r="G153" s="27"/>
      <c r="H153" s="27"/>
      <c r="I153" s="27"/>
      <c r="J153" s="27"/>
      <c r="K153" s="27"/>
      <c r="L153" s="27"/>
      <c r="M153" s="27"/>
      <c r="N153" s="27"/>
    </row>
    <row r="154" spans="1:14" ht="23.4" x14ac:dyDescent="0.45">
      <c r="A154" s="791"/>
      <c r="B154" s="34" t="s">
        <v>1093</v>
      </c>
      <c r="C154" s="262">
        <v>100507</v>
      </c>
      <c r="D154" s="780"/>
      <c r="E154" s="27"/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1:14" ht="23.4" x14ac:dyDescent="0.45">
      <c r="A155" s="791"/>
      <c r="B155" s="34" t="s">
        <v>1094</v>
      </c>
      <c r="C155" s="262">
        <v>-1471</v>
      </c>
      <c r="D155" s="780"/>
      <c r="E155" s="27"/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1:14" ht="23.4" x14ac:dyDescent="0.45">
      <c r="A156" s="791"/>
      <c r="B156" s="34" t="s">
        <v>1095</v>
      </c>
      <c r="C156" s="262">
        <v>-56909</v>
      </c>
      <c r="D156" s="780"/>
      <c r="E156" s="27"/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1:14" ht="23.4" x14ac:dyDescent="0.45">
      <c r="A157" s="792"/>
      <c r="B157" s="34" t="s">
        <v>1096</v>
      </c>
      <c r="C157" s="262">
        <v>99115</v>
      </c>
      <c r="D157" s="780"/>
      <c r="E157" s="27"/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1:14" ht="23.4" x14ac:dyDescent="0.45">
      <c r="A158" s="792"/>
      <c r="B158" s="34" t="s">
        <v>1097</v>
      </c>
      <c r="C158" s="262">
        <v>98182</v>
      </c>
      <c r="D158" s="780"/>
      <c r="E158" s="27"/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1:14" ht="23.4" x14ac:dyDescent="0.45">
      <c r="A159" s="777" t="s">
        <v>58</v>
      </c>
      <c r="B159" s="777"/>
      <c r="C159" s="260">
        <f>SUM(C145:C158)</f>
        <v>613015</v>
      </c>
      <c r="D159" s="268"/>
      <c r="E159" s="27"/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1:14" ht="23.4" x14ac:dyDescent="0.45">
      <c r="A160" s="275"/>
      <c r="B160" s="280" t="s">
        <v>788</v>
      </c>
      <c r="C160" s="302">
        <v>0</v>
      </c>
      <c r="D160" s="271"/>
      <c r="E160" s="27"/>
      <c r="F160" s="187"/>
      <c r="G160" s="187"/>
      <c r="H160" s="27"/>
      <c r="I160" s="27"/>
      <c r="J160" s="27"/>
      <c r="K160" s="27"/>
      <c r="L160" s="27"/>
      <c r="M160" s="27"/>
      <c r="N160" s="27"/>
    </row>
    <row r="161" spans="1:14" ht="23.4" x14ac:dyDescent="0.45">
      <c r="A161" s="281"/>
      <c r="B161" s="280" t="s">
        <v>59</v>
      </c>
      <c r="C161" s="301">
        <v>0</v>
      </c>
      <c r="D161" s="270"/>
      <c r="E161" s="27"/>
      <c r="F161" s="27"/>
      <c r="G161" s="27"/>
      <c r="H161" s="27"/>
      <c r="I161" s="27"/>
      <c r="J161" s="27"/>
      <c r="K161" s="27"/>
      <c r="L161" s="27"/>
      <c r="M161" s="27"/>
      <c r="N161" s="27"/>
    </row>
    <row r="162" spans="1:14" ht="23.4" x14ac:dyDescent="0.45">
      <c r="A162" s="27"/>
      <c r="B162" s="27"/>
      <c r="C162" s="177"/>
      <c r="D162" s="284"/>
      <c r="E162" s="27"/>
      <c r="F162" s="27"/>
      <c r="G162" s="27"/>
      <c r="H162" s="27"/>
      <c r="I162" s="27"/>
      <c r="J162" s="27"/>
      <c r="K162" s="27"/>
      <c r="L162" s="27"/>
      <c r="M162" s="27"/>
      <c r="N162" s="27"/>
    </row>
    <row r="163" spans="1:14" s="190" customFormat="1" ht="23.4" x14ac:dyDescent="0.45">
      <c r="A163" s="187"/>
      <c r="B163" s="188" t="s">
        <v>11</v>
      </c>
      <c r="C163" s="189"/>
      <c r="D163" s="287"/>
      <c r="E163" s="187"/>
      <c r="F163" s="27"/>
      <c r="G163" s="27"/>
      <c r="H163" s="187"/>
      <c r="I163" s="187"/>
      <c r="J163" s="187"/>
      <c r="K163" s="187"/>
      <c r="L163" s="187"/>
      <c r="M163" s="187"/>
      <c r="N163" s="187"/>
    </row>
    <row r="164" spans="1:14" ht="23.4" x14ac:dyDescent="0.45">
      <c r="A164" s="269"/>
      <c r="B164" s="307" t="s">
        <v>53</v>
      </c>
      <c r="C164" s="308"/>
      <c r="D164" s="269"/>
      <c r="E164" s="27"/>
      <c r="F164" s="27"/>
      <c r="G164" s="27"/>
      <c r="H164" s="27"/>
      <c r="I164" s="27"/>
      <c r="J164" s="27"/>
      <c r="K164" s="27"/>
      <c r="L164" s="27"/>
      <c r="M164" s="27"/>
      <c r="N164" s="27"/>
    </row>
    <row r="165" spans="1:14" ht="23.4" x14ac:dyDescent="0.45">
      <c r="A165" s="778" t="s">
        <v>56</v>
      </c>
      <c r="B165" s="34" t="s">
        <v>1081</v>
      </c>
      <c r="C165" s="262">
        <v>203200</v>
      </c>
      <c r="D165" s="788" t="s">
        <v>1036</v>
      </c>
      <c r="E165" s="27"/>
      <c r="F165" s="27"/>
      <c r="G165" s="27"/>
      <c r="H165" s="27"/>
      <c r="I165" s="27"/>
      <c r="J165" s="27"/>
      <c r="K165" s="27"/>
      <c r="L165" s="27"/>
      <c r="M165" s="27"/>
      <c r="N165" s="27"/>
    </row>
    <row r="166" spans="1:14" ht="23.4" x14ac:dyDescent="0.45">
      <c r="A166" s="789"/>
      <c r="B166" s="34" t="s">
        <v>1082</v>
      </c>
      <c r="C166" s="262">
        <v>95184</v>
      </c>
      <c r="D166" s="788"/>
      <c r="E166" s="27"/>
      <c r="F166" s="27"/>
      <c r="G166" s="27"/>
      <c r="H166" s="27"/>
      <c r="I166" s="27"/>
      <c r="J166" s="27"/>
      <c r="K166" s="27"/>
      <c r="L166" s="27"/>
      <c r="M166" s="27"/>
      <c r="N166" s="27"/>
    </row>
    <row r="167" spans="1:14" ht="23.4" x14ac:dyDescent="0.45">
      <c r="A167" s="789"/>
      <c r="B167" s="34" t="s">
        <v>1083</v>
      </c>
      <c r="C167" s="262">
        <v>107950</v>
      </c>
      <c r="D167" s="788"/>
      <c r="E167" s="27"/>
      <c r="F167" s="27"/>
      <c r="G167" s="27"/>
      <c r="H167" s="27"/>
      <c r="I167" s="27"/>
      <c r="J167" s="27"/>
      <c r="K167" s="27"/>
      <c r="L167" s="27"/>
      <c r="M167" s="27"/>
      <c r="N167" s="27"/>
    </row>
    <row r="168" spans="1:14" ht="23.4" x14ac:dyDescent="0.45">
      <c r="A168" s="789"/>
      <c r="B168" s="34" t="s">
        <v>1084</v>
      </c>
      <c r="C168" s="262">
        <v>53086</v>
      </c>
      <c r="D168" s="788"/>
      <c r="E168" s="27"/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1:14" ht="23.4" x14ac:dyDescent="0.45">
      <c r="A169" s="789"/>
      <c r="B169" s="34" t="s">
        <v>1085</v>
      </c>
      <c r="C169" s="262">
        <v>91519</v>
      </c>
      <c r="D169" s="788"/>
      <c r="E169" s="27"/>
      <c r="F169" s="27"/>
      <c r="G169" s="27"/>
      <c r="H169" s="27"/>
      <c r="I169" s="27"/>
      <c r="J169" s="27"/>
      <c r="K169" s="27"/>
      <c r="L169" s="27"/>
      <c r="M169" s="27"/>
      <c r="N169" s="27"/>
    </row>
    <row r="170" spans="1:14" ht="23.4" x14ac:dyDescent="0.45">
      <c r="A170" s="789"/>
      <c r="B170" s="34" t="s">
        <v>1086</v>
      </c>
      <c r="C170" s="262">
        <v>8250</v>
      </c>
      <c r="D170" s="788"/>
      <c r="E170" s="27"/>
      <c r="F170" s="187"/>
      <c r="G170" s="187"/>
      <c r="H170" s="27"/>
      <c r="I170" s="27"/>
      <c r="J170" s="27"/>
      <c r="K170" s="27"/>
      <c r="L170" s="27"/>
      <c r="M170" s="27"/>
      <c r="N170" s="27"/>
    </row>
    <row r="171" spans="1:14" ht="23.4" x14ac:dyDescent="0.45">
      <c r="A171" s="777" t="s">
        <v>58</v>
      </c>
      <c r="B171" s="777"/>
      <c r="C171" s="260">
        <f>SUM(C161:C170)</f>
        <v>559189</v>
      </c>
      <c r="D171" s="268"/>
      <c r="E171" s="27"/>
      <c r="F171" s="27"/>
      <c r="G171" s="27"/>
      <c r="H171" s="27"/>
      <c r="I171" s="27"/>
      <c r="J171" s="27"/>
      <c r="K171" s="27"/>
      <c r="L171" s="27"/>
      <c r="M171" s="27"/>
      <c r="N171" s="27"/>
    </row>
    <row r="172" spans="1:14" ht="23.4" x14ac:dyDescent="0.45">
      <c r="A172" s="275"/>
      <c r="B172" s="32" t="s">
        <v>788</v>
      </c>
      <c r="C172" s="303">
        <v>0</v>
      </c>
      <c r="D172" s="270"/>
      <c r="E172" s="27"/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1:14" ht="23.4" x14ac:dyDescent="0.45">
      <c r="A173" s="281"/>
      <c r="B173" s="32" t="s">
        <v>59</v>
      </c>
      <c r="C173" s="303">
        <v>0</v>
      </c>
      <c r="D173" s="267"/>
      <c r="E173" s="27"/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1:14" ht="23.4" x14ac:dyDescent="0.45">
      <c r="A174" s="27"/>
      <c r="B174" s="27"/>
      <c r="C174" s="288"/>
      <c r="D174" s="278"/>
      <c r="E174" s="27"/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1:14" s="190" customFormat="1" ht="23.4" x14ac:dyDescent="0.45">
      <c r="A175" s="187"/>
      <c r="B175" s="188" t="s">
        <v>15</v>
      </c>
      <c r="C175" s="189"/>
      <c r="D175" s="287"/>
      <c r="E175" s="187"/>
      <c r="F175" s="27"/>
      <c r="G175" s="27"/>
      <c r="H175" s="187"/>
      <c r="I175" s="187"/>
      <c r="J175" s="187"/>
      <c r="K175" s="187"/>
      <c r="L175" s="187"/>
      <c r="M175" s="187"/>
      <c r="N175" s="187"/>
    </row>
    <row r="176" spans="1:14" ht="23.4" x14ac:dyDescent="0.45">
      <c r="A176" s="269"/>
      <c r="B176" s="280" t="s">
        <v>53</v>
      </c>
      <c r="C176" s="270"/>
      <c r="D176" s="272"/>
      <c r="E176" s="27"/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1:14" ht="28.5" customHeight="1" x14ac:dyDescent="0.45">
      <c r="A177" s="786" t="s">
        <v>56</v>
      </c>
      <c r="B177" s="34" t="s">
        <v>1098</v>
      </c>
      <c r="C177" s="263">
        <v>4351</v>
      </c>
      <c r="D177" s="788" t="s">
        <v>1036</v>
      </c>
      <c r="E177" s="27"/>
      <c r="F177" s="27"/>
      <c r="G177" s="27"/>
      <c r="H177" s="27"/>
      <c r="I177" s="27"/>
      <c r="J177" s="27"/>
      <c r="K177" s="27"/>
      <c r="L177" s="27"/>
      <c r="M177" s="27"/>
      <c r="N177" s="27"/>
    </row>
    <row r="178" spans="1:14" ht="28.5" customHeight="1" x14ac:dyDescent="0.45">
      <c r="A178" s="779"/>
      <c r="B178" s="34" t="s">
        <v>1099</v>
      </c>
      <c r="C178" s="263">
        <v>60325</v>
      </c>
      <c r="D178" s="788"/>
      <c r="E178" s="27"/>
      <c r="F178" s="27"/>
      <c r="G178" s="27"/>
      <c r="H178" s="27"/>
      <c r="I178" s="27"/>
      <c r="J178" s="27"/>
      <c r="K178" s="27"/>
      <c r="L178" s="27"/>
      <c r="M178" s="27"/>
      <c r="N178" s="27"/>
    </row>
    <row r="179" spans="1:14" ht="28.5" customHeight="1" x14ac:dyDescent="0.45">
      <c r="A179" s="779"/>
      <c r="B179" s="34" t="s">
        <v>1100</v>
      </c>
      <c r="C179" s="263">
        <v>520841</v>
      </c>
      <c r="D179" s="788"/>
      <c r="E179" s="27"/>
      <c r="F179" s="27"/>
      <c r="G179" s="27"/>
      <c r="H179" s="27"/>
      <c r="I179" s="27"/>
      <c r="J179" s="27"/>
      <c r="K179" s="27"/>
      <c r="L179" s="27"/>
      <c r="M179" s="27"/>
      <c r="N179" s="27"/>
    </row>
    <row r="180" spans="1:14" ht="28.5" customHeight="1" x14ac:dyDescent="0.45">
      <c r="A180" s="787"/>
      <c r="B180" s="34" t="s">
        <v>1101</v>
      </c>
      <c r="C180" s="263">
        <v>260</v>
      </c>
      <c r="D180" s="788"/>
      <c r="E180" s="27"/>
      <c r="F180" s="27"/>
      <c r="G180" s="27"/>
      <c r="H180" s="27"/>
      <c r="I180" s="27"/>
      <c r="J180" s="27"/>
      <c r="K180" s="27"/>
      <c r="L180" s="27"/>
      <c r="M180" s="27"/>
      <c r="N180" s="27"/>
    </row>
    <row r="181" spans="1:14" ht="23.4" x14ac:dyDescent="0.45">
      <c r="A181" s="777" t="s">
        <v>58</v>
      </c>
      <c r="B181" s="777"/>
      <c r="C181" s="260">
        <f>SUM(C177:C180)</f>
        <v>585777</v>
      </c>
      <c r="D181" s="268"/>
      <c r="E181" s="27"/>
      <c r="F181" s="27"/>
      <c r="G181" s="27"/>
      <c r="H181" s="27"/>
      <c r="I181" s="27"/>
      <c r="J181" s="27"/>
      <c r="K181" s="27"/>
      <c r="L181" s="27"/>
      <c r="M181" s="27"/>
      <c r="N181" s="27"/>
    </row>
    <row r="182" spans="1:14" ht="23.4" x14ac:dyDescent="0.45">
      <c r="A182" s="275"/>
      <c r="B182" s="280" t="s">
        <v>788</v>
      </c>
      <c r="C182" s="304">
        <v>0</v>
      </c>
      <c r="D182" s="272"/>
      <c r="E182" s="27"/>
      <c r="F182" s="27"/>
      <c r="G182" s="27"/>
      <c r="H182" s="27"/>
      <c r="I182" s="27"/>
      <c r="J182" s="27"/>
      <c r="K182" s="27"/>
      <c r="L182" s="27"/>
      <c r="M182" s="27"/>
      <c r="N182" s="27">
        <f>172940*1.27</f>
        <v>219633.80000000002</v>
      </c>
    </row>
    <row r="183" spans="1:14" ht="23.4" x14ac:dyDescent="0.45">
      <c r="A183" s="281"/>
      <c r="B183" s="280" t="s">
        <v>59</v>
      </c>
      <c r="C183" s="304">
        <v>0</v>
      </c>
      <c r="D183" s="272"/>
      <c r="E183" s="27"/>
      <c r="F183" s="27"/>
      <c r="G183" s="27"/>
      <c r="H183" s="27"/>
      <c r="I183" s="27"/>
      <c r="J183" s="27"/>
      <c r="K183" s="27"/>
      <c r="L183" s="27"/>
      <c r="M183" s="27"/>
      <c r="N183" s="27"/>
    </row>
    <row r="184" spans="1:14" ht="23.4" x14ac:dyDescent="0.45">
      <c r="A184" s="27"/>
      <c r="B184" s="27"/>
      <c r="C184" s="177"/>
      <c r="D184" s="284"/>
      <c r="E184" s="27"/>
      <c r="F184" s="27"/>
      <c r="G184" s="27"/>
      <c r="H184" s="27"/>
      <c r="I184" s="27"/>
      <c r="J184" s="27"/>
      <c r="K184" s="27"/>
      <c r="L184" s="27"/>
      <c r="M184" s="27"/>
      <c r="N184" s="27"/>
    </row>
    <row r="185" spans="1:14" s="190" customFormat="1" ht="23.4" x14ac:dyDescent="0.45">
      <c r="A185" s="187"/>
      <c r="B185" s="188" t="s">
        <v>39</v>
      </c>
      <c r="C185" s="189"/>
      <c r="D185" s="286"/>
      <c r="E185" s="187"/>
      <c r="F185" s="27"/>
      <c r="G185" s="27"/>
      <c r="H185" s="187"/>
      <c r="I185" s="187"/>
      <c r="J185" s="187"/>
      <c r="K185" s="187"/>
      <c r="L185" s="187"/>
      <c r="M185" s="187"/>
      <c r="N185" s="187"/>
    </row>
    <row r="186" spans="1:14" ht="23.4" x14ac:dyDescent="0.45">
      <c r="A186" s="269"/>
      <c r="B186" s="280" t="s">
        <v>53</v>
      </c>
      <c r="C186" s="303"/>
      <c r="D186" s="272"/>
      <c r="E186" s="27"/>
      <c r="F186" s="27"/>
      <c r="G186" s="27"/>
      <c r="H186" s="27"/>
      <c r="I186" s="27"/>
      <c r="J186" s="27"/>
      <c r="K186" s="27"/>
      <c r="L186" s="27"/>
      <c r="M186" s="27"/>
      <c r="N186" s="27"/>
    </row>
    <row r="187" spans="1:14" ht="36.75" customHeight="1" x14ac:dyDescent="0.45">
      <c r="A187" s="783" t="s">
        <v>56</v>
      </c>
      <c r="B187" s="191" t="s">
        <v>1078</v>
      </c>
      <c r="C187" s="263">
        <v>4070</v>
      </c>
      <c r="D187" s="784" t="s">
        <v>1036</v>
      </c>
      <c r="E187" s="27"/>
      <c r="F187" s="27"/>
      <c r="G187" s="27"/>
      <c r="H187" s="27"/>
      <c r="I187" s="27"/>
      <c r="J187" s="27"/>
      <c r="K187" s="27"/>
      <c r="L187" s="27"/>
      <c r="M187" s="27"/>
      <c r="N187" s="27"/>
    </row>
    <row r="188" spans="1:14" ht="36.75" customHeight="1" x14ac:dyDescent="0.45">
      <c r="A188" s="783"/>
      <c r="B188" s="191" t="s">
        <v>1079</v>
      </c>
      <c r="C188" s="263">
        <v>44100</v>
      </c>
      <c r="D188" s="784"/>
      <c r="E188" s="27"/>
      <c r="F188" s="27"/>
      <c r="G188" s="27"/>
      <c r="H188" s="27"/>
      <c r="I188" s="27"/>
      <c r="J188" s="27"/>
      <c r="K188" s="27"/>
      <c r="L188" s="27"/>
      <c r="M188" s="27"/>
      <c r="N188" s="27"/>
    </row>
    <row r="189" spans="1:14" ht="36.75" customHeight="1" x14ac:dyDescent="0.45">
      <c r="A189" s="783"/>
      <c r="B189" s="191" t="s">
        <v>1080</v>
      </c>
      <c r="C189" s="263">
        <v>3880</v>
      </c>
      <c r="D189" s="784"/>
      <c r="E189" s="27"/>
      <c r="F189" s="27"/>
      <c r="G189" s="27"/>
      <c r="H189" s="27"/>
      <c r="I189" s="27"/>
      <c r="J189" s="27"/>
      <c r="K189" s="27"/>
      <c r="L189" s="27"/>
      <c r="M189" s="27"/>
      <c r="N189" s="27"/>
    </row>
    <row r="190" spans="1:14" ht="23.4" x14ac:dyDescent="0.45">
      <c r="A190" s="777" t="s">
        <v>58</v>
      </c>
      <c r="B190" s="777"/>
      <c r="C190" s="260">
        <f>SUM(C186:C189)</f>
        <v>52050</v>
      </c>
      <c r="D190" s="268"/>
      <c r="E190" s="27"/>
      <c r="F190" s="27"/>
      <c r="G190" s="27"/>
      <c r="H190" s="27"/>
      <c r="I190" s="27"/>
      <c r="J190" s="27"/>
      <c r="K190" s="27"/>
      <c r="L190" s="27"/>
      <c r="M190" s="27"/>
      <c r="N190" s="27"/>
    </row>
    <row r="191" spans="1:14" ht="23.4" x14ac:dyDescent="0.45">
      <c r="A191" s="27"/>
      <c r="B191" s="196" t="s">
        <v>788</v>
      </c>
      <c r="C191" s="263">
        <v>0</v>
      </c>
      <c r="D191" s="272"/>
      <c r="E191" s="27"/>
      <c r="F191" s="27"/>
      <c r="G191" s="27"/>
      <c r="H191" s="27"/>
      <c r="I191" s="27"/>
      <c r="J191" s="27"/>
      <c r="K191" s="27"/>
      <c r="L191" s="27"/>
      <c r="M191" s="27"/>
      <c r="N191" s="27">
        <f>172940*1.27</f>
        <v>219633.80000000002</v>
      </c>
    </row>
    <row r="192" spans="1:14" ht="23.4" x14ac:dyDescent="0.45">
      <c r="A192" s="279"/>
      <c r="B192" s="280" t="s">
        <v>59</v>
      </c>
      <c r="C192" s="263">
        <v>0</v>
      </c>
      <c r="D192" s="272"/>
      <c r="E192" s="27"/>
      <c r="F192" s="27"/>
      <c r="G192" s="27"/>
      <c r="H192" s="27"/>
      <c r="I192" s="27"/>
      <c r="J192" s="27"/>
      <c r="K192" s="27"/>
      <c r="L192" s="27"/>
      <c r="M192" s="27"/>
      <c r="N192" s="27"/>
    </row>
    <row r="193" spans="1:14" ht="23.4" x14ac:dyDescent="0.45">
      <c r="A193" s="276"/>
      <c r="B193" s="296"/>
      <c r="C193" s="277"/>
      <c r="D193" s="297"/>
      <c r="E193" s="27"/>
      <c r="F193" s="27"/>
      <c r="G193" s="27"/>
      <c r="H193" s="27"/>
      <c r="I193" s="27"/>
      <c r="J193" s="27"/>
      <c r="K193" s="27"/>
      <c r="L193" s="27"/>
      <c r="M193" s="27"/>
      <c r="N193" s="27"/>
    </row>
    <row r="194" spans="1:14" ht="23.4" x14ac:dyDescent="0.45">
      <c r="A194" s="187"/>
      <c r="B194" s="188" t="s">
        <v>1030</v>
      </c>
      <c r="C194" s="189"/>
      <c r="D194" s="286"/>
      <c r="E194" s="27"/>
      <c r="F194" s="187"/>
      <c r="G194" s="187"/>
      <c r="H194" s="27"/>
      <c r="I194" s="27"/>
      <c r="J194" s="27"/>
      <c r="K194" s="27"/>
      <c r="L194" s="27"/>
      <c r="M194" s="27"/>
      <c r="N194" s="27"/>
    </row>
    <row r="195" spans="1:14" ht="23.4" x14ac:dyDescent="0.45">
      <c r="A195" s="269"/>
      <c r="B195" s="280" t="s">
        <v>53</v>
      </c>
      <c r="C195" s="303"/>
      <c r="D195" s="272"/>
      <c r="E195" s="27"/>
      <c r="F195" s="27"/>
      <c r="G195" s="27"/>
      <c r="H195" s="27"/>
      <c r="I195" s="27"/>
      <c r="J195" s="27"/>
      <c r="K195" s="27"/>
      <c r="L195" s="27"/>
      <c r="M195" s="27"/>
      <c r="N195" s="27"/>
    </row>
    <row r="196" spans="1:14" ht="55.5" customHeight="1" x14ac:dyDescent="0.45">
      <c r="A196" s="783" t="s">
        <v>56</v>
      </c>
      <c r="B196" s="191" t="s">
        <v>1102</v>
      </c>
      <c r="C196" s="263">
        <v>260</v>
      </c>
      <c r="D196" s="784" t="s">
        <v>1036</v>
      </c>
      <c r="E196" s="27"/>
      <c r="F196" s="27"/>
      <c r="G196" s="27"/>
      <c r="H196" s="27"/>
      <c r="I196" s="27"/>
      <c r="J196" s="27"/>
      <c r="K196" s="27"/>
      <c r="L196" s="27"/>
      <c r="M196" s="27"/>
      <c r="N196" s="27"/>
    </row>
    <row r="197" spans="1:14" ht="55.5" customHeight="1" x14ac:dyDescent="0.45">
      <c r="A197" s="783"/>
      <c r="B197" s="191" t="s">
        <v>1103</v>
      </c>
      <c r="C197" s="263">
        <v>79934</v>
      </c>
      <c r="D197" s="784"/>
      <c r="E197" s="27"/>
      <c r="F197" s="27"/>
      <c r="G197" s="27"/>
      <c r="H197" s="27"/>
      <c r="I197" s="27"/>
      <c r="J197" s="27"/>
      <c r="K197" s="27"/>
      <c r="L197" s="27"/>
      <c r="M197" s="27"/>
      <c r="N197" s="27"/>
    </row>
    <row r="198" spans="1:14" ht="23.4" x14ac:dyDescent="0.45">
      <c r="A198" s="777" t="s">
        <v>58</v>
      </c>
      <c r="B198" s="777"/>
      <c r="C198" s="260">
        <f>SUM(C195:C197)</f>
        <v>80194</v>
      </c>
      <c r="D198" s="268"/>
      <c r="E198" s="27"/>
      <c r="F198" s="27"/>
      <c r="G198" s="27"/>
      <c r="H198" s="27"/>
      <c r="I198" s="27"/>
      <c r="J198" s="27"/>
      <c r="K198" s="27"/>
      <c r="L198" s="27"/>
      <c r="M198" s="27"/>
      <c r="N198" s="27"/>
    </row>
    <row r="199" spans="1:14" ht="23.4" x14ac:dyDescent="0.45">
      <c r="A199" s="27"/>
      <c r="B199" s="196" t="s">
        <v>788</v>
      </c>
      <c r="C199" s="263">
        <v>0</v>
      </c>
      <c r="D199" s="272"/>
      <c r="E199" s="27"/>
      <c r="F199" s="27"/>
      <c r="G199" s="27"/>
      <c r="H199" s="27"/>
      <c r="I199" s="27"/>
      <c r="J199" s="27"/>
      <c r="K199" s="27"/>
      <c r="L199" s="27"/>
      <c r="M199" s="27"/>
      <c r="N199" s="27"/>
    </row>
    <row r="200" spans="1:14" ht="23.4" x14ac:dyDescent="0.45">
      <c r="A200" s="279"/>
      <c r="B200" s="280" t="s">
        <v>59</v>
      </c>
      <c r="C200" s="263">
        <v>0</v>
      </c>
      <c r="D200" s="272"/>
      <c r="E200" s="27"/>
      <c r="F200" s="27"/>
      <c r="G200" s="27"/>
      <c r="H200" s="27"/>
      <c r="I200" s="27"/>
      <c r="J200" s="27"/>
      <c r="K200" s="27"/>
      <c r="L200" s="27"/>
      <c r="M200" s="27"/>
      <c r="N200" s="27"/>
    </row>
    <row r="201" spans="1:14" ht="23.4" x14ac:dyDescent="0.45">
      <c r="A201" s="276"/>
      <c r="B201" s="296"/>
      <c r="C201" s="277"/>
      <c r="D201" s="297"/>
      <c r="E201" s="27"/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1:14" ht="23.4" x14ac:dyDescent="0.45">
      <c r="A202" s="187"/>
      <c r="B202" s="188" t="s">
        <v>1032</v>
      </c>
      <c r="C202" s="189"/>
      <c r="D202" s="286"/>
      <c r="E202" s="27"/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1:14" ht="23.4" x14ac:dyDescent="0.45">
      <c r="A203" s="269"/>
      <c r="B203" s="280" t="s">
        <v>53</v>
      </c>
      <c r="C203" s="303"/>
      <c r="D203" s="272"/>
      <c r="E203" s="27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1:14" ht="111.75" customHeight="1" x14ac:dyDescent="0.45">
      <c r="A204" s="295" t="s">
        <v>56</v>
      </c>
      <c r="B204" s="191" t="s">
        <v>1104</v>
      </c>
      <c r="C204" s="263">
        <v>5727</v>
      </c>
      <c r="D204" s="294" t="s">
        <v>1036</v>
      </c>
      <c r="E204" s="27"/>
      <c r="F204" s="29" t="e">
        <f>+C74+#REF!+#REF!+C95+#REF!+#REF!+C171+C218</f>
        <v>#REF!</v>
      </c>
      <c r="G204" s="27"/>
      <c r="H204" s="27"/>
      <c r="I204" s="27"/>
      <c r="J204" s="27"/>
      <c r="K204" s="27"/>
      <c r="L204" s="27"/>
      <c r="M204" s="27"/>
      <c r="N204" s="27"/>
    </row>
    <row r="205" spans="1:14" ht="23.4" x14ac:dyDescent="0.45">
      <c r="A205" s="777" t="s">
        <v>58</v>
      </c>
      <c r="B205" s="777"/>
      <c r="C205" s="260">
        <f>SUM(C203:C204)</f>
        <v>5727</v>
      </c>
      <c r="D205" s="268"/>
      <c r="E205" s="27"/>
      <c r="F205" s="27"/>
      <c r="G205" s="31" t="e">
        <f>+C218+#REF!</f>
        <v>#REF!</v>
      </c>
      <c r="H205" s="27"/>
      <c r="I205" s="27"/>
      <c r="J205" s="27"/>
      <c r="K205" s="27"/>
      <c r="L205" s="27"/>
      <c r="M205" s="27"/>
      <c r="N205" s="27"/>
    </row>
    <row r="206" spans="1:14" ht="23.4" x14ac:dyDescent="0.45">
      <c r="A206" s="27"/>
      <c r="B206" s="196" t="s">
        <v>788</v>
      </c>
      <c r="C206" s="263">
        <v>0</v>
      </c>
      <c r="D206" s="272"/>
      <c r="E206" s="27"/>
      <c r="F206" s="35">
        <f>+E225-C225</f>
        <v>41881489</v>
      </c>
      <c r="G206" s="27"/>
      <c r="H206" s="27"/>
      <c r="I206" s="27"/>
      <c r="J206" s="27"/>
      <c r="K206" s="27"/>
      <c r="L206" s="27"/>
      <c r="M206" s="27"/>
      <c r="N206" s="27"/>
    </row>
    <row r="207" spans="1:14" ht="23.4" x14ac:dyDescent="0.45">
      <c r="A207" s="279"/>
      <c r="B207" s="280" t="s">
        <v>59</v>
      </c>
      <c r="C207" s="263">
        <v>0</v>
      </c>
      <c r="D207" s="272"/>
      <c r="E207" s="27"/>
      <c r="F207" s="35">
        <f>+E226-C226</f>
        <v>74838106</v>
      </c>
      <c r="G207" s="27"/>
      <c r="H207" s="27"/>
      <c r="I207" s="27"/>
      <c r="J207" s="27"/>
      <c r="K207" s="27"/>
      <c r="L207" s="27"/>
      <c r="M207" s="27"/>
      <c r="N207" s="27"/>
    </row>
    <row r="208" spans="1:14" ht="23.4" x14ac:dyDescent="0.45">
      <c r="A208" s="276"/>
      <c r="B208" s="296"/>
      <c r="C208" s="277"/>
      <c r="D208" s="297"/>
      <c r="E208" s="27"/>
      <c r="F208" s="35">
        <f>+E227-C227</f>
        <v>14585521</v>
      </c>
      <c r="G208" s="27"/>
      <c r="H208" s="27"/>
      <c r="I208" s="27"/>
      <c r="J208" s="27"/>
      <c r="K208" s="27"/>
      <c r="L208" s="27"/>
      <c r="M208" s="27"/>
      <c r="N208" s="27"/>
    </row>
    <row r="209" spans="1:14" s="190" customFormat="1" ht="23.4" x14ac:dyDescent="0.45">
      <c r="A209" s="187"/>
      <c r="B209" s="188" t="s">
        <v>1031</v>
      </c>
      <c r="C209" s="189"/>
      <c r="D209" s="286"/>
      <c r="E209" s="187"/>
      <c r="F209" s="27"/>
      <c r="G209" s="27"/>
      <c r="H209" s="187"/>
      <c r="I209" s="187"/>
      <c r="J209" s="187"/>
      <c r="K209" s="187"/>
      <c r="L209" s="187"/>
      <c r="M209" s="187"/>
      <c r="N209" s="187"/>
    </row>
    <row r="210" spans="1:14" ht="23.4" x14ac:dyDescent="0.45">
      <c r="A210" s="269"/>
      <c r="B210" s="307" t="s">
        <v>53</v>
      </c>
      <c r="C210" s="310"/>
      <c r="D210" s="273"/>
      <c r="E210" s="27"/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1:14" ht="34.5" customHeight="1" x14ac:dyDescent="0.45">
      <c r="A211" s="778" t="s">
        <v>56</v>
      </c>
      <c r="B211" s="191" t="s">
        <v>1105</v>
      </c>
      <c r="C211" s="263">
        <v>37465</v>
      </c>
      <c r="D211" s="780" t="s">
        <v>1036</v>
      </c>
      <c r="E211" s="27"/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1:14" ht="34.5" customHeight="1" x14ac:dyDescent="0.45">
      <c r="A212" s="779"/>
      <c r="B212" s="191" t="s">
        <v>1106</v>
      </c>
      <c r="C212" s="263">
        <v>45885</v>
      </c>
      <c r="D212" s="780"/>
      <c r="E212" s="27"/>
      <c r="H212" s="27"/>
      <c r="I212" s="27"/>
      <c r="J212" s="27"/>
      <c r="K212" s="27"/>
      <c r="L212" s="27"/>
      <c r="M212" s="27"/>
      <c r="N212" s="27"/>
    </row>
    <row r="213" spans="1:14" ht="34.5" customHeight="1" x14ac:dyDescent="0.45">
      <c r="A213" s="779"/>
      <c r="B213" s="191" t="s">
        <v>1101</v>
      </c>
      <c r="C213" s="263">
        <v>8600</v>
      </c>
      <c r="D213" s="780"/>
      <c r="E213" s="27"/>
      <c r="H213" s="27"/>
      <c r="I213" s="27"/>
      <c r="J213" s="27"/>
      <c r="K213" s="27"/>
      <c r="L213" s="27"/>
      <c r="M213" s="27"/>
      <c r="N213" s="27"/>
    </row>
    <row r="214" spans="1:14" ht="23.4" x14ac:dyDescent="0.45">
      <c r="A214" s="777" t="s">
        <v>58</v>
      </c>
      <c r="B214" s="777"/>
      <c r="C214" s="260">
        <f>SUM(C210:C213)</f>
        <v>91950</v>
      </c>
      <c r="D214" s="268"/>
      <c r="E214" s="27"/>
      <c r="H214" s="27"/>
      <c r="I214" s="27"/>
      <c r="J214" s="27"/>
      <c r="K214" s="27"/>
      <c r="L214" s="27"/>
      <c r="M214" s="27"/>
      <c r="N214" s="27"/>
    </row>
    <row r="215" spans="1:14" ht="23.4" x14ac:dyDescent="0.45">
      <c r="A215" s="27"/>
      <c r="B215" s="196" t="s">
        <v>788</v>
      </c>
      <c r="C215" s="263">
        <v>0</v>
      </c>
      <c r="D215" s="270"/>
      <c r="E215" s="27"/>
      <c r="H215" s="27"/>
      <c r="I215" s="27"/>
      <c r="J215" s="27"/>
      <c r="K215" s="27"/>
      <c r="L215" s="27"/>
      <c r="M215" s="27"/>
      <c r="N215" s="27"/>
    </row>
    <row r="216" spans="1:14" ht="23.4" x14ac:dyDescent="0.45">
      <c r="A216" s="27"/>
      <c r="B216" s="280" t="s">
        <v>59</v>
      </c>
      <c r="C216" s="263"/>
      <c r="D216" s="267"/>
      <c r="E216" s="27"/>
      <c r="H216" s="27"/>
      <c r="I216" s="27"/>
      <c r="J216" s="27"/>
      <c r="K216" s="27"/>
      <c r="L216" s="27"/>
      <c r="M216" s="27"/>
      <c r="N216" s="27"/>
    </row>
    <row r="217" spans="1:14" ht="72.75" customHeight="1" x14ac:dyDescent="0.45">
      <c r="A217" s="314" t="s">
        <v>56</v>
      </c>
      <c r="B217" s="298" t="s">
        <v>61</v>
      </c>
      <c r="C217" s="299">
        <v>144355</v>
      </c>
      <c r="D217" s="274"/>
      <c r="E217" s="27"/>
      <c r="H217" s="27"/>
      <c r="I217" s="27"/>
      <c r="J217" s="27"/>
      <c r="K217" s="27"/>
      <c r="L217" s="27"/>
      <c r="M217" s="27"/>
      <c r="N217" s="27"/>
    </row>
    <row r="218" spans="1:14" ht="34.5" customHeight="1" x14ac:dyDescent="0.45">
      <c r="A218" s="781" t="s">
        <v>60</v>
      </c>
      <c r="B218" s="782"/>
      <c r="C218" s="264">
        <f>SUM(C217:C217)</f>
        <v>144355</v>
      </c>
      <c r="D218" s="266"/>
      <c r="E218" s="27"/>
      <c r="H218" s="27"/>
      <c r="I218" s="27"/>
      <c r="J218" s="27"/>
      <c r="K218" s="27"/>
      <c r="L218" s="27"/>
      <c r="M218" s="27"/>
      <c r="N218" s="27"/>
    </row>
    <row r="219" spans="1:14" ht="34.5" customHeight="1" x14ac:dyDescent="0.45">
      <c r="A219" s="438"/>
      <c r="B219" s="439"/>
      <c r="C219" s="264"/>
      <c r="D219" s="488"/>
      <c r="E219" s="27"/>
      <c r="H219" s="27"/>
      <c r="I219" s="27"/>
      <c r="J219" s="27"/>
      <c r="K219" s="27"/>
      <c r="L219" s="27"/>
      <c r="M219" s="27"/>
      <c r="N219" s="27"/>
    </row>
    <row r="220" spans="1:14" s="190" customFormat="1" ht="33.75" customHeight="1" x14ac:dyDescent="0.45">
      <c r="A220" s="187"/>
      <c r="B220" s="188" t="s">
        <v>1423</v>
      </c>
      <c r="C220" s="189"/>
      <c r="D220" s="286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</row>
    <row r="221" spans="1:14" ht="37.5" customHeight="1" x14ac:dyDescent="0.45">
      <c r="A221" s="34"/>
      <c r="B221" s="485" t="s">
        <v>1424</v>
      </c>
      <c r="C221" s="486">
        <f>+C74+C95+C142+C159+C171+C181+C190+C198+C205+C214</f>
        <v>527404848</v>
      </c>
      <c r="D221" s="34"/>
      <c r="E221" s="27"/>
      <c r="H221" s="27"/>
      <c r="I221" s="27"/>
      <c r="J221" s="27"/>
      <c r="K221" s="27"/>
      <c r="L221" s="27"/>
      <c r="M221" s="27"/>
      <c r="N221" s="27"/>
    </row>
    <row r="222" spans="1:14" ht="37.5" customHeight="1" x14ac:dyDescent="0.45">
      <c r="A222" s="34"/>
      <c r="B222" s="485" t="s">
        <v>1422</v>
      </c>
      <c r="C222" s="487">
        <f>+C218+C85</f>
        <v>127763674</v>
      </c>
      <c r="D222" s="34"/>
      <c r="E222" s="27"/>
      <c r="H222" s="27"/>
      <c r="I222" s="27"/>
      <c r="J222" s="27"/>
      <c r="K222" s="27"/>
      <c r="L222" s="27"/>
      <c r="M222" s="27"/>
      <c r="N222" s="27"/>
    </row>
    <row r="223" spans="1:14" ht="23.4" x14ac:dyDescent="0.45">
      <c r="A223" s="34"/>
      <c r="B223" s="485"/>
      <c r="C223" s="485"/>
      <c r="D223" s="34"/>
      <c r="E223" s="27"/>
      <c r="H223" s="27"/>
      <c r="I223" s="27"/>
      <c r="J223" s="27"/>
      <c r="K223" s="27"/>
      <c r="L223" s="27"/>
      <c r="M223" s="27"/>
      <c r="N223" s="27"/>
    </row>
    <row r="224" spans="1:14" ht="58.5" customHeight="1" x14ac:dyDescent="0.45">
      <c r="A224" s="775" t="s">
        <v>1421</v>
      </c>
      <c r="B224" s="776"/>
      <c r="C224" s="265">
        <f>+C74+C95+C142+C159+C171+C181+C190+C214+C218+C205+C198+C85</f>
        <v>655168522</v>
      </c>
      <c r="D224" s="269"/>
      <c r="E224" s="27"/>
      <c r="H224" s="27"/>
      <c r="I224" s="27"/>
      <c r="J224" s="27"/>
      <c r="K224" s="27"/>
      <c r="L224" s="27"/>
      <c r="M224" s="27"/>
      <c r="N224" s="27"/>
    </row>
    <row r="225" spans="1:14" ht="23.4" x14ac:dyDescent="0.45">
      <c r="A225" s="27"/>
      <c r="B225" s="27"/>
      <c r="C225" s="178"/>
      <c r="D225" s="35"/>
      <c r="E225" s="27">
        <f>+[2]Önkormányzat!F13</f>
        <v>41881489</v>
      </c>
      <c r="H225" s="27"/>
      <c r="I225" s="27"/>
      <c r="J225" s="27"/>
      <c r="K225" s="27"/>
      <c r="L225" s="27"/>
      <c r="M225" s="27"/>
      <c r="N225" s="27"/>
    </row>
    <row r="226" spans="1:14" ht="23.4" x14ac:dyDescent="0.45">
      <c r="A226" s="332"/>
      <c r="B226" s="27"/>
      <c r="C226" s="178"/>
      <c r="D226" s="35"/>
      <c r="E226" s="27">
        <f>+[2]Önkormányzat!F17</f>
        <v>74838106</v>
      </c>
      <c r="H226" s="27"/>
      <c r="I226" s="27"/>
      <c r="J226" s="27"/>
      <c r="K226" s="27"/>
      <c r="L226" s="27"/>
      <c r="M226" s="27"/>
      <c r="N226" s="27"/>
    </row>
    <row r="227" spans="1:14" ht="23.4" x14ac:dyDescent="0.45">
      <c r="A227" s="27"/>
      <c r="B227" s="27"/>
      <c r="C227" s="178"/>
      <c r="D227" s="35"/>
      <c r="E227" s="27">
        <f>+[2]Önkormányzat!F20</f>
        <v>14585521</v>
      </c>
      <c r="H227" s="27"/>
      <c r="I227" s="27"/>
      <c r="J227" s="27"/>
      <c r="K227" s="27"/>
      <c r="L227" s="27"/>
      <c r="M227" s="27"/>
      <c r="N227" s="27"/>
    </row>
    <row r="228" spans="1:14" ht="23.4" x14ac:dyDescent="0.45">
      <c r="A228" s="27"/>
      <c r="B228" s="27"/>
      <c r="C228" s="177"/>
      <c r="D228" s="27"/>
      <c r="E228" s="27"/>
      <c r="H228" s="27"/>
      <c r="I228" s="27"/>
      <c r="J228" s="27"/>
      <c r="K228" s="27"/>
      <c r="L228" s="27"/>
      <c r="M228" s="27"/>
      <c r="N228" s="27"/>
    </row>
    <row r="229" spans="1:14" ht="23.4" x14ac:dyDescent="0.45">
      <c r="A229" s="27"/>
      <c r="B229" s="27"/>
      <c r="C229" s="177"/>
      <c r="D229" s="27"/>
      <c r="E229" s="27"/>
      <c r="H229" s="27"/>
      <c r="I229" s="27"/>
      <c r="J229" s="27"/>
      <c r="K229" s="27"/>
      <c r="L229" s="27"/>
      <c r="M229" s="27"/>
      <c r="N229" s="27"/>
    </row>
    <row r="230" spans="1:14" ht="23.4" x14ac:dyDescent="0.45">
      <c r="A230" s="27"/>
      <c r="B230" s="27"/>
      <c r="C230" s="339">
        <f>+C85+C218</f>
        <v>127763674</v>
      </c>
      <c r="D230" s="27"/>
      <c r="E230" s="27"/>
      <c r="H230" s="27"/>
      <c r="I230" s="27"/>
      <c r="J230" s="27"/>
      <c r="K230" s="27"/>
      <c r="L230" s="27"/>
      <c r="M230" s="27"/>
      <c r="N230" s="27"/>
    </row>
  </sheetData>
  <mergeCells count="37">
    <mergeCell ref="D5:D42"/>
    <mergeCell ref="D43:D73"/>
    <mergeCell ref="A93:A94"/>
    <mergeCell ref="A74:B74"/>
    <mergeCell ref="A5:A42"/>
    <mergeCell ref="A43:A73"/>
    <mergeCell ref="A85:B85"/>
    <mergeCell ref="A77:A83"/>
    <mergeCell ref="D77:D84"/>
    <mergeCell ref="D89:D94"/>
    <mergeCell ref="A89:A92"/>
    <mergeCell ref="A1:D1"/>
    <mergeCell ref="A181:B181"/>
    <mergeCell ref="A187:A189"/>
    <mergeCell ref="D187:D189"/>
    <mergeCell ref="A177:A180"/>
    <mergeCell ref="A171:B171"/>
    <mergeCell ref="D177:D180"/>
    <mergeCell ref="D148:D158"/>
    <mergeCell ref="A159:B159"/>
    <mergeCell ref="A165:A170"/>
    <mergeCell ref="D165:D170"/>
    <mergeCell ref="A95:B95"/>
    <mergeCell ref="A142:B142"/>
    <mergeCell ref="A148:A158"/>
    <mergeCell ref="D101:D141"/>
    <mergeCell ref="A101:A141"/>
    <mergeCell ref="A224:B224"/>
    <mergeCell ref="A190:B190"/>
    <mergeCell ref="A211:A213"/>
    <mergeCell ref="D211:D213"/>
    <mergeCell ref="A214:B214"/>
    <mergeCell ref="A218:B218"/>
    <mergeCell ref="A196:A197"/>
    <mergeCell ref="D196:D197"/>
    <mergeCell ref="A198:B198"/>
    <mergeCell ref="A205:B205"/>
  </mergeCells>
  <printOptions horizontalCentered="1" verticalCentered="1"/>
  <pageMargins left="0.31496062992125984" right="0.31496062992125984" top="0.39370078740157483" bottom="0.39370078740157483" header="0.15748031496062992" footer="0.55118110236220474"/>
  <pageSetup paperSize="9" scale="38" orientation="portrait" r:id="rId1"/>
  <headerFooter>
    <oddHeader>&amp;CDunaharaszti Város Önkormányzat 2018. évi zárszámadás&amp;R&amp;A</oddHeader>
    <oddFooter>&amp;C&amp;P/&amp;N</oddFooter>
  </headerFooter>
  <rowBreaks count="2" manualBreakCount="2">
    <brk id="86" max="3" man="1"/>
    <brk id="16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12"/>
  <sheetViews>
    <sheetView view="pageBreakPreview" zoomScale="80" zoomScaleNormal="100" zoomScaleSheetLayoutView="80" workbookViewId="0">
      <selection activeCell="E41" sqref="E41:E91"/>
    </sheetView>
  </sheetViews>
  <sheetFormatPr defaultColWidth="9.109375" defaultRowHeight="14.4" x14ac:dyDescent="0.3"/>
  <cols>
    <col min="1" max="1" width="9.109375" style="171"/>
    <col min="2" max="2" width="6" style="171" customWidth="1"/>
    <col min="3" max="3" width="81.5546875" style="171" customWidth="1"/>
    <col min="4" max="4" width="20.88671875" style="171" customWidth="1"/>
    <col min="5" max="5" width="20.6640625" style="171" customWidth="1"/>
    <col min="6" max="6" width="18.6640625" style="171" customWidth="1"/>
    <col min="7" max="7" width="17.109375" style="171" customWidth="1"/>
    <col min="8" max="8" width="17.44140625" style="171" bestFit="1" customWidth="1"/>
    <col min="9" max="11" width="9.109375" style="171"/>
    <col min="12" max="12" width="18.6640625" style="171" customWidth="1"/>
    <col min="13" max="16384" width="9.109375" style="171"/>
  </cols>
  <sheetData>
    <row r="1" spans="1:5" ht="23.4" x14ac:dyDescent="0.45">
      <c r="A1" s="799" t="s">
        <v>62</v>
      </c>
      <c r="B1" s="799"/>
      <c r="C1" s="799"/>
      <c r="D1" s="799"/>
      <c r="E1" s="799"/>
    </row>
    <row r="2" spans="1:5" ht="23.4" x14ac:dyDescent="0.45">
      <c r="A2" s="440"/>
      <c r="B2" s="440"/>
      <c r="C2" s="440"/>
      <c r="D2" s="440"/>
      <c r="E2" s="440"/>
    </row>
    <row r="3" spans="1:5" ht="32.25" customHeight="1" x14ac:dyDescent="0.4">
      <c r="A3" s="800" t="s">
        <v>1426</v>
      </c>
      <c r="B3" s="800"/>
      <c r="C3" s="800"/>
      <c r="D3" s="800"/>
      <c r="E3" s="800"/>
    </row>
    <row r="4" spans="1:5" ht="28.8" x14ac:dyDescent="0.3">
      <c r="A4" s="197"/>
      <c r="B4" s="306" t="s">
        <v>1</v>
      </c>
      <c r="C4" s="198" t="s">
        <v>54</v>
      </c>
      <c r="D4" s="199" t="s">
        <v>55</v>
      </c>
      <c r="E4" s="312"/>
    </row>
    <row r="5" spans="1:5" ht="19.5" customHeight="1" x14ac:dyDescent="0.3">
      <c r="A5" s="801" t="s">
        <v>64</v>
      </c>
      <c r="B5" s="305" t="s">
        <v>3</v>
      </c>
      <c r="C5" s="320" t="s">
        <v>1229</v>
      </c>
      <c r="D5" s="326">
        <v>13000000</v>
      </c>
      <c r="E5" s="806" t="s">
        <v>1036</v>
      </c>
    </row>
    <row r="6" spans="1:5" ht="19.5" customHeight="1" x14ac:dyDescent="0.3">
      <c r="A6" s="802"/>
      <c r="B6" s="305" t="s">
        <v>4</v>
      </c>
      <c r="C6" s="320" t="s">
        <v>1230</v>
      </c>
      <c r="D6" s="326">
        <v>40000000</v>
      </c>
      <c r="E6" s="807"/>
    </row>
    <row r="7" spans="1:5" ht="19.5" customHeight="1" x14ac:dyDescent="0.3">
      <c r="A7" s="802"/>
      <c r="B7" s="305" t="s">
        <v>5</v>
      </c>
      <c r="C7" s="320" t="s">
        <v>1231</v>
      </c>
      <c r="D7" s="326">
        <v>35000000</v>
      </c>
      <c r="E7" s="807"/>
    </row>
    <row r="8" spans="1:5" ht="19.5" customHeight="1" x14ac:dyDescent="0.3">
      <c r="A8" s="802"/>
      <c r="B8" s="305" t="s">
        <v>6</v>
      </c>
      <c r="C8" s="320" t="s">
        <v>1232</v>
      </c>
      <c r="D8" s="326">
        <v>20000000</v>
      </c>
      <c r="E8" s="807"/>
    </row>
    <row r="9" spans="1:5" ht="19.5" customHeight="1" x14ac:dyDescent="0.3">
      <c r="A9" s="803"/>
      <c r="B9" s="305" t="s">
        <v>7</v>
      </c>
      <c r="C9" s="320" t="s">
        <v>1233</v>
      </c>
      <c r="D9" s="326">
        <v>5000000</v>
      </c>
      <c r="E9" s="807"/>
    </row>
    <row r="10" spans="1:5" ht="19.5" customHeight="1" x14ac:dyDescent="0.3">
      <c r="A10" s="803"/>
      <c r="B10" s="305" t="s">
        <v>8</v>
      </c>
      <c r="C10" s="320" t="s">
        <v>1234</v>
      </c>
      <c r="D10" s="326">
        <v>1000000</v>
      </c>
      <c r="E10" s="807"/>
    </row>
    <row r="11" spans="1:5" ht="19.5" customHeight="1" x14ac:dyDescent="0.3">
      <c r="A11" s="803"/>
      <c r="B11" s="305" t="s">
        <v>9</v>
      </c>
      <c r="C11" s="320" t="s">
        <v>1235</v>
      </c>
      <c r="D11" s="326">
        <v>12000000</v>
      </c>
      <c r="E11" s="807"/>
    </row>
    <row r="12" spans="1:5" ht="19.5" customHeight="1" x14ac:dyDescent="0.3">
      <c r="A12" s="803"/>
      <c r="B12" s="305" t="s">
        <v>23</v>
      </c>
      <c r="C12" s="320" t="s">
        <v>1236</v>
      </c>
      <c r="D12" s="326">
        <v>18300000</v>
      </c>
      <c r="E12" s="807"/>
    </row>
    <row r="13" spans="1:5" ht="19.5" customHeight="1" x14ac:dyDescent="0.3">
      <c r="A13" s="803"/>
      <c r="B13" s="305" t="s">
        <v>25</v>
      </c>
      <c r="C13" s="320" t="s">
        <v>1237</v>
      </c>
      <c r="D13" s="326">
        <v>609600</v>
      </c>
      <c r="E13" s="807"/>
    </row>
    <row r="14" spans="1:5" ht="19.5" customHeight="1" x14ac:dyDescent="0.3">
      <c r="A14" s="803"/>
      <c r="B14" s="305" t="s">
        <v>27</v>
      </c>
      <c r="C14" s="320" t="s">
        <v>1238</v>
      </c>
      <c r="D14" s="326">
        <v>6351252</v>
      </c>
      <c r="E14" s="807"/>
    </row>
    <row r="15" spans="1:5" ht="19.5" customHeight="1" x14ac:dyDescent="0.3">
      <c r="A15" s="803"/>
      <c r="B15" s="305" t="s">
        <v>30</v>
      </c>
      <c r="C15" s="320" t="s">
        <v>1239</v>
      </c>
      <c r="D15" s="326">
        <v>3322756</v>
      </c>
      <c r="E15" s="807"/>
    </row>
    <row r="16" spans="1:5" ht="19.5" customHeight="1" x14ac:dyDescent="0.3">
      <c r="A16" s="803"/>
      <c r="B16" s="305" t="s">
        <v>32</v>
      </c>
      <c r="C16" s="320" t="s">
        <v>1240</v>
      </c>
      <c r="D16" s="326">
        <v>2000000</v>
      </c>
      <c r="E16" s="807"/>
    </row>
    <row r="17" spans="1:5" ht="19.5" customHeight="1" x14ac:dyDescent="0.3">
      <c r="A17" s="803"/>
      <c r="B17" s="305" t="s">
        <v>33</v>
      </c>
      <c r="C17" s="320" t="s">
        <v>1241</v>
      </c>
      <c r="D17" s="326">
        <v>4989125</v>
      </c>
      <c r="E17" s="807"/>
    </row>
    <row r="18" spans="1:5" ht="19.5" customHeight="1" x14ac:dyDescent="0.3">
      <c r="A18" s="803"/>
      <c r="B18" s="305" t="s">
        <v>34</v>
      </c>
      <c r="C18" s="320" t="s">
        <v>1242</v>
      </c>
      <c r="D18" s="326">
        <v>20000000</v>
      </c>
      <c r="E18" s="807"/>
    </row>
    <row r="19" spans="1:5" ht="19.5" customHeight="1" x14ac:dyDescent="0.3">
      <c r="A19" s="803"/>
      <c r="B19" s="305" t="s">
        <v>36</v>
      </c>
      <c r="C19" s="320" t="s">
        <v>1243</v>
      </c>
      <c r="D19" s="326">
        <v>75000000</v>
      </c>
      <c r="E19" s="807"/>
    </row>
    <row r="20" spans="1:5" ht="19.5" customHeight="1" x14ac:dyDescent="0.3">
      <c r="A20" s="803"/>
      <c r="B20" s="305" t="s">
        <v>38</v>
      </c>
      <c r="C20" s="320" t="s">
        <v>1033</v>
      </c>
      <c r="D20" s="326">
        <v>2000000</v>
      </c>
      <c r="E20" s="807"/>
    </row>
    <row r="21" spans="1:5" ht="19.5" customHeight="1" x14ac:dyDescent="0.3">
      <c r="A21" s="803"/>
      <c r="B21" s="305" t="s">
        <v>48</v>
      </c>
      <c r="C21" s="320" t="s">
        <v>1244</v>
      </c>
      <c r="D21" s="326">
        <v>2000000</v>
      </c>
      <c r="E21" s="807"/>
    </row>
    <row r="22" spans="1:5" ht="19.5" customHeight="1" x14ac:dyDescent="0.3">
      <c r="A22" s="803"/>
      <c r="B22" s="305" t="s">
        <v>50</v>
      </c>
      <c r="C22" s="320" t="s">
        <v>1245</v>
      </c>
      <c r="D22" s="326">
        <v>254000</v>
      </c>
      <c r="E22" s="807"/>
    </row>
    <row r="23" spans="1:5" ht="19.5" customHeight="1" x14ac:dyDescent="0.3">
      <c r="A23" s="803"/>
      <c r="B23" s="305" t="s">
        <v>67</v>
      </c>
      <c r="C23" s="320" t="s">
        <v>1246</v>
      </c>
      <c r="D23" s="326">
        <v>254000</v>
      </c>
      <c r="E23" s="807"/>
    </row>
    <row r="24" spans="1:5" ht="19.5" customHeight="1" x14ac:dyDescent="0.3">
      <c r="A24" s="803"/>
      <c r="B24" s="305" t="s">
        <v>68</v>
      </c>
      <c r="C24" s="320" t="s">
        <v>1247</v>
      </c>
      <c r="D24" s="326">
        <v>1270000</v>
      </c>
      <c r="E24" s="807"/>
    </row>
    <row r="25" spans="1:5" ht="19.5" customHeight="1" x14ac:dyDescent="0.3">
      <c r="A25" s="803"/>
      <c r="B25" s="305" t="s">
        <v>69</v>
      </c>
      <c r="C25" s="320" t="s">
        <v>1248</v>
      </c>
      <c r="D25" s="326">
        <v>7387590</v>
      </c>
      <c r="E25" s="807"/>
    </row>
    <row r="26" spans="1:5" ht="19.5" customHeight="1" x14ac:dyDescent="0.3">
      <c r="A26" s="803"/>
      <c r="B26" s="305" t="s">
        <v>70</v>
      </c>
      <c r="C26" s="320" t="s">
        <v>1249</v>
      </c>
      <c r="D26" s="326">
        <v>127000</v>
      </c>
      <c r="E26" s="807"/>
    </row>
    <row r="27" spans="1:5" ht="19.5" customHeight="1" x14ac:dyDescent="0.3">
      <c r="A27" s="803"/>
      <c r="B27" s="305" t="s">
        <v>71</v>
      </c>
      <c r="C27" s="323" t="s">
        <v>1250</v>
      </c>
      <c r="D27" s="326">
        <v>4000000</v>
      </c>
      <c r="E27" s="807"/>
    </row>
    <row r="28" spans="1:5" ht="19.5" customHeight="1" x14ac:dyDescent="0.3">
      <c r="A28" s="803"/>
      <c r="B28" s="305" t="s">
        <v>72</v>
      </c>
      <c r="C28" s="323" t="s">
        <v>1251</v>
      </c>
      <c r="D28" s="326">
        <v>6000000</v>
      </c>
      <c r="E28" s="807"/>
    </row>
    <row r="29" spans="1:5" ht="19.5" customHeight="1" x14ac:dyDescent="0.3">
      <c r="A29" s="803"/>
      <c r="B29" s="305" t="s">
        <v>73</v>
      </c>
      <c r="C29" s="320" t="s">
        <v>1252</v>
      </c>
      <c r="D29" s="326">
        <v>51000000</v>
      </c>
      <c r="E29" s="807"/>
    </row>
    <row r="30" spans="1:5" ht="19.5" customHeight="1" x14ac:dyDescent="0.3">
      <c r="A30" s="803"/>
      <c r="B30" s="305" t="s">
        <v>74</v>
      </c>
      <c r="C30" s="320" t="s">
        <v>1253</v>
      </c>
      <c r="D30" s="326">
        <v>55000000</v>
      </c>
      <c r="E30" s="807"/>
    </row>
    <row r="31" spans="1:5" ht="19.5" customHeight="1" x14ac:dyDescent="0.3">
      <c r="A31" s="803"/>
      <c r="B31" s="305" t="s">
        <v>75</v>
      </c>
      <c r="C31" s="320" t="s">
        <v>1254</v>
      </c>
      <c r="D31" s="326">
        <v>38100000</v>
      </c>
      <c r="E31" s="807"/>
    </row>
    <row r="32" spans="1:5" ht="19.5" customHeight="1" x14ac:dyDescent="0.3">
      <c r="A32" s="803"/>
      <c r="B32" s="305" t="s">
        <v>76</v>
      </c>
      <c r="C32" s="320" t="s">
        <v>1255</v>
      </c>
      <c r="D32" s="326">
        <v>90000000</v>
      </c>
      <c r="E32" s="807"/>
    </row>
    <row r="33" spans="1:6" ht="19.5" customHeight="1" x14ac:dyDescent="0.3">
      <c r="A33" s="803"/>
      <c r="B33" s="305" t="s">
        <v>628</v>
      </c>
      <c r="C33" s="320" t="s">
        <v>1256</v>
      </c>
      <c r="D33" s="326">
        <v>16000000</v>
      </c>
      <c r="E33" s="807"/>
    </row>
    <row r="34" spans="1:6" ht="19.5" customHeight="1" x14ac:dyDescent="0.3">
      <c r="A34" s="803"/>
      <c r="B34" s="305" t="s">
        <v>629</v>
      </c>
      <c r="C34" s="320" t="s">
        <v>1257</v>
      </c>
      <c r="D34" s="326">
        <v>2000000</v>
      </c>
      <c r="E34" s="807"/>
    </row>
    <row r="35" spans="1:6" ht="19.5" customHeight="1" x14ac:dyDescent="0.3">
      <c r="A35" s="803"/>
      <c r="B35" s="305" t="s">
        <v>630</v>
      </c>
      <c r="C35" s="324" t="s">
        <v>1258</v>
      </c>
      <c r="D35" s="326">
        <v>1000000</v>
      </c>
      <c r="E35" s="807"/>
    </row>
    <row r="36" spans="1:6" ht="19.5" customHeight="1" x14ac:dyDescent="0.3">
      <c r="A36" s="803"/>
      <c r="B36" s="305" t="s">
        <v>631</v>
      </c>
      <c r="C36" s="325" t="s">
        <v>1259</v>
      </c>
      <c r="D36" s="326">
        <v>500000</v>
      </c>
      <c r="E36" s="807"/>
    </row>
    <row r="37" spans="1:6" ht="19.5" customHeight="1" x14ac:dyDescent="0.3">
      <c r="A37" s="803"/>
      <c r="B37" s="305" t="s">
        <v>632</v>
      </c>
      <c r="C37" s="325" t="s">
        <v>1260</v>
      </c>
      <c r="D37" s="326">
        <v>1500000</v>
      </c>
      <c r="E37" s="807"/>
    </row>
    <row r="38" spans="1:6" ht="19.5" customHeight="1" x14ac:dyDescent="0.3">
      <c r="A38" s="803"/>
      <c r="B38" s="305" t="s">
        <v>633</v>
      </c>
      <c r="C38" s="324" t="s">
        <v>1261</v>
      </c>
      <c r="D38" s="326">
        <v>35000000</v>
      </c>
      <c r="E38" s="807"/>
    </row>
    <row r="39" spans="1:6" ht="30" customHeight="1" x14ac:dyDescent="0.3">
      <c r="A39" s="803"/>
      <c r="B39" s="305" t="s">
        <v>634</v>
      </c>
      <c r="C39" s="324" t="s">
        <v>1262</v>
      </c>
      <c r="D39" s="326">
        <v>1206500</v>
      </c>
      <c r="E39" s="807"/>
    </row>
    <row r="40" spans="1:6" ht="29.25" customHeight="1" x14ac:dyDescent="0.3">
      <c r="A40" s="803"/>
      <c r="B40" s="305" t="s">
        <v>635</v>
      </c>
      <c r="C40" s="324" t="s">
        <v>1263</v>
      </c>
      <c r="D40" s="326">
        <v>10000000</v>
      </c>
      <c r="E40" s="807"/>
      <c r="F40" s="338">
        <f>SUM(D5:D40)</f>
        <v>581171823</v>
      </c>
    </row>
    <row r="41" spans="1:6" ht="17.25" customHeight="1" x14ac:dyDescent="0.3">
      <c r="A41" s="813" t="s">
        <v>65</v>
      </c>
      <c r="B41" s="305" t="s">
        <v>636</v>
      </c>
      <c r="C41" s="319" t="s">
        <v>1184</v>
      </c>
      <c r="D41" s="327">
        <v>12180711</v>
      </c>
      <c r="E41" s="808" t="s">
        <v>1036</v>
      </c>
      <c r="F41" s="200"/>
    </row>
    <row r="42" spans="1:6" ht="17.25" customHeight="1" x14ac:dyDescent="0.3">
      <c r="A42" s="803"/>
      <c r="B42" s="305" t="s">
        <v>892</v>
      </c>
      <c r="C42" s="319" t="s">
        <v>1185</v>
      </c>
      <c r="D42" s="328">
        <v>51876215</v>
      </c>
      <c r="E42" s="808"/>
    </row>
    <row r="43" spans="1:6" ht="17.25" customHeight="1" x14ac:dyDescent="0.3">
      <c r="A43" s="803"/>
      <c r="B43" s="305" t="s">
        <v>637</v>
      </c>
      <c r="C43" s="319" t="s">
        <v>1186</v>
      </c>
      <c r="D43" s="328">
        <v>3931991</v>
      </c>
      <c r="E43" s="808"/>
    </row>
    <row r="44" spans="1:6" ht="17.25" customHeight="1" x14ac:dyDescent="0.3">
      <c r="A44" s="803"/>
      <c r="B44" s="305" t="s">
        <v>638</v>
      </c>
      <c r="C44" s="319" t="s">
        <v>1187</v>
      </c>
      <c r="D44" s="328">
        <v>15927093</v>
      </c>
      <c r="E44" s="808"/>
    </row>
    <row r="45" spans="1:6" ht="17.25" customHeight="1" x14ac:dyDescent="0.3">
      <c r="A45" s="803"/>
      <c r="B45" s="305" t="s">
        <v>639</v>
      </c>
      <c r="C45" s="320" t="s">
        <v>1188</v>
      </c>
      <c r="D45" s="326">
        <v>5000000</v>
      </c>
      <c r="E45" s="808"/>
    </row>
    <row r="46" spans="1:6" ht="17.25" customHeight="1" x14ac:dyDescent="0.3">
      <c r="A46" s="803"/>
      <c r="B46" s="305" t="s">
        <v>640</v>
      </c>
      <c r="C46" s="320" t="s">
        <v>1189</v>
      </c>
      <c r="D46" s="326">
        <v>5000000</v>
      </c>
      <c r="E46" s="808"/>
    </row>
    <row r="47" spans="1:6" ht="17.25" customHeight="1" x14ac:dyDescent="0.3">
      <c r="A47" s="803"/>
      <c r="B47" s="305" t="s">
        <v>641</v>
      </c>
      <c r="C47" s="320" t="s">
        <v>893</v>
      </c>
      <c r="D47" s="326">
        <f>70000000+30500000+14000000</f>
        <v>114500000</v>
      </c>
      <c r="E47" s="808"/>
    </row>
    <row r="48" spans="1:6" ht="17.25" customHeight="1" x14ac:dyDescent="0.3">
      <c r="A48" s="803"/>
      <c r="B48" s="305" t="s">
        <v>642</v>
      </c>
      <c r="C48" s="320" t="s">
        <v>1034</v>
      </c>
      <c r="D48" s="326">
        <v>6000000</v>
      </c>
      <c r="E48" s="808"/>
    </row>
    <row r="49" spans="1:6" ht="17.25" customHeight="1" x14ac:dyDescent="0.3">
      <c r="A49" s="803"/>
      <c r="B49" s="305" t="s">
        <v>643</v>
      </c>
      <c r="C49" s="320" t="s">
        <v>1190</v>
      </c>
      <c r="D49" s="326">
        <v>13500000</v>
      </c>
      <c r="E49" s="808"/>
    </row>
    <row r="50" spans="1:6" ht="17.25" customHeight="1" x14ac:dyDescent="0.3">
      <c r="A50" s="803"/>
      <c r="B50" s="305" t="s">
        <v>644</v>
      </c>
      <c r="C50" s="321" t="s">
        <v>1191</v>
      </c>
      <c r="D50" s="326">
        <v>2000000</v>
      </c>
      <c r="E50" s="808"/>
    </row>
    <row r="51" spans="1:6" ht="17.25" customHeight="1" x14ac:dyDescent="0.3">
      <c r="A51" s="803"/>
      <c r="B51" s="305" t="s">
        <v>645</v>
      </c>
      <c r="C51" s="321" t="s">
        <v>1192</v>
      </c>
      <c r="D51" s="326">
        <v>2000000</v>
      </c>
      <c r="E51" s="808"/>
    </row>
    <row r="52" spans="1:6" ht="17.25" customHeight="1" x14ac:dyDescent="0.3">
      <c r="A52" s="803"/>
      <c r="B52" s="305" t="s">
        <v>646</v>
      </c>
      <c r="C52" s="321" t="s">
        <v>1193</v>
      </c>
      <c r="D52" s="326">
        <v>2000000</v>
      </c>
      <c r="E52" s="808"/>
      <c r="F52" s="200"/>
    </row>
    <row r="53" spans="1:6" ht="17.25" customHeight="1" x14ac:dyDescent="0.3">
      <c r="A53" s="803"/>
      <c r="B53" s="305" t="s">
        <v>647</v>
      </c>
      <c r="C53" s="321" t="s">
        <v>1194</v>
      </c>
      <c r="D53" s="326">
        <v>5000000</v>
      </c>
      <c r="E53" s="808"/>
    </row>
    <row r="54" spans="1:6" ht="17.25" customHeight="1" x14ac:dyDescent="0.3">
      <c r="A54" s="803"/>
      <c r="B54" s="305" t="s">
        <v>648</v>
      </c>
      <c r="C54" s="321" t="s">
        <v>1195</v>
      </c>
      <c r="D54" s="326">
        <v>2000000</v>
      </c>
      <c r="E54" s="808"/>
    </row>
    <row r="55" spans="1:6" ht="17.25" customHeight="1" x14ac:dyDescent="0.3">
      <c r="A55" s="803"/>
      <c r="B55" s="305" t="s">
        <v>649</v>
      </c>
      <c r="C55" s="320" t="s">
        <v>1196</v>
      </c>
      <c r="D55" s="326">
        <v>15000000</v>
      </c>
      <c r="E55" s="808"/>
    </row>
    <row r="56" spans="1:6" ht="17.25" customHeight="1" x14ac:dyDescent="0.3">
      <c r="A56" s="803"/>
      <c r="B56" s="305" t="s">
        <v>650</v>
      </c>
      <c r="C56" s="320" t="s">
        <v>1197</v>
      </c>
      <c r="D56" s="326">
        <v>80364000</v>
      </c>
      <c r="E56" s="808"/>
    </row>
    <row r="57" spans="1:6" ht="17.25" customHeight="1" x14ac:dyDescent="0.3">
      <c r="A57" s="803"/>
      <c r="B57" s="305" t="s">
        <v>1264</v>
      </c>
      <c r="C57" s="320" t="s">
        <v>1198</v>
      </c>
      <c r="D57" s="326">
        <v>50000000</v>
      </c>
      <c r="E57" s="808"/>
    </row>
    <row r="58" spans="1:6" ht="17.25" customHeight="1" x14ac:dyDescent="0.3">
      <c r="A58" s="803"/>
      <c r="B58" s="305" t="s">
        <v>1265</v>
      </c>
      <c r="C58" s="320" t="s">
        <v>1199</v>
      </c>
      <c r="D58" s="326">
        <v>60000000</v>
      </c>
      <c r="E58" s="808"/>
    </row>
    <row r="59" spans="1:6" ht="17.25" customHeight="1" x14ac:dyDescent="0.3">
      <c r="A59" s="803"/>
      <c r="B59" s="305" t="s">
        <v>1266</v>
      </c>
      <c r="C59" s="320" t="s">
        <v>1200</v>
      </c>
      <c r="D59" s="326">
        <v>5000000</v>
      </c>
      <c r="E59" s="808"/>
    </row>
    <row r="60" spans="1:6" ht="30" customHeight="1" x14ac:dyDescent="0.3">
      <c r="A60" s="803"/>
      <c r="B60" s="305" t="s">
        <v>1267</v>
      </c>
      <c r="C60" s="320" t="s">
        <v>1201</v>
      </c>
      <c r="D60" s="326">
        <v>15000000</v>
      </c>
      <c r="E60" s="808"/>
    </row>
    <row r="61" spans="1:6" ht="17.25" customHeight="1" x14ac:dyDescent="0.3">
      <c r="A61" s="803"/>
      <c r="B61" s="305" t="s">
        <v>1268</v>
      </c>
      <c r="C61" s="320" t="s">
        <v>1202</v>
      </c>
      <c r="D61" s="326">
        <v>1000000</v>
      </c>
      <c r="E61" s="808"/>
    </row>
    <row r="62" spans="1:6" ht="36" customHeight="1" x14ac:dyDescent="0.3">
      <c r="A62" s="803"/>
      <c r="B62" s="305" t="s">
        <v>1269</v>
      </c>
      <c r="C62" s="320" t="s">
        <v>1203</v>
      </c>
      <c r="D62" s="326">
        <v>1500000</v>
      </c>
      <c r="E62" s="808"/>
    </row>
    <row r="63" spans="1:6" ht="17.25" customHeight="1" x14ac:dyDescent="0.3">
      <c r="A63" s="803"/>
      <c r="B63" s="305" t="s">
        <v>1270</v>
      </c>
      <c r="C63" s="320" t="s">
        <v>1204</v>
      </c>
      <c r="D63" s="326">
        <v>5000000</v>
      </c>
      <c r="E63" s="808"/>
    </row>
    <row r="64" spans="1:6" ht="17.25" customHeight="1" x14ac:dyDescent="0.3">
      <c r="A64" s="803"/>
      <c r="B64" s="305" t="s">
        <v>1271</v>
      </c>
      <c r="C64" s="320" t="s">
        <v>894</v>
      </c>
      <c r="D64" s="326">
        <v>10000000</v>
      </c>
      <c r="E64" s="808"/>
    </row>
    <row r="65" spans="1:5" ht="17.25" customHeight="1" x14ac:dyDescent="0.3">
      <c r="A65" s="803"/>
      <c r="B65" s="305" t="s">
        <v>1272</v>
      </c>
      <c r="C65" s="320" t="s">
        <v>1205</v>
      </c>
      <c r="D65" s="326">
        <f>40058091-13500000-400000-1016000-5000000-1000000-1787050-6123481</f>
        <v>11231560</v>
      </c>
      <c r="E65" s="808"/>
    </row>
    <row r="66" spans="1:5" ht="17.25" customHeight="1" x14ac:dyDescent="0.3">
      <c r="A66" s="803"/>
      <c r="B66" s="305" t="s">
        <v>1273</v>
      </c>
      <c r="C66" s="320" t="s">
        <v>1206</v>
      </c>
      <c r="D66" s="326">
        <v>25000000</v>
      </c>
      <c r="E66" s="808"/>
    </row>
    <row r="67" spans="1:5" ht="17.25" customHeight="1" x14ac:dyDescent="0.3">
      <c r="A67" s="803"/>
      <c r="B67" s="305" t="s">
        <v>1274</v>
      </c>
      <c r="C67" s="320" t="s">
        <v>1207</v>
      </c>
      <c r="D67" s="326">
        <v>13851289</v>
      </c>
      <c r="E67" s="808"/>
    </row>
    <row r="68" spans="1:5" ht="17.25" customHeight="1" x14ac:dyDescent="0.3">
      <c r="A68" s="803"/>
      <c r="B68" s="305" t="s">
        <v>1275</v>
      </c>
      <c r="C68" s="322" t="s">
        <v>1208</v>
      </c>
      <c r="D68" s="326">
        <v>78000</v>
      </c>
      <c r="E68" s="808"/>
    </row>
    <row r="69" spans="1:5" ht="17.25" customHeight="1" x14ac:dyDescent="0.3">
      <c r="A69" s="803"/>
      <c r="B69" s="305" t="s">
        <v>1276</v>
      </c>
      <c r="C69" s="322" t="s">
        <v>1209</v>
      </c>
      <c r="D69" s="326">
        <v>500000</v>
      </c>
      <c r="E69" s="808"/>
    </row>
    <row r="70" spans="1:5" ht="17.25" customHeight="1" x14ac:dyDescent="0.3">
      <c r="A70" s="803"/>
      <c r="B70" s="305" t="s">
        <v>1277</v>
      </c>
      <c r="C70" s="320" t="s">
        <v>1210</v>
      </c>
      <c r="D70" s="326">
        <v>500000</v>
      </c>
      <c r="E70" s="808"/>
    </row>
    <row r="71" spans="1:5" ht="17.25" customHeight="1" x14ac:dyDescent="0.3">
      <c r="A71" s="803"/>
      <c r="B71" s="305" t="s">
        <v>1278</v>
      </c>
      <c r="C71" s="320" t="s">
        <v>1211</v>
      </c>
      <c r="D71" s="326">
        <v>300000</v>
      </c>
      <c r="E71" s="808"/>
    </row>
    <row r="72" spans="1:5" ht="17.25" customHeight="1" x14ac:dyDescent="0.3">
      <c r="A72" s="803"/>
      <c r="B72" s="305" t="s">
        <v>1279</v>
      </c>
      <c r="C72" s="320" t="s">
        <v>1212</v>
      </c>
      <c r="D72" s="326">
        <v>700000</v>
      </c>
      <c r="E72" s="808"/>
    </row>
    <row r="73" spans="1:5" ht="17.25" customHeight="1" x14ac:dyDescent="0.3">
      <c r="A73" s="803"/>
      <c r="B73" s="305" t="s">
        <v>1280</v>
      </c>
      <c r="C73" s="320" t="s">
        <v>1213</v>
      </c>
      <c r="D73" s="326">
        <v>1000000</v>
      </c>
      <c r="E73" s="808"/>
    </row>
    <row r="74" spans="1:5" ht="17.25" customHeight="1" x14ac:dyDescent="0.3">
      <c r="A74" s="803"/>
      <c r="B74" s="305" t="s">
        <v>1281</v>
      </c>
      <c r="C74" s="322" t="s">
        <v>1214</v>
      </c>
      <c r="D74" s="326">
        <v>4400000</v>
      </c>
      <c r="E74" s="808"/>
    </row>
    <row r="75" spans="1:5" ht="17.25" customHeight="1" x14ac:dyDescent="0.3">
      <c r="A75" s="803"/>
      <c r="B75" s="305" t="s">
        <v>1282</v>
      </c>
      <c r="C75" s="322" t="s">
        <v>1215</v>
      </c>
      <c r="D75" s="326">
        <v>1000000</v>
      </c>
      <c r="E75" s="808"/>
    </row>
    <row r="76" spans="1:5" ht="17.25" customHeight="1" x14ac:dyDescent="0.3">
      <c r="A76" s="803"/>
      <c r="B76" s="305" t="s">
        <v>1283</v>
      </c>
      <c r="C76" s="322" t="s">
        <v>1216</v>
      </c>
      <c r="D76" s="326">
        <v>10000000</v>
      </c>
      <c r="E76" s="808"/>
    </row>
    <row r="77" spans="1:5" ht="17.25" customHeight="1" x14ac:dyDescent="0.3">
      <c r="A77" s="803"/>
      <c r="B77" s="305" t="s">
        <v>1284</v>
      </c>
      <c r="C77" s="322" t="s">
        <v>1217</v>
      </c>
      <c r="D77" s="326">
        <v>40000000</v>
      </c>
      <c r="E77" s="808"/>
    </row>
    <row r="78" spans="1:5" ht="17.25" customHeight="1" x14ac:dyDescent="0.3">
      <c r="A78" s="803"/>
      <c r="B78" s="305" t="s">
        <v>1285</v>
      </c>
      <c r="C78" s="322" t="s">
        <v>1218</v>
      </c>
      <c r="D78" s="326">
        <v>2250000</v>
      </c>
      <c r="E78" s="808"/>
    </row>
    <row r="79" spans="1:5" ht="17.25" customHeight="1" x14ac:dyDescent="0.3">
      <c r="A79" s="803"/>
      <c r="B79" s="305" t="s">
        <v>1286</v>
      </c>
      <c r="C79" s="322" t="s">
        <v>1219</v>
      </c>
      <c r="D79" s="326">
        <v>25000000</v>
      </c>
      <c r="E79" s="808"/>
    </row>
    <row r="80" spans="1:5" ht="17.25" customHeight="1" x14ac:dyDescent="0.3">
      <c r="A80" s="803"/>
      <c r="B80" s="305" t="s">
        <v>1287</v>
      </c>
      <c r="C80" s="322" t="s">
        <v>1220</v>
      </c>
      <c r="D80" s="326">
        <v>10000000</v>
      </c>
      <c r="E80" s="808"/>
    </row>
    <row r="81" spans="1:12" ht="17.25" customHeight="1" x14ac:dyDescent="0.3">
      <c r="A81" s="803"/>
      <c r="B81" s="305" t="s">
        <v>1288</v>
      </c>
      <c r="C81" s="322" t="s">
        <v>1221</v>
      </c>
      <c r="D81" s="326">
        <v>1000000</v>
      </c>
      <c r="E81" s="808"/>
    </row>
    <row r="82" spans="1:12" ht="17.25" customHeight="1" x14ac:dyDescent="0.3">
      <c r="A82" s="803"/>
      <c r="B82" s="305" t="s">
        <v>1289</v>
      </c>
      <c r="C82" s="322" t="s">
        <v>1222</v>
      </c>
      <c r="D82" s="326">
        <v>3000000</v>
      </c>
      <c r="E82" s="808"/>
    </row>
    <row r="83" spans="1:12" ht="17.25" customHeight="1" x14ac:dyDescent="0.3">
      <c r="A83" s="803"/>
      <c r="B83" s="305" t="s">
        <v>1290</v>
      </c>
      <c r="C83" s="322" t="s">
        <v>1223</v>
      </c>
      <c r="D83" s="326">
        <v>63500000</v>
      </c>
      <c r="E83" s="808"/>
    </row>
    <row r="84" spans="1:12" ht="17.25" customHeight="1" x14ac:dyDescent="0.3">
      <c r="A84" s="803"/>
      <c r="B84" s="305" t="s">
        <v>1291</v>
      </c>
      <c r="C84" s="322" t="s">
        <v>1224</v>
      </c>
      <c r="D84" s="326">
        <f>29100000-4276552+144355-1</f>
        <v>24967802</v>
      </c>
      <c r="E84" s="808"/>
    </row>
    <row r="85" spans="1:12" ht="17.25" customHeight="1" x14ac:dyDescent="0.3">
      <c r="A85" s="803"/>
      <c r="B85" s="305" t="s">
        <v>1292</v>
      </c>
      <c r="C85" s="322" t="s">
        <v>1225</v>
      </c>
      <c r="D85" s="326">
        <v>5000000</v>
      </c>
      <c r="E85" s="808"/>
    </row>
    <row r="86" spans="1:12" ht="17.25" customHeight="1" x14ac:dyDescent="0.3">
      <c r="A86" s="803"/>
      <c r="B86" s="305" t="s">
        <v>1293</v>
      </c>
      <c r="C86" s="322" t="s">
        <v>1226</v>
      </c>
      <c r="D86" s="326">
        <v>11200000</v>
      </c>
      <c r="E86" s="808"/>
    </row>
    <row r="87" spans="1:12" ht="17.25" customHeight="1" x14ac:dyDescent="0.3">
      <c r="A87" s="803"/>
      <c r="B87" s="305" t="s">
        <v>1294</v>
      </c>
      <c r="C87" s="322" t="s">
        <v>1227</v>
      </c>
      <c r="D87" s="326">
        <v>10000000</v>
      </c>
      <c r="E87" s="808"/>
    </row>
    <row r="88" spans="1:12" ht="17.25" customHeight="1" x14ac:dyDescent="0.3">
      <c r="A88" s="803"/>
      <c r="B88" s="305" t="s">
        <v>1295</v>
      </c>
      <c r="C88" s="322" t="s">
        <v>1296</v>
      </c>
      <c r="D88" s="326">
        <v>187000000</v>
      </c>
      <c r="E88" s="808"/>
    </row>
    <row r="89" spans="1:12" ht="17.25" customHeight="1" x14ac:dyDescent="0.3">
      <c r="A89" s="803"/>
      <c r="B89" s="305" t="s">
        <v>1297</v>
      </c>
      <c r="C89" s="322" t="s">
        <v>1299</v>
      </c>
      <c r="D89" s="326">
        <v>10000000</v>
      </c>
      <c r="E89" s="808"/>
    </row>
    <row r="90" spans="1:12" ht="17.25" customHeight="1" x14ac:dyDescent="0.3">
      <c r="A90" s="803"/>
      <c r="B90" s="305" t="s">
        <v>1298</v>
      </c>
      <c r="C90" s="322" t="s">
        <v>1301</v>
      </c>
      <c r="D90" s="326">
        <v>10000000</v>
      </c>
      <c r="E90" s="808"/>
    </row>
    <row r="91" spans="1:12" ht="17.25" customHeight="1" x14ac:dyDescent="0.3">
      <c r="A91" s="803"/>
      <c r="B91" s="305" t="s">
        <v>1300</v>
      </c>
      <c r="C91" s="322" t="s">
        <v>1228</v>
      </c>
      <c r="D91" s="326">
        <v>5000000</v>
      </c>
      <c r="E91" s="808"/>
      <c r="F91" s="338">
        <f>SUM(D41:D91)</f>
        <v>960258661</v>
      </c>
    </row>
    <row r="92" spans="1:12" ht="18" x14ac:dyDescent="0.3">
      <c r="A92" s="311"/>
      <c r="B92" s="812" t="s">
        <v>895</v>
      </c>
      <c r="C92" s="812"/>
      <c r="D92" s="289">
        <f>SUM(D5:D91)</f>
        <v>1541430484</v>
      </c>
      <c r="E92" s="290"/>
      <c r="F92" s="201">
        <f>+'[3]13.b.sz.m.Maradványkim.-Önk'!F29</f>
        <v>898334622</v>
      </c>
      <c r="L92" s="200"/>
    </row>
    <row r="93" spans="1:12" x14ac:dyDescent="0.3">
      <c r="A93" s="293"/>
      <c r="B93" s="292"/>
      <c r="C93" s="292"/>
      <c r="D93" s="292"/>
      <c r="E93" s="291"/>
      <c r="F93" s="200">
        <f>+F92-D92</f>
        <v>-643095862</v>
      </c>
    </row>
    <row r="94" spans="1:12" ht="43.5" customHeight="1" x14ac:dyDescent="0.4">
      <c r="A94" s="800" t="s">
        <v>1317</v>
      </c>
      <c r="B94" s="800"/>
      <c r="C94" s="800"/>
      <c r="D94" s="800"/>
      <c r="E94" s="800"/>
    </row>
    <row r="96" spans="1:12" ht="23.4" x14ac:dyDescent="0.45">
      <c r="A96" s="799" t="s">
        <v>52</v>
      </c>
      <c r="B96" s="799"/>
      <c r="C96" s="799"/>
      <c r="D96" s="799"/>
      <c r="E96" s="799"/>
    </row>
    <row r="97" spans="1:6" ht="23.4" x14ac:dyDescent="0.45">
      <c r="A97" s="329"/>
      <c r="B97" s="329"/>
      <c r="C97" s="329"/>
      <c r="D97" s="329"/>
      <c r="E97" s="329"/>
    </row>
    <row r="98" spans="1:6" ht="28.8" x14ac:dyDescent="0.3">
      <c r="A98" s="197"/>
      <c r="B98" s="306" t="s">
        <v>1</v>
      </c>
      <c r="C98" s="330" t="s">
        <v>1313</v>
      </c>
      <c r="D98" s="341" t="s">
        <v>55</v>
      </c>
      <c r="E98" s="293"/>
    </row>
    <row r="99" spans="1:6" x14ac:dyDescent="0.3">
      <c r="A99" s="197"/>
      <c r="B99" s="306"/>
      <c r="C99" s="319" t="s">
        <v>1569</v>
      </c>
      <c r="D99" s="342">
        <v>92600729</v>
      </c>
      <c r="E99" s="292"/>
    </row>
    <row r="100" spans="1:6" x14ac:dyDescent="0.3">
      <c r="A100" s="197"/>
      <c r="B100" s="306"/>
      <c r="C100" s="319" t="s">
        <v>1350</v>
      </c>
      <c r="D100" s="342">
        <v>129000000</v>
      </c>
      <c r="E100" s="292"/>
    </row>
    <row r="101" spans="1:6" x14ac:dyDescent="0.3">
      <c r="A101" s="197"/>
      <c r="B101" s="306"/>
      <c r="C101" s="319" t="s">
        <v>1351</v>
      </c>
      <c r="D101" s="342">
        <v>10000000</v>
      </c>
      <c r="E101" s="292"/>
    </row>
    <row r="102" spans="1:6" x14ac:dyDescent="0.3">
      <c r="B102" s="319"/>
      <c r="C102" s="319" t="s">
        <v>1318</v>
      </c>
      <c r="D102" s="342">
        <v>3001324</v>
      </c>
    </row>
    <row r="103" spans="1:6" x14ac:dyDescent="0.3">
      <c r="B103" s="319"/>
      <c r="C103" s="319" t="s">
        <v>1319</v>
      </c>
      <c r="D103" s="342">
        <v>2390000</v>
      </c>
      <c r="E103" s="343"/>
    </row>
    <row r="105" spans="1:6" ht="23.4" x14ac:dyDescent="0.45">
      <c r="A105" s="809" t="s">
        <v>1314</v>
      </c>
      <c r="B105" s="810"/>
      <c r="C105" s="810"/>
      <c r="D105" s="810"/>
      <c r="E105" s="811"/>
    </row>
    <row r="106" spans="1:6" ht="23.4" x14ac:dyDescent="0.45">
      <c r="A106" s="344"/>
      <c r="B106" s="345"/>
      <c r="C106" s="346"/>
      <c r="D106" s="346"/>
      <c r="E106" s="347"/>
    </row>
    <row r="107" spans="1:6" ht="28.8" x14ac:dyDescent="0.3">
      <c r="A107" s="293"/>
      <c r="B107" s="306" t="s">
        <v>1</v>
      </c>
      <c r="C107" s="330" t="s">
        <v>54</v>
      </c>
      <c r="D107" s="289" t="s">
        <v>55</v>
      </c>
      <c r="E107" s="348"/>
    </row>
    <row r="108" spans="1:6" x14ac:dyDescent="0.3">
      <c r="B108" s="349"/>
      <c r="C108" s="319" t="s">
        <v>1315</v>
      </c>
      <c r="D108" s="342">
        <v>4063000</v>
      </c>
    </row>
    <row r="110" spans="1:6" ht="39.75" customHeight="1" x14ac:dyDescent="0.35">
      <c r="A110" s="804" t="s">
        <v>1425</v>
      </c>
      <c r="B110" s="804"/>
      <c r="C110" s="804"/>
      <c r="D110" s="350">
        <f>+D102+D108+D99+D103+D100+D101</f>
        <v>241055053</v>
      </c>
      <c r="E110" s="351">
        <v>241055052</v>
      </c>
      <c r="F110" s="200"/>
    </row>
    <row r="112" spans="1:6" ht="21" x14ac:dyDescent="0.4">
      <c r="A112" s="805" t="s">
        <v>1316</v>
      </c>
      <c r="B112" s="805"/>
      <c r="C112" s="805"/>
      <c r="D112" s="350">
        <f>+D92+D110</f>
        <v>1782485537</v>
      </c>
    </row>
  </sheetData>
  <mergeCells count="12">
    <mergeCell ref="A1:E1"/>
    <mergeCell ref="A3:E3"/>
    <mergeCell ref="A5:A40"/>
    <mergeCell ref="A110:C110"/>
    <mergeCell ref="A112:C112"/>
    <mergeCell ref="E5:E40"/>
    <mergeCell ref="E41:E91"/>
    <mergeCell ref="A94:E94"/>
    <mergeCell ref="A96:E96"/>
    <mergeCell ref="A105:E105"/>
    <mergeCell ref="B92:C92"/>
    <mergeCell ref="A41:A91"/>
  </mergeCells>
  <printOptions horizontalCentered="1"/>
  <pageMargins left="0.39370078740157483" right="0.39370078740157483" top="0.59055118110236227" bottom="0.15748031496062992" header="0.31496062992125984" footer="0.31496062992125984"/>
  <pageSetup paperSize="9" scale="45" orientation="portrait" r:id="rId1"/>
  <headerFooter>
    <oddHeader>&amp;CDunaharaszti Város Önkormányzat 2018. évi zárszámadás&amp;R&amp;A</oddHeader>
    <oddFooter>&amp;C&amp;P/&amp;N</oddFooter>
  </headerFooter>
  <rowBreaks count="1" manualBreakCount="1">
    <brk id="9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8"/>
  <sheetViews>
    <sheetView view="pageBreakPreview" zoomScale="70" zoomScaleNormal="70" zoomScaleSheetLayoutView="70" zoomScalePageLayoutView="70" workbookViewId="0">
      <selection activeCell="A13" sqref="A13:J13"/>
    </sheetView>
  </sheetViews>
  <sheetFormatPr defaultColWidth="20.5546875" defaultRowHeight="14.25" customHeight="1" x14ac:dyDescent="0.3"/>
  <cols>
    <col min="1" max="1" width="4.6640625" style="38" customWidth="1"/>
    <col min="2" max="2" width="34.33203125" style="38" customWidth="1"/>
    <col min="3" max="3" width="21.109375" style="83" customWidth="1"/>
    <col min="4" max="4" width="22.33203125" style="83" customWidth="1"/>
    <col min="5" max="5" width="7.6640625" style="83" customWidth="1"/>
    <col min="6" max="6" width="21.109375" style="83" customWidth="1"/>
    <col min="7" max="7" width="22.5546875" style="84" customWidth="1"/>
    <col min="8" max="8" width="20.109375" style="84" customWidth="1"/>
    <col min="9" max="9" width="14.6640625" style="85" customWidth="1"/>
    <col min="10" max="10" width="20.5546875" style="86" customWidth="1"/>
    <col min="11" max="11" width="23.88671875" style="38" customWidth="1"/>
    <col min="12" max="16384" width="20.5546875" style="38"/>
  </cols>
  <sheetData>
    <row r="1" spans="1:11" ht="43.5" customHeight="1" x14ac:dyDescent="0.4">
      <c r="A1" s="821" t="s">
        <v>1309</v>
      </c>
      <c r="B1" s="821"/>
      <c r="C1" s="821"/>
      <c r="D1" s="821"/>
      <c r="E1" s="821"/>
      <c r="F1" s="821"/>
      <c r="G1" s="821"/>
      <c r="H1" s="821"/>
      <c r="I1" s="821"/>
      <c r="J1" s="821"/>
      <c r="K1" s="39"/>
    </row>
    <row r="2" spans="1:11" ht="47.25" customHeight="1" x14ac:dyDescent="0.3"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41" customFormat="1" ht="29.25" customHeight="1" x14ac:dyDescent="0.3">
      <c r="A3" s="817" t="s">
        <v>77</v>
      </c>
      <c r="B3" s="817"/>
      <c r="C3" s="817"/>
      <c r="D3" s="817"/>
      <c r="E3" s="817"/>
      <c r="F3" s="817"/>
      <c r="G3" s="817"/>
      <c r="H3" s="817"/>
      <c r="I3" s="817"/>
      <c r="J3" s="40"/>
    </row>
    <row r="4" spans="1:11" s="41" customFormat="1" ht="15.75" customHeight="1" x14ac:dyDescent="0.3">
      <c r="B4" s="42"/>
      <c r="C4" s="43"/>
      <c r="D4" s="43"/>
      <c r="E4" s="43"/>
      <c r="F4" s="43"/>
      <c r="G4" s="44"/>
      <c r="H4" s="44"/>
      <c r="I4" s="45"/>
      <c r="J4" s="40"/>
    </row>
    <row r="5" spans="1:11" s="47" customFormat="1" ht="40.5" customHeight="1" x14ac:dyDescent="0.3">
      <c r="A5" s="822" t="s">
        <v>63</v>
      </c>
      <c r="B5" s="824" t="s">
        <v>78</v>
      </c>
      <c r="C5" s="826" t="s">
        <v>1311</v>
      </c>
      <c r="D5" s="826" t="s">
        <v>1312</v>
      </c>
      <c r="E5" s="827" t="s">
        <v>79</v>
      </c>
      <c r="F5" s="828"/>
      <c r="G5" s="46" t="s">
        <v>1310</v>
      </c>
      <c r="H5" s="829" t="s">
        <v>80</v>
      </c>
      <c r="I5" s="824" t="s">
        <v>81</v>
      </c>
      <c r="J5" s="830" t="s">
        <v>1571</v>
      </c>
    </row>
    <row r="6" spans="1:11" s="47" customFormat="1" ht="40.5" customHeight="1" x14ac:dyDescent="0.3">
      <c r="A6" s="823"/>
      <c r="B6" s="825"/>
      <c r="C6" s="826"/>
      <c r="D6" s="826"/>
      <c r="E6" s="48" t="s">
        <v>82</v>
      </c>
      <c r="F6" s="48" t="s">
        <v>83</v>
      </c>
      <c r="G6" s="49" t="s">
        <v>84</v>
      </c>
      <c r="H6" s="829"/>
      <c r="I6" s="824"/>
      <c r="J6" s="831"/>
    </row>
    <row r="7" spans="1:11" s="51" customFormat="1" ht="39.75" customHeight="1" x14ac:dyDescent="0.3">
      <c r="A7" s="648" t="s">
        <v>3</v>
      </c>
      <c r="B7" s="724" t="s">
        <v>85</v>
      </c>
      <c r="C7" s="725">
        <f>238000000+140000000</f>
        <v>378000000</v>
      </c>
      <c r="D7" s="725">
        <f>238000000+140000000</f>
        <v>378000000</v>
      </c>
      <c r="E7" s="726">
        <v>0.44</v>
      </c>
      <c r="F7" s="725">
        <v>166320000</v>
      </c>
      <c r="G7" s="727">
        <f>+D7-F7</f>
        <v>211680000</v>
      </c>
      <c r="H7" s="728" t="s">
        <v>86</v>
      </c>
      <c r="I7" s="648" t="s">
        <v>87</v>
      </c>
      <c r="J7" s="52" t="s">
        <v>88</v>
      </c>
      <c r="K7" s="50"/>
    </row>
    <row r="8" spans="1:11" s="51" customFormat="1" ht="39.75" customHeight="1" x14ac:dyDescent="0.3">
      <c r="A8" s="648" t="s">
        <v>4</v>
      </c>
      <c r="B8" s="724" t="s">
        <v>89</v>
      </c>
      <c r="C8" s="725">
        <v>26010000</v>
      </c>
      <c r="D8" s="725">
        <v>26010000</v>
      </c>
      <c r="E8" s="726">
        <v>0</v>
      </c>
      <c r="F8" s="725"/>
      <c r="G8" s="727">
        <f>+C8-F8</f>
        <v>26010000</v>
      </c>
      <c r="H8" s="728"/>
      <c r="I8" s="648"/>
      <c r="J8" s="52" t="s">
        <v>90</v>
      </c>
      <c r="K8" s="50"/>
    </row>
    <row r="9" spans="1:11" s="51" customFormat="1" ht="39.75" customHeight="1" x14ac:dyDescent="0.3">
      <c r="A9" s="648" t="s">
        <v>5</v>
      </c>
      <c r="B9" s="724" t="s">
        <v>91</v>
      </c>
      <c r="C9" s="725">
        <v>23200</v>
      </c>
      <c r="D9" s="725">
        <v>23200</v>
      </c>
      <c r="E9" s="729">
        <v>0</v>
      </c>
      <c r="F9" s="725"/>
      <c r="G9" s="727">
        <v>23200</v>
      </c>
      <c r="H9" s="728"/>
      <c r="I9" s="648"/>
      <c r="J9" s="52" t="s">
        <v>887</v>
      </c>
      <c r="K9" s="50"/>
    </row>
    <row r="10" spans="1:11" s="59" customFormat="1" ht="39.75" customHeight="1" x14ac:dyDescent="0.3">
      <c r="A10" s="816" t="s">
        <v>92</v>
      </c>
      <c r="B10" s="816"/>
      <c r="C10" s="53">
        <f>SUM(C7:C9)</f>
        <v>404033200</v>
      </c>
      <c r="D10" s="53">
        <f>SUM(D7:D9)</f>
        <v>404033200</v>
      </c>
      <c r="E10" s="54"/>
      <c r="F10" s="53">
        <f>SUM(F7:F9)</f>
        <v>166320000</v>
      </c>
      <c r="G10" s="53">
        <f>SUM(G7:G9)</f>
        <v>237713200</v>
      </c>
      <c r="H10" s="55"/>
      <c r="I10" s="56"/>
      <c r="J10" s="57"/>
      <c r="K10" s="58"/>
    </row>
    <row r="11" spans="1:11" s="60" customFormat="1" ht="96.75" customHeight="1" x14ac:dyDescent="0.3">
      <c r="B11" s="61"/>
      <c r="C11" s="62"/>
      <c r="D11" s="62"/>
      <c r="E11" s="62"/>
      <c r="F11" s="62"/>
      <c r="G11" s="62"/>
      <c r="H11" s="62"/>
      <c r="I11" s="63"/>
      <c r="J11" s="61"/>
      <c r="K11" s="61"/>
    </row>
    <row r="12" spans="1:11" s="60" customFormat="1" ht="31.5" customHeight="1" x14ac:dyDescent="0.3">
      <c r="A12" s="817"/>
      <c r="B12" s="817"/>
      <c r="C12" s="817"/>
      <c r="D12" s="817"/>
      <c r="E12" s="817"/>
      <c r="F12" s="817"/>
      <c r="G12" s="817"/>
      <c r="H12" s="817"/>
      <c r="I12" s="817"/>
      <c r="J12" s="61"/>
      <c r="K12" s="61"/>
    </row>
    <row r="13" spans="1:11" s="41" customFormat="1" ht="36.75" customHeight="1" x14ac:dyDescent="0.3">
      <c r="A13" s="818"/>
      <c r="B13" s="818"/>
      <c r="C13" s="818"/>
      <c r="D13" s="818"/>
      <c r="E13" s="818"/>
      <c r="F13" s="818"/>
      <c r="G13" s="818"/>
      <c r="H13" s="818"/>
      <c r="I13" s="818"/>
      <c r="J13" s="818"/>
      <c r="K13" s="64"/>
    </row>
    <row r="14" spans="1:11" s="41" customFormat="1" ht="18" hidden="1" customHeight="1" x14ac:dyDescent="0.3">
      <c r="A14" s="65"/>
      <c r="B14" s="65"/>
      <c r="C14" s="66"/>
      <c r="D14" s="66"/>
      <c r="E14" s="66"/>
      <c r="F14" s="66"/>
      <c r="G14" s="67"/>
      <c r="H14" s="67"/>
      <c r="I14" s="68"/>
      <c r="J14" s="69"/>
      <c r="K14" s="64"/>
    </row>
    <row r="15" spans="1:11" s="41" customFormat="1" ht="18" customHeight="1" x14ac:dyDescent="0.3">
      <c r="A15" s="65"/>
      <c r="B15" s="65"/>
      <c r="C15" s="66"/>
      <c r="D15" s="66"/>
      <c r="E15" s="66"/>
      <c r="F15" s="66"/>
      <c r="G15" s="67"/>
      <c r="H15" s="67"/>
      <c r="I15" s="68"/>
      <c r="J15" s="69"/>
      <c r="K15" s="64"/>
    </row>
    <row r="16" spans="1:11" s="71" customFormat="1" ht="25.5" customHeight="1" x14ac:dyDescent="0.35">
      <c r="A16" s="819"/>
      <c r="B16" s="819"/>
      <c r="C16" s="819"/>
      <c r="D16" s="819"/>
      <c r="E16" s="819"/>
      <c r="F16" s="819"/>
      <c r="G16" s="819"/>
      <c r="H16" s="819"/>
      <c r="I16" s="819"/>
      <c r="J16" s="65"/>
      <c r="K16" s="70"/>
    </row>
    <row r="17" spans="1:11" s="71" customFormat="1" ht="18" customHeight="1" x14ac:dyDescent="0.3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3"/>
    </row>
    <row r="18" spans="1:11" s="71" customFormat="1" ht="18" customHeight="1" x14ac:dyDescent="0.3">
      <c r="A18" s="814"/>
      <c r="B18" s="814"/>
      <c r="C18" s="80"/>
      <c r="D18" s="80"/>
      <c r="E18" s="820"/>
      <c r="F18" s="820"/>
      <c r="G18" s="81"/>
      <c r="H18" s="81"/>
      <c r="I18" s="82"/>
      <c r="J18" s="72"/>
      <c r="K18" s="73"/>
    </row>
    <row r="19" spans="1:11" s="71" customFormat="1" ht="30.75" customHeight="1" x14ac:dyDescent="0.3">
      <c r="A19" s="814"/>
      <c r="B19" s="814"/>
      <c r="C19" s="182"/>
      <c r="D19" s="80"/>
      <c r="E19" s="815"/>
      <c r="F19" s="815"/>
      <c r="G19" s="81"/>
      <c r="H19" s="182"/>
      <c r="I19" s="81"/>
      <c r="J19" s="72"/>
      <c r="K19" s="73"/>
    </row>
    <row r="20" spans="1:11" s="74" customFormat="1" ht="33" customHeight="1" x14ac:dyDescent="0.3">
      <c r="A20" s="183"/>
      <c r="B20" s="75"/>
      <c r="C20" s="76"/>
      <c r="D20" s="76"/>
      <c r="E20" s="76"/>
      <c r="F20" s="76"/>
      <c r="G20" s="76"/>
      <c r="H20" s="76"/>
      <c r="I20" s="77"/>
      <c r="J20" s="75"/>
      <c r="K20" s="78"/>
    </row>
    <row r="21" spans="1:11" s="71" customFormat="1" ht="14.25" customHeight="1" x14ac:dyDescent="0.3">
      <c r="A21" s="72"/>
      <c r="B21" s="72"/>
      <c r="C21" s="79"/>
      <c r="D21" s="79"/>
      <c r="E21" s="79"/>
      <c r="F21" s="79"/>
      <c r="G21" s="80"/>
      <c r="H21" s="80"/>
      <c r="I21" s="81"/>
      <c r="J21" s="82"/>
      <c r="K21" s="73"/>
    </row>
    <row r="22" spans="1:11" s="71" customFormat="1" ht="21.75" customHeight="1" x14ac:dyDescent="0.3">
      <c r="B22" s="72"/>
      <c r="C22" s="79"/>
      <c r="D22" s="79"/>
      <c r="E22" s="79"/>
      <c r="F22" s="79"/>
      <c r="G22" s="80"/>
      <c r="H22" s="80"/>
      <c r="I22" s="81"/>
      <c r="J22" s="82"/>
      <c r="K22" s="73"/>
    </row>
    <row r="24" spans="1:11" ht="14.25" customHeight="1" x14ac:dyDescent="0.3">
      <c r="K24" s="41"/>
    </row>
    <row r="25" spans="1:11" s="41" customFormat="1" ht="21" customHeight="1" x14ac:dyDescent="0.3">
      <c r="K25" s="38"/>
    </row>
    <row r="26" spans="1:11" ht="7.5" customHeight="1" x14ac:dyDescent="0.3">
      <c r="K26" s="41"/>
    </row>
    <row r="27" spans="1:11" s="41" customFormat="1" ht="14.25" customHeight="1" x14ac:dyDescent="0.3">
      <c r="K27" s="38"/>
    </row>
    <row r="28" spans="1:11" ht="7.5" customHeight="1" x14ac:dyDescent="0.3"/>
  </sheetData>
  <mergeCells count="18">
    <mergeCell ref="A1:J1"/>
    <mergeCell ref="A3:I3"/>
    <mergeCell ref="A5:A6"/>
    <mergeCell ref="B5:B6"/>
    <mergeCell ref="C5:C6"/>
    <mergeCell ref="D5:D6"/>
    <mergeCell ref="E5:F5"/>
    <mergeCell ref="H5:H6"/>
    <mergeCell ref="I5:I6"/>
    <mergeCell ref="J5:J6"/>
    <mergeCell ref="A19:B19"/>
    <mergeCell ref="E19:F19"/>
    <mergeCell ref="A10:B10"/>
    <mergeCell ref="A12:I12"/>
    <mergeCell ref="A13:J13"/>
    <mergeCell ref="A16:I16"/>
    <mergeCell ref="A18:B18"/>
    <mergeCell ref="E18:F18"/>
  </mergeCells>
  <printOptions horizontalCentered="1"/>
  <pageMargins left="0.39370078740157483" right="0.31496062992125984" top="0.59055118110236227" bottom="0.43307086614173229" header="0.43307086614173229" footer="0.15748031496062992"/>
  <pageSetup paperSize="9" scale="60" orientation="landscape" r:id="rId1"/>
  <headerFooter alignWithMargins="0">
    <oddHeader>&amp;CDunaharaszti Város Önkormányzat 2018. évi zárszámadás&amp;R&amp;A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86"/>
  <sheetViews>
    <sheetView view="pageBreakPreview" zoomScale="80" zoomScaleNormal="100" zoomScaleSheet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57" sqref="C57"/>
    </sheetView>
  </sheetViews>
  <sheetFormatPr defaultColWidth="9.109375" defaultRowHeight="14.4" x14ac:dyDescent="0.3"/>
  <cols>
    <col min="1" max="1" width="4.33203125" style="171" customWidth="1"/>
    <col min="2" max="2" width="41" style="171" customWidth="1"/>
    <col min="3" max="3" width="18.5546875" style="171" customWidth="1"/>
    <col min="4" max="4" width="18" style="171" bestFit="1" customWidth="1"/>
    <col min="5" max="5" width="15.44140625" style="171" customWidth="1"/>
    <col min="6" max="6" width="14.109375" style="171" bestFit="1" customWidth="1"/>
    <col min="7" max="8" width="13.109375" style="171" bestFit="1" customWidth="1"/>
    <col min="9" max="9" width="16" style="171" customWidth="1"/>
    <col min="10" max="10" width="15.6640625" style="171" customWidth="1"/>
    <col min="11" max="12" width="13.109375" style="171" bestFit="1" customWidth="1"/>
    <col min="13" max="13" width="12.6640625" style="171" bestFit="1" customWidth="1"/>
    <col min="14" max="14" width="12" style="171" bestFit="1" customWidth="1"/>
    <col min="15" max="15" width="14.109375" style="171" customWidth="1"/>
    <col min="16" max="16" width="13.109375" style="171" bestFit="1" customWidth="1"/>
    <col min="17" max="17" width="14" style="171" bestFit="1" customWidth="1"/>
    <col min="18" max="18" width="13.6640625" style="171" customWidth="1"/>
    <col min="19" max="21" width="13.109375" style="171" bestFit="1" customWidth="1"/>
    <col min="22" max="22" width="13.5546875" style="171" bestFit="1" customWidth="1"/>
    <col min="23" max="25" width="9.109375" style="171"/>
    <col min="26" max="26" width="13.5546875" style="171" bestFit="1" customWidth="1"/>
    <col min="27" max="27" width="9.109375" style="171"/>
    <col min="28" max="28" width="12.44140625" style="171" bestFit="1" customWidth="1"/>
    <col min="29" max="16384" width="9.109375" style="171"/>
  </cols>
  <sheetData>
    <row r="1" spans="1:28" ht="36" customHeight="1" x14ac:dyDescent="0.3">
      <c r="A1" s="834" t="s">
        <v>2</v>
      </c>
      <c r="B1" s="834"/>
      <c r="C1" s="832" t="s">
        <v>52</v>
      </c>
      <c r="D1" s="832"/>
      <c r="E1" s="832" t="s">
        <v>11</v>
      </c>
      <c r="F1" s="832"/>
      <c r="G1" s="832" t="s">
        <v>12</v>
      </c>
      <c r="H1" s="832"/>
      <c r="I1" s="832" t="s">
        <v>14</v>
      </c>
      <c r="J1" s="832"/>
      <c r="K1" s="832" t="s">
        <v>15</v>
      </c>
      <c r="L1" s="832"/>
      <c r="M1" s="835" t="s">
        <v>39</v>
      </c>
      <c r="N1" s="835"/>
      <c r="O1" s="835" t="s">
        <v>1353</v>
      </c>
      <c r="P1" s="835"/>
      <c r="Q1" s="832" t="s">
        <v>13</v>
      </c>
      <c r="R1" s="832"/>
      <c r="S1" s="832" t="s">
        <v>1354</v>
      </c>
      <c r="T1" s="832"/>
      <c r="U1" s="832" t="s">
        <v>1355</v>
      </c>
      <c r="V1" s="832"/>
    </row>
    <row r="2" spans="1:28" ht="18" customHeight="1" x14ac:dyDescent="0.3">
      <c r="A2" s="834"/>
      <c r="B2" s="834"/>
      <c r="C2" s="369" t="s">
        <v>627</v>
      </c>
      <c r="D2" s="369" t="s">
        <v>603</v>
      </c>
      <c r="E2" s="369" t="s">
        <v>627</v>
      </c>
      <c r="F2" s="369" t="s">
        <v>603</v>
      </c>
      <c r="G2" s="369" t="s">
        <v>627</v>
      </c>
      <c r="H2" s="369" t="s">
        <v>603</v>
      </c>
      <c r="I2" s="369" t="s">
        <v>627</v>
      </c>
      <c r="J2" s="369" t="s">
        <v>603</v>
      </c>
      <c r="K2" s="369" t="s">
        <v>627</v>
      </c>
      <c r="L2" s="369" t="s">
        <v>603</v>
      </c>
      <c r="M2" s="369" t="s">
        <v>627</v>
      </c>
      <c r="N2" s="369" t="s">
        <v>603</v>
      </c>
      <c r="O2" s="369" t="s">
        <v>627</v>
      </c>
      <c r="P2" s="369" t="s">
        <v>603</v>
      </c>
      <c r="Q2" s="369" t="s">
        <v>627</v>
      </c>
      <c r="R2" s="369" t="s">
        <v>603</v>
      </c>
      <c r="S2" s="369" t="s">
        <v>627</v>
      </c>
      <c r="T2" s="369" t="s">
        <v>603</v>
      </c>
      <c r="U2" s="369" t="s">
        <v>627</v>
      </c>
      <c r="V2" s="369" t="s">
        <v>603</v>
      </c>
    </row>
    <row r="3" spans="1:28" x14ac:dyDescent="0.3">
      <c r="A3" s="833" t="s">
        <v>793</v>
      </c>
      <c r="B3" s="833"/>
      <c r="C3" s="370">
        <f>SUM(C4,C7,C33,C49)</f>
        <v>26953339265</v>
      </c>
      <c r="D3" s="370">
        <f>SUM(D4,D7,D33,D49)</f>
        <v>21261834881</v>
      </c>
      <c r="E3" s="370">
        <f t="shared" ref="E3:R3" si="0">SUM(E4,E7,E33,E49)</f>
        <v>194813027</v>
      </c>
      <c r="F3" s="370">
        <f t="shared" si="0"/>
        <v>16851698</v>
      </c>
      <c r="G3" s="370">
        <f t="shared" si="0"/>
        <v>13080101</v>
      </c>
      <c r="H3" s="370">
        <f t="shared" si="0"/>
        <v>4956151</v>
      </c>
      <c r="I3" s="370">
        <f t="shared" si="0"/>
        <v>59656118</v>
      </c>
      <c r="J3" s="370">
        <f t="shared" si="0"/>
        <v>724549</v>
      </c>
      <c r="K3" s="370">
        <f t="shared" si="0"/>
        <v>18832977</v>
      </c>
      <c r="L3" s="370">
        <f t="shared" si="0"/>
        <v>3493060</v>
      </c>
      <c r="M3" s="370">
        <f t="shared" si="0"/>
        <v>6259829</v>
      </c>
      <c r="N3" s="370">
        <f t="shared" si="0"/>
        <v>14647</v>
      </c>
      <c r="O3" s="370">
        <f t="shared" si="0"/>
        <v>107635513</v>
      </c>
      <c r="P3" s="370">
        <f t="shared" si="0"/>
        <v>685527</v>
      </c>
      <c r="Q3" s="370">
        <f t="shared" si="0"/>
        <v>43672865</v>
      </c>
      <c r="R3" s="370">
        <f t="shared" si="0"/>
        <v>3470439</v>
      </c>
      <c r="S3" s="370">
        <f>SUM(S4,S7,S33,S49)</f>
        <v>25911773</v>
      </c>
      <c r="T3" s="370">
        <f>SUM(T4,T7,T33,T49)</f>
        <v>4275087</v>
      </c>
      <c r="U3" s="370">
        <f>SUM(U4,U7,U33,U49)</f>
        <v>53116218</v>
      </c>
      <c r="V3" s="370">
        <f>SUM(V4,V7,V33,V49)</f>
        <v>3667980</v>
      </c>
    </row>
    <row r="4" spans="1:28" x14ac:dyDescent="0.3">
      <c r="A4" s="371"/>
      <c r="B4" s="371" t="s">
        <v>794</v>
      </c>
      <c r="C4" s="370">
        <f>SUM(C5:C6)</f>
        <v>93659888</v>
      </c>
      <c r="D4" s="370">
        <f t="shared" ref="D4:R4" si="1">SUM(D5:D6)</f>
        <v>19778433</v>
      </c>
      <c r="E4" s="370">
        <f t="shared" si="1"/>
        <v>91017924</v>
      </c>
      <c r="F4" s="370">
        <f t="shared" si="1"/>
        <v>912604</v>
      </c>
      <c r="G4" s="370">
        <f t="shared" si="1"/>
        <v>430996</v>
      </c>
      <c r="H4" s="370">
        <f t="shared" si="1"/>
        <v>82665</v>
      </c>
      <c r="I4" s="370">
        <f t="shared" si="1"/>
        <v>358750</v>
      </c>
      <c r="J4" s="370">
        <f t="shared" si="1"/>
        <v>0</v>
      </c>
      <c r="K4" s="370">
        <f t="shared" si="1"/>
        <v>247082</v>
      </c>
      <c r="L4" s="370">
        <f t="shared" si="1"/>
        <v>0</v>
      </c>
      <c r="M4" s="370">
        <f t="shared" si="1"/>
        <v>0</v>
      </c>
      <c r="N4" s="370">
        <f t="shared" si="1"/>
        <v>0</v>
      </c>
      <c r="O4" s="370">
        <f t="shared" si="1"/>
        <v>99864832</v>
      </c>
      <c r="P4" s="370">
        <f t="shared" si="1"/>
        <v>0</v>
      </c>
      <c r="Q4" s="370">
        <f t="shared" si="1"/>
        <v>1000112</v>
      </c>
      <c r="R4" s="370">
        <f t="shared" si="1"/>
        <v>78438</v>
      </c>
      <c r="S4" s="370">
        <f>SUM(S5:S6)</f>
        <v>278750</v>
      </c>
      <c r="T4" s="370">
        <f>SUM(T5:T6)</f>
        <v>0</v>
      </c>
      <c r="U4" s="370">
        <f>SUM(U5:U6)</f>
        <v>25000</v>
      </c>
      <c r="V4" s="370">
        <f>SUM(V5:V6)</f>
        <v>0</v>
      </c>
    </row>
    <row r="5" spans="1:28" x14ac:dyDescent="0.3">
      <c r="A5" s="372"/>
      <c r="B5" s="373" t="s">
        <v>795</v>
      </c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</row>
    <row r="6" spans="1:28" x14ac:dyDescent="0.3">
      <c r="A6" s="372"/>
      <c r="B6" s="373" t="s">
        <v>796</v>
      </c>
      <c r="C6" s="489">
        <v>93659888</v>
      </c>
      <c r="D6" s="375">
        <v>19778433</v>
      </c>
      <c r="E6" s="374">
        <v>91017924</v>
      </c>
      <c r="F6" s="374">
        <v>912604</v>
      </c>
      <c r="G6" s="374">
        <v>430996</v>
      </c>
      <c r="H6" s="374">
        <v>82665</v>
      </c>
      <c r="I6" s="374">
        <v>358750</v>
      </c>
      <c r="J6" s="374">
        <v>0</v>
      </c>
      <c r="K6" s="374">
        <v>247082</v>
      </c>
      <c r="L6" s="374">
        <v>0</v>
      </c>
      <c r="M6" s="374"/>
      <c r="N6" s="374"/>
      <c r="O6" s="375">
        <v>99864832</v>
      </c>
      <c r="P6" s="375">
        <v>0</v>
      </c>
      <c r="Q6" s="374">
        <v>1000112</v>
      </c>
      <c r="R6" s="374">
        <v>78438</v>
      </c>
      <c r="S6" s="374">
        <v>278750</v>
      </c>
      <c r="T6" s="374">
        <v>0</v>
      </c>
      <c r="U6" s="374">
        <v>25000</v>
      </c>
      <c r="V6" s="374">
        <v>0</v>
      </c>
    </row>
    <row r="7" spans="1:28" x14ac:dyDescent="0.3">
      <c r="A7" s="371"/>
      <c r="B7" s="371" t="s">
        <v>797</v>
      </c>
      <c r="C7" s="370">
        <f>+C8+C13+C18+C23+C28</f>
        <v>26025738517</v>
      </c>
      <c r="D7" s="370">
        <f>+D8+D13+D18+D23+D28</f>
        <v>20626083870</v>
      </c>
      <c r="E7" s="370">
        <f t="shared" ref="E7:R7" si="2">+E8+E13+E18+E23+E28</f>
        <v>103795103</v>
      </c>
      <c r="F7" s="370">
        <f t="shared" si="2"/>
        <v>15939094</v>
      </c>
      <c r="G7" s="370">
        <f t="shared" si="2"/>
        <v>12649105</v>
      </c>
      <c r="H7" s="370">
        <f t="shared" si="2"/>
        <v>4873486</v>
      </c>
      <c r="I7" s="370">
        <f t="shared" si="2"/>
        <v>59297368</v>
      </c>
      <c r="J7" s="370">
        <f t="shared" si="2"/>
        <v>724549</v>
      </c>
      <c r="K7" s="370">
        <f t="shared" si="2"/>
        <v>18585895</v>
      </c>
      <c r="L7" s="370">
        <f t="shared" si="2"/>
        <v>3493060</v>
      </c>
      <c r="M7" s="370">
        <f t="shared" si="2"/>
        <v>6259829</v>
      </c>
      <c r="N7" s="370">
        <f t="shared" si="2"/>
        <v>14647</v>
      </c>
      <c r="O7" s="370">
        <f t="shared" si="2"/>
        <v>7770681</v>
      </c>
      <c r="P7" s="370">
        <f t="shared" si="2"/>
        <v>685527</v>
      </c>
      <c r="Q7" s="370">
        <f t="shared" si="2"/>
        <v>42672753</v>
      </c>
      <c r="R7" s="370">
        <f t="shared" si="2"/>
        <v>3392001</v>
      </c>
      <c r="S7" s="370">
        <f>+S8+S13+S18+S23+S28</f>
        <v>25633023</v>
      </c>
      <c r="T7" s="370">
        <f>+T8+T13+T18+T23+T28</f>
        <v>4275087</v>
      </c>
      <c r="U7" s="370">
        <f>+U8+U13+U18+U23+U28</f>
        <v>53091218</v>
      </c>
      <c r="V7" s="370">
        <f>+V8+V13+V18+V23+V28</f>
        <v>3667980</v>
      </c>
    </row>
    <row r="8" spans="1:28" ht="28.8" x14ac:dyDescent="0.3">
      <c r="A8" s="372"/>
      <c r="B8" s="442" t="s">
        <v>798</v>
      </c>
      <c r="C8" s="374">
        <f>SUM(C9:C12)</f>
        <v>24457019792</v>
      </c>
      <c r="D8" s="374">
        <f>SUM(D9:D12)</f>
        <v>19345897368</v>
      </c>
      <c r="E8" s="374">
        <f t="shared" ref="E8:R8" si="3">SUM(E9:E12)</f>
        <v>0</v>
      </c>
      <c r="F8" s="374">
        <f t="shared" si="3"/>
        <v>0</v>
      </c>
      <c r="G8" s="374">
        <f t="shared" si="3"/>
        <v>0</v>
      </c>
      <c r="H8" s="374">
        <f t="shared" si="3"/>
        <v>0</v>
      </c>
      <c r="I8" s="374">
        <f t="shared" si="3"/>
        <v>0</v>
      </c>
      <c r="J8" s="374">
        <f t="shared" si="3"/>
        <v>0</v>
      </c>
      <c r="K8" s="374">
        <f t="shared" si="3"/>
        <v>0</v>
      </c>
      <c r="L8" s="374">
        <f t="shared" si="3"/>
        <v>0</v>
      </c>
      <c r="M8" s="374">
        <f t="shared" si="3"/>
        <v>0</v>
      </c>
      <c r="N8" s="374">
        <f t="shared" si="3"/>
        <v>0</v>
      </c>
      <c r="O8" s="374">
        <f t="shared" si="3"/>
        <v>0</v>
      </c>
      <c r="P8" s="374">
        <f t="shared" si="3"/>
        <v>0</v>
      </c>
      <c r="Q8" s="374">
        <f t="shared" si="3"/>
        <v>0</v>
      </c>
      <c r="R8" s="374">
        <f t="shared" si="3"/>
        <v>0</v>
      </c>
      <c r="S8" s="374">
        <f>SUM(S9:S12)</f>
        <v>0</v>
      </c>
      <c r="T8" s="374">
        <f>SUM(T9:T12)</f>
        <v>0</v>
      </c>
      <c r="U8" s="374">
        <f>SUM(U9:U12)</f>
        <v>0</v>
      </c>
      <c r="V8" s="374">
        <f>SUM(V9:V12)</f>
        <v>0</v>
      </c>
    </row>
    <row r="9" spans="1:28" ht="28.8" x14ac:dyDescent="0.3">
      <c r="A9" s="372"/>
      <c r="B9" s="373" t="s">
        <v>799</v>
      </c>
      <c r="C9" s="374">
        <v>16784374973</v>
      </c>
      <c r="D9" s="374">
        <v>13580272763</v>
      </c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</row>
    <row r="10" spans="1:28" ht="28.8" x14ac:dyDescent="0.3">
      <c r="A10" s="372"/>
      <c r="B10" s="373" t="s">
        <v>800</v>
      </c>
      <c r="C10" s="374">
        <v>614386741</v>
      </c>
      <c r="D10" s="374">
        <v>596770432</v>
      </c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</row>
    <row r="11" spans="1:28" ht="28.8" x14ac:dyDescent="0.3">
      <c r="A11" s="372"/>
      <c r="B11" s="373" t="s">
        <v>801</v>
      </c>
      <c r="C11" s="374">
        <v>6023779917</v>
      </c>
      <c r="D11" s="374">
        <v>4157111888</v>
      </c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</row>
    <row r="12" spans="1:28" ht="28.8" x14ac:dyDescent="0.3">
      <c r="A12" s="372"/>
      <c r="B12" s="373" t="s">
        <v>802</v>
      </c>
      <c r="C12" s="374">
        <v>1034478161</v>
      </c>
      <c r="D12" s="374">
        <f>1010003122+1739163</f>
        <v>1011742285</v>
      </c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</row>
    <row r="13" spans="1:28" ht="28.8" x14ac:dyDescent="0.3">
      <c r="A13" s="372"/>
      <c r="B13" s="371" t="s">
        <v>803</v>
      </c>
      <c r="C13" s="374">
        <f>SUM(C14:C17)</f>
        <v>676820438</v>
      </c>
      <c r="D13" s="374">
        <f t="shared" ref="D13:R13" si="4">SUM(D14:D17)</f>
        <v>352288215</v>
      </c>
      <c r="E13" s="374">
        <f t="shared" si="4"/>
        <v>103795103</v>
      </c>
      <c r="F13" s="374">
        <f t="shared" si="4"/>
        <v>15939094</v>
      </c>
      <c r="G13" s="374">
        <f t="shared" si="4"/>
        <v>12649105</v>
      </c>
      <c r="H13" s="374">
        <f t="shared" si="4"/>
        <v>4873486</v>
      </c>
      <c r="I13" s="374">
        <f t="shared" si="4"/>
        <v>59297368</v>
      </c>
      <c r="J13" s="374">
        <f t="shared" si="4"/>
        <v>724549</v>
      </c>
      <c r="K13" s="374">
        <f t="shared" si="4"/>
        <v>18585895</v>
      </c>
      <c r="L13" s="374">
        <f t="shared" si="4"/>
        <v>3493060</v>
      </c>
      <c r="M13" s="374">
        <f t="shared" si="4"/>
        <v>6259829</v>
      </c>
      <c r="N13" s="374">
        <f t="shared" si="4"/>
        <v>14647</v>
      </c>
      <c r="O13" s="374">
        <f t="shared" si="4"/>
        <v>7770681</v>
      </c>
      <c r="P13" s="374">
        <f t="shared" si="4"/>
        <v>685527</v>
      </c>
      <c r="Q13" s="374">
        <f t="shared" si="4"/>
        <v>42672753</v>
      </c>
      <c r="R13" s="374">
        <f t="shared" si="4"/>
        <v>3392001</v>
      </c>
      <c r="S13" s="374">
        <f>SUM(S14:S17)</f>
        <v>25633023</v>
      </c>
      <c r="T13" s="374">
        <f>SUM(T14:T17)</f>
        <v>4275087</v>
      </c>
      <c r="U13" s="374">
        <f>SUM(U14:U17)</f>
        <v>53091218</v>
      </c>
      <c r="V13" s="374">
        <f>SUM(V14:V17)</f>
        <v>3667980</v>
      </c>
    </row>
    <row r="14" spans="1:28" ht="28.8" x14ac:dyDescent="0.3">
      <c r="A14" s="372"/>
      <c r="B14" s="376" t="s">
        <v>804</v>
      </c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</row>
    <row r="15" spans="1:28" ht="28.8" x14ac:dyDescent="0.3">
      <c r="A15" s="372"/>
      <c r="B15" s="376" t="s">
        <v>805</v>
      </c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Z15" s="377"/>
      <c r="AB15" s="377"/>
    </row>
    <row r="16" spans="1:28" ht="28.8" x14ac:dyDescent="0.3">
      <c r="A16" s="372"/>
      <c r="B16" s="376" t="s">
        <v>806</v>
      </c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</row>
    <row r="17" spans="1:22" ht="28.8" x14ac:dyDescent="0.3">
      <c r="A17" s="372"/>
      <c r="B17" s="376" t="s">
        <v>807</v>
      </c>
      <c r="C17" s="374">
        <v>676820438</v>
      </c>
      <c r="D17" s="374">
        <v>352288215</v>
      </c>
      <c r="E17" s="374">
        <v>103795103</v>
      </c>
      <c r="F17" s="374">
        <v>15939094</v>
      </c>
      <c r="G17" s="374">
        <v>12649105</v>
      </c>
      <c r="H17" s="374">
        <v>4873486</v>
      </c>
      <c r="I17" s="374">
        <v>59297368</v>
      </c>
      <c r="J17" s="374">
        <v>724549</v>
      </c>
      <c r="K17" s="374">
        <v>18585895</v>
      </c>
      <c r="L17" s="374">
        <v>3493060</v>
      </c>
      <c r="M17" s="374">
        <v>6259829</v>
      </c>
      <c r="N17" s="374">
        <v>14647</v>
      </c>
      <c r="O17" s="374">
        <v>7770681</v>
      </c>
      <c r="P17" s="374">
        <v>685527</v>
      </c>
      <c r="Q17" s="374">
        <v>42672753</v>
      </c>
      <c r="R17" s="374">
        <v>3392001</v>
      </c>
      <c r="S17" s="374">
        <v>25633023</v>
      </c>
      <c r="T17" s="374">
        <v>4275087</v>
      </c>
      <c r="U17" s="374">
        <v>53091218</v>
      </c>
      <c r="V17" s="374">
        <v>3667980</v>
      </c>
    </row>
    <row r="18" spans="1:22" x14ac:dyDescent="0.3">
      <c r="A18" s="372"/>
      <c r="B18" s="371" t="s">
        <v>808</v>
      </c>
      <c r="C18" s="374">
        <f>SUM(C19:C22)</f>
        <v>0</v>
      </c>
      <c r="D18" s="374">
        <f t="shared" ref="D18:R18" si="5">SUM(D19:D22)</f>
        <v>0</v>
      </c>
      <c r="E18" s="374">
        <f t="shared" si="5"/>
        <v>0</v>
      </c>
      <c r="F18" s="374">
        <f t="shared" si="5"/>
        <v>0</v>
      </c>
      <c r="G18" s="374">
        <f t="shared" si="5"/>
        <v>0</v>
      </c>
      <c r="H18" s="374">
        <f t="shared" si="5"/>
        <v>0</v>
      </c>
      <c r="I18" s="374">
        <f t="shared" si="5"/>
        <v>0</v>
      </c>
      <c r="J18" s="374">
        <f t="shared" si="5"/>
        <v>0</v>
      </c>
      <c r="K18" s="374">
        <f t="shared" si="5"/>
        <v>0</v>
      </c>
      <c r="L18" s="374">
        <f t="shared" si="5"/>
        <v>0</v>
      </c>
      <c r="M18" s="374">
        <f t="shared" si="5"/>
        <v>0</v>
      </c>
      <c r="N18" s="374">
        <f t="shared" si="5"/>
        <v>0</v>
      </c>
      <c r="O18" s="374">
        <f t="shared" si="5"/>
        <v>0</v>
      </c>
      <c r="P18" s="374">
        <f t="shared" si="5"/>
        <v>0</v>
      </c>
      <c r="Q18" s="374">
        <f t="shared" si="5"/>
        <v>0</v>
      </c>
      <c r="R18" s="374">
        <f t="shared" si="5"/>
        <v>0</v>
      </c>
      <c r="S18" s="374">
        <f>SUM(S19:S22)</f>
        <v>0</v>
      </c>
      <c r="T18" s="374">
        <f>SUM(T19:T22)</f>
        <v>0</v>
      </c>
      <c r="U18" s="374">
        <f>SUM(U19:U22)</f>
        <v>0</v>
      </c>
      <c r="V18" s="374">
        <f>SUM(V19:V22)</f>
        <v>0</v>
      </c>
    </row>
    <row r="19" spans="1:22" x14ac:dyDescent="0.3">
      <c r="A19" s="372"/>
      <c r="B19" s="376" t="s">
        <v>809</v>
      </c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</row>
    <row r="20" spans="1:22" ht="28.8" x14ac:dyDescent="0.3">
      <c r="A20" s="372"/>
      <c r="B20" s="376" t="s">
        <v>810</v>
      </c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</row>
    <row r="21" spans="1:22" x14ac:dyDescent="0.3">
      <c r="A21" s="372"/>
      <c r="B21" s="376" t="s">
        <v>811</v>
      </c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</row>
    <row r="22" spans="1:22" x14ac:dyDescent="0.3">
      <c r="A22" s="372"/>
      <c r="B22" s="376" t="s">
        <v>812</v>
      </c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</row>
    <row r="23" spans="1:22" x14ac:dyDescent="0.3">
      <c r="A23" s="372"/>
      <c r="B23" s="371" t="s">
        <v>813</v>
      </c>
      <c r="C23" s="374">
        <f>SUM(C24:C27)</f>
        <v>343375550</v>
      </c>
      <c r="D23" s="374">
        <f t="shared" ref="D23:R23" si="6">SUM(D24:D27)</f>
        <v>343375550</v>
      </c>
      <c r="E23" s="374">
        <f t="shared" si="6"/>
        <v>0</v>
      </c>
      <c r="F23" s="374">
        <f t="shared" si="6"/>
        <v>0</v>
      </c>
      <c r="G23" s="374">
        <f t="shared" si="6"/>
        <v>0</v>
      </c>
      <c r="H23" s="374">
        <f t="shared" si="6"/>
        <v>0</v>
      </c>
      <c r="I23" s="374">
        <f t="shared" si="6"/>
        <v>0</v>
      </c>
      <c r="J23" s="374">
        <f t="shared" si="6"/>
        <v>0</v>
      </c>
      <c r="K23" s="374">
        <f t="shared" si="6"/>
        <v>0</v>
      </c>
      <c r="L23" s="374">
        <f t="shared" si="6"/>
        <v>0</v>
      </c>
      <c r="M23" s="374">
        <f t="shared" si="6"/>
        <v>0</v>
      </c>
      <c r="N23" s="374">
        <f t="shared" si="6"/>
        <v>0</v>
      </c>
      <c r="O23" s="374">
        <f t="shared" si="6"/>
        <v>0</v>
      </c>
      <c r="P23" s="374">
        <f t="shared" si="6"/>
        <v>0</v>
      </c>
      <c r="Q23" s="374">
        <f t="shared" si="6"/>
        <v>0</v>
      </c>
      <c r="R23" s="374">
        <f t="shared" si="6"/>
        <v>0</v>
      </c>
      <c r="S23" s="374">
        <f>SUM(S24:S27)</f>
        <v>0</v>
      </c>
      <c r="T23" s="374">
        <f>SUM(T24:T27)</f>
        <v>0</v>
      </c>
      <c r="U23" s="374">
        <f>SUM(U24:U27)</f>
        <v>0</v>
      </c>
      <c r="V23" s="374">
        <f>SUM(V24:V27)</f>
        <v>0</v>
      </c>
    </row>
    <row r="24" spans="1:22" x14ac:dyDescent="0.3">
      <c r="A24" s="372"/>
      <c r="B24" s="376" t="s">
        <v>814</v>
      </c>
      <c r="C24" s="374">
        <v>343375550</v>
      </c>
      <c r="D24" s="374">
        <v>343375550</v>
      </c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</row>
    <row r="25" spans="1:22" ht="28.8" x14ac:dyDescent="0.3">
      <c r="A25" s="372"/>
      <c r="B25" s="376" t="s">
        <v>815</v>
      </c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</row>
    <row r="26" spans="1:22" ht="28.8" x14ac:dyDescent="0.3">
      <c r="A26" s="372"/>
      <c r="B26" s="376" t="s">
        <v>816</v>
      </c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</row>
    <row r="27" spans="1:22" x14ac:dyDescent="0.3">
      <c r="A27" s="372"/>
      <c r="B27" s="376" t="s">
        <v>817</v>
      </c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</row>
    <row r="28" spans="1:22" x14ac:dyDescent="0.3">
      <c r="A28" s="372"/>
      <c r="B28" s="371" t="s">
        <v>818</v>
      </c>
      <c r="C28" s="374">
        <f>SUM(C29:C32)</f>
        <v>548522737</v>
      </c>
      <c r="D28" s="374">
        <f t="shared" ref="D28:R28" si="7">SUM(D29:D32)</f>
        <v>584522737</v>
      </c>
      <c r="E28" s="374">
        <f t="shared" si="7"/>
        <v>0</v>
      </c>
      <c r="F28" s="374">
        <f t="shared" si="7"/>
        <v>0</v>
      </c>
      <c r="G28" s="374">
        <f t="shared" si="7"/>
        <v>0</v>
      </c>
      <c r="H28" s="374">
        <f t="shared" si="7"/>
        <v>0</v>
      </c>
      <c r="I28" s="374">
        <f t="shared" si="7"/>
        <v>0</v>
      </c>
      <c r="J28" s="374">
        <f t="shared" si="7"/>
        <v>0</v>
      </c>
      <c r="K28" s="374">
        <f t="shared" si="7"/>
        <v>0</v>
      </c>
      <c r="L28" s="374">
        <f t="shared" si="7"/>
        <v>0</v>
      </c>
      <c r="M28" s="374">
        <f t="shared" si="7"/>
        <v>0</v>
      </c>
      <c r="N28" s="374">
        <f t="shared" si="7"/>
        <v>0</v>
      </c>
      <c r="O28" s="374">
        <f t="shared" si="7"/>
        <v>0</v>
      </c>
      <c r="P28" s="374">
        <f t="shared" si="7"/>
        <v>0</v>
      </c>
      <c r="Q28" s="374">
        <f t="shared" si="7"/>
        <v>0</v>
      </c>
      <c r="R28" s="374">
        <f t="shared" si="7"/>
        <v>0</v>
      </c>
      <c r="S28" s="374">
        <f>SUM(S29:S32)</f>
        <v>0</v>
      </c>
      <c r="T28" s="374">
        <f>SUM(T29:T32)</f>
        <v>0</v>
      </c>
      <c r="U28" s="374">
        <f>SUM(U29:U32)</f>
        <v>0</v>
      </c>
      <c r="V28" s="374">
        <f>SUM(V29:V32)</f>
        <v>0</v>
      </c>
    </row>
    <row r="29" spans="1:22" x14ac:dyDescent="0.3">
      <c r="A29" s="372"/>
      <c r="B29" s="376" t="s">
        <v>819</v>
      </c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</row>
    <row r="30" spans="1:22" ht="28.8" x14ac:dyDescent="0.3">
      <c r="A30" s="372"/>
      <c r="B30" s="376" t="s">
        <v>820</v>
      </c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</row>
    <row r="31" spans="1:22" ht="28.8" x14ac:dyDescent="0.3">
      <c r="A31" s="372"/>
      <c r="B31" s="376" t="s">
        <v>821</v>
      </c>
      <c r="C31" s="374">
        <v>548522737</v>
      </c>
      <c r="D31" s="374">
        <v>584522737</v>
      </c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</row>
    <row r="32" spans="1:22" ht="28.8" x14ac:dyDescent="0.3">
      <c r="A32" s="372"/>
      <c r="B32" s="376" t="s">
        <v>822</v>
      </c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</row>
    <row r="33" spans="1:22" x14ac:dyDescent="0.3">
      <c r="A33" s="371"/>
      <c r="B33" s="378" t="s">
        <v>823</v>
      </c>
      <c r="C33" s="370">
        <f>SUM(C34,C39,C44)</f>
        <v>404033200</v>
      </c>
      <c r="D33" s="370">
        <f t="shared" ref="D33:R33" si="8">SUM(D34,D39,D44)</f>
        <v>237713200</v>
      </c>
      <c r="E33" s="370">
        <f t="shared" si="8"/>
        <v>0</v>
      </c>
      <c r="F33" s="370">
        <f t="shared" si="8"/>
        <v>0</v>
      </c>
      <c r="G33" s="370">
        <f t="shared" si="8"/>
        <v>0</v>
      </c>
      <c r="H33" s="370">
        <f t="shared" si="8"/>
        <v>0</v>
      </c>
      <c r="I33" s="370">
        <f t="shared" si="8"/>
        <v>0</v>
      </c>
      <c r="J33" s="370">
        <f t="shared" si="8"/>
        <v>0</v>
      </c>
      <c r="K33" s="370">
        <f t="shared" si="8"/>
        <v>0</v>
      </c>
      <c r="L33" s="370">
        <f t="shared" si="8"/>
        <v>0</v>
      </c>
      <c r="M33" s="370">
        <f t="shared" si="8"/>
        <v>0</v>
      </c>
      <c r="N33" s="370">
        <f t="shared" si="8"/>
        <v>0</v>
      </c>
      <c r="O33" s="370">
        <f t="shared" si="8"/>
        <v>0</v>
      </c>
      <c r="P33" s="370">
        <f t="shared" si="8"/>
        <v>0</v>
      </c>
      <c r="Q33" s="370">
        <f t="shared" si="8"/>
        <v>0</v>
      </c>
      <c r="R33" s="370">
        <f t="shared" si="8"/>
        <v>0</v>
      </c>
      <c r="S33" s="370">
        <f>SUM(S34,S39,S44)</f>
        <v>0</v>
      </c>
      <c r="T33" s="370">
        <f>SUM(T34,T39,T44)</f>
        <v>0</v>
      </c>
      <c r="U33" s="370">
        <f>SUM(U34,U39,U44)</f>
        <v>0</v>
      </c>
      <c r="V33" s="370">
        <f>SUM(V34,V39,V44)</f>
        <v>0</v>
      </c>
    </row>
    <row r="34" spans="1:22" x14ac:dyDescent="0.3">
      <c r="A34" s="372"/>
      <c r="B34" s="371" t="s">
        <v>824</v>
      </c>
      <c r="C34" s="374">
        <f>SUM(C35:C38)</f>
        <v>404033200</v>
      </c>
      <c r="D34" s="374">
        <f t="shared" ref="D34:R34" si="9">SUM(D35:D38)</f>
        <v>237713200</v>
      </c>
      <c r="E34" s="374">
        <f t="shared" si="9"/>
        <v>0</v>
      </c>
      <c r="F34" s="374">
        <f t="shared" si="9"/>
        <v>0</v>
      </c>
      <c r="G34" s="374">
        <f t="shared" si="9"/>
        <v>0</v>
      </c>
      <c r="H34" s="374">
        <f t="shared" si="9"/>
        <v>0</v>
      </c>
      <c r="I34" s="374">
        <f t="shared" si="9"/>
        <v>0</v>
      </c>
      <c r="J34" s="374">
        <f t="shared" si="9"/>
        <v>0</v>
      </c>
      <c r="K34" s="374">
        <f t="shared" si="9"/>
        <v>0</v>
      </c>
      <c r="L34" s="374">
        <f t="shared" si="9"/>
        <v>0</v>
      </c>
      <c r="M34" s="374">
        <f t="shared" si="9"/>
        <v>0</v>
      </c>
      <c r="N34" s="374">
        <f t="shared" si="9"/>
        <v>0</v>
      </c>
      <c r="O34" s="374">
        <f t="shared" si="9"/>
        <v>0</v>
      </c>
      <c r="P34" s="374">
        <f t="shared" si="9"/>
        <v>0</v>
      </c>
      <c r="Q34" s="374">
        <f t="shared" si="9"/>
        <v>0</v>
      </c>
      <c r="R34" s="374">
        <f t="shared" si="9"/>
        <v>0</v>
      </c>
      <c r="S34" s="374">
        <f>SUM(S35:S38)</f>
        <v>0</v>
      </c>
      <c r="T34" s="374">
        <f>SUM(T35:T38)</f>
        <v>0</v>
      </c>
      <c r="U34" s="374">
        <f>SUM(U35:U38)</f>
        <v>0</v>
      </c>
      <c r="V34" s="374">
        <f>SUM(V35:V38)</f>
        <v>0</v>
      </c>
    </row>
    <row r="35" spans="1:22" x14ac:dyDescent="0.3">
      <c r="A35" s="372"/>
      <c r="B35" s="376" t="s">
        <v>825</v>
      </c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</row>
    <row r="36" spans="1:22" ht="28.8" x14ac:dyDescent="0.3">
      <c r="A36" s="372"/>
      <c r="B36" s="376" t="s">
        <v>826</v>
      </c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</row>
    <row r="37" spans="1:22" x14ac:dyDescent="0.3">
      <c r="A37" s="372"/>
      <c r="B37" s="376" t="s">
        <v>827</v>
      </c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</row>
    <row r="38" spans="1:22" x14ac:dyDescent="0.3">
      <c r="A38" s="372"/>
      <c r="B38" s="376" t="s">
        <v>828</v>
      </c>
      <c r="C38" s="374">
        <v>404033200</v>
      </c>
      <c r="D38" s="374">
        <v>237713200</v>
      </c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</row>
    <row r="39" spans="1:22" x14ac:dyDescent="0.3">
      <c r="A39" s="372"/>
      <c r="B39" s="371" t="s">
        <v>829</v>
      </c>
      <c r="C39" s="374">
        <f>SUM(C40:C43)</f>
        <v>0</v>
      </c>
      <c r="D39" s="374">
        <f t="shared" ref="D39:R39" si="10">SUM(D40:D43)</f>
        <v>0</v>
      </c>
      <c r="E39" s="374">
        <f t="shared" si="10"/>
        <v>0</v>
      </c>
      <c r="F39" s="374">
        <f t="shared" si="10"/>
        <v>0</v>
      </c>
      <c r="G39" s="374">
        <f t="shared" si="10"/>
        <v>0</v>
      </c>
      <c r="H39" s="374">
        <f t="shared" si="10"/>
        <v>0</v>
      </c>
      <c r="I39" s="374">
        <f t="shared" si="10"/>
        <v>0</v>
      </c>
      <c r="J39" s="374">
        <f t="shared" si="10"/>
        <v>0</v>
      </c>
      <c r="K39" s="374">
        <f t="shared" si="10"/>
        <v>0</v>
      </c>
      <c r="L39" s="374">
        <f t="shared" si="10"/>
        <v>0</v>
      </c>
      <c r="M39" s="374">
        <f t="shared" si="10"/>
        <v>0</v>
      </c>
      <c r="N39" s="374">
        <f t="shared" si="10"/>
        <v>0</v>
      </c>
      <c r="O39" s="374">
        <f t="shared" si="10"/>
        <v>0</v>
      </c>
      <c r="P39" s="374">
        <f t="shared" si="10"/>
        <v>0</v>
      </c>
      <c r="Q39" s="374">
        <f t="shared" si="10"/>
        <v>0</v>
      </c>
      <c r="R39" s="374">
        <f t="shared" si="10"/>
        <v>0</v>
      </c>
      <c r="S39" s="374">
        <f>SUM(S40:S43)</f>
        <v>0</v>
      </c>
      <c r="T39" s="374">
        <f>SUM(T40:T43)</f>
        <v>0</v>
      </c>
      <c r="U39" s="374">
        <f>SUM(U40:U43)</f>
        <v>0</v>
      </c>
      <c r="V39" s="374">
        <f>SUM(V40:V43)</f>
        <v>0</v>
      </c>
    </row>
    <row r="40" spans="1:22" ht="28.8" x14ac:dyDescent="0.3">
      <c r="A40" s="372"/>
      <c r="B40" s="376" t="s">
        <v>830</v>
      </c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</row>
    <row r="41" spans="1:22" ht="28.8" x14ac:dyDescent="0.3">
      <c r="A41" s="372"/>
      <c r="B41" s="376" t="s">
        <v>831</v>
      </c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</row>
    <row r="42" spans="1:22" ht="28.8" x14ac:dyDescent="0.3">
      <c r="A42" s="372"/>
      <c r="B42" s="376" t="s">
        <v>832</v>
      </c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</row>
    <row r="43" spans="1:22" ht="28.8" x14ac:dyDescent="0.3">
      <c r="A43" s="372"/>
      <c r="B43" s="376" t="s">
        <v>833</v>
      </c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</row>
    <row r="44" spans="1:22" ht="28.8" x14ac:dyDescent="0.3">
      <c r="A44" s="372"/>
      <c r="B44" s="371" t="s">
        <v>834</v>
      </c>
      <c r="C44" s="374">
        <f>SUM(C45:C48)</f>
        <v>0</v>
      </c>
      <c r="D44" s="374">
        <f t="shared" ref="D44:R44" si="11">SUM(D45:D48)</f>
        <v>0</v>
      </c>
      <c r="E44" s="374">
        <f t="shared" si="11"/>
        <v>0</v>
      </c>
      <c r="F44" s="374">
        <f t="shared" si="11"/>
        <v>0</v>
      </c>
      <c r="G44" s="374">
        <f t="shared" si="11"/>
        <v>0</v>
      </c>
      <c r="H44" s="374">
        <f t="shared" si="11"/>
        <v>0</v>
      </c>
      <c r="I44" s="374">
        <f t="shared" si="11"/>
        <v>0</v>
      </c>
      <c r="J44" s="374">
        <f t="shared" si="11"/>
        <v>0</v>
      </c>
      <c r="K44" s="374">
        <f t="shared" si="11"/>
        <v>0</v>
      </c>
      <c r="L44" s="374">
        <f t="shared" si="11"/>
        <v>0</v>
      </c>
      <c r="M44" s="374">
        <f t="shared" si="11"/>
        <v>0</v>
      </c>
      <c r="N44" s="374">
        <f t="shared" si="11"/>
        <v>0</v>
      </c>
      <c r="O44" s="374">
        <f t="shared" si="11"/>
        <v>0</v>
      </c>
      <c r="P44" s="374">
        <f t="shared" si="11"/>
        <v>0</v>
      </c>
      <c r="Q44" s="374">
        <f t="shared" si="11"/>
        <v>0</v>
      </c>
      <c r="R44" s="374">
        <f t="shared" si="11"/>
        <v>0</v>
      </c>
      <c r="S44" s="374">
        <f>SUM(S45:S48)</f>
        <v>0</v>
      </c>
      <c r="T44" s="374">
        <f>SUM(T45:T48)</f>
        <v>0</v>
      </c>
      <c r="U44" s="374">
        <f>SUM(U45:U48)</f>
        <v>0</v>
      </c>
      <c r="V44" s="374">
        <f>SUM(V45:V48)</f>
        <v>0</v>
      </c>
    </row>
    <row r="45" spans="1:22" ht="28.8" x14ac:dyDescent="0.3">
      <c r="A45" s="372"/>
      <c r="B45" s="376" t="s">
        <v>835</v>
      </c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</row>
    <row r="46" spans="1:22" ht="28.8" x14ac:dyDescent="0.3">
      <c r="A46" s="372"/>
      <c r="B46" s="376" t="s">
        <v>836</v>
      </c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</row>
    <row r="47" spans="1:22" ht="28.8" x14ac:dyDescent="0.3">
      <c r="A47" s="372"/>
      <c r="B47" s="376" t="s">
        <v>837</v>
      </c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</row>
    <row r="48" spans="1:22" ht="28.8" x14ac:dyDescent="0.3">
      <c r="A48" s="372"/>
      <c r="B48" s="376" t="s">
        <v>838</v>
      </c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</row>
    <row r="49" spans="1:22" ht="28.8" x14ac:dyDescent="0.3">
      <c r="A49" s="371"/>
      <c r="B49" s="378" t="s">
        <v>839</v>
      </c>
      <c r="C49" s="370">
        <f>SUM(C50:C53)</f>
        <v>429907660</v>
      </c>
      <c r="D49" s="370">
        <f t="shared" ref="D49:R49" si="12">SUM(D50:D53)</f>
        <v>378259378</v>
      </c>
      <c r="E49" s="370">
        <f t="shared" si="12"/>
        <v>0</v>
      </c>
      <c r="F49" s="370">
        <f t="shared" si="12"/>
        <v>0</v>
      </c>
      <c r="G49" s="370">
        <f t="shared" si="12"/>
        <v>0</v>
      </c>
      <c r="H49" s="370">
        <f t="shared" si="12"/>
        <v>0</v>
      </c>
      <c r="I49" s="370">
        <f t="shared" si="12"/>
        <v>0</v>
      </c>
      <c r="J49" s="370">
        <f t="shared" si="12"/>
        <v>0</v>
      </c>
      <c r="K49" s="370">
        <f t="shared" si="12"/>
        <v>0</v>
      </c>
      <c r="L49" s="370">
        <f t="shared" si="12"/>
        <v>0</v>
      </c>
      <c r="M49" s="370">
        <f t="shared" si="12"/>
        <v>0</v>
      </c>
      <c r="N49" s="370">
        <f t="shared" si="12"/>
        <v>0</v>
      </c>
      <c r="O49" s="370">
        <f t="shared" si="12"/>
        <v>0</v>
      </c>
      <c r="P49" s="370">
        <f t="shared" si="12"/>
        <v>0</v>
      </c>
      <c r="Q49" s="370">
        <f t="shared" si="12"/>
        <v>0</v>
      </c>
      <c r="R49" s="370">
        <f t="shared" si="12"/>
        <v>0</v>
      </c>
      <c r="S49" s="370">
        <f>SUM(S50:S53)</f>
        <v>0</v>
      </c>
      <c r="T49" s="370">
        <f>SUM(T50:T53)</f>
        <v>0</v>
      </c>
      <c r="U49" s="370">
        <f>SUM(U50:U53)</f>
        <v>0</v>
      </c>
      <c r="V49" s="370">
        <f>SUM(V50:V53)</f>
        <v>0</v>
      </c>
    </row>
    <row r="50" spans="1:22" ht="28.8" x14ac:dyDescent="0.3">
      <c r="A50" s="372"/>
      <c r="B50" s="372" t="s">
        <v>840</v>
      </c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</row>
    <row r="51" spans="1:22" ht="43.2" x14ac:dyDescent="0.3">
      <c r="A51" s="372"/>
      <c r="B51" s="372" t="s">
        <v>841</v>
      </c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</row>
    <row r="52" spans="1:22" ht="28.8" x14ac:dyDescent="0.3">
      <c r="A52" s="372"/>
      <c r="B52" s="372" t="s">
        <v>842</v>
      </c>
      <c r="C52" s="490">
        <v>429907660</v>
      </c>
      <c r="D52" s="374">
        <v>378259378</v>
      </c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</row>
    <row r="53" spans="1:22" ht="28.8" x14ac:dyDescent="0.3">
      <c r="A53" s="372"/>
      <c r="B53" s="372" t="s">
        <v>843</v>
      </c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</row>
    <row r="54" spans="1:22" ht="31.2" customHeight="1" x14ac:dyDescent="0.3">
      <c r="A54" s="833" t="s">
        <v>844</v>
      </c>
      <c r="B54" s="833"/>
      <c r="C54" s="370">
        <f>SUM(C55:C56)</f>
        <v>652872</v>
      </c>
      <c r="D54" s="370">
        <f t="shared" ref="D54:R54" si="13">SUM(D55:D56)</f>
        <v>652872</v>
      </c>
      <c r="E54" s="370">
        <f t="shared" si="13"/>
        <v>1257077</v>
      </c>
      <c r="F54" s="370">
        <f t="shared" si="13"/>
        <v>1257077</v>
      </c>
      <c r="G54" s="370">
        <f t="shared" si="13"/>
        <v>306308</v>
      </c>
      <c r="H54" s="370">
        <f t="shared" si="13"/>
        <v>306308</v>
      </c>
      <c r="I54" s="370">
        <f t="shared" si="13"/>
        <v>409537</v>
      </c>
      <c r="J54" s="370">
        <f t="shared" si="13"/>
        <v>409537</v>
      </c>
      <c r="K54" s="370">
        <f t="shared" si="13"/>
        <v>246025</v>
      </c>
      <c r="L54" s="370">
        <f t="shared" si="13"/>
        <v>246025</v>
      </c>
      <c r="M54" s="370">
        <f t="shared" si="13"/>
        <v>86795</v>
      </c>
      <c r="N54" s="370">
        <f t="shared" si="13"/>
        <v>86795</v>
      </c>
      <c r="O54" s="370">
        <f t="shared" si="13"/>
        <v>593386</v>
      </c>
      <c r="P54" s="370">
        <f t="shared" si="13"/>
        <v>593386</v>
      </c>
      <c r="Q54" s="370">
        <f t="shared" si="13"/>
        <v>235511</v>
      </c>
      <c r="R54" s="370">
        <f t="shared" si="13"/>
        <v>235511</v>
      </c>
      <c r="S54" s="370">
        <f>SUM(S55:S56)</f>
        <v>250481</v>
      </c>
      <c r="T54" s="370">
        <f>SUM(T55:T56)</f>
        <v>250481</v>
      </c>
      <c r="U54" s="370">
        <f>SUM(U55:U56)</f>
        <v>9973</v>
      </c>
      <c r="V54" s="370">
        <f>SUM(V55:V56)</f>
        <v>9973</v>
      </c>
    </row>
    <row r="55" spans="1:22" x14ac:dyDescent="0.3">
      <c r="A55" s="371"/>
      <c r="B55" s="371" t="s">
        <v>845</v>
      </c>
      <c r="C55" s="374">
        <v>652872</v>
      </c>
      <c r="D55" s="374">
        <v>652872</v>
      </c>
      <c r="E55" s="374">
        <v>1257077</v>
      </c>
      <c r="F55" s="374">
        <v>1257077</v>
      </c>
      <c r="G55" s="374">
        <v>306308</v>
      </c>
      <c r="H55" s="374">
        <v>306308</v>
      </c>
      <c r="I55" s="374">
        <v>409537</v>
      </c>
      <c r="J55" s="374">
        <v>409537</v>
      </c>
      <c r="K55" s="374">
        <v>246025</v>
      </c>
      <c r="L55" s="374">
        <v>246025</v>
      </c>
      <c r="M55" s="374">
        <v>86795</v>
      </c>
      <c r="N55" s="374">
        <v>86795</v>
      </c>
      <c r="O55" s="374">
        <v>593386</v>
      </c>
      <c r="P55" s="374">
        <v>593386</v>
      </c>
      <c r="Q55" s="374">
        <v>235511</v>
      </c>
      <c r="R55" s="374">
        <v>235511</v>
      </c>
      <c r="S55" s="374">
        <v>250481</v>
      </c>
      <c r="T55" s="374">
        <v>250481</v>
      </c>
      <c r="U55" s="374">
        <v>9973</v>
      </c>
      <c r="V55" s="374">
        <v>9973</v>
      </c>
    </row>
    <row r="56" spans="1:22" x14ac:dyDescent="0.3">
      <c r="A56" s="371"/>
      <c r="B56" s="371" t="s">
        <v>846</v>
      </c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</row>
    <row r="57" spans="1:22" x14ac:dyDescent="0.3">
      <c r="A57" s="833" t="s">
        <v>847</v>
      </c>
      <c r="B57" s="833"/>
      <c r="C57" s="370">
        <f>SUM(C58:C62)</f>
        <v>2198210261</v>
      </c>
      <c r="D57" s="370">
        <f t="shared" ref="D57:R57" si="14">SUM(D58:D62)</f>
        <v>2198210261</v>
      </c>
      <c r="E57" s="370">
        <f t="shared" si="14"/>
        <v>43303619</v>
      </c>
      <c r="F57" s="370">
        <f t="shared" si="14"/>
        <v>43303619</v>
      </c>
      <c r="G57" s="370">
        <f t="shared" si="14"/>
        <v>21987325</v>
      </c>
      <c r="H57" s="370">
        <f t="shared" si="14"/>
        <v>21987325</v>
      </c>
      <c r="I57" s="370">
        <f t="shared" si="14"/>
        <v>22397088</v>
      </c>
      <c r="J57" s="370">
        <f t="shared" si="14"/>
        <v>22397088</v>
      </c>
      <c r="K57" s="370">
        <f t="shared" si="14"/>
        <v>15529620</v>
      </c>
      <c r="L57" s="370">
        <f t="shared" si="14"/>
        <v>15529620</v>
      </c>
      <c r="M57" s="370">
        <f t="shared" si="14"/>
        <v>5378121</v>
      </c>
      <c r="N57" s="370">
        <f t="shared" si="14"/>
        <v>5378121</v>
      </c>
      <c r="O57" s="370">
        <f t="shared" si="14"/>
        <v>3242020</v>
      </c>
      <c r="P57" s="370">
        <f t="shared" si="14"/>
        <v>3242020</v>
      </c>
      <c r="Q57" s="370">
        <f t="shared" si="14"/>
        <v>40934933</v>
      </c>
      <c r="R57" s="370">
        <f t="shared" si="14"/>
        <v>40934933</v>
      </c>
      <c r="S57" s="370">
        <f>SUM(S58:S62)</f>
        <v>15263391</v>
      </c>
      <c r="T57" s="370">
        <f>SUM(T58:T62)</f>
        <v>15263391</v>
      </c>
      <c r="U57" s="370">
        <f>SUM(U58:U62)</f>
        <v>7195497</v>
      </c>
      <c r="V57" s="370">
        <f>SUM(V58:V62)</f>
        <v>7195497</v>
      </c>
    </row>
    <row r="58" spans="1:22" x14ac:dyDescent="0.3">
      <c r="A58" s="372"/>
      <c r="B58" s="372" t="s">
        <v>848</v>
      </c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</row>
    <row r="59" spans="1:22" x14ac:dyDescent="0.3">
      <c r="A59" s="372"/>
      <c r="B59" s="372" t="s">
        <v>849</v>
      </c>
      <c r="C59" s="374">
        <v>0</v>
      </c>
      <c r="D59" s="374">
        <v>0</v>
      </c>
      <c r="E59" s="374">
        <v>0</v>
      </c>
      <c r="F59" s="374">
        <v>0</v>
      </c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>
        <v>15000</v>
      </c>
      <c r="V59" s="374">
        <v>15000</v>
      </c>
    </row>
    <row r="60" spans="1:22" x14ac:dyDescent="0.3">
      <c r="A60" s="372"/>
      <c r="B60" s="372" t="s">
        <v>850</v>
      </c>
      <c r="C60" s="374">
        <v>2198210261</v>
      </c>
      <c r="D60" s="374">
        <v>2198210261</v>
      </c>
      <c r="E60" s="374">
        <v>43303619</v>
      </c>
      <c r="F60" s="374">
        <v>43303619</v>
      </c>
      <c r="G60" s="374">
        <v>21987325</v>
      </c>
      <c r="H60" s="374">
        <v>21987325</v>
      </c>
      <c r="I60" s="374">
        <v>22397088</v>
      </c>
      <c r="J60" s="374">
        <v>22397088</v>
      </c>
      <c r="K60" s="374">
        <v>15529620</v>
      </c>
      <c r="L60" s="374">
        <v>15529620</v>
      </c>
      <c r="M60" s="374">
        <v>5378121</v>
      </c>
      <c r="N60" s="374">
        <v>5378121</v>
      </c>
      <c r="O60" s="374">
        <v>3242020</v>
      </c>
      <c r="P60" s="374">
        <v>3242020</v>
      </c>
      <c r="Q60" s="374">
        <v>40934933</v>
      </c>
      <c r="R60" s="374">
        <v>40934933</v>
      </c>
      <c r="S60" s="374">
        <v>15263391</v>
      </c>
      <c r="T60" s="374">
        <v>15263391</v>
      </c>
      <c r="U60" s="374">
        <v>7180497</v>
      </c>
      <c r="V60" s="374">
        <v>7180497</v>
      </c>
    </row>
    <row r="61" spans="1:22" x14ac:dyDescent="0.3">
      <c r="A61" s="372"/>
      <c r="B61" s="372" t="s">
        <v>851</v>
      </c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</row>
    <row r="62" spans="1:22" x14ac:dyDescent="0.3">
      <c r="A62" s="372"/>
      <c r="B62" s="372" t="s">
        <v>852</v>
      </c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</row>
    <row r="63" spans="1:22" x14ac:dyDescent="0.3">
      <c r="A63" s="833" t="s">
        <v>853</v>
      </c>
      <c r="B63" s="833"/>
      <c r="C63" s="370">
        <f>SUM(C64:C66)</f>
        <v>191841169</v>
      </c>
      <c r="D63" s="370">
        <f t="shared" ref="D63:R63" si="15">SUM(D64:D66)</f>
        <v>191841169</v>
      </c>
      <c r="E63" s="370">
        <f t="shared" si="15"/>
        <v>16528213</v>
      </c>
      <c r="F63" s="370">
        <f t="shared" si="15"/>
        <v>16528213</v>
      </c>
      <c r="G63" s="370">
        <f t="shared" si="15"/>
        <v>418003</v>
      </c>
      <c r="H63" s="370">
        <f t="shared" si="15"/>
        <v>418003</v>
      </c>
      <c r="I63" s="370">
        <f t="shared" si="15"/>
        <v>87666</v>
      </c>
      <c r="J63" s="370">
        <f t="shared" si="15"/>
        <v>87666</v>
      </c>
      <c r="K63" s="370">
        <f t="shared" si="15"/>
        <v>0</v>
      </c>
      <c r="L63" s="370">
        <f t="shared" si="15"/>
        <v>0</v>
      </c>
      <c r="M63" s="370">
        <f t="shared" si="15"/>
        <v>14795</v>
      </c>
      <c r="N63" s="370">
        <f t="shared" si="15"/>
        <v>14795</v>
      </c>
      <c r="O63" s="370">
        <f t="shared" si="15"/>
        <v>1091627</v>
      </c>
      <c r="P63" s="370">
        <f t="shared" si="15"/>
        <v>1091627</v>
      </c>
      <c r="Q63" s="370">
        <f t="shared" si="15"/>
        <v>19731415</v>
      </c>
      <c r="R63" s="370">
        <f t="shared" si="15"/>
        <v>19731415</v>
      </c>
      <c r="S63" s="370">
        <f>SUM(S64:S66)</f>
        <v>30000</v>
      </c>
      <c r="T63" s="370">
        <f>SUM(T64:T66)</f>
        <v>30000</v>
      </c>
      <c r="U63" s="370">
        <f>SUM(U64:U66)</f>
        <v>79500</v>
      </c>
      <c r="V63" s="370">
        <f>SUM(V64:V66)</f>
        <v>79500</v>
      </c>
    </row>
    <row r="64" spans="1:22" x14ac:dyDescent="0.3">
      <c r="A64" s="372"/>
      <c r="B64" s="372" t="s">
        <v>854</v>
      </c>
      <c r="C64" s="374">
        <v>100409914</v>
      </c>
      <c r="D64" s="374">
        <v>100409914</v>
      </c>
      <c r="E64" s="374">
        <v>1258687</v>
      </c>
      <c r="F64" s="374">
        <v>1258687</v>
      </c>
      <c r="G64" s="374">
        <v>418003</v>
      </c>
      <c r="H64" s="374">
        <v>418003</v>
      </c>
      <c r="I64" s="374">
        <v>21000</v>
      </c>
      <c r="J64" s="374">
        <v>21000</v>
      </c>
      <c r="K64" s="374"/>
      <c r="L64" s="374"/>
      <c r="M64" s="374"/>
      <c r="N64" s="374"/>
      <c r="O64" s="374"/>
      <c r="P64" s="374"/>
      <c r="Q64" s="374">
        <v>19731415</v>
      </c>
      <c r="R64" s="374">
        <v>19731415</v>
      </c>
      <c r="S64" s="374"/>
      <c r="T64" s="374"/>
      <c r="U64" s="374">
        <v>79500</v>
      </c>
      <c r="V64" s="374">
        <v>79500</v>
      </c>
    </row>
    <row r="65" spans="1:22" ht="28.8" x14ac:dyDescent="0.3">
      <c r="A65" s="372"/>
      <c r="B65" s="372" t="s">
        <v>855</v>
      </c>
      <c r="C65" s="374">
        <v>29228278</v>
      </c>
      <c r="D65" s="374">
        <v>29228278</v>
      </c>
      <c r="E65" s="374">
        <v>12879975</v>
      </c>
      <c r="F65" s="374">
        <v>12879975</v>
      </c>
      <c r="G65" s="374"/>
      <c r="H65" s="374"/>
      <c r="I65" s="374"/>
      <c r="J65" s="374"/>
      <c r="K65" s="374"/>
      <c r="L65" s="374"/>
      <c r="M65" s="374"/>
      <c r="N65" s="374"/>
      <c r="O65" s="374">
        <v>16943</v>
      </c>
      <c r="P65" s="374">
        <v>16943</v>
      </c>
      <c r="Q65" s="374"/>
      <c r="R65" s="374"/>
      <c r="S65" s="374"/>
      <c r="T65" s="374"/>
      <c r="U65" s="374"/>
      <c r="V65" s="374"/>
    </row>
    <row r="66" spans="1:22" x14ac:dyDescent="0.3">
      <c r="A66" s="372"/>
      <c r="B66" s="372" t="s">
        <v>856</v>
      </c>
      <c r="C66" s="374">
        <v>62202977</v>
      </c>
      <c r="D66" s="374">
        <v>62202977</v>
      </c>
      <c r="E66" s="374">
        <v>2389551</v>
      </c>
      <c r="F66" s="374">
        <v>2389551</v>
      </c>
      <c r="G66" s="374"/>
      <c r="H66" s="374"/>
      <c r="I66" s="374">
        <v>66666</v>
      </c>
      <c r="J66" s="374">
        <v>66666</v>
      </c>
      <c r="K66" s="374"/>
      <c r="L66" s="374"/>
      <c r="M66" s="374">
        <v>14795</v>
      </c>
      <c r="N66" s="374">
        <v>14795</v>
      </c>
      <c r="O66" s="374">
        <v>1074684</v>
      </c>
      <c r="P66" s="374">
        <v>1074684</v>
      </c>
      <c r="Q66" s="374"/>
      <c r="R66" s="374"/>
      <c r="S66" s="374">
        <v>30000</v>
      </c>
      <c r="T66" s="374">
        <v>30000</v>
      </c>
      <c r="U66" s="374"/>
      <c r="V66" s="374"/>
    </row>
    <row r="67" spans="1:22" ht="28.2" customHeight="1" x14ac:dyDescent="0.3">
      <c r="A67" s="833" t="s">
        <v>857</v>
      </c>
      <c r="B67" s="833"/>
      <c r="C67" s="370">
        <v>910711</v>
      </c>
      <c r="D67" s="370">
        <v>910711</v>
      </c>
      <c r="E67" s="370">
        <v>-67000</v>
      </c>
      <c r="F67" s="370">
        <v>-67000</v>
      </c>
      <c r="G67" s="370">
        <v>-11000</v>
      </c>
      <c r="H67" s="370">
        <v>-11000</v>
      </c>
      <c r="I67" s="370"/>
      <c r="J67" s="370"/>
      <c r="K67" s="370"/>
      <c r="L67" s="370"/>
      <c r="M67" s="370"/>
      <c r="N67" s="370"/>
      <c r="O67" s="370">
        <v>-69000</v>
      </c>
      <c r="P67" s="370">
        <v>-69000</v>
      </c>
      <c r="Q67" s="370">
        <v>26981000</v>
      </c>
      <c r="R67" s="370">
        <v>26981000</v>
      </c>
      <c r="S67" s="370"/>
      <c r="T67" s="370"/>
      <c r="U67" s="370">
        <v>-14172</v>
      </c>
      <c r="V67" s="370">
        <v>-14172</v>
      </c>
    </row>
    <row r="68" spans="1:22" ht="20.399999999999999" customHeight="1" x14ac:dyDescent="0.3">
      <c r="A68" s="833" t="s">
        <v>858</v>
      </c>
      <c r="B68" s="833"/>
      <c r="C68" s="370">
        <v>2962537</v>
      </c>
      <c r="D68" s="370">
        <v>2962537</v>
      </c>
      <c r="E68" s="370">
        <v>537931</v>
      </c>
      <c r="F68" s="370">
        <v>537931</v>
      </c>
      <c r="G68" s="370"/>
      <c r="H68" s="370"/>
      <c r="I68" s="370">
        <v>50000</v>
      </c>
      <c r="J68" s="370">
        <v>50000</v>
      </c>
      <c r="K68" s="370">
        <v>23100</v>
      </c>
      <c r="L68" s="370">
        <v>23100</v>
      </c>
      <c r="M68" s="370"/>
      <c r="N68" s="370"/>
      <c r="O68" s="370">
        <v>828159</v>
      </c>
      <c r="P68" s="370">
        <v>828159</v>
      </c>
      <c r="Q68" s="370">
        <v>272061</v>
      </c>
      <c r="R68" s="370">
        <v>272061</v>
      </c>
      <c r="S68" s="370"/>
      <c r="T68" s="370"/>
      <c r="U68" s="370">
        <v>7648</v>
      </c>
      <c r="V68" s="370">
        <v>7648</v>
      </c>
    </row>
    <row r="69" spans="1:22" x14ac:dyDescent="0.3">
      <c r="A69" s="834" t="s">
        <v>859</v>
      </c>
      <c r="B69" s="834"/>
      <c r="C69" s="370">
        <f t="shared" ref="C69:R69" si="16">SUM(C68,C67,C63,C57,C54,C3)</f>
        <v>29347916815</v>
      </c>
      <c r="D69" s="370">
        <f t="shared" si="16"/>
        <v>23656412431</v>
      </c>
      <c r="E69" s="370">
        <f t="shared" si="16"/>
        <v>256372867</v>
      </c>
      <c r="F69" s="370">
        <f t="shared" si="16"/>
        <v>78411538</v>
      </c>
      <c r="G69" s="370">
        <f t="shared" si="16"/>
        <v>35780737</v>
      </c>
      <c r="H69" s="370">
        <f t="shared" si="16"/>
        <v>27656787</v>
      </c>
      <c r="I69" s="370">
        <f t="shared" si="16"/>
        <v>82600409</v>
      </c>
      <c r="J69" s="370">
        <f t="shared" si="16"/>
        <v>23668840</v>
      </c>
      <c r="K69" s="370">
        <f t="shared" si="16"/>
        <v>34631722</v>
      </c>
      <c r="L69" s="370">
        <f t="shared" si="16"/>
        <v>19291805</v>
      </c>
      <c r="M69" s="370">
        <f t="shared" si="16"/>
        <v>11739540</v>
      </c>
      <c r="N69" s="370">
        <f t="shared" si="16"/>
        <v>5494358</v>
      </c>
      <c r="O69" s="370">
        <f t="shared" si="16"/>
        <v>113321705</v>
      </c>
      <c r="P69" s="370">
        <f t="shared" si="16"/>
        <v>6371719</v>
      </c>
      <c r="Q69" s="370">
        <f t="shared" si="16"/>
        <v>131827785</v>
      </c>
      <c r="R69" s="370">
        <f t="shared" si="16"/>
        <v>91625359</v>
      </c>
      <c r="S69" s="370">
        <f>SUM(S68,S67,S63,S57,S54,S3)</f>
        <v>41455645</v>
      </c>
      <c r="T69" s="370">
        <f>SUM(T68,T67,T63,T57,T54,T3)</f>
        <v>19818959</v>
      </c>
      <c r="U69" s="370">
        <f>SUM(U68,U67,U63,U57,U54,U3)</f>
        <v>60394664</v>
      </c>
      <c r="V69" s="370">
        <f>SUM(V68,V67,V63,V57,V54,V3)</f>
        <v>10946426</v>
      </c>
    </row>
    <row r="70" spans="1:22" x14ac:dyDescent="0.3">
      <c r="A70" s="833" t="s">
        <v>860</v>
      </c>
      <c r="B70" s="833"/>
      <c r="C70" s="370">
        <f>SUM(C71:C76)</f>
        <v>21641480328</v>
      </c>
      <c r="D70" s="370">
        <f>SUM(D71:D76)</f>
        <v>21641480328</v>
      </c>
      <c r="E70" s="370">
        <f t="shared" ref="E70:V70" si="17">SUM(E71:E76)</f>
        <v>51025945</v>
      </c>
      <c r="F70" s="370">
        <f t="shared" si="17"/>
        <v>51025945</v>
      </c>
      <c r="G70" s="370">
        <f t="shared" si="17"/>
        <v>15168448</v>
      </c>
      <c r="H70" s="370">
        <f t="shared" si="17"/>
        <v>15168448</v>
      </c>
      <c r="I70" s="370">
        <f t="shared" si="17"/>
        <v>335231</v>
      </c>
      <c r="J70" s="370">
        <f t="shared" si="17"/>
        <v>335231</v>
      </c>
      <c r="K70" s="370">
        <f t="shared" si="17"/>
        <v>4312945</v>
      </c>
      <c r="L70" s="370">
        <f t="shared" si="17"/>
        <v>4312945</v>
      </c>
      <c r="M70" s="370">
        <f t="shared" si="17"/>
        <v>2465772</v>
      </c>
      <c r="N70" s="370">
        <f t="shared" si="17"/>
        <v>2465772</v>
      </c>
      <c r="O70" s="370">
        <f t="shared" si="17"/>
        <v>4295651</v>
      </c>
      <c r="P70" s="370">
        <f t="shared" si="17"/>
        <v>4295651</v>
      </c>
      <c r="Q70" s="370">
        <f t="shared" si="17"/>
        <v>66953602</v>
      </c>
      <c r="R70" s="370">
        <f t="shared" si="17"/>
        <v>66953602</v>
      </c>
      <c r="S70" s="370">
        <f t="shared" si="17"/>
        <v>8065568</v>
      </c>
      <c r="T70" s="370">
        <f t="shared" si="17"/>
        <v>8065568</v>
      </c>
      <c r="U70" s="370">
        <f t="shared" si="17"/>
        <v>8263347</v>
      </c>
      <c r="V70" s="370">
        <f t="shared" si="17"/>
        <v>8263347</v>
      </c>
    </row>
    <row r="71" spans="1:22" x14ac:dyDescent="0.3">
      <c r="A71" s="372"/>
      <c r="B71" s="372" t="s">
        <v>861</v>
      </c>
      <c r="C71" s="374">
        <v>23743022163</v>
      </c>
      <c r="D71" s="374">
        <v>23743022163</v>
      </c>
      <c r="E71" s="374">
        <v>207008158</v>
      </c>
      <c r="F71" s="374">
        <v>207008158</v>
      </c>
      <c r="G71" s="374">
        <v>1534389</v>
      </c>
      <c r="H71" s="374">
        <v>1534389</v>
      </c>
      <c r="I71" s="374">
        <v>55419477</v>
      </c>
      <c r="J71" s="374">
        <v>55419477</v>
      </c>
      <c r="K71" s="374">
        <v>10525271</v>
      </c>
      <c r="L71" s="374">
        <v>10525271</v>
      </c>
      <c r="M71" s="374">
        <v>4705151</v>
      </c>
      <c r="N71" s="374">
        <v>4705151</v>
      </c>
      <c r="O71" s="374">
        <v>18790352</v>
      </c>
      <c r="P71" s="374">
        <v>18790352</v>
      </c>
      <c r="Q71" s="374">
        <v>150879576</v>
      </c>
      <c r="R71" s="374">
        <v>150879576</v>
      </c>
      <c r="S71" s="374">
        <v>5811199</v>
      </c>
      <c r="T71" s="374">
        <v>5811199</v>
      </c>
      <c r="U71" s="374">
        <v>6418258</v>
      </c>
      <c r="V71" s="374">
        <v>6418258</v>
      </c>
    </row>
    <row r="72" spans="1:22" x14ac:dyDescent="0.3">
      <c r="A72" s="372"/>
      <c r="B72" s="372" t="s">
        <v>862</v>
      </c>
      <c r="C72" s="374">
        <v>-1116404655</v>
      </c>
      <c r="D72" s="374">
        <v>-1116404655</v>
      </c>
      <c r="E72" s="374">
        <v>56599</v>
      </c>
      <c r="F72" s="374">
        <v>56599</v>
      </c>
      <c r="G72" s="374"/>
      <c r="H72" s="374"/>
      <c r="I72" s="374">
        <v>-120441</v>
      </c>
      <c r="J72" s="374">
        <v>-120441</v>
      </c>
      <c r="K72" s="374">
        <v>12938276</v>
      </c>
      <c r="L72" s="374">
        <v>12938276</v>
      </c>
      <c r="M72" s="374"/>
      <c r="N72" s="374"/>
      <c r="O72" s="374">
        <v>-1347797</v>
      </c>
      <c r="P72" s="374">
        <v>-1347797</v>
      </c>
      <c r="Q72" s="374">
        <v>-17118276</v>
      </c>
      <c r="R72" s="374">
        <v>-17118276</v>
      </c>
      <c r="S72" s="374"/>
      <c r="T72" s="374"/>
      <c r="U72" s="374"/>
      <c r="V72" s="374"/>
    </row>
    <row r="73" spans="1:22" x14ac:dyDescent="0.3">
      <c r="A73" s="372"/>
      <c r="B73" s="372" t="s">
        <v>863</v>
      </c>
      <c r="C73" s="374">
        <v>449861622</v>
      </c>
      <c r="D73" s="374">
        <v>449861622</v>
      </c>
      <c r="E73" s="374">
        <v>2659757</v>
      </c>
      <c r="F73" s="374">
        <v>2659757</v>
      </c>
      <c r="G73" s="374">
        <v>813104</v>
      </c>
      <c r="H73" s="374">
        <v>813104</v>
      </c>
      <c r="I73" s="374">
        <v>1869708</v>
      </c>
      <c r="J73" s="374">
        <v>1869708</v>
      </c>
      <c r="K73" s="374">
        <v>61574</v>
      </c>
      <c r="L73" s="374">
        <v>61574</v>
      </c>
      <c r="M73" s="374">
        <v>591312</v>
      </c>
      <c r="N73" s="374">
        <v>591312</v>
      </c>
      <c r="O73" s="374">
        <v>759776</v>
      </c>
      <c r="P73" s="374">
        <v>759776</v>
      </c>
      <c r="Q73" s="374">
        <v>2067177</v>
      </c>
      <c r="R73" s="374">
        <v>2067177</v>
      </c>
      <c r="S73" s="374"/>
      <c r="T73" s="374"/>
      <c r="U73" s="374"/>
      <c r="V73" s="374"/>
    </row>
    <row r="74" spans="1:22" x14ac:dyDescent="0.3">
      <c r="A74" s="372"/>
      <c r="B74" s="372" t="s">
        <v>864</v>
      </c>
      <c r="C74" s="374">
        <v>-2694924592</v>
      </c>
      <c r="D74" s="374">
        <v>-2694924592</v>
      </c>
      <c r="E74" s="374">
        <v>-168394082</v>
      </c>
      <c r="F74" s="374">
        <v>-168394082</v>
      </c>
      <c r="G74" s="374">
        <v>-5294492</v>
      </c>
      <c r="H74" s="374">
        <v>-5294492</v>
      </c>
      <c r="I74" s="374">
        <v>-72353829</v>
      </c>
      <c r="J74" s="374">
        <v>-72353829</v>
      </c>
      <c r="K74" s="374">
        <v>-26883749</v>
      </c>
      <c r="L74" s="374">
        <v>-26883749</v>
      </c>
      <c r="M74" s="374">
        <v>-5699727</v>
      </c>
      <c r="N74" s="374">
        <v>-5699727</v>
      </c>
      <c r="O74" s="374">
        <v>-15522943</v>
      </c>
      <c r="P74" s="374">
        <v>-15522943</v>
      </c>
      <c r="Q74" s="374">
        <v>-65165606</v>
      </c>
      <c r="R74" s="374">
        <v>-65165606</v>
      </c>
      <c r="S74" s="374">
        <v>-4857314</v>
      </c>
      <c r="T74" s="374">
        <v>-4857314</v>
      </c>
      <c r="U74" s="374">
        <v>-2848120</v>
      </c>
      <c r="V74" s="374">
        <v>-2848120</v>
      </c>
    </row>
    <row r="75" spans="1:22" x14ac:dyDescent="0.3">
      <c r="A75" s="372"/>
      <c r="B75" s="372" t="s">
        <v>865</v>
      </c>
      <c r="C75" s="374">
        <v>584522737</v>
      </c>
      <c r="D75" s="374">
        <v>584522737</v>
      </c>
      <c r="E75" s="379"/>
      <c r="F75" s="379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74"/>
      <c r="U75" s="374"/>
      <c r="V75" s="374"/>
    </row>
    <row r="76" spans="1:22" x14ac:dyDescent="0.3">
      <c r="A76" s="372"/>
      <c r="B76" s="372" t="s">
        <v>866</v>
      </c>
      <c r="C76" s="374">
        <v>675403053</v>
      </c>
      <c r="D76" s="374">
        <v>675403053</v>
      </c>
      <c r="E76" s="374">
        <v>9695513</v>
      </c>
      <c r="F76" s="374">
        <v>9695513</v>
      </c>
      <c r="G76" s="374">
        <v>18115447</v>
      </c>
      <c r="H76" s="374">
        <v>18115447</v>
      </c>
      <c r="I76" s="374">
        <v>15520316</v>
      </c>
      <c r="J76" s="374">
        <v>15520316</v>
      </c>
      <c r="K76" s="374">
        <v>7671573</v>
      </c>
      <c r="L76" s="374">
        <v>7671573</v>
      </c>
      <c r="M76" s="374">
        <v>2869036</v>
      </c>
      <c r="N76" s="374">
        <v>2869036</v>
      </c>
      <c r="O76" s="374">
        <v>1616263</v>
      </c>
      <c r="P76" s="374">
        <v>1616263</v>
      </c>
      <c r="Q76" s="374">
        <v>-3709269</v>
      </c>
      <c r="R76" s="374">
        <v>-3709269</v>
      </c>
      <c r="S76" s="374">
        <v>7111683</v>
      </c>
      <c r="T76" s="374">
        <v>7111683</v>
      </c>
      <c r="U76" s="374">
        <v>4693209</v>
      </c>
      <c r="V76" s="374">
        <v>4693209</v>
      </c>
    </row>
    <row r="77" spans="1:22" x14ac:dyDescent="0.3">
      <c r="A77" s="833" t="s">
        <v>867</v>
      </c>
      <c r="B77" s="833"/>
      <c r="C77" s="374">
        <f>SUM(C78:C80)</f>
        <v>677935483</v>
      </c>
      <c r="D77" s="374">
        <f>SUM(D78:D80)</f>
        <v>677935483</v>
      </c>
      <c r="E77" s="374">
        <f t="shared" ref="E77:F77" si="18">SUM(E78:E80)</f>
        <v>848733</v>
      </c>
      <c r="F77" s="374">
        <f t="shared" si="18"/>
        <v>848733</v>
      </c>
      <c r="G77" s="374">
        <f t="shared" ref="G77" si="19">SUM(G78:G80)</f>
        <v>140428</v>
      </c>
      <c r="H77" s="374">
        <f t="shared" ref="H77" si="20">SUM(H78:H80)</f>
        <v>140428</v>
      </c>
      <c r="I77" s="374">
        <f t="shared" ref="I77" si="21">SUM(I78:I80)</f>
        <v>613015</v>
      </c>
      <c r="J77" s="374">
        <f t="shared" ref="J77" si="22">SUM(J78:J80)</f>
        <v>613015</v>
      </c>
      <c r="K77" s="374">
        <f t="shared" ref="K77" si="23">SUM(K78:K80)</f>
        <v>585777</v>
      </c>
      <c r="L77" s="374">
        <f t="shared" ref="L77" si="24">SUM(L78:L80)</f>
        <v>585777</v>
      </c>
      <c r="M77" s="374">
        <f t="shared" ref="M77" si="25">SUM(M78:M80)</f>
        <v>52050</v>
      </c>
      <c r="N77" s="374">
        <f t="shared" ref="N77" si="26">SUM(N78:N80)</f>
        <v>52050</v>
      </c>
      <c r="O77" s="374">
        <f t="shared" ref="O77" si="27">SUM(O78:O80)</f>
        <v>91950</v>
      </c>
      <c r="P77" s="374">
        <f t="shared" ref="P77" si="28">SUM(P78:P80)</f>
        <v>91950</v>
      </c>
      <c r="Q77" s="374">
        <f t="shared" ref="Q77" si="29">SUM(Q78:Q80)</f>
        <v>11477895</v>
      </c>
      <c r="R77" s="374">
        <f t="shared" ref="R77" si="30">SUM(R78:R80)</f>
        <v>11477895</v>
      </c>
      <c r="S77" s="374">
        <f t="shared" ref="S77" si="31">SUM(S78:S80)</f>
        <v>5727</v>
      </c>
      <c r="T77" s="374">
        <f t="shared" ref="T77" si="32">SUM(T78:T80)</f>
        <v>5727</v>
      </c>
      <c r="U77" s="374">
        <f t="shared" ref="U77" si="33">SUM(U78:U80)</f>
        <v>260</v>
      </c>
      <c r="V77" s="374">
        <f t="shared" ref="V77" si="34">SUM(V78:V80)</f>
        <v>260</v>
      </c>
    </row>
    <row r="78" spans="1:22" x14ac:dyDescent="0.3">
      <c r="A78" s="372"/>
      <c r="B78" s="372" t="s">
        <v>868</v>
      </c>
      <c r="C78" s="374">
        <v>89061352</v>
      </c>
      <c r="D78" s="374">
        <v>89061352</v>
      </c>
      <c r="E78" s="374">
        <v>559189</v>
      </c>
      <c r="F78" s="374">
        <v>559189</v>
      </c>
      <c r="G78" s="374">
        <v>82226</v>
      </c>
      <c r="H78" s="374">
        <v>82226</v>
      </c>
      <c r="I78" s="374">
        <v>613015</v>
      </c>
      <c r="J78" s="374">
        <v>613015</v>
      </c>
      <c r="K78" s="374">
        <v>585777</v>
      </c>
      <c r="L78" s="374">
        <v>585777</v>
      </c>
      <c r="M78" s="374">
        <v>52050</v>
      </c>
      <c r="N78" s="374">
        <v>52050</v>
      </c>
      <c r="O78" s="374">
        <v>91950</v>
      </c>
      <c r="P78" s="374">
        <v>91950</v>
      </c>
      <c r="Q78" s="374">
        <v>11314801</v>
      </c>
      <c r="R78" s="374">
        <v>11314801</v>
      </c>
      <c r="S78" s="374">
        <v>5727</v>
      </c>
      <c r="T78" s="374">
        <v>5727</v>
      </c>
      <c r="U78" s="374">
        <v>260</v>
      </c>
      <c r="V78" s="374">
        <v>260</v>
      </c>
    </row>
    <row r="79" spans="1:22" ht="28.8" x14ac:dyDescent="0.3">
      <c r="A79" s="372"/>
      <c r="B79" s="372" t="s">
        <v>869</v>
      </c>
      <c r="C79" s="374">
        <v>582739092</v>
      </c>
      <c r="D79" s="374">
        <v>582739092</v>
      </c>
      <c r="E79" s="374">
        <v>289544</v>
      </c>
      <c r="F79" s="374">
        <v>289544</v>
      </c>
      <c r="G79" s="374">
        <v>58202</v>
      </c>
      <c r="H79" s="374">
        <v>58202</v>
      </c>
      <c r="I79" s="374"/>
      <c r="J79" s="374"/>
      <c r="K79" s="374"/>
      <c r="L79" s="374"/>
      <c r="M79" s="374"/>
      <c r="N79" s="374"/>
      <c r="O79" s="374"/>
      <c r="P79" s="374"/>
      <c r="Q79" s="374"/>
      <c r="R79" s="374"/>
      <c r="S79" s="374"/>
      <c r="T79" s="374"/>
      <c r="U79" s="374"/>
      <c r="V79" s="374"/>
    </row>
    <row r="80" spans="1:22" x14ac:dyDescent="0.3">
      <c r="A80" s="372"/>
      <c r="B80" s="372" t="s">
        <v>870</v>
      </c>
      <c r="C80" s="374">
        <v>6135039</v>
      </c>
      <c r="D80" s="374">
        <v>6135039</v>
      </c>
      <c r="E80" s="374">
        <v>0</v>
      </c>
      <c r="F80" s="374">
        <v>0</v>
      </c>
      <c r="G80" s="374"/>
      <c r="H80" s="374"/>
      <c r="I80" s="374"/>
      <c r="J80" s="374"/>
      <c r="K80" s="374"/>
      <c r="L80" s="374"/>
      <c r="M80" s="374"/>
      <c r="N80" s="374"/>
      <c r="O80" s="374"/>
      <c r="P80" s="374"/>
      <c r="Q80" s="374">
        <v>163094</v>
      </c>
      <c r="R80" s="374">
        <v>163094</v>
      </c>
      <c r="S80" s="374"/>
      <c r="T80" s="374"/>
      <c r="U80" s="374"/>
      <c r="V80" s="374"/>
    </row>
    <row r="81" spans="1:22" x14ac:dyDescent="0.3">
      <c r="A81" s="833" t="s">
        <v>886</v>
      </c>
      <c r="B81" s="833"/>
      <c r="C81" s="374">
        <v>0</v>
      </c>
      <c r="D81" s="374">
        <v>0</v>
      </c>
      <c r="E81" s="374"/>
      <c r="F81" s="374"/>
      <c r="G81" s="374">
        <v>10000</v>
      </c>
      <c r="H81" s="374">
        <v>10000</v>
      </c>
      <c r="I81" s="374"/>
      <c r="J81" s="374"/>
      <c r="K81" s="374"/>
      <c r="L81" s="374"/>
      <c r="M81" s="374"/>
      <c r="N81" s="374"/>
      <c r="O81" s="374"/>
      <c r="P81" s="374"/>
      <c r="Q81" s="374"/>
      <c r="R81" s="374"/>
      <c r="S81" s="374"/>
      <c r="T81" s="374"/>
      <c r="U81" s="374"/>
      <c r="V81" s="374"/>
    </row>
    <row r="82" spans="1:22" ht="25.95" customHeight="1" x14ac:dyDescent="0.3">
      <c r="A82" s="836" t="s">
        <v>884</v>
      </c>
      <c r="B82" s="836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4"/>
      <c r="R82" s="374"/>
      <c r="S82" s="374"/>
      <c r="T82" s="374"/>
      <c r="U82" s="374"/>
      <c r="V82" s="374"/>
    </row>
    <row r="83" spans="1:22" x14ac:dyDescent="0.3">
      <c r="A83" s="833" t="s">
        <v>885</v>
      </c>
      <c r="B83" s="833"/>
      <c r="C83" s="370">
        <v>1336996620</v>
      </c>
      <c r="D83" s="370">
        <v>1336996620</v>
      </c>
      <c r="E83" s="370">
        <v>26536860</v>
      </c>
      <c r="F83" s="370">
        <v>26536860</v>
      </c>
      <c r="G83" s="370">
        <v>12337911</v>
      </c>
      <c r="H83" s="370">
        <v>12337911</v>
      </c>
      <c r="I83" s="370">
        <v>22720594</v>
      </c>
      <c r="J83" s="370">
        <v>22720594</v>
      </c>
      <c r="K83" s="370">
        <v>14393083</v>
      </c>
      <c r="L83" s="370">
        <v>14393083</v>
      </c>
      <c r="M83" s="370">
        <v>2976536</v>
      </c>
      <c r="N83" s="370">
        <v>2976536</v>
      </c>
      <c r="O83" s="370">
        <v>1984118</v>
      </c>
      <c r="P83" s="370">
        <v>1984118</v>
      </c>
      <c r="Q83" s="370">
        <v>13193862</v>
      </c>
      <c r="R83" s="370">
        <v>13193862</v>
      </c>
      <c r="S83" s="370">
        <v>11747664</v>
      </c>
      <c r="T83" s="370">
        <v>11747664</v>
      </c>
      <c r="U83" s="370">
        <v>2682819</v>
      </c>
      <c r="V83" s="370">
        <v>2682819</v>
      </c>
    </row>
    <row r="84" spans="1:22" x14ac:dyDescent="0.3">
      <c r="A84" s="834" t="s">
        <v>871</v>
      </c>
      <c r="B84" s="834"/>
      <c r="C84" s="370">
        <f>+C83+C77+C70</f>
        <v>23656412431</v>
      </c>
      <c r="D84" s="370">
        <f>+D83+D77+D70</f>
        <v>23656412431</v>
      </c>
      <c r="E84" s="370">
        <f t="shared" ref="E84:F84" si="35">+E83+E77+E70</f>
        <v>78411538</v>
      </c>
      <c r="F84" s="370">
        <f t="shared" si="35"/>
        <v>78411538</v>
      </c>
      <c r="G84" s="370">
        <f>+G83+G77+G70+G81</f>
        <v>27656787</v>
      </c>
      <c r="H84" s="370">
        <f t="shared" ref="H84:V84" si="36">+H83+H77+H70+H81</f>
        <v>27656787</v>
      </c>
      <c r="I84" s="370">
        <f t="shared" si="36"/>
        <v>23668840</v>
      </c>
      <c r="J84" s="370">
        <f t="shared" si="36"/>
        <v>23668840</v>
      </c>
      <c r="K84" s="370">
        <f t="shared" si="36"/>
        <v>19291805</v>
      </c>
      <c r="L84" s="370">
        <f t="shared" si="36"/>
        <v>19291805</v>
      </c>
      <c r="M84" s="370">
        <f t="shared" si="36"/>
        <v>5494358</v>
      </c>
      <c r="N84" s="370">
        <f t="shared" si="36"/>
        <v>5494358</v>
      </c>
      <c r="O84" s="370">
        <f t="shared" si="36"/>
        <v>6371719</v>
      </c>
      <c r="P84" s="370">
        <f t="shared" si="36"/>
        <v>6371719</v>
      </c>
      <c r="Q84" s="370">
        <f t="shared" si="36"/>
        <v>91625359</v>
      </c>
      <c r="R84" s="370">
        <f t="shared" si="36"/>
        <v>91625359</v>
      </c>
      <c r="S84" s="370">
        <f t="shared" si="36"/>
        <v>19818959</v>
      </c>
      <c r="T84" s="370">
        <f t="shared" si="36"/>
        <v>19818959</v>
      </c>
      <c r="U84" s="370">
        <f t="shared" si="36"/>
        <v>10946426</v>
      </c>
      <c r="V84" s="370">
        <f t="shared" si="36"/>
        <v>10946426</v>
      </c>
    </row>
    <row r="86" spans="1:22" x14ac:dyDescent="0.3">
      <c r="D86" s="377">
        <f>+D84-D69</f>
        <v>0</v>
      </c>
      <c r="E86" s="377"/>
      <c r="F86" s="377">
        <f t="shared" ref="F86:R86" si="37">+F84-F69</f>
        <v>0</v>
      </c>
      <c r="G86" s="377"/>
      <c r="H86" s="377">
        <f t="shared" si="37"/>
        <v>0</v>
      </c>
      <c r="I86" s="377"/>
      <c r="J86" s="377">
        <f t="shared" si="37"/>
        <v>0</v>
      </c>
      <c r="K86" s="377"/>
      <c r="L86" s="377">
        <f t="shared" si="37"/>
        <v>0</v>
      </c>
      <c r="M86" s="377"/>
      <c r="N86" s="377">
        <f t="shared" si="37"/>
        <v>0</v>
      </c>
      <c r="O86" s="377"/>
      <c r="P86" s="377">
        <f t="shared" si="37"/>
        <v>0</v>
      </c>
      <c r="Q86" s="377"/>
      <c r="R86" s="377">
        <f t="shared" si="37"/>
        <v>0</v>
      </c>
      <c r="S86" s="377"/>
      <c r="T86" s="377">
        <f>+T84-T69</f>
        <v>0</v>
      </c>
      <c r="U86" s="377"/>
      <c r="V86" s="377">
        <f>+V84-V69</f>
        <v>0</v>
      </c>
    </row>
  </sheetData>
  <mergeCells count="24">
    <mergeCell ref="A84:B84"/>
    <mergeCell ref="A54:B54"/>
    <mergeCell ref="A57:B57"/>
    <mergeCell ref="A63:B63"/>
    <mergeCell ref="A67:B67"/>
    <mergeCell ref="A68:B68"/>
    <mergeCell ref="A69:B69"/>
    <mergeCell ref="A70:B70"/>
    <mergeCell ref="A77:B77"/>
    <mergeCell ref="A81:B81"/>
    <mergeCell ref="A82:B82"/>
    <mergeCell ref="A83:B83"/>
    <mergeCell ref="M1:N1"/>
    <mergeCell ref="O1:P1"/>
    <mergeCell ref="Q1:R1"/>
    <mergeCell ref="S1:T1"/>
    <mergeCell ref="U1:V1"/>
    <mergeCell ref="I1:J1"/>
    <mergeCell ref="K1:L1"/>
    <mergeCell ref="A3:B3"/>
    <mergeCell ref="A1:B2"/>
    <mergeCell ref="C1:D1"/>
    <mergeCell ref="E1:F1"/>
    <mergeCell ref="G1:H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Header>&amp;CDunaharaszti Város Önkormányzata
2018. évi zárszámadás
Vagyonkimutatás&amp;R&amp;A</oddHeader>
    <oddFooter>&amp;C&amp;P/&amp;N</oddFooter>
  </headerFooter>
  <rowBreaks count="3" manualBreakCount="3">
    <brk id="32" max="21" man="1"/>
    <brk id="53" max="21" man="1"/>
    <brk id="84" max="21" man="1"/>
  </rowBreaks>
  <colBreaks count="1" manualBreakCount="1">
    <brk id="16" max="5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5"/>
  <sheetViews>
    <sheetView view="pageBreakPreview" zoomScale="89" zoomScaleNormal="100" zoomScaleSheetLayoutView="89" workbookViewId="0">
      <selection activeCell="H12" sqref="H12"/>
    </sheetView>
  </sheetViews>
  <sheetFormatPr defaultRowHeight="13.2" x14ac:dyDescent="0.25"/>
  <cols>
    <col min="1" max="1" width="9.109375" style="331"/>
    <col min="2" max="2" width="42.109375" style="331" customWidth="1"/>
    <col min="3" max="3" width="15.5546875" style="331" customWidth="1"/>
    <col min="4" max="4" width="12.33203125" style="331" customWidth="1"/>
    <col min="5" max="5" width="13.33203125" style="331" customWidth="1"/>
    <col min="6" max="6" width="12.44140625" style="331" customWidth="1"/>
    <col min="7" max="8" width="13.33203125" style="331" customWidth="1"/>
    <col min="9" max="9" width="16.6640625" style="331" customWidth="1"/>
    <col min="10" max="257" width="9.109375" style="331"/>
    <col min="258" max="258" width="42.109375" style="331" customWidth="1"/>
    <col min="259" max="259" width="9.109375" style="331"/>
    <col min="260" max="260" width="12.33203125" style="331" customWidth="1"/>
    <col min="261" max="261" width="13.33203125" style="331" customWidth="1"/>
    <col min="262" max="262" width="12.44140625" style="331" customWidth="1"/>
    <col min="263" max="264" width="13.33203125" style="331" customWidth="1"/>
    <col min="265" max="265" width="16.6640625" style="331" customWidth="1"/>
    <col min="266" max="513" width="9.109375" style="331"/>
    <col min="514" max="514" width="42.109375" style="331" customWidth="1"/>
    <col min="515" max="515" width="9.109375" style="331"/>
    <col min="516" max="516" width="12.33203125" style="331" customWidth="1"/>
    <col min="517" max="517" width="13.33203125" style="331" customWidth="1"/>
    <col min="518" max="518" width="12.44140625" style="331" customWidth="1"/>
    <col min="519" max="520" width="13.33203125" style="331" customWidth="1"/>
    <col min="521" max="521" width="16.6640625" style="331" customWidth="1"/>
    <col min="522" max="769" width="9.109375" style="331"/>
    <col min="770" max="770" width="42.109375" style="331" customWidth="1"/>
    <col min="771" max="771" width="9.109375" style="331"/>
    <col min="772" max="772" width="12.33203125" style="331" customWidth="1"/>
    <col min="773" max="773" width="13.33203125" style="331" customWidth="1"/>
    <col min="774" max="774" width="12.44140625" style="331" customWidth="1"/>
    <col min="775" max="776" width="13.33203125" style="331" customWidth="1"/>
    <col min="777" max="777" width="16.6640625" style="331" customWidth="1"/>
    <col min="778" max="1025" width="9.109375" style="331"/>
    <col min="1026" max="1026" width="42.109375" style="331" customWidth="1"/>
    <col min="1027" max="1027" width="9.109375" style="331"/>
    <col min="1028" max="1028" width="12.33203125" style="331" customWidth="1"/>
    <col min="1029" max="1029" width="13.33203125" style="331" customWidth="1"/>
    <col min="1030" max="1030" width="12.44140625" style="331" customWidth="1"/>
    <col min="1031" max="1032" width="13.33203125" style="331" customWidth="1"/>
    <col min="1033" max="1033" width="16.6640625" style="331" customWidth="1"/>
    <col min="1034" max="1281" width="9.109375" style="331"/>
    <col min="1282" max="1282" width="42.109375" style="331" customWidth="1"/>
    <col min="1283" max="1283" width="9.109375" style="331"/>
    <col min="1284" max="1284" width="12.33203125" style="331" customWidth="1"/>
    <col min="1285" max="1285" width="13.33203125" style="331" customWidth="1"/>
    <col min="1286" max="1286" width="12.44140625" style="331" customWidth="1"/>
    <col min="1287" max="1288" width="13.33203125" style="331" customWidth="1"/>
    <col min="1289" max="1289" width="16.6640625" style="331" customWidth="1"/>
    <col min="1290" max="1537" width="9.109375" style="331"/>
    <col min="1538" max="1538" width="42.109375" style="331" customWidth="1"/>
    <col min="1539" max="1539" width="9.109375" style="331"/>
    <col min="1540" max="1540" width="12.33203125" style="331" customWidth="1"/>
    <col min="1541" max="1541" width="13.33203125" style="331" customWidth="1"/>
    <col min="1542" max="1542" width="12.44140625" style="331" customWidth="1"/>
    <col min="1543" max="1544" width="13.33203125" style="331" customWidth="1"/>
    <col min="1545" max="1545" width="16.6640625" style="331" customWidth="1"/>
    <col min="1546" max="1793" width="9.109375" style="331"/>
    <col min="1794" max="1794" width="42.109375" style="331" customWidth="1"/>
    <col min="1795" max="1795" width="9.109375" style="331"/>
    <col min="1796" max="1796" width="12.33203125" style="331" customWidth="1"/>
    <col min="1797" max="1797" width="13.33203125" style="331" customWidth="1"/>
    <col min="1798" max="1798" width="12.44140625" style="331" customWidth="1"/>
    <col min="1799" max="1800" width="13.33203125" style="331" customWidth="1"/>
    <col min="1801" max="1801" width="16.6640625" style="331" customWidth="1"/>
    <col min="1802" max="2049" width="9.109375" style="331"/>
    <col min="2050" max="2050" width="42.109375" style="331" customWidth="1"/>
    <col min="2051" max="2051" width="9.109375" style="331"/>
    <col min="2052" max="2052" width="12.33203125" style="331" customWidth="1"/>
    <col min="2053" max="2053" width="13.33203125" style="331" customWidth="1"/>
    <col min="2054" max="2054" width="12.44140625" style="331" customWidth="1"/>
    <col min="2055" max="2056" width="13.33203125" style="331" customWidth="1"/>
    <col min="2057" max="2057" width="16.6640625" style="331" customWidth="1"/>
    <col min="2058" max="2305" width="9.109375" style="331"/>
    <col min="2306" max="2306" width="42.109375" style="331" customWidth="1"/>
    <col min="2307" max="2307" width="9.109375" style="331"/>
    <col min="2308" max="2308" width="12.33203125" style="331" customWidth="1"/>
    <col min="2309" max="2309" width="13.33203125" style="331" customWidth="1"/>
    <col min="2310" max="2310" width="12.44140625" style="331" customWidth="1"/>
    <col min="2311" max="2312" width="13.33203125" style="331" customWidth="1"/>
    <col min="2313" max="2313" width="16.6640625" style="331" customWidth="1"/>
    <col min="2314" max="2561" width="9.109375" style="331"/>
    <col min="2562" max="2562" width="42.109375" style="331" customWidth="1"/>
    <col min="2563" max="2563" width="9.109375" style="331"/>
    <col min="2564" max="2564" width="12.33203125" style="331" customWidth="1"/>
    <col min="2565" max="2565" width="13.33203125" style="331" customWidth="1"/>
    <col min="2566" max="2566" width="12.44140625" style="331" customWidth="1"/>
    <col min="2567" max="2568" width="13.33203125" style="331" customWidth="1"/>
    <col min="2569" max="2569" width="16.6640625" style="331" customWidth="1"/>
    <col min="2570" max="2817" width="9.109375" style="331"/>
    <col min="2818" max="2818" width="42.109375" style="331" customWidth="1"/>
    <col min="2819" max="2819" width="9.109375" style="331"/>
    <col min="2820" max="2820" width="12.33203125" style="331" customWidth="1"/>
    <col min="2821" max="2821" width="13.33203125" style="331" customWidth="1"/>
    <col min="2822" max="2822" width="12.44140625" style="331" customWidth="1"/>
    <col min="2823" max="2824" width="13.33203125" style="331" customWidth="1"/>
    <col min="2825" max="2825" width="16.6640625" style="331" customWidth="1"/>
    <col min="2826" max="3073" width="9.109375" style="331"/>
    <col min="3074" max="3074" width="42.109375" style="331" customWidth="1"/>
    <col min="3075" max="3075" width="9.109375" style="331"/>
    <col min="3076" max="3076" width="12.33203125" style="331" customWidth="1"/>
    <col min="3077" max="3077" width="13.33203125" style="331" customWidth="1"/>
    <col min="3078" max="3078" width="12.44140625" style="331" customWidth="1"/>
    <col min="3079" max="3080" width="13.33203125" style="331" customWidth="1"/>
    <col min="3081" max="3081" width="16.6640625" style="331" customWidth="1"/>
    <col min="3082" max="3329" width="9.109375" style="331"/>
    <col min="3330" max="3330" width="42.109375" style="331" customWidth="1"/>
    <col min="3331" max="3331" width="9.109375" style="331"/>
    <col min="3332" max="3332" width="12.33203125" style="331" customWidth="1"/>
    <col min="3333" max="3333" width="13.33203125" style="331" customWidth="1"/>
    <col min="3334" max="3334" width="12.44140625" style="331" customWidth="1"/>
    <col min="3335" max="3336" width="13.33203125" style="331" customWidth="1"/>
    <col min="3337" max="3337" width="16.6640625" style="331" customWidth="1"/>
    <col min="3338" max="3585" width="9.109375" style="331"/>
    <col min="3586" max="3586" width="42.109375" style="331" customWidth="1"/>
    <col min="3587" max="3587" width="9.109375" style="331"/>
    <col min="3588" max="3588" width="12.33203125" style="331" customWidth="1"/>
    <col min="3589" max="3589" width="13.33203125" style="331" customWidth="1"/>
    <col min="3590" max="3590" width="12.44140625" style="331" customWidth="1"/>
    <col min="3591" max="3592" width="13.33203125" style="331" customWidth="1"/>
    <col min="3593" max="3593" width="16.6640625" style="331" customWidth="1"/>
    <col min="3594" max="3841" width="9.109375" style="331"/>
    <col min="3842" max="3842" width="42.109375" style="331" customWidth="1"/>
    <col min="3843" max="3843" width="9.109375" style="331"/>
    <col min="3844" max="3844" width="12.33203125" style="331" customWidth="1"/>
    <col min="3845" max="3845" width="13.33203125" style="331" customWidth="1"/>
    <col min="3846" max="3846" width="12.44140625" style="331" customWidth="1"/>
    <col min="3847" max="3848" width="13.33203125" style="331" customWidth="1"/>
    <col min="3849" max="3849" width="16.6640625" style="331" customWidth="1"/>
    <col min="3850" max="4097" width="9.109375" style="331"/>
    <col min="4098" max="4098" width="42.109375" style="331" customWidth="1"/>
    <col min="4099" max="4099" width="9.109375" style="331"/>
    <col min="4100" max="4100" width="12.33203125" style="331" customWidth="1"/>
    <col min="4101" max="4101" width="13.33203125" style="331" customWidth="1"/>
    <col min="4102" max="4102" width="12.44140625" style="331" customWidth="1"/>
    <col min="4103" max="4104" width="13.33203125" style="331" customWidth="1"/>
    <col min="4105" max="4105" width="16.6640625" style="331" customWidth="1"/>
    <col min="4106" max="4353" width="9.109375" style="331"/>
    <col min="4354" max="4354" width="42.109375" style="331" customWidth="1"/>
    <col min="4355" max="4355" width="9.109375" style="331"/>
    <col min="4356" max="4356" width="12.33203125" style="331" customWidth="1"/>
    <col min="4357" max="4357" width="13.33203125" style="331" customWidth="1"/>
    <col min="4358" max="4358" width="12.44140625" style="331" customWidth="1"/>
    <col min="4359" max="4360" width="13.33203125" style="331" customWidth="1"/>
    <col min="4361" max="4361" width="16.6640625" style="331" customWidth="1"/>
    <col min="4362" max="4609" width="9.109375" style="331"/>
    <col min="4610" max="4610" width="42.109375" style="331" customWidth="1"/>
    <col min="4611" max="4611" width="9.109375" style="331"/>
    <col min="4612" max="4612" width="12.33203125" style="331" customWidth="1"/>
    <col min="4613" max="4613" width="13.33203125" style="331" customWidth="1"/>
    <col min="4614" max="4614" width="12.44140625" style="331" customWidth="1"/>
    <col min="4615" max="4616" width="13.33203125" style="331" customWidth="1"/>
    <col min="4617" max="4617" width="16.6640625" style="331" customWidth="1"/>
    <col min="4618" max="4865" width="9.109375" style="331"/>
    <col min="4866" max="4866" width="42.109375" style="331" customWidth="1"/>
    <col min="4867" max="4867" width="9.109375" style="331"/>
    <col min="4868" max="4868" width="12.33203125" style="331" customWidth="1"/>
    <col min="4869" max="4869" width="13.33203125" style="331" customWidth="1"/>
    <col min="4870" max="4870" width="12.44140625" style="331" customWidth="1"/>
    <col min="4871" max="4872" width="13.33203125" style="331" customWidth="1"/>
    <col min="4873" max="4873" width="16.6640625" style="331" customWidth="1"/>
    <col min="4874" max="5121" width="9.109375" style="331"/>
    <col min="5122" max="5122" width="42.109375" style="331" customWidth="1"/>
    <col min="5123" max="5123" width="9.109375" style="331"/>
    <col min="5124" max="5124" width="12.33203125" style="331" customWidth="1"/>
    <col min="5125" max="5125" width="13.33203125" style="331" customWidth="1"/>
    <col min="5126" max="5126" width="12.44140625" style="331" customWidth="1"/>
    <col min="5127" max="5128" width="13.33203125" style="331" customWidth="1"/>
    <col min="5129" max="5129" width="16.6640625" style="331" customWidth="1"/>
    <col min="5130" max="5377" width="9.109375" style="331"/>
    <col min="5378" max="5378" width="42.109375" style="331" customWidth="1"/>
    <col min="5379" max="5379" width="9.109375" style="331"/>
    <col min="5380" max="5380" width="12.33203125" style="331" customWidth="1"/>
    <col min="5381" max="5381" width="13.33203125" style="331" customWidth="1"/>
    <col min="5382" max="5382" width="12.44140625" style="331" customWidth="1"/>
    <col min="5383" max="5384" width="13.33203125" style="331" customWidth="1"/>
    <col min="5385" max="5385" width="16.6640625" style="331" customWidth="1"/>
    <col min="5386" max="5633" width="9.109375" style="331"/>
    <col min="5634" max="5634" width="42.109375" style="331" customWidth="1"/>
    <col min="5635" max="5635" width="9.109375" style="331"/>
    <col min="5636" max="5636" width="12.33203125" style="331" customWidth="1"/>
    <col min="5637" max="5637" width="13.33203125" style="331" customWidth="1"/>
    <col min="5638" max="5638" width="12.44140625" style="331" customWidth="1"/>
    <col min="5639" max="5640" width="13.33203125" style="331" customWidth="1"/>
    <col min="5641" max="5641" width="16.6640625" style="331" customWidth="1"/>
    <col min="5642" max="5889" width="9.109375" style="331"/>
    <col min="5890" max="5890" width="42.109375" style="331" customWidth="1"/>
    <col min="5891" max="5891" width="9.109375" style="331"/>
    <col min="5892" max="5892" width="12.33203125" style="331" customWidth="1"/>
    <col min="5893" max="5893" width="13.33203125" style="331" customWidth="1"/>
    <col min="5894" max="5894" width="12.44140625" style="331" customWidth="1"/>
    <col min="5895" max="5896" width="13.33203125" style="331" customWidth="1"/>
    <col min="5897" max="5897" width="16.6640625" style="331" customWidth="1"/>
    <col min="5898" max="6145" width="9.109375" style="331"/>
    <col min="6146" max="6146" width="42.109375" style="331" customWidth="1"/>
    <col min="6147" max="6147" width="9.109375" style="331"/>
    <col min="6148" max="6148" width="12.33203125" style="331" customWidth="1"/>
    <col min="6149" max="6149" width="13.33203125" style="331" customWidth="1"/>
    <col min="6150" max="6150" width="12.44140625" style="331" customWidth="1"/>
    <col min="6151" max="6152" width="13.33203125" style="331" customWidth="1"/>
    <col min="6153" max="6153" width="16.6640625" style="331" customWidth="1"/>
    <col min="6154" max="6401" width="9.109375" style="331"/>
    <col min="6402" max="6402" width="42.109375" style="331" customWidth="1"/>
    <col min="6403" max="6403" width="9.109375" style="331"/>
    <col min="6404" max="6404" width="12.33203125" style="331" customWidth="1"/>
    <col min="6405" max="6405" width="13.33203125" style="331" customWidth="1"/>
    <col min="6406" max="6406" width="12.44140625" style="331" customWidth="1"/>
    <col min="6407" max="6408" width="13.33203125" style="331" customWidth="1"/>
    <col min="6409" max="6409" width="16.6640625" style="331" customWidth="1"/>
    <col min="6410" max="6657" width="9.109375" style="331"/>
    <col min="6658" max="6658" width="42.109375" style="331" customWidth="1"/>
    <col min="6659" max="6659" width="9.109375" style="331"/>
    <col min="6660" max="6660" width="12.33203125" style="331" customWidth="1"/>
    <col min="6661" max="6661" width="13.33203125" style="331" customWidth="1"/>
    <col min="6662" max="6662" width="12.44140625" style="331" customWidth="1"/>
    <col min="6663" max="6664" width="13.33203125" style="331" customWidth="1"/>
    <col min="6665" max="6665" width="16.6640625" style="331" customWidth="1"/>
    <col min="6666" max="6913" width="9.109375" style="331"/>
    <col min="6914" max="6914" width="42.109375" style="331" customWidth="1"/>
    <col min="6915" max="6915" width="9.109375" style="331"/>
    <col min="6916" max="6916" width="12.33203125" style="331" customWidth="1"/>
    <col min="6917" max="6917" width="13.33203125" style="331" customWidth="1"/>
    <col min="6918" max="6918" width="12.44140625" style="331" customWidth="1"/>
    <col min="6919" max="6920" width="13.33203125" style="331" customWidth="1"/>
    <col min="6921" max="6921" width="16.6640625" style="331" customWidth="1"/>
    <col min="6922" max="7169" width="9.109375" style="331"/>
    <col min="7170" max="7170" width="42.109375" style="331" customWidth="1"/>
    <col min="7171" max="7171" width="9.109375" style="331"/>
    <col min="7172" max="7172" width="12.33203125" style="331" customWidth="1"/>
    <col min="7173" max="7173" width="13.33203125" style="331" customWidth="1"/>
    <col min="7174" max="7174" width="12.44140625" style="331" customWidth="1"/>
    <col min="7175" max="7176" width="13.33203125" style="331" customWidth="1"/>
    <col min="7177" max="7177" width="16.6640625" style="331" customWidth="1"/>
    <col min="7178" max="7425" width="9.109375" style="331"/>
    <col min="7426" max="7426" width="42.109375" style="331" customWidth="1"/>
    <col min="7427" max="7427" width="9.109375" style="331"/>
    <col min="7428" max="7428" width="12.33203125" style="331" customWidth="1"/>
    <col min="7429" max="7429" width="13.33203125" style="331" customWidth="1"/>
    <col min="7430" max="7430" width="12.44140625" style="331" customWidth="1"/>
    <col min="7431" max="7432" width="13.33203125" style="331" customWidth="1"/>
    <col min="7433" max="7433" width="16.6640625" style="331" customWidth="1"/>
    <col min="7434" max="7681" width="9.109375" style="331"/>
    <col min="7682" max="7682" width="42.109375" style="331" customWidth="1"/>
    <col min="7683" max="7683" width="9.109375" style="331"/>
    <col min="7684" max="7684" width="12.33203125" style="331" customWidth="1"/>
    <col min="7685" max="7685" width="13.33203125" style="331" customWidth="1"/>
    <col min="7686" max="7686" width="12.44140625" style="331" customWidth="1"/>
    <col min="7687" max="7688" width="13.33203125" style="331" customWidth="1"/>
    <col min="7689" max="7689" width="16.6640625" style="331" customWidth="1"/>
    <col min="7690" max="7937" width="9.109375" style="331"/>
    <col min="7938" max="7938" width="42.109375" style="331" customWidth="1"/>
    <col min="7939" max="7939" width="9.109375" style="331"/>
    <col min="7940" max="7940" width="12.33203125" style="331" customWidth="1"/>
    <col min="7941" max="7941" width="13.33203125" style="331" customWidth="1"/>
    <col min="7942" max="7942" width="12.44140625" style="331" customWidth="1"/>
    <col min="7943" max="7944" width="13.33203125" style="331" customWidth="1"/>
    <col min="7945" max="7945" width="16.6640625" style="331" customWidth="1"/>
    <col min="7946" max="8193" width="9.109375" style="331"/>
    <col min="8194" max="8194" width="42.109375" style="331" customWidth="1"/>
    <col min="8195" max="8195" width="9.109375" style="331"/>
    <col min="8196" max="8196" width="12.33203125" style="331" customWidth="1"/>
    <col min="8197" max="8197" width="13.33203125" style="331" customWidth="1"/>
    <col min="8198" max="8198" width="12.44140625" style="331" customWidth="1"/>
    <col min="8199" max="8200" width="13.33203125" style="331" customWidth="1"/>
    <col min="8201" max="8201" width="16.6640625" style="331" customWidth="1"/>
    <col min="8202" max="8449" width="9.109375" style="331"/>
    <col min="8450" max="8450" width="42.109375" style="331" customWidth="1"/>
    <col min="8451" max="8451" width="9.109375" style="331"/>
    <col min="8452" max="8452" width="12.33203125" style="331" customWidth="1"/>
    <col min="8453" max="8453" width="13.33203125" style="331" customWidth="1"/>
    <col min="8454" max="8454" width="12.44140625" style="331" customWidth="1"/>
    <col min="8455" max="8456" width="13.33203125" style="331" customWidth="1"/>
    <col min="8457" max="8457" width="16.6640625" style="331" customWidth="1"/>
    <col min="8458" max="8705" width="9.109375" style="331"/>
    <col min="8706" max="8706" width="42.109375" style="331" customWidth="1"/>
    <col min="8707" max="8707" width="9.109375" style="331"/>
    <col min="8708" max="8708" width="12.33203125" style="331" customWidth="1"/>
    <col min="8709" max="8709" width="13.33203125" style="331" customWidth="1"/>
    <col min="8710" max="8710" width="12.44140625" style="331" customWidth="1"/>
    <col min="8711" max="8712" width="13.33203125" style="331" customWidth="1"/>
    <col min="8713" max="8713" width="16.6640625" style="331" customWidth="1"/>
    <col min="8714" max="8961" width="9.109375" style="331"/>
    <col min="8962" max="8962" width="42.109375" style="331" customWidth="1"/>
    <col min="8963" max="8963" width="9.109375" style="331"/>
    <col min="8964" max="8964" width="12.33203125" style="331" customWidth="1"/>
    <col min="8965" max="8965" width="13.33203125" style="331" customWidth="1"/>
    <col min="8966" max="8966" width="12.44140625" style="331" customWidth="1"/>
    <col min="8967" max="8968" width="13.33203125" style="331" customWidth="1"/>
    <col min="8969" max="8969" width="16.6640625" style="331" customWidth="1"/>
    <col min="8970" max="9217" width="9.109375" style="331"/>
    <col min="9218" max="9218" width="42.109375" style="331" customWidth="1"/>
    <col min="9219" max="9219" width="9.109375" style="331"/>
    <col min="9220" max="9220" width="12.33203125" style="331" customWidth="1"/>
    <col min="9221" max="9221" width="13.33203125" style="331" customWidth="1"/>
    <col min="9222" max="9222" width="12.44140625" style="331" customWidth="1"/>
    <col min="9223" max="9224" width="13.33203125" style="331" customWidth="1"/>
    <col min="9225" max="9225" width="16.6640625" style="331" customWidth="1"/>
    <col min="9226" max="9473" width="9.109375" style="331"/>
    <col min="9474" max="9474" width="42.109375" style="331" customWidth="1"/>
    <col min="9475" max="9475" width="9.109375" style="331"/>
    <col min="9476" max="9476" width="12.33203125" style="331" customWidth="1"/>
    <col min="9477" max="9477" width="13.33203125" style="331" customWidth="1"/>
    <col min="9478" max="9478" width="12.44140625" style="331" customWidth="1"/>
    <col min="9479" max="9480" width="13.33203125" style="331" customWidth="1"/>
    <col min="9481" max="9481" width="16.6640625" style="331" customWidth="1"/>
    <col min="9482" max="9729" width="9.109375" style="331"/>
    <col min="9730" max="9730" width="42.109375" style="331" customWidth="1"/>
    <col min="9731" max="9731" width="9.109375" style="331"/>
    <col min="9732" max="9732" width="12.33203125" style="331" customWidth="1"/>
    <col min="9733" max="9733" width="13.33203125" style="331" customWidth="1"/>
    <col min="9734" max="9734" width="12.44140625" style="331" customWidth="1"/>
    <col min="9735" max="9736" width="13.33203125" style="331" customWidth="1"/>
    <col min="9737" max="9737" width="16.6640625" style="331" customWidth="1"/>
    <col min="9738" max="9985" width="9.109375" style="331"/>
    <col min="9986" max="9986" width="42.109375" style="331" customWidth="1"/>
    <col min="9987" max="9987" width="9.109375" style="331"/>
    <col min="9988" max="9988" width="12.33203125" style="331" customWidth="1"/>
    <col min="9989" max="9989" width="13.33203125" style="331" customWidth="1"/>
    <col min="9990" max="9990" width="12.44140625" style="331" customWidth="1"/>
    <col min="9991" max="9992" width="13.33203125" style="331" customWidth="1"/>
    <col min="9993" max="9993" width="16.6640625" style="331" customWidth="1"/>
    <col min="9994" max="10241" width="9.109375" style="331"/>
    <col min="10242" max="10242" width="42.109375" style="331" customWidth="1"/>
    <col min="10243" max="10243" width="9.109375" style="331"/>
    <col min="10244" max="10244" width="12.33203125" style="331" customWidth="1"/>
    <col min="10245" max="10245" width="13.33203125" style="331" customWidth="1"/>
    <col min="10246" max="10246" width="12.44140625" style="331" customWidth="1"/>
    <col min="10247" max="10248" width="13.33203125" style="331" customWidth="1"/>
    <col min="10249" max="10249" width="16.6640625" style="331" customWidth="1"/>
    <col min="10250" max="10497" width="9.109375" style="331"/>
    <col min="10498" max="10498" width="42.109375" style="331" customWidth="1"/>
    <col min="10499" max="10499" width="9.109375" style="331"/>
    <col min="10500" max="10500" width="12.33203125" style="331" customWidth="1"/>
    <col min="10501" max="10501" width="13.33203125" style="331" customWidth="1"/>
    <col min="10502" max="10502" width="12.44140625" style="331" customWidth="1"/>
    <col min="10503" max="10504" width="13.33203125" style="331" customWidth="1"/>
    <col min="10505" max="10505" width="16.6640625" style="331" customWidth="1"/>
    <col min="10506" max="10753" width="9.109375" style="331"/>
    <col min="10754" max="10754" width="42.109375" style="331" customWidth="1"/>
    <col min="10755" max="10755" width="9.109375" style="331"/>
    <col min="10756" max="10756" width="12.33203125" style="331" customWidth="1"/>
    <col min="10757" max="10757" width="13.33203125" style="331" customWidth="1"/>
    <col min="10758" max="10758" width="12.44140625" style="331" customWidth="1"/>
    <col min="10759" max="10760" width="13.33203125" style="331" customWidth="1"/>
    <col min="10761" max="10761" width="16.6640625" style="331" customWidth="1"/>
    <col min="10762" max="11009" width="9.109375" style="331"/>
    <col min="11010" max="11010" width="42.109375" style="331" customWidth="1"/>
    <col min="11011" max="11011" width="9.109375" style="331"/>
    <col min="11012" max="11012" width="12.33203125" style="331" customWidth="1"/>
    <col min="11013" max="11013" width="13.33203125" style="331" customWidth="1"/>
    <col min="11014" max="11014" width="12.44140625" style="331" customWidth="1"/>
    <col min="11015" max="11016" width="13.33203125" style="331" customWidth="1"/>
    <col min="11017" max="11017" width="16.6640625" style="331" customWidth="1"/>
    <col min="11018" max="11265" width="9.109375" style="331"/>
    <col min="11266" max="11266" width="42.109375" style="331" customWidth="1"/>
    <col min="11267" max="11267" width="9.109375" style="331"/>
    <col min="11268" max="11268" width="12.33203125" style="331" customWidth="1"/>
    <col min="11269" max="11269" width="13.33203125" style="331" customWidth="1"/>
    <col min="11270" max="11270" width="12.44140625" style="331" customWidth="1"/>
    <col min="11271" max="11272" width="13.33203125" style="331" customWidth="1"/>
    <col min="11273" max="11273" width="16.6640625" style="331" customWidth="1"/>
    <col min="11274" max="11521" width="9.109375" style="331"/>
    <col min="11522" max="11522" width="42.109375" style="331" customWidth="1"/>
    <col min="11523" max="11523" width="9.109375" style="331"/>
    <col min="11524" max="11524" width="12.33203125" style="331" customWidth="1"/>
    <col min="11525" max="11525" width="13.33203125" style="331" customWidth="1"/>
    <col min="11526" max="11526" width="12.44140625" style="331" customWidth="1"/>
    <col min="11527" max="11528" width="13.33203125" style="331" customWidth="1"/>
    <col min="11529" max="11529" width="16.6640625" style="331" customWidth="1"/>
    <col min="11530" max="11777" width="9.109375" style="331"/>
    <col min="11778" max="11778" width="42.109375" style="331" customWidth="1"/>
    <col min="11779" max="11779" width="9.109375" style="331"/>
    <col min="11780" max="11780" width="12.33203125" style="331" customWidth="1"/>
    <col min="11781" max="11781" width="13.33203125" style="331" customWidth="1"/>
    <col min="11782" max="11782" width="12.44140625" style="331" customWidth="1"/>
    <col min="11783" max="11784" width="13.33203125" style="331" customWidth="1"/>
    <col min="11785" max="11785" width="16.6640625" style="331" customWidth="1"/>
    <col min="11786" max="12033" width="9.109375" style="331"/>
    <col min="12034" max="12034" width="42.109375" style="331" customWidth="1"/>
    <col min="12035" max="12035" width="9.109375" style="331"/>
    <col min="12036" max="12036" width="12.33203125" style="331" customWidth="1"/>
    <col min="12037" max="12037" width="13.33203125" style="331" customWidth="1"/>
    <col min="12038" max="12038" width="12.44140625" style="331" customWidth="1"/>
    <col min="12039" max="12040" width="13.33203125" style="331" customWidth="1"/>
    <col min="12041" max="12041" width="16.6640625" style="331" customWidth="1"/>
    <col min="12042" max="12289" width="9.109375" style="331"/>
    <col min="12290" max="12290" width="42.109375" style="331" customWidth="1"/>
    <col min="12291" max="12291" width="9.109375" style="331"/>
    <col min="12292" max="12292" width="12.33203125" style="331" customWidth="1"/>
    <col min="12293" max="12293" width="13.33203125" style="331" customWidth="1"/>
    <col min="12294" max="12294" width="12.44140625" style="331" customWidth="1"/>
    <col min="12295" max="12296" width="13.33203125" style="331" customWidth="1"/>
    <col min="12297" max="12297" width="16.6640625" style="331" customWidth="1"/>
    <col min="12298" max="12545" width="9.109375" style="331"/>
    <col min="12546" max="12546" width="42.109375" style="331" customWidth="1"/>
    <col min="12547" max="12547" width="9.109375" style="331"/>
    <col min="12548" max="12548" width="12.33203125" style="331" customWidth="1"/>
    <col min="12549" max="12549" width="13.33203125" style="331" customWidth="1"/>
    <col min="12550" max="12550" width="12.44140625" style="331" customWidth="1"/>
    <col min="12551" max="12552" width="13.33203125" style="331" customWidth="1"/>
    <col min="12553" max="12553" width="16.6640625" style="331" customWidth="1"/>
    <col min="12554" max="12801" width="9.109375" style="331"/>
    <col min="12802" max="12802" width="42.109375" style="331" customWidth="1"/>
    <col min="12803" max="12803" width="9.109375" style="331"/>
    <col min="12804" max="12804" width="12.33203125" style="331" customWidth="1"/>
    <col min="12805" max="12805" width="13.33203125" style="331" customWidth="1"/>
    <col min="12806" max="12806" width="12.44140625" style="331" customWidth="1"/>
    <col min="12807" max="12808" width="13.33203125" style="331" customWidth="1"/>
    <col min="12809" max="12809" width="16.6640625" style="331" customWidth="1"/>
    <col min="12810" max="13057" width="9.109375" style="331"/>
    <col min="13058" max="13058" width="42.109375" style="331" customWidth="1"/>
    <col min="13059" max="13059" width="9.109375" style="331"/>
    <col min="13060" max="13060" width="12.33203125" style="331" customWidth="1"/>
    <col min="13061" max="13061" width="13.33203125" style="331" customWidth="1"/>
    <col min="13062" max="13062" width="12.44140625" style="331" customWidth="1"/>
    <col min="13063" max="13064" width="13.33203125" style="331" customWidth="1"/>
    <col min="13065" max="13065" width="16.6640625" style="331" customWidth="1"/>
    <col min="13066" max="13313" width="9.109375" style="331"/>
    <col min="13314" max="13314" width="42.109375" style="331" customWidth="1"/>
    <col min="13315" max="13315" width="9.109375" style="331"/>
    <col min="13316" max="13316" width="12.33203125" style="331" customWidth="1"/>
    <col min="13317" max="13317" width="13.33203125" style="331" customWidth="1"/>
    <col min="13318" max="13318" width="12.44140625" style="331" customWidth="1"/>
    <col min="13319" max="13320" width="13.33203125" style="331" customWidth="1"/>
    <col min="13321" max="13321" width="16.6640625" style="331" customWidth="1"/>
    <col min="13322" max="13569" width="9.109375" style="331"/>
    <col min="13570" max="13570" width="42.109375" style="331" customWidth="1"/>
    <col min="13571" max="13571" width="9.109375" style="331"/>
    <col min="13572" max="13572" width="12.33203125" style="331" customWidth="1"/>
    <col min="13573" max="13573" width="13.33203125" style="331" customWidth="1"/>
    <col min="13574" max="13574" width="12.44140625" style="331" customWidth="1"/>
    <col min="13575" max="13576" width="13.33203125" style="331" customWidth="1"/>
    <col min="13577" max="13577" width="16.6640625" style="331" customWidth="1"/>
    <col min="13578" max="13825" width="9.109375" style="331"/>
    <col min="13826" max="13826" width="42.109375" style="331" customWidth="1"/>
    <col min="13827" max="13827" width="9.109375" style="331"/>
    <col min="13828" max="13828" width="12.33203125" style="331" customWidth="1"/>
    <col min="13829" max="13829" width="13.33203125" style="331" customWidth="1"/>
    <col min="13830" max="13830" width="12.44140625" style="331" customWidth="1"/>
    <col min="13831" max="13832" width="13.33203125" style="331" customWidth="1"/>
    <col min="13833" max="13833" width="16.6640625" style="331" customWidth="1"/>
    <col min="13834" max="14081" width="9.109375" style="331"/>
    <col min="14082" max="14082" width="42.109375" style="331" customWidth="1"/>
    <col min="14083" max="14083" width="9.109375" style="331"/>
    <col min="14084" max="14084" width="12.33203125" style="331" customWidth="1"/>
    <col min="14085" max="14085" width="13.33203125" style="331" customWidth="1"/>
    <col min="14086" max="14086" width="12.44140625" style="331" customWidth="1"/>
    <col min="14087" max="14088" width="13.33203125" style="331" customWidth="1"/>
    <col min="14089" max="14089" width="16.6640625" style="331" customWidth="1"/>
    <col min="14090" max="14337" width="9.109375" style="331"/>
    <col min="14338" max="14338" width="42.109375" style="331" customWidth="1"/>
    <col min="14339" max="14339" width="9.109375" style="331"/>
    <col min="14340" max="14340" width="12.33203125" style="331" customWidth="1"/>
    <col min="14341" max="14341" width="13.33203125" style="331" customWidth="1"/>
    <col min="14342" max="14342" width="12.44140625" style="331" customWidth="1"/>
    <col min="14343" max="14344" width="13.33203125" style="331" customWidth="1"/>
    <col min="14345" max="14345" width="16.6640625" style="331" customWidth="1"/>
    <col min="14346" max="14593" width="9.109375" style="331"/>
    <col min="14594" max="14594" width="42.109375" style="331" customWidth="1"/>
    <col min="14595" max="14595" width="9.109375" style="331"/>
    <col min="14596" max="14596" width="12.33203125" style="331" customWidth="1"/>
    <col min="14597" max="14597" width="13.33203125" style="331" customWidth="1"/>
    <col min="14598" max="14598" width="12.44140625" style="331" customWidth="1"/>
    <col min="14599" max="14600" width="13.33203125" style="331" customWidth="1"/>
    <col min="14601" max="14601" width="16.6640625" style="331" customWidth="1"/>
    <col min="14602" max="14849" width="9.109375" style="331"/>
    <col min="14850" max="14850" width="42.109375" style="331" customWidth="1"/>
    <col min="14851" max="14851" width="9.109375" style="331"/>
    <col min="14852" max="14852" width="12.33203125" style="331" customWidth="1"/>
    <col min="14853" max="14853" width="13.33203125" style="331" customWidth="1"/>
    <col min="14854" max="14854" width="12.44140625" style="331" customWidth="1"/>
    <col min="14855" max="14856" width="13.33203125" style="331" customWidth="1"/>
    <col min="14857" max="14857" width="16.6640625" style="331" customWidth="1"/>
    <col min="14858" max="15105" width="9.109375" style="331"/>
    <col min="15106" max="15106" width="42.109375" style="331" customWidth="1"/>
    <col min="15107" max="15107" width="9.109375" style="331"/>
    <col min="15108" max="15108" width="12.33203125" style="331" customWidth="1"/>
    <col min="15109" max="15109" width="13.33203125" style="331" customWidth="1"/>
    <col min="15110" max="15110" width="12.44140625" style="331" customWidth="1"/>
    <col min="15111" max="15112" width="13.33203125" style="331" customWidth="1"/>
    <col min="15113" max="15113" width="16.6640625" style="331" customWidth="1"/>
    <col min="15114" max="15361" width="9.109375" style="331"/>
    <col min="15362" max="15362" width="42.109375" style="331" customWidth="1"/>
    <col min="15363" max="15363" width="9.109375" style="331"/>
    <col min="15364" max="15364" width="12.33203125" style="331" customWidth="1"/>
    <col min="15365" max="15365" width="13.33203125" style="331" customWidth="1"/>
    <col min="15366" max="15366" width="12.44140625" style="331" customWidth="1"/>
    <col min="15367" max="15368" width="13.33203125" style="331" customWidth="1"/>
    <col min="15369" max="15369" width="16.6640625" style="331" customWidth="1"/>
    <col min="15370" max="15617" width="9.109375" style="331"/>
    <col min="15618" max="15618" width="42.109375" style="331" customWidth="1"/>
    <col min="15619" max="15619" width="9.109375" style="331"/>
    <col min="15620" max="15620" width="12.33203125" style="331" customWidth="1"/>
    <col min="15621" max="15621" width="13.33203125" style="331" customWidth="1"/>
    <col min="15622" max="15622" width="12.44140625" style="331" customWidth="1"/>
    <col min="15623" max="15624" width="13.33203125" style="331" customWidth="1"/>
    <col min="15625" max="15625" width="16.6640625" style="331" customWidth="1"/>
    <col min="15626" max="15873" width="9.109375" style="331"/>
    <col min="15874" max="15874" width="42.109375" style="331" customWidth="1"/>
    <col min="15875" max="15875" width="9.109375" style="331"/>
    <col min="15876" max="15876" width="12.33203125" style="331" customWidth="1"/>
    <col min="15877" max="15877" width="13.33203125" style="331" customWidth="1"/>
    <col min="15878" max="15878" width="12.44140625" style="331" customWidth="1"/>
    <col min="15879" max="15880" width="13.33203125" style="331" customWidth="1"/>
    <col min="15881" max="15881" width="16.6640625" style="331" customWidth="1"/>
    <col min="15882" max="16129" width="9.109375" style="331"/>
    <col min="16130" max="16130" width="42.109375" style="331" customWidth="1"/>
    <col min="16131" max="16131" width="9.109375" style="331"/>
    <col min="16132" max="16132" width="12.33203125" style="331" customWidth="1"/>
    <col min="16133" max="16133" width="13.33203125" style="331" customWidth="1"/>
    <col min="16134" max="16134" width="12.44140625" style="331" customWidth="1"/>
    <col min="16135" max="16136" width="13.33203125" style="331" customWidth="1"/>
    <col min="16137" max="16137" width="16.6640625" style="331" customWidth="1"/>
    <col min="16138" max="16384" width="9.109375" style="331"/>
  </cols>
  <sheetData>
    <row r="1" spans="1:14" ht="15.6" x14ac:dyDescent="0.25">
      <c r="A1" s="839" t="s">
        <v>1320</v>
      </c>
      <c r="B1" s="839"/>
      <c r="C1" s="839"/>
      <c r="D1" s="839"/>
      <c r="E1" s="839"/>
      <c r="F1" s="839"/>
      <c r="G1" s="839"/>
      <c r="H1" s="839"/>
      <c r="I1" s="839"/>
    </row>
    <row r="2" spans="1:14" ht="14.4" thickBot="1" x14ac:dyDescent="0.35">
      <c r="A2" s="352"/>
      <c r="B2" s="353"/>
      <c r="C2" s="353"/>
      <c r="D2" s="353"/>
      <c r="E2" s="353"/>
      <c r="F2" s="353"/>
      <c r="G2" s="353"/>
      <c r="H2" s="353"/>
      <c r="I2" s="354"/>
    </row>
    <row r="3" spans="1:14" x14ac:dyDescent="0.25">
      <c r="A3" s="840" t="s">
        <v>1321</v>
      </c>
      <c r="B3" s="842" t="s">
        <v>1322</v>
      </c>
      <c r="C3" s="844" t="s">
        <v>1352</v>
      </c>
      <c r="D3" s="844">
        <v>2018</v>
      </c>
      <c r="E3" s="842" t="s">
        <v>1323</v>
      </c>
      <c r="F3" s="842"/>
      <c r="G3" s="842"/>
      <c r="H3" s="842"/>
      <c r="I3" s="846" t="s">
        <v>92</v>
      </c>
    </row>
    <row r="4" spans="1:14" x14ac:dyDescent="0.25">
      <c r="A4" s="841"/>
      <c r="B4" s="843"/>
      <c r="C4" s="843"/>
      <c r="D4" s="845"/>
      <c r="E4" s="355" t="s">
        <v>579</v>
      </c>
      <c r="F4" s="355" t="s">
        <v>580</v>
      </c>
      <c r="G4" s="355" t="s">
        <v>581</v>
      </c>
      <c r="H4" s="356" t="s">
        <v>1324</v>
      </c>
      <c r="I4" s="847"/>
    </row>
    <row r="5" spans="1:14" x14ac:dyDescent="0.25">
      <c r="A5" s="357" t="s">
        <v>1325</v>
      </c>
      <c r="B5" s="356" t="s">
        <v>1326</v>
      </c>
      <c r="C5" s="356" t="s">
        <v>1327</v>
      </c>
      <c r="D5" s="356" t="s">
        <v>1328</v>
      </c>
      <c r="E5" s="356" t="s">
        <v>1329</v>
      </c>
      <c r="F5" s="356" t="s">
        <v>1330</v>
      </c>
      <c r="G5" s="356" t="s">
        <v>1331</v>
      </c>
      <c r="H5" s="356" t="s">
        <v>1332</v>
      </c>
      <c r="I5" s="358" t="s">
        <v>1333</v>
      </c>
    </row>
    <row r="6" spans="1:14" ht="32.25" customHeight="1" x14ac:dyDescent="0.25">
      <c r="A6" s="357" t="s">
        <v>3</v>
      </c>
      <c r="B6" s="359" t="s">
        <v>1334</v>
      </c>
      <c r="C6" s="360"/>
      <c r="D6" s="361"/>
      <c r="E6" s="361"/>
      <c r="F6" s="361"/>
      <c r="G6" s="361"/>
      <c r="H6" s="361"/>
      <c r="I6" s="362"/>
    </row>
    <row r="7" spans="1:14" s="363" customFormat="1" ht="36.75" customHeight="1" x14ac:dyDescent="0.25">
      <c r="A7" s="357" t="s">
        <v>4</v>
      </c>
      <c r="B7" s="359" t="s">
        <v>1335</v>
      </c>
      <c r="C7" s="360"/>
      <c r="D7" s="361">
        <f>+D8+D10+D9</f>
        <v>24666865</v>
      </c>
      <c r="E7" s="361">
        <f>+E8+E10+E9</f>
        <v>28182624</v>
      </c>
      <c r="F7" s="361">
        <f>+F8+F10+F9</f>
        <v>28182624</v>
      </c>
      <c r="G7" s="361">
        <f>+G8+G10+G9</f>
        <v>28182624</v>
      </c>
      <c r="H7" s="361">
        <f>+H8+H10+H9</f>
        <v>475561691</v>
      </c>
      <c r="I7" s="362">
        <f>SUM(D7:H7)</f>
        <v>584776428</v>
      </c>
    </row>
    <row r="8" spans="1:14" s="363" customFormat="1" ht="23.25" customHeight="1" x14ac:dyDescent="0.25">
      <c r="A8" s="357"/>
      <c r="B8" s="364" t="s">
        <v>1336</v>
      </c>
      <c r="C8" s="360" t="s">
        <v>1337</v>
      </c>
      <c r="D8" s="365">
        <v>10547274</v>
      </c>
      <c r="E8" s="365">
        <v>14063032</v>
      </c>
      <c r="F8" s="365">
        <v>14063032</v>
      </c>
      <c r="G8" s="365">
        <v>14063032</v>
      </c>
      <c r="H8" s="365">
        <v>232040059</v>
      </c>
      <c r="I8" s="362">
        <f>SUM(D8:H8)</f>
        <v>284776429</v>
      </c>
    </row>
    <row r="9" spans="1:14" s="363" customFormat="1" ht="18" customHeight="1" x14ac:dyDescent="0.25">
      <c r="A9" s="357"/>
      <c r="B9" s="364" t="s">
        <v>1338</v>
      </c>
      <c r="C9" s="360" t="s">
        <v>1339</v>
      </c>
      <c r="D9" s="365">
        <v>9743591</v>
      </c>
      <c r="E9" s="365">
        <v>9743592</v>
      </c>
      <c r="F9" s="365">
        <v>9743592</v>
      </c>
      <c r="G9" s="365">
        <v>9743592</v>
      </c>
      <c r="H9" s="365">
        <f>165641101+2435898</f>
        <v>168076999</v>
      </c>
      <c r="I9" s="362">
        <f>SUM(D9:H9)</f>
        <v>207051366</v>
      </c>
    </row>
    <row r="10" spans="1:14" s="363" customFormat="1" ht="21.75" customHeight="1" x14ac:dyDescent="0.25">
      <c r="A10" s="357"/>
      <c r="B10" s="364" t="s">
        <v>1340</v>
      </c>
      <c r="C10" s="360" t="s">
        <v>1339</v>
      </c>
      <c r="D10" s="365">
        <v>4376000</v>
      </c>
      <c r="E10" s="365">
        <v>4376000</v>
      </c>
      <c r="F10" s="365">
        <v>4376000</v>
      </c>
      <c r="G10" s="365">
        <v>4376000</v>
      </c>
      <c r="H10" s="365">
        <f>74350633+1094000</f>
        <v>75444633</v>
      </c>
      <c r="I10" s="362">
        <f>SUM(D10:H10)</f>
        <v>92948633</v>
      </c>
    </row>
    <row r="11" spans="1:14" s="363" customFormat="1" ht="21" customHeight="1" x14ac:dyDescent="0.25">
      <c r="A11" s="357" t="s">
        <v>5</v>
      </c>
      <c r="B11" s="359" t="s">
        <v>1341</v>
      </c>
      <c r="C11" s="360"/>
      <c r="D11" s="361">
        <f t="shared" ref="D11:I11" si="0">+D12</f>
        <v>315091099</v>
      </c>
      <c r="E11" s="361">
        <f t="shared" si="0"/>
        <v>62495811</v>
      </c>
      <c r="F11" s="361">
        <f t="shared" si="0"/>
        <v>0</v>
      </c>
      <c r="G11" s="361">
        <f t="shared" si="0"/>
        <v>0</v>
      </c>
      <c r="H11" s="361">
        <f t="shared" si="0"/>
        <v>0</v>
      </c>
      <c r="I11" s="361">
        <f t="shared" si="0"/>
        <v>377586910</v>
      </c>
    </row>
    <row r="12" spans="1:14" s="363" customFormat="1" ht="45.75" customHeight="1" x14ac:dyDescent="0.25">
      <c r="A12" s="357"/>
      <c r="B12" s="366" t="s">
        <v>1342</v>
      </c>
      <c r="C12" s="360" t="s">
        <v>1343</v>
      </c>
      <c r="D12" s="361">
        <v>315091099</v>
      </c>
      <c r="E12" s="361">
        <v>62495811</v>
      </c>
      <c r="F12" s="361">
        <v>0</v>
      </c>
      <c r="G12" s="361">
        <v>0</v>
      </c>
      <c r="H12" s="361">
        <v>0</v>
      </c>
      <c r="I12" s="362">
        <f>SUM(D12:H12)</f>
        <v>377586910</v>
      </c>
    </row>
    <row r="13" spans="1:14" ht="20.25" customHeight="1" x14ac:dyDescent="0.25">
      <c r="A13" s="357" t="s">
        <v>6</v>
      </c>
      <c r="B13" s="359" t="s">
        <v>1344</v>
      </c>
      <c r="C13" s="360"/>
      <c r="D13" s="361"/>
      <c r="E13" s="361"/>
      <c r="F13" s="361"/>
      <c r="G13" s="361"/>
      <c r="H13" s="361"/>
      <c r="I13" s="362"/>
    </row>
    <row r="14" spans="1:14" ht="17.25" customHeight="1" x14ac:dyDescent="0.25">
      <c r="A14" s="357" t="s">
        <v>7</v>
      </c>
      <c r="B14" s="359" t="s">
        <v>1345</v>
      </c>
      <c r="C14" s="360"/>
      <c r="D14" s="361"/>
      <c r="E14" s="361"/>
      <c r="F14" s="361"/>
      <c r="G14" s="361"/>
      <c r="H14" s="361"/>
      <c r="I14" s="362"/>
      <c r="N14" s="331">
        <f>5111108+15211170</f>
        <v>20322278</v>
      </c>
    </row>
    <row r="15" spans="1:14" ht="23.25" customHeight="1" thickBot="1" x14ac:dyDescent="0.3">
      <c r="A15" s="837" t="s">
        <v>1346</v>
      </c>
      <c r="B15" s="838"/>
      <c r="C15" s="367">
        <f t="shared" ref="C15:I15" si="1">+C6+C7+C11+C13+C14</f>
        <v>0</v>
      </c>
      <c r="D15" s="367">
        <f>+D6+D7+D11+D13+D14</f>
        <v>339757964</v>
      </c>
      <c r="E15" s="367">
        <f t="shared" si="1"/>
        <v>90678435</v>
      </c>
      <c r="F15" s="367">
        <f t="shared" si="1"/>
        <v>28182624</v>
      </c>
      <c r="G15" s="367">
        <f t="shared" si="1"/>
        <v>28182624</v>
      </c>
      <c r="H15" s="367">
        <f t="shared" si="1"/>
        <v>475561691</v>
      </c>
      <c r="I15" s="368">
        <f t="shared" si="1"/>
        <v>962363338</v>
      </c>
    </row>
  </sheetData>
  <mergeCells count="8">
    <mergeCell ref="A15:B15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8" orientation="landscape" r:id="rId1"/>
  <headerFooter>
    <oddHeader>&amp;CDunaharaszti Város Önkormányzata
2018. évi zárszámadás
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P689"/>
  <sheetViews>
    <sheetView view="pageBreakPreview" zoomScaleNormal="100" zoomScaleSheetLayoutView="100" workbookViewId="0">
      <selection activeCell="B9" sqref="B9"/>
    </sheetView>
  </sheetViews>
  <sheetFormatPr defaultColWidth="12.44140625" defaultRowHeight="10.199999999999999" x14ac:dyDescent="0.2"/>
  <cols>
    <col min="1" max="1" width="25.5546875" style="89" bestFit="1" customWidth="1"/>
    <col min="2" max="4" width="26.109375" style="89" bestFit="1" customWidth="1"/>
    <col min="5" max="5" width="16.44140625" style="89" bestFit="1" customWidth="1"/>
    <col min="6" max="6" width="21.88671875" style="89" customWidth="1"/>
    <col min="7" max="16384" width="12.44140625" style="89"/>
  </cols>
  <sheetData>
    <row r="1" spans="1:94" s="90" customFormat="1" ht="29.25" customHeight="1" x14ac:dyDescent="0.25">
      <c r="A1" s="849" t="s">
        <v>561</v>
      </c>
      <c r="B1" s="849"/>
      <c r="C1" s="849"/>
      <c r="D1" s="849"/>
      <c r="E1" s="849"/>
      <c r="F1" s="87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</row>
    <row r="2" spans="1:94" s="88" customFormat="1" ht="14.25" customHeight="1" x14ac:dyDescent="0.25">
      <c r="A2" s="850"/>
      <c r="B2" s="850"/>
      <c r="C2" s="850"/>
      <c r="D2" s="850"/>
      <c r="E2" s="850"/>
      <c r="F2" s="850"/>
    </row>
    <row r="3" spans="1:94" s="88" customFormat="1" ht="11.25" customHeight="1" x14ac:dyDescent="0.25">
      <c r="A3" s="91"/>
      <c r="E3" s="92"/>
      <c r="F3" s="93"/>
    </row>
    <row r="4" spans="1:94" s="88" customFormat="1" ht="3" customHeight="1" thickBot="1" x14ac:dyDescent="0.25">
      <c r="F4" s="92"/>
    </row>
    <row r="5" spans="1:94" s="94" customFormat="1" ht="37.5" customHeight="1" x14ac:dyDescent="0.2">
      <c r="A5" s="851" t="s">
        <v>2</v>
      </c>
      <c r="B5" s="852" t="s">
        <v>562</v>
      </c>
      <c r="C5" s="852"/>
      <c r="D5" s="852"/>
      <c r="E5" s="853" t="s">
        <v>92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</row>
    <row r="6" spans="1:94" s="96" customFormat="1" ht="26.25" customHeight="1" thickBot="1" x14ac:dyDescent="0.25">
      <c r="A6" s="851"/>
      <c r="B6" s="184">
        <f>+B15+B44</f>
        <v>338945294</v>
      </c>
      <c r="C6" s="184">
        <v>207051367</v>
      </c>
      <c r="D6" s="184">
        <v>92948633</v>
      </c>
      <c r="E6" s="854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</row>
    <row r="7" spans="1:94" s="99" customFormat="1" ht="45" customHeight="1" x14ac:dyDescent="0.2">
      <c r="A7" s="97" t="s">
        <v>563</v>
      </c>
      <c r="B7" s="98" t="s">
        <v>564</v>
      </c>
      <c r="C7" s="98" t="s">
        <v>565</v>
      </c>
      <c r="D7" s="98" t="s">
        <v>566</v>
      </c>
      <c r="E7" s="854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</row>
    <row r="8" spans="1:94" s="99" customFormat="1" ht="22.5" customHeight="1" x14ac:dyDescent="0.2">
      <c r="A8" s="97" t="s">
        <v>567</v>
      </c>
      <c r="B8" s="100">
        <v>41466</v>
      </c>
      <c r="C8" s="100">
        <v>41647</v>
      </c>
      <c r="D8" s="100">
        <v>41647</v>
      </c>
      <c r="E8" s="854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</row>
    <row r="9" spans="1:94" s="99" customFormat="1" ht="18" customHeight="1" x14ac:dyDescent="0.2">
      <c r="A9" s="101" t="s">
        <v>568</v>
      </c>
      <c r="B9" s="102"/>
      <c r="C9" s="102"/>
      <c r="D9" s="102"/>
      <c r="E9" s="854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</row>
    <row r="10" spans="1:94" s="99" customFormat="1" ht="13.5" customHeight="1" x14ac:dyDescent="0.2">
      <c r="A10" s="103" t="s">
        <v>569</v>
      </c>
      <c r="B10" s="104" t="s">
        <v>888</v>
      </c>
      <c r="C10" s="104" t="s">
        <v>889</v>
      </c>
      <c r="D10" s="104" t="s">
        <v>889</v>
      </c>
      <c r="E10" s="854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</row>
    <row r="11" spans="1:94" s="107" customFormat="1" ht="12.75" customHeight="1" x14ac:dyDescent="0.2">
      <c r="A11" s="103" t="s">
        <v>63</v>
      </c>
      <c r="B11" s="105" t="s">
        <v>3</v>
      </c>
      <c r="C11" s="105" t="s">
        <v>4</v>
      </c>
      <c r="D11" s="105" t="s">
        <v>5</v>
      </c>
      <c r="E11" s="854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</row>
    <row r="12" spans="1:94" s="110" customFormat="1" ht="31.5" customHeight="1" x14ac:dyDescent="0.2">
      <c r="A12" s="95" t="s">
        <v>570</v>
      </c>
      <c r="B12" s="108" t="s">
        <v>571</v>
      </c>
      <c r="C12" s="108" t="s">
        <v>571</v>
      </c>
      <c r="D12" s="108" t="s">
        <v>571</v>
      </c>
      <c r="E12" s="854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</row>
    <row r="13" spans="1:94" s="110" customFormat="1" ht="44.25" customHeight="1" x14ac:dyDescent="0.2">
      <c r="A13" s="111" t="s">
        <v>572</v>
      </c>
      <c r="B13" s="112"/>
      <c r="C13" s="112"/>
      <c r="D13" s="112"/>
      <c r="E13" s="855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</row>
    <row r="14" spans="1:94" s="114" customFormat="1" ht="14.25" customHeight="1" x14ac:dyDescent="0.2">
      <c r="A14" s="113" t="s">
        <v>573</v>
      </c>
      <c r="B14" s="113"/>
      <c r="C14" s="113"/>
      <c r="D14" s="113"/>
      <c r="E14" s="113" t="s">
        <v>574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</row>
    <row r="15" spans="1:94" ht="15.9" customHeight="1" x14ac:dyDescent="0.2">
      <c r="A15" s="95" t="s">
        <v>891</v>
      </c>
      <c r="B15" s="115">
        <v>64716139</v>
      </c>
      <c r="C15" s="115"/>
      <c r="D15" s="115"/>
      <c r="E15" s="116">
        <f>SUM(B15:B15)</f>
        <v>64716139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</row>
    <row r="16" spans="1:94" ht="15.9" customHeight="1" x14ac:dyDescent="0.2">
      <c r="A16" s="95" t="s">
        <v>575</v>
      </c>
      <c r="B16" s="115"/>
      <c r="C16" s="115"/>
      <c r="D16" s="115"/>
      <c r="E16" s="116">
        <f>SUM(B16:B16)</f>
        <v>0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</row>
    <row r="17" spans="1:94" s="90" customFormat="1" ht="15.9" customHeight="1" x14ac:dyDescent="0.2">
      <c r="A17" s="95" t="s">
        <v>576</v>
      </c>
      <c r="B17" s="115"/>
      <c r="C17" s="115"/>
      <c r="D17" s="115"/>
      <c r="E17" s="116">
        <f>SUM(B17:B17)</f>
        <v>0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</row>
    <row r="18" spans="1:94" s="90" customFormat="1" ht="15.9" customHeight="1" x14ac:dyDescent="0.2">
      <c r="A18" s="95" t="s">
        <v>577</v>
      </c>
      <c r="B18" s="115"/>
      <c r="C18" s="115"/>
      <c r="D18" s="115"/>
      <c r="E18" s="116">
        <f>SUM(B18:D18)</f>
        <v>0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</row>
    <row r="19" spans="1:94" s="381" customFormat="1" ht="30" customHeight="1" x14ac:dyDescent="0.2">
      <c r="A19" s="111" t="s">
        <v>1347</v>
      </c>
      <c r="B19" s="115"/>
      <c r="C19" s="115">
        <v>2435898</v>
      </c>
      <c r="D19" s="115">
        <v>1094000</v>
      </c>
      <c r="E19" s="116">
        <f>SUM(B19:D19)</f>
        <v>3529898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</row>
    <row r="20" spans="1:94" s="90" customFormat="1" ht="15.9" customHeight="1" x14ac:dyDescent="0.2">
      <c r="A20" s="95" t="s">
        <v>578</v>
      </c>
      <c r="B20" s="115">
        <v>10547274</v>
      </c>
      <c r="C20" s="115">
        <f>9743592-2435898</f>
        <v>7307694</v>
      </c>
      <c r="D20" s="115">
        <f>4376000-1094000</f>
        <v>3282000</v>
      </c>
      <c r="E20" s="116">
        <f t="shared" ref="E20:E42" si="0">SUM(B20:D20)</f>
        <v>21136968</v>
      </c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</row>
    <row r="21" spans="1:94" s="381" customFormat="1" ht="20.399999999999999" x14ac:dyDescent="0.2">
      <c r="A21" s="111" t="s">
        <v>1348</v>
      </c>
      <c r="B21" s="115"/>
      <c r="C21" s="115">
        <v>2435898</v>
      </c>
      <c r="D21" s="115">
        <v>1094000</v>
      </c>
      <c r="E21" s="116">
        <f t="shared" si="0"/>
        <v>3529898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</row>
    <row r="22" spans="1:94" s="90" customFormat="1" ht="15.9" customHeight="1" x14ac:dyDescent="0.2">
      <c r="A22" s="95" t="s">
        <v>579</v>
      </c>
      <c r="B22" s="115">
        <v>14063032</v>
      </c>
      <c r="C22" s="115">
        <v>9743592</v>
      </c>
      <c r="D22" s="115">
        <v>4376000</v>
      </c>
      <c r="E22" s="116">
        <f t="shared" si="0"/>
        <v>28182624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</row>
    <row r="23" spans="1:94" s="90" customFormat="1" ht="15.9" customHeight="1" x14ac:dyDescent="0.2">
      <c r="A23" s="95" t="s">
        <v>580</v>
      </c>
      <c r="B23" s="115">
        <v>14063032</v>
      </c>
      <c r="C23" s="115">
        <v>9743592</v>
      </c>
      <c r="D23" s="115">
        <v>4376000</v>
      </c>
      <c r="E23" s="116">
        <f t="shared" si="0"/>
        <v>28182624</v>
      </c>
      <c r="F23" s="88"/>
      <c r="G23" s="117"/>
      <c r="H23" s="118"/>
      <c r="I23" s="118"/>
      <c r="J23" s="119"/>
      <c r="K23" s="120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</row>
    <row r="24" spans="1:94" s="90" customFormat="1" ht="15.9" customHeight="1" x14ac:dyDescent="0.2">
      <c r="A24" s="95" t="s">
        <v>581</v>
      </c>
      <c r="B24" s="115">
        <v>14063032</v>
      </c>
      <c r="C24" s="115">
        <v>9743592</v>
      </c>
      <c r="D24" s="115">
        <v>4376000</v>
      </c>
      <c r="E24" s="116">
        <f t="shared" si="0"/>
        <v>28182624</v>
      </c>
      <c r="F24" s="88"/>
      <c r="G24" s="121"/>
      <c r="H24" s="121"/>
      <c r="I24" s="121"/>
      <c r="J24" s="121"/>
      <c r="K24" s="121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</row>
    <row r="25" spans="1:94" s="90" customFormat="1" ht="15.9" customHeight="1" x14ac:dyDescent="0.2">
      <c r="A25" s="95" t="s">
        <v>582</v>
      </c>
      <c r="B25" s="115">
        <v>14063032</v>
      </c>
      <c r="C25" s="115">
        <v>9743592</v>
      </c>
      <c r="D25" s="115">
        <v>4376000</v>
      </c>
      <c r="E25" s="116">
        <f t="shared" si="0"/>
        <v>28182624</v>
      </c>
      <c r="F25" s="88"/>
      <c r="G25" s="121"/>
      <c r="H25" s="121"/>
      <c r="I25" s="121"/>
      <c r="J25" s="121"/>
      <c r="K25" s="121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</row>
    <row r="26" spans="1:94" s="90" customFormat="1" ht="15.9" customHeight="1" x14ac:dyDescent="0.2">
      <c r="A26" s="95" t="s">
        <v>583</v>
      </c>
      <c r="B26" s="115">
        <v>14063032</v>
      </c>
      <c r="C26" s="115">
        <v>9743592</v>
      </c>
      <c r="D26" s="115">
        <v>4376000</v>
      </c>
      <c r="E26" s="116">
        <f t="shared" si="0"/>
        <v>28182624</v>
      </c>
      <c r="F26" s="88"/>
      <c r="G26" s="121"/>
      <c r="H26" s="121"/>
      <c r="I26" s="121"/>
      <c r="J26" s="121"/>
      <c r="K26" s="121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</row>
    <row r="27" spans="1:94" s="90" customFormat="1" ht="15.9" customHeight="1" x14ac:dyDescent="0.2">
      <c r="A27" s="95" t="s">
        <v>584</v>
      </c>
      <c r="B27" s="115">
        <v>14063032</v>
      </c>
      <c r="C27" s="115">
        <v>9743592</v>
      </c>
      <c r="D27" s="115">
        <v>4376000</v>
      </c>
      <c r="E27" s="116">
        <f t="shared" si="0"/>
        <v>28182624</v>
      </c>
      <c r="F27" s="88"/>
      <c r="G27" s="121"/>
      <c r="H27" s="121"/>
      <c r="I27" s="121"/>
      <c r="J27" s="121"/>
      <c r="K27" s="121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</row>
    <row r="28" spans="1:94" s="90" customFormat="1" ht="15.9" customHeight="1" x14ac:dyDescent="0.2">
      <c r="A28" s="95" t="s">
        <v>585</v>
      </c>
      <c r="B28" s="115">
        <v>14063032</v>
      </c>
      <c r="C28" s="115">
        <v>9743592</v>
      </c>
      <c r="D28" s="115">
        <v>4376000</v>
      </c>
      <c r="E28" s="116">
        <f t="shared" si="0"/>
        <v>28182624</v>
      </c>
      <c r="F28" s="88"/>
      <c r="G28" s="121"/>
      <c r="H28" s="121"/>
      <c r="I28" s="121"/>
      <c r="J28" s="121"/>
      <c r="K28" s="121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</row>
    <row r="29" spans="1:94" s="90" customFormat="1" ht="15.9" customHeight="1" x14ac:dyDescent="0.2">
      <c r="A29" s="95" t="s">
        <v>586</v>
      </c>
      <c r="B29" s="115">
        <v>14063032</v>
      </c>
      <c r="C29" s="115">
        <v>9743592</v>
      </c>
      <c r="D29" s="115">
        <v>4376000</v>
      </c>
      <c r="E29" s="116">
        <f t="shared" si="0"/>
        <v>28182624</v>
      </c>
      <c r="F29" s="88"/>
      <c r="G29" s="121"/>
      <c r="H29" s="121"/>
      <c r="I29" s="121"/>
      <c r="J29" s="121"/>
      <c r="K29" s="121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</row>
    <row r="30" spans="1:94" s="90" customFormat="1" ht="15.9" customHeight="1" x14ac:dyDescent="0.2">
      <c r="A30" s="95" t="s">
        <v>587</v>
      </c>
      <c r="B30" s="115">
        <v>14063032</v>
      </c>
      <c r="C30" s="115">
        <v>9743592</v>
      </c>
      <c r="D30" s="115">
        <v>4376000</v>
      </c>
      <c r="E30" s="116">
        <f t="shared" si="0"/>
        <v>28182624</v>
      </c>
      <c r="F30" s="88"/>
      <c r="G30" s="121"/>
      <c r="H30" s="121"/>
      <c r="I30" s="121"/>
      <c r="J30" s="121"/>
      <c r="K30" s="121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</row>
    <row r="31" spans="1:94" s="90" customFormat="1" ht="15.9" customHeight="1" x14ac:dyDescent="0.2">
      <c r="A31" s="95" t="s">
        <v>588</v>
      </c>
      <c r="B31" s="115">
        <v>14063032</v>
      </c>
      <c r="C31" s="115">
        <v>9743592</v>
      </c>
      <c r="D31" s="115">
        <v>4376000</v>
      </c>
      <c r="E31" s="116">
        <f t="shared" si="0"/>
        <v>28182624</v>
      </c>
      <c r="F31" s="88"/>
      <c r="G31" s="121"/>
      <c r="H31" s="121"/>
      <c r="I31" s="121"/>
      <c r="J31" s="121"/>
      <c r="K31" s="121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</row>
    <row r="32" spans="1:94" s="90" customFormat="1" ht="15.9" customHeight="1" x14ac:dyDescent="0.2">
      <c r="A32" s="95" t="s">
        <v>589</v>
      </c>
      <c r="B32" s="115">
        <v>14063032</v>
      </c>
      <c r="C32" s="115">
        <v>9743592</v>
      </c>
      <c r="D32" s="115">
        <v>4376000</v>
      </c>
      <c r="E32" s="116">
        <f t="shared" si="0"/>
        <v>28182624</v>
      </c>
      <c r="F32" s="88"/>
      <c r="G32" s="121"/>
      <c r="H32" s="121"/>
      <c r="I32" s="121"/>
      <c r="J32" s="121"/>
      <c r="K32" s="121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</row>
    <row r="33" spans="1:94" s="90" customFormat="1" ht="15.9" customHeight="1" x14ac:dyDescent="0.2">
      <c r="A33" s="95" t="s">
        <v>590</v>
      </c>
      <c r="B33" s="115">
        <v>14063032</v>
      </c>
      <c r="C33" s="115">
        <v>9743592</v>
      </c>
      <c r="D33" s="115">
        <v>4376000</v>
      </c>
      <c r="E33" s="116">
        <f t="shared" si="0"/>
        <v>28182624</v>
      </c>
      <c r="F33" s="88"/>
      <c r="G33" s="121"/>
      <c r="H33" s="121"/>
      <c r="I33" s="121"/>
      <c r="J33" s="121"/>
      <c r="K33" s="121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</row>
    <row r="34" spans="1:94" s="90" customFormat="1" ht="15.9" customHeight="1" x14ac:dyDescent="0.2">
      <c r="A34" s="95" t="s">
        <v>591</v>
      </c>
      <c r="B34" s="115">
        <v>14063032</v>
      </c>
      <c r="C34" s="115">
        <v>9743592</v>
      </c>
      <c r="D34" s="115">
        <v>4376000</v>
      </c>
      <c r="E34" s="116">
        <f t="shared" si="0"/>
        <v>28182624</v>
      </c>
      <c r="F34" s="88"/>
      <c r="G34" s="121"/>
      <c r="H34" s="121"/>
      <c r="I34" s="121"/>
      <c r="J34" s="121"/>
      <c r="K34" s="121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</row>
    <row r="35" spans="1:94" s="90" customFormat="1" ht="15.9" customHeight="1" x14ac:dyDescent="0.2">
      <c r="A35" s="95" t="s">
        <v>592</v>
      </c>
      <c r="B35" s="115">
        <v>14063032</v>
      </c>
      <c r="C35" s="115">
        <v>9743592</v>
      </c>
      <c r="D35" s="115">
        <v>4376000</v>
      </c>
      <c r="E35" s="116">
        <f t="shared" si="0"/>
        <v>28182624</v>
      </c>
      <c r="F35" s="88"/>
      <c r="G35" s="121"/>
      <c r="H35" s="121"/>
      <c r="I35" s="121"/>
      <c r="J35" s="121"/>
      <c r="K35" s="121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</row>
    <row r="36" spans="1:94" s="90" customFormat="1" ht="15.9" customHeight="1" x14ac:dyDescent="0.2">
      <c r="A36" s="95" t="s">
        <v>593</v>
      </c>
      <c r="B36" s="115">
        <v>14063032</v>
      </c>
      <c r="C36" s="115">
        <v>9743592</v>
      </c>
      <c r="D36" s="115">
        <v>4376000</v>
      </c>
      <c r="E36" s="116">
        <f t="shared" si="0"/>
        <v>28182624</v>
      </c>
      <c r="F36" s="88"/>
      <c r="G36" s="121"/>
      <c r="H36" s="121"/>
      <c r="I36" s="121"/>
      <c r="J36" s="121"/>
      <c r="K36" s="121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</row>
    <row r="37" spans="1:94" s="90" customFormat="1" ht="15.9" customHeight="1" x14ac:dyDescent="0.2">
      <c r="A37" s="95" t="s">
        <v>594</v>
      </c>
      <c r="B37" s="115">
        <v>14063032</v>
      </c>
      <c r="C37" s="115">
        <v>9743592</v>
      </c>
      <c r="D37" s="115">
        <v>4376000</v>
      </c>
      <c r="E37" s="116">
        <f t="shared" si="0"/>
        <v>28182624</v>
      </c>
      <c r="F37" s="88"/>
      <c r="G37" s="121"/>
      <c r="H37" s="121"/>
      <c r="I37" s="121"/>
      <c r="J37" s="121"/>
      <c r="K37" s="121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</row>
    <row r="38" spans="1:94" s="90" customFormat="1" ht="15.9" customHeight="1" x14ac:dyDescent="0.2">
      <c r="A38" s="95" t="s">
        <v>595</v>
      </c>
      <c r="B38" s="115">
        <v>14063032</v>
      </c>
      <c r="C38" s="115">
        <v>9743592</v>
      </c>
      <c r="D38" s="115">
        <v>4376000</v>
      </c>
      <c r="E38" s="116">
        <f t="shared" si="0"/>
        <v>28182624</v>
      </c>
      <c r="F38" s="88"/>
      <c r="G38" s="121"/>
      <c r="H38" s="121"/>
      <c r="I38" s="121"/>
      <c r="J38" s="121"/>
      <c r="K38" s="121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</row>
    <row r="39" spans="1:94" s="90" customFormat="1" ht="15.9" customHeight="1" x14ac:dyDescent="0.2">
      <c r="A39" s="95" t="s">
        <v>596</v>
      </c>
      <c r="B39" s="115">
        <v>14063032</v>
      </c>
      <c r="C39" s="115">
        <v>9743592</v>
      </c>
      <c r="D39" s="115">
        <v>4376000</v>
      </c>
      <c r="E39" s="116">
        <f t="shared" si="0"/>
        <v>28182624</v>
      </c>
      <c r="F39" s="88"/>
      <c r="G39" s="121"/>
      <c r="H39" s="121"/>
      <c r="I39" s="121"/>
      <c r="J39" s="121"/>
      <c r="K39" s="121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</row>
    <row r="40" spans="1:94" s="90" customFormat="1" ht="15.9" customHeight="1" x14ac:dyDescent="0.2">
      <c r="A40" s="95" t="s">
        <v>597</v>
      </c>
      <c r="B40" s="115">
        <v>14063032</v>
      </c>
      <c r="C40" s="115">
        <v>9743592</v>
      </c>
      <c r="D40" s="115">
        <v>4376000</v>
      </c>
      <c r="E40" s="116">
        <f t="shared" si="0"/>
        <v>28182624</v>
      </c>
      <c r="F40" s="88"/>
      <c r="G40" s="121"/>
      <c r="H40" s="121"/>
      <c r="I40" s="121"/>
      <c r="J40" s="121"/>
      <c r="K40" s="121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</row>
    <row r="41" spans="1:94" s="90" customFormat="1" ht="15.9" customHeight="1" x14ac:dyDescent="0.2">
      <c r="A41" s="95" t="s">
        <v>598</v>
      </c>
      <c r="B41" s="115">
        <v>7031547</v>
      </c>
      <c r="C41" s="115">
        <v>9743629</v>
      </c>
      <c r="D41" s="115">
        <v>4334633</v>
      </c>
      <c r="E41" s="116">
        <f t="shared" si="0"/>
        <v>21109809</v>
      </c>
      <c r="F41" s="88"/>
      <c r="G41" s="121"/>
      <c r="H41" s="121"/>
      <c r="I41" s="121"/>
      <c r="J41" s="121"/>
      <c r="K41" s="121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</row>
    <row r="42" spans="1:94" s="90" customFormat="1" ht="15.9" customHeight="1" x14ac:dyDescent="0.2">
      <c r="A42" s="122" t="s">
        <v>599</v>
      </c>
      <c r="B42" s="123"/>
      <c r="C42" s="123"/>
      <c r="D42" s="124"/>
      <c r="E42" s="116">
        <f t="shared" si="0"/>
        <v>0</v>
      </c>
      <c r="F42" s="88"/>
      <c r="G42" s="121"/>
      <c r="H42" s="121"/>
      <c r="I42" s="121"/>
      <c r="J42" s="121"/>
      <c r="K42" s="121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</row>
    <row r="43" spans="1:94" s="129" customFormat="1" ht="31.5" customHeight="1" thickBot="1" x14ac:dyDescent="0.25">
      <c r="A43" s="125" t="s">
        <v>1349</v>
      </c>
      <c r="B43" s="126">
        <f>SUM(B22:B42)</f>
        <v>274229155</v>
      </c>
      <c r="C43" s="126">
        <f>SUM(C21:C42)</f>
        <v>197307775</v>
      </c>
      <c r="D43" s="126">
        <f>SUM(D21:D42)</f>
        <v>88572633</v>
      </c>
      <c r="E43" s="126">
        <f>SUM(E21:E42)</f>
        <v>560109563</v>
      </c>
      <c r="F43" s="127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</row>
    <row r="44" spans="1:94" s="133" customFormat="1" ht="31.5" customHeight="1" thickTop="1" thickBot="1" x14ac:dyDescent="0.25">
      <c r="A44" s="130" t="s">
        <v>1356</v>
      </c>
      <c r="B44" s="131">
        <v>274229155</v>
      </c>
      <c r="C44" s="131">
        <v>197307775</v>
      </c>
      <c r="D44" s="131">
        <v>88572633</v>
      </c>
      <c r="E44" s="131">
        <f>SUM(B44:D44)</f>
        <v>560109563</v>
      </c>
      <c r="F44" s="132"/>
      <c r="G44" s="132"/>
    </row>
    <row r="45" spans="1:94" s="133" customFormat="1" ht="31.5" customHeight="1" thickTop="1" thickBot="1" x14ac:dyDescent="0.25">
      <c r="A45" s="134" t="s">
        <v>600</v>
      </c>
      <c r="B45" s="131">
        <v>0</v>
      </c>
      <c r="C45" s="131">
        <v>0</v>
      </c>
      <c r="D45" s="131">
        <v>0</v>
      </c>
      <c r="E45" s="131">
        <f>SUM(B45:D45)</f>
        <v>0</v>
      </c>
      <c r="F45" s="132"/>
      <c r="G45" s="132"/>
    </row>
    <row r="46" spans="1:94" s="88" customFormat="1" ht="11.25" customHeight="1" thickTop="1" x14ac:dyDescent="0.2">
      <c r="A46" s="135"/>
      <c r="B46" s="136"/>
      <c r="C46" s="136"/>
      <c r="D46" s="136"/>
      <c r="E46" s="136"/>
      <c r="F46" s="137"/>
    </row>
    <row r="47" spans="1:94" s="139" customFormat="1" ht="9" customHeight="1" x14ac:dyDescent="0.2">
      <c r="A47" s="144"/>
      <c r="B47" s="144"/>
      <c r="C47" s="138"/>
      <c r="D47" s="138"/>
      <c r="F47" s="140"/>
      <c r="G47" s="140"/>
    </row>
    <row r="48" spans="1:94" s="144" customFormat="1" ht="21" customHeight="1" x14ac:dyDescent="0.2">
      <c r="A48" s="848" t="s">
        <v>890</v>
      </c>
      <c r="B48" s="848"/>
      <c r="C48" s="141"/>
      <c r="D48" s="141"/>
      <c r="E48" s="142"/>
      <c r="F48" s="143"/>
      <c r="G48" s="143"/>
    </row>
    <row r="49" spans="1:94" s="88" customFormat="1" x14ac:dyDescent="0.2">
      <c r="A49" s="145"/>
      <c r="C49" s="92"/>
      <c r="D49" s="92"/>
      <c r="E49" s="146"/>
      <c r="F49" s="147"/>
      <c r="H49" s="147"/>
    </row>
    <row r="50" spans="1:94" s="88" customFormat="1" x14ac:dyDescent="0.2">
      <c r="A50" s="145"/>
      <c r="B50" s="147">
        <f>SUM(B15:B42)</f>
        <v>349492568</v>
      </c>
      <c r="C50" s="147"/>
      <c r="D50" s="147"/>
      <c r="F50" s="147"/>
    </row>
    <row r="51" spans="1:94" s="88" customFormat="1" ht="10.5" customHeight="1" x14ac:dyDescent="0.2"/>
    <row r="52" spans="1:94" s="88" customFormat="1" x14ac:dyDescent="0.2"/>
    <row r="53" spans="1:94" s="88" customFormat="1" x14ac:dyDescent="0.2">
      <c r="B53" s="137">
        <f>+B43-B44-B45</f>
        <v>0</v>
      </c>
    </row>
    <row r="54" spans="1:94" s="88" customFormat="1" x14ac:dyDescent="0.2"/>
    <row r="55" spans="1:94" s="88" customFormat="1" x14ac:dyDescent="0.2">
      <c r="B55" s="147"/>
      <c r="C55" s="147"/>
      <c r="D55" s="147"/>
      <c r="E55" s="147"/>
    </row>
    <row r="56" spans="1:94" s="148" customFormat="1" x14ac:dyDescent="0.2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</row>
    <row r="57" spans="1:94" x14ac:dyDescent="0.2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</row>
    <row r="58" spans="1:94" x14ac:dyDescent="0.2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</row>
    <row r="59" spans="1:94" x14ac:dyDescent="0.2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</row>
    <row r="60" spans="1:94" x14ac:dyDescent="0.2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</row>
    <row r="61" spans="1:94" x14ac:dyDescent="0.2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</row>
    <row r="62" spans="1:94" x14ac:dyDescent="0.2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</row>
    <row r="63" spans="1:94" x14ac:dyDescent="0.2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</row>
    <row r="64" spans="1:94" x14ac:dyDescent="0.2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</row>
    <row r="65" spans="1:94" x14ac:dyDescent="0.2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</row>
    <row r="66" spans="1:94" x14ac:dyDescent="0.2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</row>
    <row r="67" spans="1:94" x14ac:dyDescent="0.2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</row>
    <row r="68" spans="1:94" x14ac:dyDescent="0.2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</row>
    <row r="69" spans="1:94" x14ac:dyDescent="0.2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</row>
    <row r="70" spans="1:94" x14ac:dyDescent="0.2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</row>
    <row r="71" spans="1:94" x14ac:dyDescent="0.2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</row>
    <row r="72" spans="1:94" x14ac:dyDescent="0.2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</row>
    <row r="73" spans="1:94" x14ac:dyDescent="0.2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</row>
    <row r="74" spans="1:94" x14ac:dyDescent="0.2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</row>
    <row r="75" spans="1:94" x14ac:dyDescent="0.2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</row>
    <row r="76" spans="1:94" x14ac:dyDescent="0.2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</row>
    <row r="77" spans="1:94" x14ac:dyDescent="0.2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</row>
    <row r="78" spans="1:94" x14ac:dyDescent="0.2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</row>
    <row r="79" spans="1:94" x14ac:dyDescent="0.2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</row>
    <row r="80" spans="1:94" x14ac:dyDescent="0.2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</row>
    <row r="81" spans="1:94" x14ac:dyDescent="0.2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</row>
    <row r="82" spans="1:94" x14ac:dyDescent="0.2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</row>
    <row r="83" spans="1:94" x14ac:dyDescent="0.2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</row>
    <row r="84" spans="1:94" x14ac:dyDescent="0.2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</row>
    <row r="85" spans="1:94" x14ac:dyDescent="0.2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</row>
    <row r="86" spans="1:94" x14ac:dyDescent="0.2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</row>
    <row r="87" spans="1:94" x14ac:dyDescent="0.2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</row>
    <row r="88" spans="1:94" x14ac:dyDescent="0.2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</row>
    <row r="89" spans="1:94" x14ac:dyDescent="0.2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</row>
    <row r="90" spans="1:94" x14ac:dyDescent="0.2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</row>
    <row r="91" spans="1:94" x14ac:dyDescent="0.2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</row>
    <row r="92" spans="1:94" x14ac:dyDescent="0.2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</row>
    <row r="93" spans="1:94" x14ac:dyDescent="0.2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</row>
    <row r="94" spans="1:94" x14ac:dyDescent="0.2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</row>
    <row r="95" spans="1:94" x14ac:dyDescent="0.2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</row>
    <row r="96" spans="1:94" x14ac:dyDescent="0.2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</row>
    <row r="97" spans="1:94" x14ac:dyDescent="0.2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</row>
    <row r="98" spans="1:94" x14ac:dyDescent="0.2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</row>
    <row r="99" spans="1:94" x14ac:dyDescent="0.2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</row>
    <row r="100" spans="1:94" x14ac:dyDescent="0.2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</row>
    <row r="101" spans="1:94" x14ac:dyDescent="0.2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</row>
    <row r="102" spans="1:94" x14ac:dyDescent="0.2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</row>
    <row r="103" spans="1:94" x14ac:dyDescent="0.2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</row>
    <row r="104" spans="1:94" x14ac:dyDescent="0.2">
      <c r="A104" s="88"/>
      <c r="B104" s="88"/>
      <c r="C104" s="88"/>
      <c r="D104" s="88"/>
      <c r="E104" s="88"/>
      <c r="F104" s="88"/>
      <c r="G104" s="88"/>
      <c r="H104" s="149"/>
    </row>
    <row r="105" spans="1:94" x14ac:dyDescent="0.2">
      <c r="A105" s="88"/>
      <c r="B105" s="88"/>
      <c r="C105" s="88"/>
      <c r="D105" s="88"/>
      <c r="E105" s="88"/>
      <c r="F105" s="88"/>
      <c r="G105" s="88"/>
      <c r="H105" s="149"/>
    </row>
    <row r="106" spans="1:94" x14ac:dyDescent="0.2">
      <c r="A106" s="88"/>
      <c r="B106" s="88"/>
      <c r="C106" s="88"/>
      <c r="D106" s="88"/>
      <c r="E106" s="88"/>
      <c r="F106" s="88"/>
      <c r="G106" s="88"/>
      <c r="H106" s="149"/>
    </row>
    <row r="107" spans="1:94" x14ac:dyDescent="0.2">
      <c r="A107" s="88"/>
      <c r="B107" s="88"/>
      <c r="C107" s="88"/>
      <c r="D107" s="88"/>
      <c r="E107" s="88"/>
      <c r="F107" s="88"/>
      <c r="G107" s="88"/>
      <c r="H107" s="149"/>
    </row>
    <row r="108" spans="1:94" x14ac:dyDescent="0.2">
      <c r="A108" s="88"/>
      <c r="B108" s="88"/>
      <c r="C108" s="88"/>
      <c r="D108" s="88"/>
      <c r="E108" s="88"/>
      <c r="F108" s="88"/>
      <c r="G108" s="88"/>
      <c r="H108" s="149"/>
    </row>
    <row r="109" spans="1:94" x14ac:dyDescent="0.2">
      <c r="A109" s="88"/>
      <c r="B109" s="88"/>
      <c r="C109" s="88"/>
      <c r="D109" s="88"/>
      <c r="E109" s="88"/>
      <c r="F109" s="88"/>
      <c r="G109" s="88"/>
      <c r="H109" s="149"/>
    </row>
    <row r="110" spans="1:94" x14ac:dyDescent="0.2">
      <c r="A110" s="88"/>
      <c r="B110" s="88"/>
      <c r="C110" s="88"/>
      <c r="D110" s="88"/>
      <c r="E110" s="88"/>
      <c r="F110" s="88"/>
      <c r="G110" s="88"/>
      <c r="H110" s="149"/>
    </row>
    <row r="111" spans="1:94" x14ac:dyDescent="0.2">
      <c r="A111" s="88"/>
      <c r="B111" s="88"/>
      <c r="C111" s="88"/>
      <c r="D111" s="88"/>
      <c r="E111" s="88"/>
      <c r="F111" s="88"/>
      <c r="G111" s="88"/>
      <c r="H111" s="149"/>
    </row>
    <row r="112" spans="1:94" x14ac:dyDescent="0.2">
      <c r="A112" s="88"/>
      <c r="B112" s="88"/>
      <c r="C112" s="88"/>
      <c r="D112" s="88"/>
      <c r="E112" s="88"/>
      <c r="F112" s="88"/>
      <c r="G112" s="88"/>
      <c r="H112" s="149"/>
    </row>
    <row r="113" spans="1:8" x14ac:dyDescent="0.2">
      <c r="A113" s="88"/>
      <c r="B113" s="88"/>
      <c r="C113" s="88"/>
      <c r="D113" s="88"/>
      <c r="E113" s="88"/>
      <c r="F113" s="88"/>
      <c r="G113" s="88"/>
      <c r="H113" s="149"/>
    </row>
    <row r="114" spans="1:8" x14ac:dyDescent="0.2">
      <c r="A114" s="88"/>
      <c r="B114" s="88"/>
      <c r="C114" s="88"/>
      <c r="D114" s="88"/>
      <c r="E114" s="88"/>
      <c r="F114" s="88"/>
      <c r="G114" s="88"/>
      <c r="H114" s="149"/>
    </row>
    <row r="115" spans="1:8" x14ac:dyDescent="0.2">
      <c r="A115" s="88"/>
      <c r="B115" s="88"/>
      <c r="C115" s="88"/>
      <c r="D115" s="88"/>
      <c r="E115" s="88"/>
      <c r="F115" s="88"/>
      <c r="G115" s="88"/>
      <c r="H115" s="149"/>
    </row>
    <row r="116" spans="1:8" x14ac:dyDescent="0.2">
      <c r="A116" s="88"/>
      <c r="B116" s="88"/>
      <c r="C116" s="88"/>
      <c r="D116" s="88"/>
      <c r="E116" s="88"/>
      <c r="F116" s="88"/>
      <c r="G116" s="88"/>
      <c r="H116" s="149"/>
    </row>
    <row r="117" spans="1:8" x14ac:dyDescent="0.2">
      <c r="A117" s="88"/>
      <c r="B117" s="88"/>
      <c r="C117" s="88"/>
      <c r="D117" s="88"/>
      <c r="E117" s="88"/>
      <c r="F117" s="88"/>
      <c r="G117" s="88"/>
      <c r="H117" s="149"/>
    </row>
    <row r="118" spans="1:8" x14ac:dyDescent="0.2">
      <c r="A118" s="88"/>
      <c r="B118" s="88"/>
      <c r="C118" s="88"/>
      <c r="D118" s="88"/>
      <c r="E118" s="88"/>
      <c r="F118" s="88"/>
      <c r="G118" s="88"/>
      <c r="H118" s="149"/>
    </row>
    <row r="119" spans="1:8" x14ac:dyDescent="0.2">
      <c r="A119" s="88"/>
      <c r="B119" s="88"/>
      <c r="C119" s="88"/>
      <c r="D119" s="88"/>
      <c r="E119" s="88"/>
      <c r="F119" s="88"/>
      <c r="G119" s="88"/>
      <c r="H119" s="149"/>
    </row>
    <row r="120" spans="1:8" x14ac:dyDescent="0.2">
      <c r="A120" s="88"/>
      <c r="B120" s="88"/>
      <c r="C120" s="88"/>
      <c r="D120" s="88"/>
      <c r="E120" s="88"/>
      <c r="F120" s="88"/>
      <c r="G120" s="88"/>
      <c r="H120" s="149"/>
    </row>
    <row r="121" spans="1:8" x14ac:dyDescent="0.2">
      <c r="A121" s="88"/>
      <c r="B121" s="88"/>
      <c r="C121" s="88"/>
      <c r="D121" s="88"/>
      <c r="E121" s="88"/>
      <c r="F121" s="88"/>
      <c r="G121" s="88"/>
      <c r="H121" s="149"/>
    </row>
    <row r="122" spans="1:8" x14ac:dyDescent="0.2">
      <c r="A122" s="88"/>
      <c r="B122" s="88"/>
      <c r="C122" s="88"/>
      <c r="D122" s="88"/>
      <c r="E122" s="88"/>
      <c r="F122" s="88"/>
      <c r="G122" s="88"/>
      <c r="H122" s="149"/>
    </row>
    <row r="123" spans="1:8" x14ac:dyDescent="0.2">
      <c r="A123" s="88"/>
      <c r="B123" s="88"/>
      <c r="C123" s="88"/>
      <c r="D123" s="88"/>
      <c r="E123" s="88"/>
      <c r="F123" s="88"/>
      <c r="G123" s="88"/>
      <c r="H123" s="149"/>
    </row>
    <row r="124" spans="1:8" x14ac:dyDescent="0.2">
      <c r="A124" s="88"/>
      <c r="B124" s="88"/>
      <c r="C124" s="88"/>
      <c r="D124" s="88"/>
      <c r="E124" s="88"/>
      <c r="F124" s="88"/>
      <c r="G124" s="88"/>
      <c r="H124" s="149"/>
    </row>
    <row r="125" spans="1:8" x14ac:dyDescent="0.2">
      <c r="A125" s="88"/>
      <c r="B125" s="88"/>
      <c r="C125" s="88"/>
      <c r="D125" s="88"/>
      <c r="E125" s="88"/>
      <c r="F125" s="88"/>
      <c r="G125" s="88"/>
      <c r="H125" s="149"/>
    </row>
    <row r="126" spans="1:8" x14ac:dyDescent="0.2">
      <c r="A126" s="88"/>
      <c r="B126" s="88"/>
      <c r="C126" s="88"/>
      <c r="D126" s="88"/>
      <c r="E126" s="88"/>
      <c r="F126" s="88"/>
      <c r="G126" s="88"/>
      <c r="H126" s="149"/>
    </row>
    <row r="127" spans="1:8" x14ac:dyDescent="0.2">
      <c r="A127" s="88"/>
      <c r="B127" s="88"/>
      <c r="C127" s="88"/>
      <c r="D127" s="88"/>
      <c r="E127" s="88"/>
      <c r="F127" s="88"/>
      <c r="G127" s="88"/>
      <c r="H127" s="149"/>
    </row>
    <row r="128" spans="1:8" x14ac:dyDescent="0.2">
      <c r="A128" s="88"/>
      <c r="B128" s="88"/>
      <c r="C128" s="88"/>
      <c r="D128" s="88"/>
      <c r="E128" s="88"/>
      <c r="F128" s="88"/>
      <c r="G128" s="88"/>
      <c r="H128" s="149"/>
    </row>
    <row r="129" spans="1:8" x14ac:dyDescent="0.2">
      <c r="A129" s="88"/>
      <c r="B129" s="88"/>
      <c r="C129" s="88"/>
      <c r="D129" s="88"/>
      <c r="E129" s="88"/>
      <c r="F129" s="88"/>
      <c r="G129" s="88"/>
      <c r="H129" s="149"/>
    </row>
    <row r="130" spans="1:8" x14ac:dyDescent="0.2">
      <c r="A130" s="88"/>
      <c r="B130" s="88"/>
      <c r="C130" s="88"/>
      <c r="D130" s="88"/>
      <c r="E130" s="88"/>
      <c r="F130" s="88"/>
      <c r="G130" s="88"/>
      <c r="H130" s="149"/>
    </row>
    <row r="131" spans="1:8" x14ac:dyDescent="0.2">
      <c r="A131" s="88"/>
      <c r="B131" s="88"/>
      <c r="C131" s="88"/>
      <c r="D131" s="88"/>
      <c r="E131" s="88"/>
      <c r="F131" s="88"/>
      <c r="G131" s="88"/>
      <c r="H131" s="149"/>
    </row>
    <row r="132" spans="1:8" x14ac:dyDescent="0.2">
      <c r="A132" s="88"/>
      <c r="B132" s="88"/>
      <c r="C132" s="88"/>
      <c r="D132" s="88"/>
      <c r="E132" s="88"/>
      <c r="F132" s="88"/>
      <c r="G132" s="88"/>
      <c r="H132" s="149"/>
    </row>
    <row r="133" spans="1:8" x14ac:dyDescent="0.2">
      <c r="A133" s="88"/>
      <c r="B133" s="88"/>
      <c r="C133" s="88"/>
      <c r="D133" s="88"/>
      <c r="E133" s="88"/>
      <c r="F133" s="88"/>
      <c r="G133" s="88"/>
      <c r="H133" s="149"/>
    </row>
    <row r="134" spans="1:8" x14ac:dyDescent="0.2">
      <c r="A134" s="88"/>
      <c r="B134" s="88"/>
      <c r="C134" s="88"/>
      <c r="D134" s="88"/>
      <c r="E134" s="88"/>
      <c r="F134" s="88"/>
      <c r="G134" s="88"/>
      <c r="H134" s="149"/>
    </row>
    <row r="135" spans="1:8" x14ac:dyDescent="0.2">
      <c r="A135" s="88"/>
      <c r="B135" s="88"/>
      <c r="C135" s="88"/>
      <c r="D135" s="88"/>
      <c r="E135" s="88"/>
      <c r="F135" s="88"/>
      <c r="G135" s="88"/>
      <c r="H135" s="149"/>
    </row>
    <row r="136" spans="1:8" x14ac:dyDescent="0.2">
      <c r="A136" s="88"/>
      <c r="B136" s="88"/>
      <c r="C136" s="88"/>
      <c r="D136" s="88"/>
      <c r="E136" s="88"/>
      <c r="F136" s="88"/>
      <c r="G136" s="88"/>
      <c r="H136" s="149"/>
    </row>
    <row r="137" spans="1:8" x14ac:dyDescent="0.2">
      <c r="A137" s="88"/>
      <c r="B137" s="88"/>
      <c r="C137" s="88"/>
      <c r="D137" s="88"/>
      <c r="E137" s="88"/>
      <c r="F137" s="88"/>
      <c r="G137" s="88"/>
      <c r="H137" s="149"/>
    </row>
    <row r="138" spans="1:8" x14ac:dyDescent="0.2">
      <c r="A138" s="88"/>
      <c r="B138" s="88"/>
      <c r="C138" s="88"/>
      <c r="D138" s="88"/>
      <c r="E138" s="88"/>
      <c r="F138" s="88"/>
      <c r="G138" s="88"/>
      <c r="H138" s="149"/>
    </row>
    <row r="139" spans="1:8" x14ac:dyDescent="0.2">
      <c r="A139" s="88"/>
      <c r="B139" s="88"/>
      <c r="C139" s="88"/>
      <c r="D139" s="88"/>
      <c r="E139" s="88"/>
      <c r="F139" s="88"/>
      <c r="G139" s="88"/>
      <c r="H139" s="149"/>
    </row>
    <row r="140" spans="1:8" x14ac:dyDescent="0.2">
      <c r="A140" s="88"/>
      <c r="B140" s="88"/>
      <c r="C140" s="88"/>
      <c r="D140" s="88"/>
      <c r="E140" s="88"/>
      <c r="F140" s="88"/>
      <c r="G140" s="88"/>
      <c r="H140" s="149"/>
    </row>
    <row r="141" spans="1:8" x14ac:dyDescent="0.2">
      <c r="A141" s="88"/>
      <c r="B141" s="88"/>
      <c r="C141" s="88"/>
      <c r="D141" s="88"/>
      <c r="E141" s="88"/>
      <c r="F141" s="88"/>
      <c r="G141" s="88"/>
      <c r="H141" s="149"/>
    </row>
    <row r="142" spans="1:8" x14ac:dyDescent="0.2">
      <c r="A142" s="88"/>
      <c r="B142" s="88"/>
      <c r="C142" s="88"/>
      <c r="D142" s="88"/>
      <c r="E142" s="88"/>
      <c r="F142" s="88"/>
      <c r="G142" s="88"/>
      <c r="H142" s="149"/>
    </row>
    <row r="143" spans="1:8" x14ac:dyDescent="0.2">
      <c r="A143" s="88"/>
      <c r="B143" s="88"/>
      <c r="C143" s="88"/>
      <c r="D143" s="88"/>
      <c r="E143" s="88"/>
      <c r="F143" s="88"/>
      <c r="G143" s="88"/>
      <c r="H143" s="149"/>
    </row>
    <row r="144" spans="1:8" x14ac:dyDescent="0.2">
      <c r="A144" s="88"/>
      <c r="B144" s="88"/>
      <c r="C144" s="88"/>
      <c r="D144" s="88"/>
      <c r="E144" s="88"/>
      <c r="F144" s="88"/>
      <c r="G144" s="88"/>
      <c r="H144" s="149"/>
    </row>
    <row r="145" spans="1:8" x14ac:dyDescent="0.2">
      <c r="A145" s="88"/>
      <c r="B145" s="88"/>
      <c r="C145" s="88"/>
      <c r="D145" s="88"/>
      <c r="E145" s="88"/>
      <c r="F145" s="88"/>
      <c r="G145" s="88"/>
      <c r="H145" s="149"/>
    </row>
    <row r="146" spans="1:8" x14ac:dyDescent="0.2">
      <c r="A146" s="88"/>
      <c r="B146" s="88"/>
      <c r="C146" s="88"/>
      <c r="D146" s="88"/>
      <c r="E146" s="88"/>
      <c r="F146" s="88"/>
      <c r="G146" s="88"/>
      <c r="H146" s="149"/>
    </row>
    <row r="147" spans="1:8" x14ac:dyDescent="0.2">
      <c r="A147" s="88"/>
      <c r="B147" s="88"/>
      <c r="C147" s="88"/>
      <c r="D147" s="88"/>
      <c r="E147" s="88"/>
      <c r="F147" s="88"/>
      <c r="G147" s="88"/>
      <c r="H147" s="149"/>
    </row>
    <row r="148" spans="1:8" x14ac:dyDescent="0.2">
      <c r="A148" s="88"/>
      <c r="B148" s="88"/>
      <c r="C148" s="88"/>
      <c r="D148" s="88"/>
      <c r="E148" s="88"/>
      <c r="F148" s="88"/>
      <c r="G148" s="88"/>
      <c r="H148" s="149"/>
    </row>
    <row r="149" spans="1:8" x14ac:dyDescent="0.2">
      <c r="A149" s="88"/>
      <c r="B149" s="88"/>
      <c r="C149" s="88"/>
      <c r="D149" s="88"/>
      <c r="E149" s="88"/>
      <c r="F149" s="88"/>
      <c r="G149" s="88"/>
      <c r="H149" s="149"/>
    </row>
    <row r="150" spans="1:8" x14ac:dyDescent="0.2">
      <c r="A150" s="88"/>
      <c r="B150" s="88"/>
      <c r="C150" s="88"/>
      <c r="D150" s="88"/>
      <c r="E150" s="88"/>
      <c r="F150" s="88"/>
      <c r="G150" s="88"/>
      <c r="H150" s="149"/>
    </row>
    <row r="151" spans="1:8" x14ac:dyDescent="0.2">
      <c r="A151" s="88"/>
      <c r="B151" s="88"/>
      <c r="C151" s="88"/>
      <c r="D151" s="88"/>
      <c r="E151" s="88"/>
      <c r="F151" s="88"/>
      <c r="G151" s="88"/>
      <c r="H151" s="149"/>
    </row>
    <row r="152" spans="1:8" x14ac:dyDescent="0.2">
      <c r="A152" s="88"/>
      <c r="B152" s="88"/>
      <c r="C152" s="88"/>
      <c r="D152" s="88"/>
      <c r="E152" s="88"/>
      <c r="F152" s="88"/>
      <c r="G152" s="88"/>
      <c r="H152" s="149"/>
    </row>
    <row r="153" spans="1:8" x14ac:dyDescent="0.2">
      <c r="A153" s="88"/>
      <c r="B153" s="88"/>
      <c r="C153" s="88"/>
      <c r="D153" s="88"/>
      <c r="E153" s="88"/>
      <c r="F153" s="88"/>
      <c r="G153" s="88"/>
      <c r="H153" s="149"/>
    </row>
    <row r="154" spans="1:8" x14ac:dyDescent="0.2">
      <c r="A154" s="88"/>
      <c r="B154" s="88"/>
      <c r="C154" s="88"/>
      <c r="D154" s="88"/>
      <c r="E154" s="88"/>
      <c r="F154" s="88"/>
      <c r="G154" s="88"/>
      <c r="H154" s="149"/>
    </row>
    <row r="155" spans="1:8" x14ac:dyDescent="0.2">
      <c r="A155" s="88"/>
      <c r="B155" s="88"/>
      <c r="C155" s="88"/>
      <c r="D155" s="88"/>
      <c r="E155" s="88"/>
      <c r="F155" s="88"/>
      <c r="G155" s="88"/>
      <c r="H155" s="149"/>
    </row>
    <row r="156" spans="1:8" x14ac:dyDescent="0.2">
      <c r="A156" s="88"/>
      <c r="B156" s="88"/>
      <c r="C156" s="88"/>
      <c r="D156" s="88"/>
      <c r="E156" s="88"/>
      <c r="F156" s="88"/>
      <c r="G156" s="88"/>
      <c r="H156" s="149"/>
    </row>
    <row r="157" spans="1:8" x14ac:dyDescent="0.2">
      <c r="A157" s="88"/>
      <c r="B157" s="88"/>
      <c r="C157" s="88"/>
      <c r="D157" s="88"/>
      <c r="E157" s="88"/>
      <c r="F157" s="88"/>
      <c r="G157" s="88"/>
      <c r="H157" s="149"/>
    </row>
    <row r="158" spans="1:8" x14ac:dyDescent="0.2">
      <c r="A158" s="88"/>
      <c r="B158" s="88"/>
      <c r="C158" s="88"/>
      <c r="D158" s="88"/>
      <c r="E158" s="88"/>
      <c r="F158" s="88"/>
      <c r="G158" s="88"/>
      <c r="H158" s="149"/>
    </row>
    <row r="159" spans="1:8" x14ac:dyDescent="0.2">
      <c r="A159" s="88"/>
      <c r="B159" s="88"/>
      <c r="C159" s="88"/>
      <c r="D159" s="88"/>
      <c r="E159" s="88"/>
      <c r="F159" s="88"/>
      <c r="G159" s="88"/>
      <c r="H159" s="149"/>
    </row>
    <row r="160" spans="1:8" x14ac:dyDescent="0.2">
      <c r="A160" s="88"/>
      <c r="B160" s="88"/>
      <c r="C160" s="88"/>
      <c r="D160" s="88"/>
      <c r="E160" s="88"/>
      <c r="F160" s="88"/>
      <c r="G160" s="88"/>
      <c r="H160" s="149"/>
    </row>
    <row r="161" spans="1:8" x14ac:dyDescent="0.2">
      <c r="A161" s="88"/>
      <c r="B161" s="88"/>
      <c r="C161" s="88"/>
      <c r="D161" s="88"/>
      <c r="E161" s="88"/>
      <c r="F161" s="88"/>
      <c r="G161" s="88"/>
      <c r="H161" s="149"/>
    </row>
    <row r="162" spans="1:8" x14ac:dyDescent="0.2">
      <c r="A162" s="88"/>
      <c r="B162" s="88"/>
      <c r="C162" s="88"/>
      <c r="D162" s="88"/>
      <c r="E162" s="88"/>
      <c r="F162" s="88"/>
      <c r="G162" s="88"/>
      <c r="H162" s="149"/>
    </row>
    <row r="163" spans="1:8" x14ac:dyDescent="0.2">
      <c r="A163" s="88"/>
      <c r="B163" s="88"/>
      <c r="C163" s="88"/>
      <c r="D163" s="88"/>
      <c r="E163" s="88"/>
      <c r="F163" s="88"/>
      <c r="G163" s="88"/>
      <c r="H163" s="149"/>
    </row>
    <row r="164" spans="1:8" x14ac:dyDescent="0.2">
      <c r="A164" s="88"/>
      <c r="B164" s="88"/>
      <c r="C164" s="88"/>
      <c r="D164" s="88"/>
      <c r="E164" s="88"/>
      <c r="F164" s="88"/>
      <c r="G164" s="88"/>
      <c r="H164" s="149"/>
    </row>
    <row r="165" spans="1:8" x14ac:dyDescent="0.2">
      <c r="A165" s="88"/>
      <c r="B165" s="88"/>
      <c r="C165" s="88"/>
      <c r="D165" s="88"/>
      <c r="E165" s="88"/>
      <c r="F165" s="88"/>
      <c r="G165" s="88"/>
      <c r="H165" s="149"/>
    </row>
    <row r="166" spans="1:8" x14ac:dyDescent="0.2">
      <c r="A166" s="88"/>
      <c r="B166" s="88"/>
      <c r="C166" s="88"/>
      <c r="D166" s="88"/>
      <c r="E166" s="88"/>
      <c r="F166" s="88"/>
      <c r="G166" s="88"/>
      <c r="H166" s="149"/>
    </row>
    <row r="167" spans="1:8" x14ac:dyDescent="0.2">
      <c r="A167" s="88"/>
      <c r="B167" s="88"/>
      <c r="C167" s="88"/>
      <c r="D167" s="88"/>
      <c r="E167" s="88"/>
      <c r="F167" s="88"/>
      <c r="G167" s="88"/>
      <c r="H167" s="149"/>
    </row>
    <row r="168" spans="1:8" x14ac:dyDescent="0.2">
      <c r="A168" s="88"/>
      <c r="B168" s="88"/>
      <c r="C168" s="88"/>
      <c r="D168" s="88"/>
      <c r="E168" s="88"/>
      <c r="F168" s="88"/>
      <c r="G168" s="88"/>
      <c r="H168" s="149"/>
    </row>
    <row r="169" spans="1:8" x14ac:dyDescent="0.2">
      <c r="A169" s="88"/>
      <c r="B169" s="88"/>
      <c r="C169" s="88"/>
      <c r="D169" s="88"/>
      <c r="E169" s="88"/>
      <c r="F169" s="88"/>
      <c r="G169" s="88"/>
      <c r="H169" s="149"/>
    </row>
    <row r="170" spans="1:8" x14ac:dyDescent="0.2">
      <c r="A170" s="88"/>
      <c r="B170" s="88"/>
      <c r="C170" s="88"/>
      <c r="D170" s="88"/>
      <c r="E170" s="88"/>
      <c r="F170" s="88"/>
      <c r="G170" s="88"/>
      <c r="H170" s="149"/>
    </row>
    <row r="171" spans="1:8" x14ac:dyDescent="0.2">
      <c r="A171" s="88"/>
      <c r="B171" s="88"/>
      <c r="C171" s="88"/>
      <c r="D171" s="88"/>
      <c r="E171" s="88"/>
      <c r="F171" s="88"/>
      <c r="G171" s="88"/>
      <c r="H171" s="149"/>
    </row>
    <row r="172" spans="1:8" x14ac:dyDescent="0.2">
      <c r="A172" s="88"/>
      <c r="B172" s="88"/>
      <c r="C172" s="88"/>
      <c r="D172" s="88"/>
      <c r="E172" s="88"/>
      <c r="F172" s="88"/>
      <c r="G172" s="88"/>
      <c r="H172" s="149"/>
    </row>
    <row r="173" spans="1:8" x14ac:dyDescent="0.2">
      <c r="A173" s="88"/>
      <c r="B173" s="88"/>
      <c r="C173" s="88"/>
      <c r="D173" s="88"/>
      <c r="E173" s="88"/>
      <c r="F173" s="88"/>
      <c r="G173" s="88"/>
      <c r="H173" s="149"/>
    </row>
    <row r="174" spans="1:8" x14ac:dyDescent="0.2">
      <c r="A174" s="88"/>
      <c r="B174" s="88"/>
      <c r="C174" s="88"/>
      <c r="D174" s="88"/>
      <c r="E174" s="88"/>
      <c r="F174" s="88"/>
      <c r="G174" s="88"/>
      <c r="H174" s="149"/>
    </row>
    <row r="175" spans="1:8" x14ac:dyDescent="0.2">
      <c r="A175" s="88"/>
      <c r="B175" s="88"/>
      <c r="C175" s="88"/>
      <c r="D175" s="88"/>
      <c r="E175" s="88"/>
      <c r="F175" s="88"/>
      <c r="G175" s="88"/>
      <c r="H175" s="149"/>
    </row>
    <row r="176" spans="1:8" x14ac:dyDescent="0.2">
      <c r="A176" s="88"/>
      <c r="B176" s="88"/>
      <c r="C176" s="88"/>
      <c r="D176" s="88"/>
      <c r="E176" s="88"/>
      <c r="F176" s="88"/>
      <c r="G176" s="88"/>
      <c r="H176" s="149"/>
    </row>
    <row r="177" spans="1:11" x14ac:dyDescent="0.2">
      <c r="A177" s="88"/>
      <c r="B177" s="88"/>
      <c r="C177" s="88"/>
      <c r="D177" s="88"/>
      <c r="E177" s="88"/>
      <c r="F177" s="88"/>
      <c r="G177" s="88"/>
      <c r="H177" s="149"/>
    </row>
    <row r="178" spans="1:11" x14ac:dyDescent="0.2">
      <c r="A178" s="88"/>
      <c r="B178" s="88"/>
      <c r="C178" s="88"/>
      <c r="D178" s="88"/>
      <c r="E178" s="88"/>
      <c r="F178" s="88"/>
      <c r="G178" s="88"/>
      <c r="H178" s="149"/>
    </row>
    <row r="179" spans="1:11" x14ac:dyDescent="0.2">
      <c r="A179" s="88"/>
      <c r="B179" s="88"/>
      <c r="C179" s="88"/>
      <c r="D179" s="88"/>
      <c r="E179" s="88"/>
      <c r="F179" s="88"/>
      <c r="G179" s="88"/>
      <c r="H179" s="149"/>
    </row>
    <row r="180" spans="1:11" x14ac:dyDescent="0.2">
      <c r="A180" s="88"/>
      <c r="B180" s="88"/>
      <c r="C180" s="88"/>
      <c r="D180" s="88"/>
      <c r="E180" s="88"/>
      <c r="F180" s="88"/>
      <c r="G180" s="88"/>
      <c r="H180" s="149"/>
    </row>
    <row r="181" spans="1:11" x14ac:dyDescent="0.2">
      <c r="A181" s="88"/>
      <c r="B181" s="88"/>
      <c r="C181" s="88"/>
      <c r="D181" s="88"/>
      <c r="E181" s="88"/>
      <c r="F181" s="88"/>
      <c r="G181" s="88"/>
      <c r="H181" s="149"/>
    </row>
    <row r="182" spans="1:11" x14ac:dyDescent="0.2">
      <c r="A182" s="88"/>
      <c r="B182" s="88"/>
      <c r="C182" s="88"/>
      <c r="D182" s="88"/>
      <c r="E182" s="88"/>
      <c r="F182" s="88"/>
      <c r="G182" s="88"/>
      <c r="H182" s="149"/>
    </row>
    <row r="183" spans="1:11" x14ac:dyDescent="0.2">
      <c r="A183" s="88"/>
      <c r="B183" s="88"/>
      <c r="C183" s="88"/>
      <c r="D183" s="88"/>
      <c r="E183" s="88"/>
      <c r="F183" s="88"/>
      <c r="G183" s="88"/>
      <c r="H183" s="149"/>
    </row>
    <row r="184" spans="1:11" x14ac:dyDescent="0.2">
      <c r="A184" s="88"/>
      <c r="B184" s="88"/>
      <c r="C184" s="88"/>
      <c r="D184" s="88"/>
      <c r="E184" s="88"/>
      <c r="F184" s="88"/>
      <c r="G184" s="88"/>
      <c r="H184" s="149"/>
    </row>
    <row r="185" spans="1:11" x14ac:dyDescent="0.2">
      <c r="A185" s="88"/>
      <c r="B185" s="88"/>
      <c r="C185" s="88"/>
      <c r="D185" s="88"/>
      <c r="E185" s="88"/>
      <c r="F185" s="88"/>
      <c r="G185" s="88"/>
      <c r="H185" s="149"/>
    </row>
    <row r="186" spans="1:11" x14ac:dyDescent="0.2">
      <c r="A186" s="88"/>
      <c r="B186" s="88"/>
      <c r="C186" s="88"/>
      <c r="D186" s="88"/>
      <c r="E186" s="88"/>
      <c r="F186" s="88"/>
      <c r="G186" s="88"/>
      <c r="H186" s="150"/>
      <c r="I186" s="90"/>
      <c r="J186" s="90"/>
    </row>
    <row r="187" spans="1:11" x14ac:dyDescent="0.2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149"/>
    </row>
    <row r="188" spans="1:11" x14ac:dyDescent="0.2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149"/>
    </row>
    <row r="189" spans="1:11" x14ac:dyDescent="0.2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149"/>
    </row>
    <row r="190" spans="1:11" x14ac:dyDescent="0.2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149"/>
    </row>
    <row r="191" spans="1:11" x14ac:dyDescent="0.2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149"/>
    </row>
    <row r="192" spans="1:11" x14ac:dyDescent="0.2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149"/>
    </row>
    <row r="193" spans="1:11" x14ac:dyDescent="0.2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149"/>
    </row>
    <row r="194" spans="1:11" x14ac:dyDescent="0.2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149"/>
    </row>
    <row r="195" spans="1:11" x14ac:dyDescent="0.2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149"/>
    </row>
    <row r="196" spans="1:11" x14ac:dyDescent="0.2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149"/>
    </row>
    <row r="197" spans="1:11" x14ac:dyDescent="0.2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149"/>
    </row>
    <row r="198" spans="1:11" x14ac:dyDescent="0.2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149"/>
    </row>
    <row r="199" spans="1:11" x14ac:dyDescent="0.2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149"/>
    </row>
    <row r="200" spans="1:11" x14ac:dyDescent="0.2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149"/>
    </row>
    <row r="201" spans="1:11" x14ac:dyDescent="0.2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149"/>
    </row>
    <row r="202" spans="1:11" x14ac:dyDescent="0.2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149"/>
    </row>
    <row r="203" spans="1:11" x14ac:dyDescent="0.2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149"/>
    </row>
    <row r="204" spans="1:11" x14ac:dyDescent="0.2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149"/>
    </row>
    <row r="205" spans="1:11" x14ac:dyDescent="0.2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149"/>
    </row>
    <row r="206" spans="1:11" x14ac:dyDescent="0.2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149"/>
    </row>
    <row r="207" spans="1:11" x14ac:dyDescent="0.2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149"/>
    </row>
    <row r="208" spans="1:11" x14ac:dyDescent="0.2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149"/>
    </row>
    <row r="209" spans="1:11" x14ac:dyDescent="0.2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149"/>
    </row>
    <row r="210" spans="1:11" x14ac:dyDescent="0.2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149"/>
    </row>
    <row r="211" spans="1:11" x14ac:dyDescent="0.2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149"/>
    </row>
    <row r="212" spans="1:11" x14ac:dyDescent="0.2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149"/>
    </row>
    <row r="213" spans="1:11" x14ac:dyDescent="0.2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149"/>
    </row>
    <row r="214" spans="1:11" x14ac:dyDescent="0.2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149"/>
    </row>
    <row r="215" spans="1:11" x14ac:dyDescent="0.2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149"/>
    </row>
    <row r="216" spans="1:11" x14ac:dyDescent="0.2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149"/>
    </row>
    <row r="217" spans="1:11" x14ac:dyDescent="0.2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149"/>
    </row>
    <row r="218" spans="1:11" x14ac:dyDescent="0.2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149"/>
    </row>
    <row r="219" spans="1:11" x14ac:dyDescent="0.2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149"/>
    </row>
    <row r="220" spans="1:11" x14ac:dyDescent="0.2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149"/>
    </row>
    <row r="221" spans="1:11" x14ac:dyDescent="0.2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149"/>
    </row>
    <row r="222" spans="1:11" x14ac:dyDescent="0.2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149"/>
    </row>
    <row r="223" spans="1:11" x14ac:dyDescent="0.2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149"/>
    </row>
    <row r="224" spans="1:11" x14ac:dyDescent="0.2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149"/>
    </row>
    <row r="225" spans="1:11" x14ac:dyDescent="0.2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149"/>
    </row>
    <row r="226" spans="1:11" x14ac:dyDescent="0.2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149"/>
    </row>
    <row r="227" spans="1:11" x14ac:dyDescent="0.2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149"/>
    </row>
    <row r="228" spans="1:11" x14ac:dyDescent="0.2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149"/>
    </row>
    <row r="229" spans="1:11" x14ac:dyDescent="0.2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149"/>
    </row>
    <row r="230" spans="1:11" x14ac:dyDescent="0.2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149"/>
    </row>
    <row r="231" spans="1:11" x14ac:dyDescent="0.2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149"/>
    </row>
    <row r="232" spans="1:11" x14ac:dyDescent="0.2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149"/>
    </row>
    <row r="233" spans="1:11" x14ac:dyDescent="0.2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149"/>
    </row>
    <row r="234" spans="1:11" x14ac:dyDescent="0.2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149"/>
    </row>
    <row r="235" spans="1:11" x14ac:dyDescent="0.2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149"/>
    </row>
    <row r="236" spans="1:11" x14ac:dyDescent="0.2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149"/>
    </row>
    <row r="237" spans="1:11" x14ac:dyDescent="0.2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149"/>
    </row>
    <row r="238" spans="1:11" x14ac:dyDescent="0.2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149"/>
    </row>
    <row r="239" spans="1:11" x14ac:dyDescent="0.2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149"/>
    </row>
    <row r="240" spans="1:11" x14ac:dyDescent="0.2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149"/>
    </row>
    <row r="241" spans="1:11" x14ac:dyDescent="0.2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149"/>
    </row>
    <row r="242" spans="1:11" x14ac:dyDescent="0.2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149"/>
    </row>
    <row r="243" spans="1:11" x14ac:dyDescent="0.2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149"/>
    </row>
    <row r="244" spans="1:11" x14ac:dyDescent="0.2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149"/>
    </row>
    <row r="245" spans="1:11" x14ac:dyDescent="0.2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149"/>
    </row>
    <row r="246" spans="1:11" x14ac:dyDescent="0.2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149"/>
    </row>
    <row r="247" spans="1:11" x14ac:dyDescent="0.2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149"/>
    </row>
    <row r="248" spans="1:11" x14ac:dyDescent="0.2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149"/>
    </row>
    <row r="249" spans="1:11" x14ac:dyDescent="0.2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149"/>
    </row>
    <row r="250" spans="1:11" x14ac:dyDescent="0.2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149"/>
    </row>
    <row r="251" spans="1:11" x14ac:dyDescent="0.2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149"/>
    </row>
    <row r="252" spans="1:11" x14ac:dyDescent="0.2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149"/>
    </row>
    <row r="253" spans="1:11" x14ac:dyDescent="0.2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149"/>
    </row>
    <row r="254" spans="1:11" x14ac:dyDescent="0.2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149"/>
    </row>
    <row r="255" spans="1:11" x14ac:dyDescent="0.2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149"/>
    </row>
    <row r="256" spans="1:11" x14ac:dyDescent="0.2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149"/>
    </row>
    <row r="257" spans="1:11" x14ac:dyDescent="0.2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149"/>
    </row>
    <row r="258" spans="1:11" x14ac:dyDescent="0.2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149"/>
    </row>
    <row r="259" spans="1:11" x14ac:dyDescent="0.2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149"/>
    </row>
    <row r="260" spans="1:11" x14ac:dyDescent="0.2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149"/>
    </row>
    <row r="261" spans="1:11" x14ac:dyDescent="0.2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149"/>
    </row>
    <row r="262" spans="1:11" x14ac:dyDescent="0.2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149"/>
    </row>
    <row r="263" spans="1:11" x14ac:dyDescent="0.2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149"/>
    </row>
    <row r="264" spans="1:11" x14ac:dyDescent="0.2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149"/>
    </row>
    <row r="265" spans="1:11" x14ac:dyDescent="0.2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149"/>
    </row>
    <row r="266" spans="1:11" x14ac:dyDescent="0.2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149"/>
    </row>
    <row r="267" spans="1:11" x14ac:dyDescent="0.2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149"/>
    </row>
    <row r="268" spans="1:11" x14ac:dyDescent="0.2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149"/>
    </row>
    <row r="269" spans="1:11" x14ac:dyDescent="0.2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149"/>
    </row>
    <row r="270" spans="1:11" x14ac:dyDescent="0.2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149"/>
    </row>
    <row r="271" spans="1:11" x14ac:dyDescent="0.2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149"/>
    </row>
    <row r="272" spans="1:11" x14ac:dyDescent="0.2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149"/>
    </row>
    <row r="273" spans="1:11" x14ac:dyDescent="0.2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149"/>
    </row>
    <row r="274" spans="1:11" x14ac:dyDescent="0.2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149"/>
    </row>
    <row r="275" spans="1:11" x14ac:dyDescent="0.2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149"/>
    </row>
    <row r="276" spans="1:11" x14ac:dyDescent="0.2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149"/>
    </row>
    <row r="277" spans="1:11" x14ac:dyDescent="0.2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149"/>
    </row>
    <row r="278" spans="1:11" x14ac:dyDescent="0.2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149"/>
    </row>
    <row r="279" spans="1:11" x14ac:dyDescent="0.2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149"/>
    </row>
    <row r="280" spans="1:11" x14ac:dyDescent="0.2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149"/>
    </row>
    <row r="281" spans="1:11" x14ac:dyDescent="0.2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149"/>
    </row>
    <row r="282" spans="1:11" x14ac:dyDescent="0.2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149"/>
    </row>
    <row r="283" spans="1:11" x14ac:dyDescent="0.2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149"/>
    </row>
    <row r="284" spans="1:11" x14ac:dyDescent="0.2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149"/>
    </row>
    <row r="285" spans="1:11" x14ac:dyDescent="0.2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149"/>
    </row>
    <row r="286" spans="1:11" x14ac:dyDescent="0.2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149"/>
    </row>
    <row r="287" spans="1:11" x14ac:dyDescent="0.2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149"/>
    </row>
    <row r="288" spans="1:11" x14ac:dyDescent="0.2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149"/>
    </row>
    <row r="289" spans="1:11" x14ac:dyDescent="0.2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149"/>
    </row>
    <row r="290" spans="1:11" x14ac:dyDescent="0.2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149"/>
    </row>
    <row r="291" spans="1:11" x14ac:dyDescent="0.2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149"/>
    </row>
    <row r="292" spans="1:11" x14ac:dyDescent="0.2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149"/>
    </row>
    <row r="293" spans="1:11" x14ac:dyDescent="0.2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149"/>
    </row>
    <row r="294" spans="1:11" x14ac:dyDescent="0.2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149"/>
    </row>
    <row r="295" spans="1:11" x14ac:dyDescent="0.2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149"/>
    </row>
    <row r="296" spans="1:11" x14ac:dyDescent="0.2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149"/>
    </row>
    <row r="297" spans="1:11" x14ac:dyDescent="0.2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149"/>
    </row>
    <row r="298" spans="1:11" x14ac:dyDescent="0.2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149"/>
    </row>
    <row r="299" spans="1:11" x14ac:dyDescent="0.2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149"/>
    </row>
    <row r="300" spans="1:11" x14ac:dyDescent="0.2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149"/>
    </row>
    <row r="301" spans="1:11" x14ac:dyDescent="0.2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149"/>
    </row>
    <row r="302" spans="1:11" x14ac:dyDescent="0.2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149"/>
    </row>
    <row r="303" spans="1:11" x14ac:dyDescent="0.2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149"/>
    </row>
    <row r="304" spans="1:11" x14ac:dyDescent="0.2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149"/>
    </row>
    <row r="305" spans="1:11" x14ac:dyDescent="0.2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149"/>
    </row>
    <row r="306" spans="1:11" x14ac:dyDescent="0.2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149"/>
    </row>
    <row r="307" spans="1:11" x14ac:dyDescent="0.2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149"/>
    </row>
    <row r="308" spans="1:11" x14ac:dyDescent="0.2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149"/>
    </row>
    <row r="309" spans="1:11" x14ac:dyDescent="0.2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149"/>
    </row>
    <row r="310" spans="1:11" x14ac:dyDescent="0.2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149"/>
    </row>
    <row r="311" spans="1:11" x14ac:dyDescent="0.2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149"/>
    </row>
    <row r="312" spans="1:11" x14ac:dyDescent="0.2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149"/>
    </row>
    <row r="313" spans="1:11" x14ac:dyDescent="0.2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149"/>
    </row>
    <row r="314" spans="1:11" x14ac:dyDescent="0.2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149"/>
    </row>
    <row r="315" spans="1:11" x14ac:dyDescent="0.2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149"/>
    </row>
    <row r="316" spans="1:11" x14ac:dyDescent="0.2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149"/>
    </row>
    <row r="317" spans="1:11" x14ac:dyDescent="0.2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149"/>
    </row>
    <row r="318" spans="1:11" x14ac:dyDescent="0.2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149"/>
    </row>
    <row r="319" spans="1:11" x14ac:dyDescent="0.2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149"/>
    </row>
    <row r="320" spans="1:11" x14ac:dyDescent="0.2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149"/>
    </row>
    <row r="321" spans="1:11" x14ac:dyDescent="0.2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149"/>
    </row>
    <row r="322" spans="1:11" x14ac:dyDescent="0.2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149"/>
    </row>
    <row r="323" spans="1:11" x14ac:dyDescent="0.2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149"/>
    </row>
    <row r="324" spans="1:11" x14ac:dyDescent="0.2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149"/>
    </row>
    <row r="325" spans="1:11" x14ac:dyDescent="0.2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149"/>
    </row>
    <row r="326" spans="1:11" x14ac:dyDescent="0.2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149"/>
    </row>
    <row r="327" spans="1:11" x14ac:dyDescent="0.2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149"/>
    </row>
    <row r="328" spans="1:11" x14ac:dyDescent="0.2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149"/>
    </row>
    <row r="329" spans="1:11" x14ac:dyDescent="0.2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149"/>
    </row>
    <row r="330" spans="1:11" x14ac:dyDescent="0.2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149"/>
    </row>
    <row r="331" spans="1:11" x14ac:dyDescent="0.2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149"/>
    </row>
    <row r="332" spans="1:11" x14ac:dyDescent="0.2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149"/>
    </row>
    <row r="333" spans="1:11" x14ac:dyDescent="0.2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149"/>
    </row>
    <row r="334" spans="1:11" x14ac:dyDescent="0.2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149"/>
    </row>
    <row r="335" spans="1:11" x14ac:dyDescent="0.2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149"/>
    </row>
    <row r="336" spans="1:11" x14ac:dyDescent="0.2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149"/>
    </row>
    <row r="337" spans="1:11" x14ac:dyDescent="0.2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149"/>
    </row>
    <row r="338" spans="1:11" x14ac:dyDescent="0.2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149"/>
    </row>
    <row r="339" spans="1:11" x14ac:dyDescent="0.2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149"/>
    </row>
    <row r="340" spans="1:11" x14ac:dyDescent="0.2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149"/>
    </row>
    <row r="341" spans="1:11" x14ac:dyDescent="0.2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149"/>
    </row>
    <row r="342" spans="1:11" x14ac:dyDescent="0.2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149"/>
    </row>
    <row r="343" spans="1:11" x14ac:dyDescent="0.2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149"/>
    </row>
    <row r="344" spans="1:11" x14ac:dyDescent="0.2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149"/>
    </row>
    <row r="345" spans="1:11" x14ac:dyDescent="0.2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149"/>
    </row>
    <row r="346" spans="1:11" x14ac:dyDescent="0.2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149"/>
    </row>
    <row r="347" spans="1:11" x14ac:dyDescent="0.2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149"/>
    </row>
    <row r="348" spans="1:11" x14ac:dyDescent="0.2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149"/>
    </row>
    <row r="349" spans="1:11" x14ac:dyDescent="0.2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149"/>
    </row>
    <row r="350" spans="1:11" x14ac:dyDescent="0.2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149"/>
    </row>
    <row r="351" spans="1:11" x14ac:dyDescent="0.2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149"/>
    </row>
    <row r="352" spans="1:11" x14ac:dyDescent="0.2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149"/>
    </row>
    <row r="353" spans="1:11" x14ac:dyDescent="0.2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149"/>
    </row>
    <row r="354" spans="1:11" x14ac:dyDescent="0.2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149"/>
    </row>
    <row r="355" spans="1:11" x14ac:dyDescent="0.2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149"/>
    </row>
    <row r="356" spans="1:11" x14ac:dyDescent="0.2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149"/>
    </row>
    <row r="357" spans="1:11" x14ac:dyDescent="0.2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149"/>
    </row>
    <row r="358" spans="1:11" x14ac:dyDescent="0.2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149"/>
    </row>
    <row r="359" spans="1:11" x14ac:dyDescent="0.2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149"/>
    </row>
    <row r="360" spans="1:11" x14ac:dyDescent="0.2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149"/>
    </row>
    <row r="361" spans="1:11" x14ac:dyDescent="0.2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149"/>
    </row>
    <row r="362" spans="1:11" x14ac:dyDescent="0.2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149"/>
    </row>
    <row r="363" spans="1:11" x14ac:dyDescent="0.2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149"/>
    </row>
    <row r="364" spans="1:11" x14ac:dyDescent="0.2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149"/>
    </row>
    <row r="365" spans="1:11" x14ac:dyDescent="0.2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149"/>
    </row>
    <row r="366" spans="1:11" x14ac:dyDescent="0.2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149"/>
    </row>
    <row r="367" spans="1:11" x14ac:dyDescent="0.2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149"/>
    </row>
    <row r="368" spans="1:11" x14ac:dyDescent="0.2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149"/>
    </row>
    <row r="369" spans="1:11" x14ac:dyDescent="0.2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149"/>
    </row>
    <row r="370" spans="1:11" x14ac:dyDescent="0.2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149"/>
    </row>
    <row r="371" spans="1:11" x14ac:dyDescent="0.2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149"/>
    </row>
    <row r="372" spans="1:11" x14ac:dyDescent="0.2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149"/>
    </row>
    <row r="373" spans="1:11" x14ac:dyDescent="0.2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149"/>
    </row>
    <row r="374" spans="1:11" x14ac:dyDescent="0.2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149"/>
    </row>
    <row r="375" spans="1:11" x14ac:dyDescent="0.2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149"/>
    </row>
    <row r="376" spans="1:11" x14ac:dyDescent="0.2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149"/>
    </row>
    <row r="377" spans="1:11" x14ac:dyDescent="0.2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149"/>
    </row>
    <row r="378" spans="1:11" x14ac:dyDescent="0.2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149"/>
    </row>
    <row r="379" spans="1:11" x14ac:dyDescent="0.2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149"/>
    </row>
    <row r="380" spans="1:11" x14ac:dyDescent="0.2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149"/>
    </row>
    <row r="381" spans="1:11" x14ac:dyDescent="0.2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149"/>
    </row>
    <row r="382" spans="1:11" x14ac:dyDescent="0.2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149"/>
    </row>
    <row r="383" spans="1:11" x14ac:dyDescent="0.2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149"/>
    </row>
    <row r="384" spans="1:11" x14ac:dyDescent="0.2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149"/>
    </row>
    <row r="385" spans="1:11" x14ac:dyDescent="0.2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149"/>
    </row>
    <row r="386" spans="1:11" x14ac:dyDescent="0.2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149"/>
    </row>
    <row r="387" spans="1:11" x14ac:dyDescent="0.2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149"/>
    </row>
    <row r="388" spans="1:11" x14ac:dyDescent="0.2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149"/>
    </row>
    <row r="389" spans="1:11" x14ac:dyDescent="0.2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149"/>
    </row>
    <row r="390" spans="1:11" x14ac:dyDescent="0.2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149"/>
    </row>
    <row r="391" spans="1:11" x14ac:dyDescent="0.2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149"/>
    </row>
    <row r="392" spans="1:11" x14ac:dyDescent="0.2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149"/>
    </row>
    <row r="393" spans="1:11" x14ac:dyDescent="0.2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149"/>
    </row>
    <row r="394" spans="1:11" x14ac:dyDescent="0.2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149"/>
    </row>
    <row r="395" spans="1:11" x14ac:dyDescent="0.2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149"/>
    </row>
    <row r="396" spans="1:11" x14ac:dyDescent="0.2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149"/>
    </row>
    <row r="397" spans="1:11" x14ac:dyDescent="0.2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149"/>
    </row>
    <row r="398" spans="1:11" x14ac:dyDescent="0.2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149"/>
    </row>
    <row r="399" spans="1:11" x14ac:dyDescent="0.2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149"/>
    </row>
    <row r="400" spans="1:11" x14ac:dyDescent="0.2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149"/>
    </row>
    <row r="401" spans="1:11" x14ac:dyDescent="0.2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149"/>
    </row>
    <row r="402" spans="1:11" x14ac:dyDescent="0.2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149"/>
    </row>
    <row r="403" spans="1:11" x14ac:dyDescent="0.2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149"/>
    </row>
    <row r="404" spans="1:11" x14ac:dyDescent="0.2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149"/>
    </row>
    <row r="405" spans="1:11" x14ac:dyDescent="0.2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149"/>
    </row>
    <row r="406" spans="1:11" x14ac:dyDescent="0.2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149"/>
    </row>
    <row r="407" spans="1:11" x14ac:dyDescent="0.2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149"/>
    </row>
    <row r="408" spans="1:11" x14ac:dyDescent="0.2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149"/>
    </row>
    <row r="409" spans="1:11" x14ac:dyDescent="0.2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149"/>
    </row>
    <row r="410" spans="1:11" x14ac:dyDescent="0.2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149"/>
    </row>
    <row r="411" spans="1:11" x14ac:dyDescent="0.2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149"/>
    </row>
    <row r="412" spans="1:11" x14ac:dyDescent="0.2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149"/>
    </row>
    <row r="413" spans="1:11" x14ac:dyDescent="0.2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149"/>
    </row>
    <row r="414" spans="1:11" x14ac:dyDescent="0.2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149"/>
    </row>
    <row r="415" spans="1:11" x14ac:dyDescent="0.2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149"/>
    </row>
    <row r="416" spans="1:11" x14ac:dyDescent="0.2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149"/>
    </row>
    <row r="417" spans="1:11" x14ac:dyDescent="0.2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149"/>
    </row>
    <row r="418" spans="1:11" x14ac:dyDescent="0.2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149"/>
    </row>
    <row r="419" spans="1:11" x14ac:dyDescent="0.2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149"/>
    </row>
    <row r="420" spans="1:11" x14ac:dyDescent="0.2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149"/>
    </row>
    <row r="421" spans="1:11" x14ac:dyDescent="0.2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149"/>
    </row>
    <row r="422" spans="1:11" x14ac:dyDescent="0.2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149"/>
    </row>
    <row r="423" spans="1:11" x14ac:dyDescent="0.2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149"/>
    </row>
    <row r="424" spans="1:11" x14ac:dyDescent="0.2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149"/>
    </row>
    <row r="425" spans="1:11" x14ac:dyDescent="0.2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149"/>
    </row>
    <row r="426" spans="1:11" x14ac:dyDescent="0.2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149"/>
    </row>
    <row r="427" spans="1:11" x14ac:dyDescent="0.2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149"/>
    </row>
    <row r="428" spans="1:11" x14ac:dyDescent="0.2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149"/>
    </row>
    <row r="429" spans="1:11" x14ac:dyDescent="0.2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149"/>
    </row>
    <row r="430" spans="1:11" x14ac:dyDescent="0.2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149"/>
    </row>
    <row r="431" spans="1:11" x14ac:dyDescent="0.2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149"/>
    </row>
    <row r="432" spans="1:11" x14ac:dyDescent="0.2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149"/>
    </row>
    <row r="433" spans="1:11" x14ac:dyDescent="0.2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149"/>
    </row>
    <row r="434" spans="1:11" x14ac:dyDescent="0.2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149"/>
    </row>
    <row r="435" spans="1:11" x14ac:dyDescent="0.2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149"/>
    </row>
    <row r="436" spans="1:11" x14ac:dyDescent="0.2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149"/>
    </row>
    <row r="437" spans="1:11" x14ac:dyDescent="0.2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149"/>
    </row>
    <row r="438" spans="1:11" x14ac:dyDescent="0.2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149"/>
    </row>
    <row r="439" spans="1:11" x14ac:dyDescent="0.2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149"/>
    </row>
    <row r="440" spans="1:11" x14ac:dyDescent="0.2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149"/>
    </row>
    <row r="441" spans="1:11" x14ac:dyDescent="0.2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149"/>
    </row>
    <row r="442" spans="1:11" x14ac:dyDescent="0.2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149"/>
    </row>
    <row r="443" spans="1:11" x14ac:dyDescent="0.2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149"/>
    </row>
    <row r="444" spans="1:11" x14ac:dyDescent="0.2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149"/>
    </row>
    <row r="445" spans="1:11" x14ac:dyDescent="0.2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149"/>
    </row>
    <row r="446" spans="1:11" x14ac:dyDescent="0.2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149"/>
    </row>
    <row r="447" spans="1:11" x14ac:dyDescent="0.2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149"/>
    </row>
    <row r="448" spans="1:11" x14ac:dyDescent="0.2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149"/>
    </row>
    <row r="449" spans="1:11" x14ac:dyDescent="0.2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149"/>
    </row>
    <row r="450" spans="1:11" x14ac:dyDescent="0.2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149"/>
    </row>
    <row r="451" spans="1:11" x14ac:dyDescent="0.2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149"/>
    </row>
    <row r="452" spans="1:11" x14ac:dyDescent="0.2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149"/>
    </row>
    <row r="453" spans="1:11" x14ac:dyDescent="0.2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149"/>
    </row>
    <row r="454" spans="1:11" x14ac:dyDescent="0.2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149"/>
    </row>
    <row r="455" spans="1:11" x14ac:dyDescent="0.2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149"/>
    </row>
    <row r="456" spans="1:11" x14ac:dyDescent="0.2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149"/>
    </row>
    <row r="457" spans="1:11" x14ac:dyDescent="0.2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149"/>
    </row>
    <row r="458" spans="1:11" x14ac:dyDescent="0.2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149"/>
    </row>
    <row r="459" spans="1:11" x14ac:dyDescent="0.2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149"/>
    </row>
    <row r="460" spans="1:11" x14ac:dyDescent="0.2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149"/>
    </row>
    <row r="461" spans="1:11" x14ac:dyDescent="0.2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149"/>
    </row>
    <row r="462" spans="1:11" x14ac:dyDescent="0.2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149"/>
    </row>
    <row r="463" spans="1:11" x14ac:dyDescent="0.2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149"/>
    </row>
    <row r="464" spans="1:11" x14ac:dyDescent="0.2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149"/>
    </row>
    <row r="465" spans="1:11" x14ac:dyDescent="0.2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149"/>
    </row>
    <row r="466" spans="1:11" x14ac:dyDescent="0.2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149"/>
    </row>
    <row r="467" spans="1:11" x14ac:dyDescent="0.2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149"/>
    </row>
    <row r="468" spans="1:11" x14ac:dyDescent="0.2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149"/>
    </row>
    <row r="469" spans="1:11" x14ac:dyDescent="0.2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149"/>
    </row>
    <row r="470" spans="1:11" x14ac:dyDescent="0.2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149"/>
    </row>
    <row r="471" spans="1:11" x14ac:dyDescent="0.2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149"/>
    </row>
    <row r="472" spans="1:11" x14ac:dyDescent="0.2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149"/>
    </row>
    <row r="473" spans="1:11" x14ac:dyDescent="0.2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149"/>
    </row>
    <row r="474" spans="1:11" x14ac:dyDescent="0.2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149"/>
    </row>
    <row r="475" spans="1:11" x14ac:dyDescent="0.2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149"/>
    </row>
    <row r="476" spans="1:11" x14ac:dyDescent="0.2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149"/>
    </row>
    <row r="477" spans="1:11" x14ac:dyDescent="0.2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149"/>
    </row>
    <row r="478" spans="1:11" x14ac:dyDescent="0.2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149"/>
    </row>
    <row r="479" spans="1:11" x14ac:dyDescent="0.2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149"/>
    </row>
    <row r="480" spans="1:11" x14ac:dyDescent="0.2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149"/>
    </row>
    <row r="481" spans="1:11" x14ac:dyDescent="0.2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149"/>
    </row>
    <row r="482" spans="1:11" x14ac:dyDescent="0.2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149"/>
    </row>
    <row r="483" spans="1:11" x14ac:dyDescent="0.2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149"/>
    </row>
    <row r="484" spans="1:11" x14ac:dyDescent="0.2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149"/>
    </row>
    <row r="485" spans="1:11" x14ac:dyDescent="0.2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149"/>
    </row>
    <row r="486" spans="1:11" x14ac:dyDescent="0.2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149"/>
    </row>
    <row r="487" spans="1:11" x14ac:dyDescent="0.2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149"/>
    </row>
    <row r="488" spans="1:11" x14ac:dyDescent="0.2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149"/>
    </row>
    <row r="489" spans="1:11" x14ac:dyDescent="0.2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149"/>
    </row>
    <row r="490" spans="1:11" x14ac:dyDescent="0.2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149"/>
    </row>
    <row r="491" spans="1:11" x14ac:dyDescent="0.2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149"/>
    </row>
    <row r="492" spans="1:11" x14ac:dyDescent="0.2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149"/>
    </row>
    <row r="493" spans="1:11" x14ac:dyDescent="0.2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149"/>
    </row>
    <row r="494" spans="1:11" x14ac:dyDescent="0.2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149"/>
    </row>
    <row r="495" spans="1:11" x14ac:dyDescent="0.2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149"/>
    </row>
    <row r="496" spans="1:11" x14ac:dyDescent="0.2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149"/>
    </row>
    <row r="497" spans="1:11" x14ac:dyDescent="0.2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149"/>
    </row>
    <row r="498" spans="1:11" x14ac:dyDescent="0.2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149"/>
    </row>
    <row r="499" spans="1:11" x14ac:dyDescent="0.2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149"/>
    </row>
    <row r="500" spans="1:11" x14ac:dyDescent="0.2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149"/>
    </row>
    <row r="501" spans="1:11" x14ac:dyDescent="0.2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149"/>
    </row>
    <row r="502" spans="1:11" x14ac:dyDescent="0.2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149"/>
    </row>
    <row r="503" spans="1:11" x14ac:dyDescent="0.2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149"/>
    </row>
    <row r="504" spans="1:11" x14ac:dyDescent="0.2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149"/>
    </row>
    <row r="505" spans="1:11" x14ac:dyDescent="0.2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149"/>
    </row>
    <row r="506" spans="1:11" x14ac:dyDescent="0.2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149"/>
    </row>
    <row r="507" spans="1:11" x14ac:dyDescent="0.2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149"/>
    </row>
    <row r="508" spans="1:11" x14ac:dyDescent="0.2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149"/>
    </row>
    <row r="509" spans="1:11" x14ac:dyDescent="0.2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149"/>
    </row>
    <row r="510" spans="1:11" x14ac:dyDescent="0.2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149"/>
    </row>
    <row r="511" spans="1:11" x14ac:dyDescent="0.2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149"/>
    </row>
    <row r="512" spans="1:11" x14ac:dyDescent="0.2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149"/>
    </row>
    <row r="513" spans="1:11" x14ac:dyDescent="0.2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149"/>
    </row>
    <row r="514" spans="1:11" x14ac:dyDescent="0.2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149"/>
    </row>
    <row r="515" spans="1:11" x14ac:dyDescent="0.2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149"/>
    </row>
    <row r="516" spans="1:11" x14ac:dyDescent="0.2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149"/>
    </row>
    <row r="517" spans="1:11" x14ac:dyDescent="0.2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149"/>
    </row>
    <row r="518" spans="1:11" x14ac:dyDescent="0.2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149"/>
    </row>
    <row r="519" spans="1:11" x14ac:dyDescent="0.2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149"/>
    </row>
    <row r="520" spans="1:11" x14ac:dyDescent="0.2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149"/>
    </row>
    <row r="521" spans="1:11" x14ac:dyDescent="0.2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149"/>
    </row>
    <row r="522" spans="1:11" x14ac:dyDescent="0.2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149"/>
    </row>
    <row r="523" spans="1:11" x14ac:dyDescent="0.2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149"/>
    </row>
    <row r="524" spans="1:11" x14ac:dyDescent="0.2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149"/>
    </row>
    <row r="525" spans="1:11" x14ac:dyDescent="0.2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149"/>
    </row>
    <row r="526" spans="1:11" x14ac:dyDescent="0.2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149"/>
    </row>
    <row r="527" spans="1:11" x14ac:dyDescent="0.2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149"/>
    </row>
    <row r="528" spans="1:11" x14ac:dyDescent="0.2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149"/>
    </row>
    <row r="529" spans="1:11" x14ac:dyDescent="0.2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149"/>
    </row>
    <row r="530" spans="1:11" x14ac:dyDescent="0.2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149"/>
    </row>
    <row r="531" spans="1:11" x14ac:dyDescent="0.2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149"/>
    </row>
    <row r="532" spans="1:11" x14ac:dyDescent="0.2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149"/>
    </row>
    <row r="533" spans="1:11" x14ac:dyDescent="0.2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149"/>
    </row>
    <row r="534" spans="1:11" x14ac:dyDescent="0.2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149"/>
    </row>
    <row r="535" spans="1:11" x14ac:dyDescent="0.2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149"/>
    </row>
    <row r="536" spans="1:11" x14ac:dyDescent="0.2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149"/>
    </row>
    <row r="537" spans="1:11" x14ac:dyDescent="0.2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149"/>
    </row>
    <row r="538" spans="1:11" x14ac:dyDescent="0.2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149"/>
    </row>
    <row r="539" spans="1:11" x14ac:dyDescent="0.2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149"/>
    </row>
    <row r="540" spans="1:11" x14ac:dyDescent="0.2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149"/>
    </row>
    <row r="541" spans="1:11" x14ac:dyDescent="0.2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149"/>
    </row>
    <row r="542" spans="1:11" x14ac:dyDescent="0.2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149"/>
    </row>
    <row r="543" spans="1:11" x14ac:dyDescent="0.2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149"/>
    </row>
    <row r="544" spans="1:11" x14ac:dyDescent="0.2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149"/>
    </row>
    <row r="545" spans="1:11" x14ac:dyDescent="0.2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149"/>
    </row>
    <row r="546" spans="1:11" x14ac:dyDescent="0.2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149"/>
    </row>
    <row r="547" spans="1:11" x14ac:dyDescent="0.2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149"/>
    </row>
    <row r="548" spans="1:11" x14ac:dyDescent="0.2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149"/>
    </row>
    <row r="549" spans="1:11" x14ac:dyDescent="0.2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149"/>
    </row>
    <row r="550" spans="1:11" x14ac:dyDescent="0.2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149"/>
    </row>
    <row r="551" spans="1:11" x14ac:dyDescent="0.2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149"/>
    </row>
    <row r="552" spans="1:11" x14ac:dyDescent="0.2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149"/>
    </row>
    <row r="553" spans="1:11" x14ac:dyDescent="0.2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149"/>
    </row>
    <row r="554" spans="1:11" x14ac:dyDescent="0.2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149"/>
    </row>
    <row r="555" spans="1:11" x14ac:dyDescent="0.2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149"/>
    </row>
    <row r="556" spans="1:11" x14ac:dyDescent="0.2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149"/>
    </row>
    <row r="557" spans="1:11" x14ac:dyDescent="0.2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149"/>
    </row>
    <row r="558" spans="1:11" x14ac:dyDescent="0.2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149"/>
    </row>
    <row r="559" spans="1:11" x14ac:dyDescent="0.2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149"/>
    </row>
    <row r="560" spans="1:11" x14ac:dyDescent="0.2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149"/>
    </row>
    <row r="561" spans="1:11" x14ac:dyDescent="0.2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149"/>
    </row>
    <row r="562" spans="1:11" x14ac:dyDescent="0.2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149"/>
    </row>
    <row r="563" spans="1:11" x14ac:dyDescent="0.2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149"/>
    </row>
    <row r="564" spans="1:11" x14ac:dyDescent="0.2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149"/>
    </row>
    <row r="565" spans="1:11" x14ac:dyDescent="0.2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149"/>
    </row>
    <row r="566" spans="1:11" x14ac:dyDescent="0.2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149"/>
    </row>
    <row r="567" spans="1:11" x14ac:dyDescent="0.2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149"/>
    </row>
    <row r="568" spans="1:11" x14ac:dyDescent="0.2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149"/>
    </row>
    <row r="569" spans="1:11" x14ac:dyDescent="0.2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149"/>
    </row>
    <row r="570" spans="1:11" x14ac:dyDescent="0.2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149"/>
    </row>
    <row r="571" spans="1:11" x14ac:dyDescent="0.2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149"/>
    </row>
    <row r="572" spans="1:11" x14ac:dyDescent="0.2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149"/>
    </row>
    <row r="573" spans="1:11" x14ac:dyDescent="0.2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149"/>
    </row>
    <row r="574" spans="1:11" x14ac:dyDescent="0.2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149"/>
    </row>
    <row r="575" spans="1:11" x14ac:dyDescent="0.2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149"/>
    </row>
    <row r="576" spans="1:11" x14ac:dyDescent="0.2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149"/>
    </row>
    <row r="577" spans="1:11" x14ac:dyDescent="0.2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149"/>
    </row>
    <row r="578" spans="1:11" x14ac:dyDescent="0.2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149"/>
    </row>
    <row r="579" spans="1:11" x14ac:dyDescent="0.2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149"/>
    </row>
    <row r="580" spans="1:11" x14ac:dyDescent="0.2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149"/>
    </row>
    <row r="581" spans="1:11" x14ac:dyDescent="0.2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149"/>
    </row>
    <row r="582" spans="1:11" x14ac:dyDescent="0.2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149"/>
    </row>
    <row r="583" spans="1:11" x14ac:dyDescent="0.2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149"/>
    </row>
    <row r="584" spans="1:11" x14ac:dyDescent="0.2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149"/>
    </row>
    <row r="585" spans="1:11" x14ac:dyDescent="0.2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149"/>
    </row>
    <row r="586" spans="1:11" x14ac:dyDescent="0.2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149"/>
    </row>
    <row r="587" spans="1:11" x14ac:dyDescent="0.2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149"/>
    </row>
    <row r="588" spans="1:11" x14ac:dyDescent="0.2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149"/>
    </row>
    <row r="589" spans="1:11" x14ac:dyDescent="0.2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149"/>
    </row>
    <row r="590" spans="1:11" x14ac:dyDescent="0.2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149"/>
    </row>
    <row r="591" spans="1:11" x14ac:dyDescent="0.2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149"/>
    </row>
    <row r="592" spans="1:11" x14ac:dyDescent="0.2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149"/>
    </row>
    <row r="593" spans="1:11" x14ac:dyDescent="0.2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149"/>
    </row>
    <row r="594" spans="1:11" x14ac:dyDescent="0.2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149"/>
    </row>
    <row r="595" spans="1:11" x14ac:dyDescent="0.2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149"/>
    </row>
    <row r="596" spans="1:11" x14ac:dyDescent="0.2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149"/>
    </row>
    <row r="597" spans="1:11" x14ac:dyDescent="0.2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149"/>
    </row>
    <row r="598" spans="1:11" x14ac:dyDescent="0.2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149"/>
    </row>
    <row r="599" spans="1:11" x14ac:dyDescent="0.2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149"/>
    </row>
    <row r="600" spans="1:11" x14ac:dyDescent="0.2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149"/>
    </row>
    <row r="601" spans="1:11" x14ac:dyDescent="0.2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149"/>
    </row>
    <row r="602" spans="1:11" x14ac:dyDescent="0.2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149"/>
    </row>
    <row r="603" spans="1:11" x14ac:dyDescent="0.2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149"/>
    </row>
    <row r="604" spans="1:11" x14ac:dyDescent="0.2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149"/>
    </row>
    <row r="605" spans="1:11" x14ac:dyDescent="0.2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149"/>
    </row>
    <row r="606" spans="1:11" x14ac:dyDescent="0.2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149"/>
    </row>
    <row r="607" spans="1:11" x14ac:dyDescent="0.2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149"/>
    </row>
    <row r="608" spans="1:11" x14ac:dyDescent="0.2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149"/>
    </row>
    <row r="609" spans="1:11" x14ac:dyDescent="0.2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149"/>
    </row>
    <row r="610" spans="1:11" x14ac:dyDescent="0.2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149"/>
    </row>
    <row r="611" spans="1:11" x14ac:dyDescent="0.2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149"/>
    </row>
    <row r="612" spans="1:11" x14ac:dyDescent="0.2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149"/>
    </row>
    <row r="613" spans="1:11" x14ac:dyDescent="0.2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149"/>
    </row>
    <row r="614" spans="1:11" x14ac:dyDescent="0.2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149"/>
    </row>
    <row r="615" spans="1:11" x14ac:dyDescent="0.2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149"/>
    </row>
    <row r="616" spans="1:11" x14ac:dyDescent="0.2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149"/>
    </row>
    <row r="617" spans="1:11" x14ac:dyDescent="0.2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149"/>
    </row>
    <row r="618" spans="1:11" x14ac:dyDescent="0.2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149"/>
    </row>
    <row r="619" spans="1:11" x14ac:dyDescent="0.2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149"/>
    </row>
    <row r="620" spans="1:11" x14ac:dyDescent="0.2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149"/>
    </row>
    <row r="621" spans="1:11" x14ac:dyDescent="0.2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149"/>
    </row>
    <row r="622" spans="1:11" x14ac:dyDescent="0.2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149"/>
    </row>
    <row r="623" spans="1:11" x14ac:dyDescent="0.2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149"/>
    </row>
    <row r="624" spans="1:11" x14ac:dyDescent="0.2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149"/>
    </row>
    <row r="625" spans="1:11" x14ac:dyDescent="0.2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149"/>
    </row>
    <row r="626" spans="1:11" x14ac:dyDescent="0.2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149"/>
    </row>
    <row r="627" spans="1:11" x14ac:dyDescent="0.2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149"/>
    </row>
    <row r="628" spans="1:11" x14ac:dyDescent="0.2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149"/>
    </row>
    <row r="629" spans="1:11" x14ac:dyDescent="0.2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149"/>
    </row>
    <row r="630" spans="1:11" x14ac:dyDescent="0.2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149"/>
    </row>
    <row r="631" spans="1:11" x14ac:dyDescent="0.2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149"/>
    </row>
    <row r="632" spans="1:11" x14ac:dyDescent="0.2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149"/>
    </row>
    <row r="633" spans="1:11" x14ac:dyDescent="0.2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149"/>
    </row>
    <row r="634" spans="1:11" x14ac:dyDescent="0.2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149"/>
    </row>
    <row r="635" spans="1:11" x14ac:dyDescent="0.2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149"/>
    </row>
    <row r="636" spans="1:11" x14ac:dyDescent="0.2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149"/>
    </row>
    <row r="637" spans="1:11" x14ac:dyDescent="0.2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149"/>
    </row>
    <row r="638" spans="1:11" x14ac:dyDescent="0.2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149"/>
    </row>
    <row r="639" spans="1:11" x14ac:dyDescent="0.2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149"/>
    </row>
    <row r="640" spans="1:11" x14ac:dyDescent="0.2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149"/>
    </row>
    <row r="641" spans="1:11" x14ac:dyDescent="0.2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149"/>
    </row>
    <row r="642" spans="1:11" x14ac:dyDescent="0.2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149"/>
    </row>
    <row r="643" spans="1:11" x14ac:dyDescent="0.2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149"/>
    </row>
    <row r="644" spans="1:11" x14ac:dyDescent="0.2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149"/>
    </row>
    <row r="645" spans="1:11" x14ac:dyDescent="0.2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149"/>
    </row>
    <row r="646" spans="1:11" x14ac:dyDescent="0.2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149"/>
    </row>
    <row r="647" spans="1:11" x14ac:dyDescent="0.2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149"/>
    </row>
    <row r="648" spans="1:11" x14ac:dyDescent="0.2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149"/>
    </row>
    <row r="649" spans="1:11" x14ac:dyDescent="0.2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149"/>
    </row>
    <row r="650" spans="1:11" x14ac:dyDescent="0.2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149"/>
    </row>
    <row r="651" spans="1:11" x14ac:dyDescent="0.2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149"/>
    </row>
    <row r="652" spans="1:11" x14ac:dyDescent="0.2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149"/>
    </row>
    <row r="653" spans="1:11" x14ac:dyDescent="0.2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149"/>
    </row>
    <row r="654" spans="1:11" x14ac:dyDescent="0.2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149"/>
    </row>
    <row r="655" spans="1:11" x14ac:dyDescent="0.2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149"/>
    </row>
    <row r="656" spans="1:11" x14ac:dyDescent="0.2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149"/>
    </row>
    <row r="657" spans="1:11" x14ac:dyDescent="0.2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149"/>
    </row>
    <row r="658" spans="1:11" x14ac:dyDescent="0.2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149"/>
    </row>
    <row r="659" spans="1:11" x14ac:dyDescent="0.2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149"/>
    </row>
    <row r="660" spans="1:11" x14ac:dyDescent="0.2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149"/>
    </row>
    <row r="661" spans="1:11" x14ac:dyDescent="0.2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149"/>
    </row>
    <row r="662" spans="1:11" x14ac:dyDescent="0.2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149"/>
    </row>
    <row r="663" spans="1:11" x14ac:dyDescent="0.2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149"/>
    </row>
    <row r="664" spans="1:11" x14ac:dyDescent="0.2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149"/>
    </row>
    <row r="665" spans="1:11" x14ac:dyDescent="0.2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149"/>
    </row>
    <row r="666" spans="1:11" x14ac:dyDescent="0.2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149"/>
    </row>
    <row r="667" spans="1:11" x14ac:dyDescent="0.2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149"/>
    </row>
    <row r="668" spans="1:11" x14ac:dyDescent="0.2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149"/>
    </row>
    <row r="669" spans="1:11" x14ac:dyDescent="0.2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149"/>
    </row>
    <row r="670" spans="1:11" x14ac:dyDescent="0.2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149"/>
    </row>
    <row r="671" spans="1:11" x14ac:dyDescent="0.2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149"/>
    </row>
    <row r="672" spans="1:11" x14ac:dyDescent="0.2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149"/>
    </row>
    <row r="673" spans="1:11" x14ac:dyDescent="0.2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149"/>
    </row>
    <row r="674" spans="1:11" x14ac:dyDescent="0.2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149"/>
    </row>
    <row r="675" spans="1:11" x14ac:dyDescent="0.2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149"/>
    </row>
    <row r="676" spans="1:11" x14ac:dyDescent="0.2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149"/>
    </row>
    <row r="677" spans="1:11" x14ac:dyDescent="0.2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149"/>
    </row>
    <row r="678" spans="1:11" x14ac:dyDescent="0.2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149"/>
    </row>
    <row r="679" spans="1:11" x14ac:dyDescent="0.2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149"/>
    </row>
    <row r="680" spans="1:11" x14ac:dyDescent="0.2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149"/>
    </row>
    <row r="681" spans="1:11" x14ac:dyDescent="0.2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149"/>
    </row>
    <row r="682" spans="1:11" x14ac:dyDescent="0.2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149"/>
    </row>
    <row r="683" spans="1:11" x14ac:dyDescent="0.2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149"/>
    </row>
    <row r="684" spans="1:11" x14ac:dyDescent="0.2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149"/>
    </row>
    <row r="685" spans="1:11" x14ac:dyDescent="0.2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149"/>
    </row>
    <row r="686" spans="1:11" x14ac:dyDescent="0.2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149"/>
    </row>
    <row r="687" spans="1:11" x14ac:dyDescent="0.2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149"/>
    </row>
    <row r="688" spans="1:11" x14ac:dyDescent="0.2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149"/>
    </row>
    <row r="689" spans="1:11" x14ac:dyDescent="0.2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149"/>
    </row>
  </sheetData>
  <mergeCells count="6">
    <mergeCell ref="A48:B48"/>
    <mergeCell ref="A1:E1"/>
    <mergeCell ref="A2:F2"/>
    <mergeCell ref="A5:A6"/>
    <mergeCell ref="B5:D5"/>
    <mergeCell ref="E5:E13"/>
  </mergeCells>
  <printOptions horizontalCentered="1" verticalCentered="1"/>
  <pageMargins left="0.19685039370078741" right="0.19685039370078741" top="0.39370078740157483" bottom="0.27559055118110237" header="0.39370078740157483" footer="0.15748031496062992"/>
  <pageSetup paperSize="9" scale="83" firstPageNumber="0" orientation="portrait" horizontalDpi="300" verticalDpi="300" r:id="rId1"/>
  <headerFooter alignWithMargins="0">
    <oddHeader>&amp;CDunaharaszti Város Önkormányzat 2018. évi zárszámadás&amp;R&amp;A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18</vt:i4>
      </vt:variant>
    </vt:vector>
  </HeadingPairs>
  <TitlesOfParts>
    <vt:vector size="51" baseType="lpstr">
      <vt:lpstr>II. előlap</vt:lpstr>
      <vt:lpstr>13.a.sz.m.Maradvány - int</vt:lpstr>
      <vt:lpstr>13.b.sz.m.Maradványkim.-Önk</vt:lpstr>
      <vt:lpstr>13.c.sz.m.Kötött maradvány</vt:lpstr>
      <vt:lpstr>13.d.sz.m.Szabad maradvány</vt:lpstr>
      <vt:lpstr> 1.sz.tájék.Részesedések </vt:lpstr>
      <vt:lpstr>2.sz.tájék.Vagyonkimutatás</vt:lpstr>
      <vt:lpstr>3.sz.tájék.táb. Többéves</vt:lpstr>
      <vt:lpstr>4.sz.tájék. Adósságszolgálat</vt:lpstr>
      <vt:lpstr>5.sz.tájék.pénzeszköz vált. </vt:lpstr>
      <vt:lpstr>6. sz tájék. Mérleg</vt:lpstr>
      <vt:lpstr> 7. sz tájék. Eredménykimutatás</vt:lpstr>
      <vt:lpstr>8.sz.tájék. Mérlegszerű</vt:lpstr>
      <vt:lpstr>9.sz.tájék.tábla Hitelképesség</vt:lpstr>
      <vt:lpstr>10.sz.tájék.tábla Közvetett tám</vt:lpstr>
      <vt:lpstr>1.sz.függ. Eu.pály.ASP</vt:lpstr>
      <vt:lpstr>2.sz.függ.Eu.pály.Bölcsőde</vt:lpstr>
      <vt:lpstr>3.sz.függ.Károlyi</vt:lpstr>
      <vt:lpstr>4.sz.függ. töltőállomás</vt:lpstr>
      <vt:lpstr>5.sz.függ.teniszpálya</vt:lpstr>
      <vt:lpstr>6.sz.függ.Körforgalom</vt:lpstr>
      <vt:lpstr>7.sz. függ.Orvosi rendelő</vt:lpstr>
      <vt:lpstr>8.sz.függ.A3 csatorna</vt:lpstr>
      <vt:lpstr>9.sz. függ. Százszorszép Óvi</vt:lpstr>
      <vt:lpstr>10.sz. függ.Temető utca</vt:lpstr>
      <vt:lpstr>11.sz. függ.Zajtérkép</vt:lpstr>
      <vt:lpstr>12.függ. Napsugár energ. fennt.</vt:lpstr>
      <vt:lpstr>13.függ. Hétszín.energ.fennt.</vt:lpstr>
      <vt:lpstr>14.függ.Kőrösi energ.fenntart</vt:lpstr>
      <vt:lpstr>15.függ.Szivárvány fennt.</vt:lpstr>
      <vt:lpstr>16.függ.Károlyi fenntartás</vt:lpstr>
      <vt:lpstr>17. függ.Töltőállomás fennt.</vt:lpstr>
      <vt:lpstr>18.függ.Teniszpálya fenntartás</vt:lpstr>
      <vt:lpstr>'2.sz.tájék.Vagyonkimutatás'!Nyomtatási_cím</vt:lpstr>
      <vt:lpstr>'6. sz tájék. Mérleg'!Nyomtatási_cím</vt:lpstr>
      <vt:lpstr>'9.sz.tájék.tábla Hitelképesség'!Nyomtatási_cím</vt:lpstr>
      <vt:lpstr>' 1.sz.tájék.Részesedések '!Nyomtatási_terület</vt:lpstr>
      <vt:lpstr>'10.sz.tájék.tábla Közvetett tám'!Nyomtatási_terület</vt:lpstr>
      <vt:lpstr>'12.függ. Napsugár energ. fennt.'!Nyomtatási_terület</vt:lpstr>
      <vt:lpstr>'13.b.sz.m.Maradványkim.-Önk'!Nyomtatási_terület</vt:lpstr>
      <vt:lpstr>'13.c.sz.m.Kötött maradvány'!Nyomtatási_terület</vt:lpstr>
      <vt:lpstr>'13.d.sz.m.Szabad maradvány'!Nyomtatási_terület</vt:lpstr>
      <vt:lpstr>'2.sz.függ.Eu.pály.Bölcsőde'!Nyomtatási_terület</vt:lpstr>
      <vt:lpstr>'2.sz.tájék.Vagyonkimutatás'!Nyomtatási_terület</vt:lpstr>
      <vt:lpstr>'3.sz.tájék.táb. Többéves'!Nyomtatási_terület</vt:lpstr>
      <vt:lpstr>'4.sz.tájék. Adósságszolgálat'!Nyomtatási_terület</vt:lpstr>
      <vt:lpstr>'5.sz.tájék.pénzeszköz vált. '!Nyomtatási_terület</vt:lpstr>
      <vt:lpstr>'8.sz.tájék. Mérlegszerű'!Nyomtatási_terület</vt:lpstr>
      <vt:lpstr>'9.sz. függ. Százszorszép Óvi'!Nyomtatási_terület</vt:lpstr>
      <vt:lpstr>'9.sz.tájék.tábla Hitelképesség'!Nyomtatási_terület</vt:lpstr>
      <vt:lpstr>'II. előlap'!Nyomtatási_terület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gheni</dc:creator>
  <cp:lastModifiedBy>Nagyné Tünde</cp:lastModifiedBy>
  <cp:lastPrinted>2019-05-20T13:38:23Z</cp:lastPrinted>
  <dcterms:created xsi:type="dcterms:W3CDTF">2016-04-05T12:46:30Z</dcterms:created>
  <dcterms:modified xsi:type="dcterms:W3CDTF">2019-05-20T13:40:17Z</dcterms:modified>
</cp:coreProperties>
</file>