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HIVATAL\Közös\KÉPVISELŐ-TESTÜLET IRATAI\ELŐTERJESZTÉSEK\2018\2018. 05. 28\"/>
    </mc:Choice>
  </mc:AlternateContent>
  <bookViews>
    <workbookView xWindow="0" yWindow="0" windowWidth="28800" windowHeight="11835" activeTab="4"/>
  </bookViews>
  <sheets>
    <sheet name="II. előlap" sheetId="30" r:id="rId1"/>
    <sheet name="13.a.sz.m.Maradvány - int" sheetId="7" r:id="rId2"/>
    <sheet name="13.b.sz.m.Maradványkim.-Önk" sheetId="8" r:id="rId3"/>
    <sheet name="13.c.sz.m.Kötött maradvány" sheetId="9" r:id="rId4"/>
    <sheet name="13.d.sz.m.Szabad maradvány" sheetId="10" r:id="rId5"/>
    <sheet name=" 1.sz.tájék.Részesedések " sheetId="1" r:id="rId6"/>
    <sheet name="2.sz.tájék.Vagyonkimutatás" sheetId="34" r:id="rId7"/>
    <sheet name="3.sz.tájék.tábla Többéves" sheetId="16" r:id="rId8"/>
    <sheet name="4.sz.tájék. Adósságszolgálat" sheetId="2" r:id="rId9"/>
    <sheet name="5.sz.tájék.pénzeszköz vált." sheetId="3" r:id="rId10"/>
    <sheet name="6.sz.tájék.Mérleg" sheetId="31" r:id="rId11"/>
    <sheet name="7.sz.tájék.Eredménykimutatás" sheetId="32" r:id="rId12"/>
    <sheet name="8.sz.tájék.tábla Mérlegszerű" sheetId="15" r:id="rId13"/>
    <sheet name="9.sz.tájék.tábla Hitelképesség" sheetId="17" r:id="rId14"/>
    <sheet name="10.sz.tájék.tábla Közvetett tám" sheetId="33" r:id="rId15"/>
    <sheet name="1.sz.függ.EU-s pály. ASP" sheetId="19" r:id="rId16"/>
    <sheet name="2.sz.függ. EU-s pály. Bölcsőde" sheetId="23" r:id="rId17"/>
    <sheet name="3.sz.függ. Károlyi u. pály." sheetId="20" r:id="rId18"/>
    <sheet name="4.sz. függ. Töltőállomás pály." sheetId="21" r:id="rId19"/>
    <sheet name="5.sz. függ. Teniszpálya pály." sheetId="22" r:id="rId20"/>
    <sheet name="6.sz.függ.körforgalom pály." sheetId="24" r:id="rId21"/>
    <sheet name="7.függ. Napsugár energ. fennt." sheetId="25" r:id="rId22"/>
    <sheet name="8.sz.függ. Hétszín.energ." sheetId="26" r:id="rId23"/>
    <sheet name="9.függ.Kőrösi energ.fenntart" sheetId="27" r:id="rId24"/>
    <sheet name="10.függ.Szivárvány fennt." sheetId="28" r:id="rId25"/>
  </sheets>
  <externalReferences>
    <externalReference r:id="rId26"/>
    <externalReference r:id="rId27"/>
    <externalReference r:id="rId28"/>
    <externalReference r:id="rId29"/>
  </externalReferences>
  <definedNames>
    <definedName name="csak" localSheetId="14">#REF!</definedName>
    <definedName name="csak" localSheetId="6">#REF!</definedName>
    <definedName name="csak" localSheetId="10">#REF!</definedName>
    <definedName name="csak" localSheetId="11">#REF!</definedName>
    <definedName name="csak" localSheetId="0">#REF!</definedName>
    <definedName name="csak">#REF!</definedName>
    <definedName name="felev" localSheetId="5">#REF!</definedName>
    <definedName name="felev" localSheetId="1">#REF!</definedName>
    <definedName name="felev" localSheetId="2">#REF!</definedName>
    <definedName name="felev" localSheetId="3">#REF!</definedName>
    <definedName name="felev" localSheetId="4">#REF!</definedName>
    <definedName name="felev" localSheetId="6">#REF!</definedName>
    <definedName name="felev" localSheetId="9">#REF!</definedName>
    <definedName name="felev" localSheetId="21">#REF!</definedName>
    <definedName name="felev" localSheetId="22">#REF!</definedName>
    <definedName name="felev" localSheetId="23">#REF!</definedName>
    <definedName name="felev">#REF!</definedName>
    <definedName name="funkcio" localSheetId="5">#REF!</definedName>
    <definedName name="funkcio" localSheetId="1">#REF!</definedName>
    <definedName name="funkcio" localSheetId="2">#REF!</definedName>
    <definedName name="funkcio" localSheetId="3">#REF!</definedName>
    <definedName name="funkcio" localSheetId="4">#REF!</definedName>
    <definedName name="funkcio" localSheetId="6">#REF!</definedName>
    <definedName name="funkcio" localSheetId="9">#REF!</definedName>
    <definedName name="funkcio" localSheetId="21">#REF!</definedName>
    <definedName name="funkcio" localSheetId="22">#REF!</definedName>
    <definedName name="funkcio" localSheetId="23">#REF!</definedName>
    <definedName name="funkcio">#REF!</definedName>
    <definedName name="Igenyles_elszamolas_tip" localSheetId="5">#REF!</definedName>
    <definedName name="Igenyles_elszamolas_tip" localSheetId="1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6">#REF!</definedName>
    <definedName name="Igenyles_elszamolas_tip" localSheetId="9">#REF!</definedName>
    <definedName name="Igenyles_elszamolas_tip" localSheetId="21">#REF!</definedName>
    <definedName name="Igenyles_elszamolas_tip" localSheetId="22">#REF!</definedName>
    <definedName name="Igenyles_elszamolas_tip" localSheetId="23">#REF!</definedName>
    <definedName name="Igenyles_elszamolas_tip">#REF!</definedName>
    <definedName name="iiiiii" localSheetId="14">#REF!</definedName>
    <definedName name="iiiiii" localSheetId="6">#REF!</definedName>
    <definedName name="iiiiii" localSheetId="7">#REF!</definedName>
    <definedName name="iiiiii" localSheetId="12">#REF!</definedName>
    <definedName name="iiiiii" localSheetId="13">#REF!</definedName>
    <definedName name="iiiiii">#REF!</definedName>
    <definedName name="jjj" localSheetId="14">#REF!</definedName>
    <definedName name="jjj" localSheetId="6">#REF!</definedName>
    <definedName name="jjj" localSheetId="7">#REF!</definedName>
    <definedName name="jjj" localSheetId="12">#REF!</definedName>
    <definedName name="jjj" localSheetId="13">#REF!</definedName>
    <definedName name="jjj">#REF!</definedName>
    <definedName name="kkkk" localSheetId="14">#REF!</definedName>
    <definedName name="kkkk" localSheetId="6">#REF!</definedName>
    <definedName name="kkkk" localSheetId="7">#REF!</definedName>
    <definedName name="kkkk" localSheetId="12">#REF!</definedName>
    <definedName name="kkkk" localSheetId="13">#REF!</definedName>
    <definedName name="kkkk">#REF!</definedName>
    <definedName name="koltseg_k" localSheetId="5">#REF!</definedName>
    <definedName name="koltseg_k" localSheetId="6">#REF!</definedName>
    <definedName name="koltseg_k" localSheetId="9">#REF!</definedName>
    <definedName name="koltseg_k" localSheetId="21">#REF!</definedName>
    <definedName name="koltseg_k" localSheetId="22">#REF!</definedName>
    <definedName name="koltseg_k" localSheetId="23">#REF!</definedName>
    <definedName name="koltseg_k">#REF!</definedName>
    <definedName name="Koltseg_kat" localSheetId="5">#REF!</definedName>
    <definedName name="Koltseg_kat" localSheetId="6">#REF!</definedName>
    <definedName name="Koltseg_kat" localSheetId="9">#REF!</definedName>
    <definedName name="Koltseg_kat" localSheetId="21">#REF!</definedName>
    <definedName name="Koltseg_kat" localSheetId="22">#REF!</definedName>
    <definedName name="Koltseg_kat" localSheetId="23">#REF!</definedName>
    <definedName name="Koltseg_kat">#REF!</definedName>
    <definedName name="_xlnm.Print_Titles" localSheetId="6">'2.sz.tájék.Vagyonkimutatás'!$A:$B,'2.sz.tájék.Vagyonkimutatás'!$1:$2</definedName>
    <definedName name="_xlnm.Print_Titles" localSheetId="7">'3.sz.tájék.tábla Többéves'!$1:$1</definedName>
    <definedName name="_xlnm.Print_Titles" localSheetId="10">'6.sz.tájék.Mérleg'!$2:$3</definedName>
    <definedName name="_xlnm.Print_Titles" localSheetId="13">'9.sz.tájék.tábla Hitelképesség'!$A:$B</definedName>
    <definedName name="_xlnm.Print_Area" localSheetId="5">' 1.sz.tájék.Részesedések '!$A$1:$J$17</definedName>
    <definedName name="_xlnm.Print_Area" localSheetId="14">'10.sz.tájék.tábla Közvetett tám'!$A$1:$L$31</definedName>
    <definedName name="_xlnm.Print_Area" localSheetId="2">'13.b.sz.m.Maradványkim.-Önk'!$A$1:$F$37</definedName>
    <definedName name="_xlnm.Print_Area" localSheetId="3">'13.c.sz.m.Kötött maradvány'!$A$1:$D$303</definedName>
    <definedName name="_xlnm.Print_Area" localSheetId="4">'13.d.sz.m.Szabad maradvány'!$A$1:$E$102</definedName>
    <definedName name="_xlnm.Print_Area" localSheetId="6">'2.sz.tájék.Vagyonkimutatás'!$A$1:$V$86</definedName>
    <definedName name="_xlnm.Print_Area" localSheetId="7">'3.sz.tájék.tábla Többéves'!$A$1:$O$51</definedName>
    <definedName name="_xlnm.Print_Area" localSheetId="8">'4.sz.tájék. Adósságszolgálat'!$A$1:$E$48</definedName>
    <definedName name="_xlnm.Print_Area" localSheetId="9">'5.sz.tájék.pénzeszköz vált.'!$A$1:$L$16</definedName>
    <definedName name="_xlnm.Print_Area" localSheetId="21">'7.függ. Napsugár energ. fennt.'!$A$1:$G$30</definedName>
    <definedName name="_xlnm.Print_Area" localSheetId="12">'8.sz.tájék.tábla Mérlegszerű'!$A$1:$L$38</definedName>
    <definedName name="_xlnm.Print_Area" localSheetId="13">'9.sz.tájék.tábla Hitelképesség'!$A$1:$Y$47</definedName>
    <definedName name="_xlnm.Print_Area" localSheetId="0">'II. előlap'!$A$1:$E$26</definedName>
    <definedName name="oooooooooooo" localSheetId="14">#REF!</definedName>
    <definedName name="oooooooooooo" localSheetId="1">#REF!</definedName>
    <definedName name="oooooooooooo" localSheetId="2">#REF!</definedName>
    <definedName name="oooooooooooo" localSheetId="3">#REF!</definedName>
    <definedName name="oooooooooooo" localSheetId="4">#REF!</definedName>
    <definedName name="oooooooooooo" localSheetId="6">#REF!</definedName>
    <definedName name="oooooooooooo" localSheetId="7">#REF!</definedName>
    <definedName name="oooooooooooo" localSheetId="12">#REF!</definedName>
    <definedName name="oooooooooooo" localSheetId="13">#REF!</definedName>
    <definedName name="oooooooooooo">#REF!</definedName>
    <definedName name="pppppp" localSheetId="14">#REF!</definedName>
    <definedName name="pppppp" localSheetId="1">#REF!</definedName>
    <definedName name="pppppp" localSheetId="2">#REF!</definedName>
    <definedName name="pppppp" localSheetId="3">#REF!</definedName>
    <definedName name="pppppp" localSheetId="4">#REF!</definedName>
    <definedName name="pppppp" localSheetId="6">#REF!</definedName>
    <definedName name="pppppp" localSheetId="7">#REF!</definedName>
    <definedName name="pppppp" localSheetId="12">#REF!</definedName>
    <definedName name="pppppp" localSheetId="13">#REF!</definedName>
    <definedName name="pppppp">#REF!</definedName>
    <definedName name="qqqqq" localSheetId="14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6">#REF!</definedName>
    <definedName name="qqqqq" localSheetId="7">#REF!</definedName>
    <definedName name="qqqqq" localSheetId="12">#REF!</definedName>
    <definedName name="qqqqq" localSheetId="13">#REF!</definedName>
    <definedName name="qqqqq">#REF!</definedName>
    <definedName name="rrrrrrrrrrr" localSheetId="14">#REF!</definedName>
    <definedName name="rrrrrrrrrrr" localSheetId="6">#REF!</definedName>
    <definedName name="rrrrrrrrrrr" localSheetId="7">#REF!</definedName>
    <definedName name="rrrrrrrrrrr" localSheetId="12">#REF!</definedName>
    <definedName name="rrrrrrrrrrr" localSheetId="13">#REF!</definedName>
    <definedName name="rrrrrrrrrrr">#REF!</definedName>
    <definedName name="Szamviteli_kat" localSheetId="5">#REF!</definedName>
    <definedName name="Szamviteli_kat" localSheetId="14">#REF!</definedName>
    <definedName name="Szamviteli_kat" localSheetId="3">#REF!</definedName>
    <definedName name="Szamviteli_kat" localSheetId="6">#REF!</definedName>
    <definedName name="Szamviteli_kat" localSheetId="7">#REF!</definedName>
    <definedName name="Szamviteli_kat" localSheetId="9">#REF!</definedName>
    <definedName name="Szamviteli_kat" localSheetId="21">#REF!</definedName>
    <definedName name="Szamviteli_kat" localSheetId="22">#REF!</definedName>
    <definedName name="Szamviteli_kat" localSheetId="12">#REF!</definedName>
    <definedName name="Szamviteli_kat" localSheetId="23">#REF!</definedName>
    <definedName name="Szamviteli_kat" localSheetId="13">#REF!</definedName>
    <definedName name="Szamviteli_kat">#REF!</definedName>
    <definedName name="téves">#REF!</definedName>
    <definedName name="vagyonkimu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0" l="1"/>
  <c r="D99" i="10"/>
  <c r="V77" i="34" l="1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E77" i="34"/>
  <c r="D77" i="34"/>
  <c r="C77" i="34"/>
  <c r="V70" i="34"/>
  <c r="U70" i="34"/>
  <c r="T70" i="34"/>
  <c r="S70" i="34"/>
  <c r="R70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E70" i="34"/>
  <c r="D70" i="34"/>
  <c r="C70" i="34"/>
  <c r="V63" i="34"/>
  <c r="U63" i="34"/>
  <c r="T63" i="34"/>
  <c r="S63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E63" i="34"/>
  <c r="D63" i="34"/>
  <c r="C63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7" i="34"/>
  <c r="C57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C54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V28" i="34"/>
  <c r="U28" i="34"/>
  <c r="U7" i="34" s="1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D24" i="34"/>
  <c r="C24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U17" i="34"/>
  <c r="V17" i="34" s="1"/>
  <c r="V13" i="34" s="1"/>
  <c r="V7" i="34" s="1"/>
  <c r="S17" i="34"/>
  <c r="T17" i="34" s="1"/>
  <c r="T13" i="34" s="1"/>
  <c r="T7" i="34" s="1"/>
  <c r="R17" i="34"/>
  <c r="R13" i="34" s="1"/>
  <c r="Q17" i="34"/>
  <c r="O17" i="34"/>
  <c r="P17" i="34" s="1"/>
  <c r="P13" i="34" s="1"/>
  <c r="M17" i="34"/>
  <c r="M13" i="34" s="1"/>
  <c r="K17" i="34"/>
  <c r="I17" i="34"/>
  <c r="I13" i="34" s="1"/>
  <c r="G17" i="34"/>
  <c r="G13" i="34" s="1"/>
  <c r="E17" i="34"/>
  <c r="E13" i="34" s="1"/>
  <c r="U13" i="34"/>
  <c r="S13" i="34"/>
  <c r="Q13" i="34"/>
  <c r="K13" i="34"/>
  <c r="D13" i="34"/>
  <c r="C13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C7" i="34" s="1"/>
  <c r="K7" i="34"/>
  <c r="K3" i="34" s="1"/>
  <c r="U6" i="34"/>
  <c r="V6" i="34" s="1"/>
  <c r="V4" i="34" s="1"/>
  <c r="S6" i="34"/>
  <c r="T6" i="34" s="1"/>
  <c r="T4" i="34" s="1"/>
  <c r="Q6" i="34"/>
  <c r="R6" i="34" s="1"/>
  <c r="R4" i="34" s="1"/>
  <c r="O6" i="34"/>
  <c r="P6" i="34" s="1"/>
  <c r="P4" i="34" s="1"/>
  <c r="K6" i="34"/>
  <c r="L6" i="34" s="1"/>
  <c r="L4" i="34" s="1"/>
  <c r="I6" i="34"/>
  <c r="I4" i="34" s="1"/>
  <c r="H6" i="34"/>
  <c r="H4" i="34" s="1"/>
  <c r="G6" i="34"/>
  <c r="E6" i="34"/>
  <c r="E4" i="34" s="1"/>
  <c r="U4" i="34"/>
  <c r="S4" i="34"/>
  <c r="Q4" i="34"/>
  <c r="O4" i="34"/>
  <c r="N4" i="34"/>
  <c r="M4" i="34"/>
  <c r="K4" i="34"/>
  <c r="G4" i="34"/>
  <c r="D4" i="34"/>
  <c r="C4" i="34"/>
  <c r="C3" i="34" s="1"/>
  <c r="L28" i="33"/>
  <c r="K28" i="33"/>
  <c r="J28" i="33"/>
  <c r="H28" i="33"/>
  <c r="E28" i="33"/>
  <c r="I27" i="33"/>
  <c r="F27" i="33"/>
  <c r="I26" i="33"/>
  <c r="I28" i="33" s="1"/>
  <c r="F26" i="33"/>
  <c r="F28" i="33" s="1"/>
  <c r="L22" i="33"/>
  <c r="K22" i="33"/>
  <c r="J22" i="33"/>
  <c r="H22" i="33"/>
  <c r="E22" i="33"/>
  <c r="I21" i="33"/>
  <c r="F21" i="33"/>
  <c r="I20" i="33"/>
  <c r="F20" i="33"/>
  <c r="I19" i="33"/>
  <c r="F19" i="33"/>
  <c r="I18" i="33"/>
  <c r="F18" i="33"/>
  <c r="I17" i="33"/>
  <c r="F17" i="33"/>
  <c r="I16" i="33"/>
  <c r="F16" i="33"/>
  <c r="I15" i="33"/>
  <c r="F15" i="33"/>
  <c r="L8" i="33"/>
  <c r="K8" i="33"/>
  <c r="J8" i="33"/>
  <c r="H8" i="33"/>
  <c r="E8" i="33"/>
  <c r="I7" i="33"/>
  <c r="F7" i="33"/>
  <c r="I6" i="33"/>
  <c r="F6" i="33"/>
  <c r="I5" i="33"/>
  <c r="I8" i="33" s="1"/>
  <c r="F5" i="33"/>
  <c r="V3" i="34" l="1"/>
  <c r="G7" i="34"/>
  <c r="G3" i="34" s="1"/>
  <c r="G69" i="34" s="1"/>
  <c r="L3" i="34"/>
  <c r="M7" i="34"/>
  <c r="M3" i="34" s="1"/>
  <c r="Q7" i="34"/>
  <c r="Q3" i="34" s="1"/>
  <c r="S7" i="34"/>
  <c r="S3" i="34" s="1"/>
  <c r="H17" i="34"/>
  <c r="H13" i="34" s="1"/>
  <c r="N17" i="34"/>
  <c r="N13" i="34" s="1"/>
  <c r="N7" i="34" s="1"/>
  <c r="N3" i="34" s="1"/>
  <c r="I7" i="34"/>
  <c r="P7" i="34"/>
  <c r="P3" i="34" s="1"/>
  <c r="P69" i="34" s="1"/>
  <c r="P86" i="34" s="1"/>
  <c r="C69" i="34"/>
  <c r="K69" i="34"/>
  <c r="O69" i="34"/>
  <c r="S69" i="34"/>
  <c r="C84" i="34"/>
  <c r="G84" i="34"/>
  <c r="K84" i="34"/>
  <c r="O84" i="34"/>
  <c r="S84" i="34"/>
  <c r="R7" i="34"/>
  <c r="R3" i="34" s="1"/>
  <c r="R69" i="34" s="1"/>
  <c r="R86" i="34" s="1"/>
  <c r="U3" i="34"/>
  <c r="U69" i="34" s="1"/>
  <c r="F22" i="33"/>
  <c r="F8" i="33"/>
  <c r="I22" i="33"/>
  <c r="T3" i="34"/>
  <c r="T69" i="34" s="1"/>
  <c r="O13" i="34"/>
  <c r="O7" i="34" s="1"/>
  <c r="O3" i="34" s="1"/>
  <c r="E7" i="34"/>
  <c r="E3" i="34" s="1"/>
  <c r="E69" i="34" s="1"/>
  <c r="D7" i="34"/>
  <c r="D3" i="34" s="1"/>
  <c r="D69" i="34" s="1"/>
  <c r="D86" i="34" s="1"/>
  <c r="H7" i="34"/>
  <c r="H3" i="34" s="1"/>
  <c r="H69" i="34" s="1"/>
  <c r="H86" i="34" s="1"/>
  <c r="L7" i="34"/>
  <c r="D84" i="34"/>
  <c r="H84" i="34"/>
  <c r="L84" i="34"/>
  <c r="P84" i="34"/>
  <c r="T84" i="34"/>
  <c r="T86" i="34" s="1"/>
  <c r="E84" i="34"/>
  <c r="I84" i="34"/>
  <c r="M84" i="34"/>
  <c r="Q84" i="34"/>
  <c r="F84" i="34"/>
  <c r="J84" i="34"/>
  <c r="N84" i="34"/>
  <c r="R84" i="34"/>
  <c r="U84" i="34"/>
  <c r="V84" i="34"/>
  <c r="L69" i="34"/>
  <c r="L86" i="34"/>
  <c r="M69" i="34"/>
  <c r="Q69" i="34"/>
  <c r="I3" i="34"/>
  <c r="I69" i="34" s="1"/>
  <c r="N69" i="34"/>
  <c r="N86" i="34" s="1"/>
  <c r="V69" i="34"/>
  <c r="J17" i="34"/>
  <c r="J13" i="34" s="1"/>
  <c r="J7" i="34" s="1"/>
  <c r="F6" i="34"/>
  <c r="F4" i="34" s="1"/>
  <c r="J6" i="34"/>
  <c r="J4" i="34" s="1"/>
  <c r="F17" i="34"/>
  <c r="F13" i="34" s="1"/>
  <c r="F7" i="34" s="1"/>
  <c r="F3" i="34" l="1"/>
  <c r="F69" i="34" s="1"/>
  <c r="F86" i="34" s="1"/>
  <c r="V86" i="34"/>
  <c r="J3" i="34"/>
  <c r="J69" i="34" s="1"/>
  <c r="J86" i="34" s="1"/>
  <c r="G14" i="27" l="1"/>
  <c r="C13" i="27"/>
  <c r="D13" i="27" s="1"/>
  <c r="E13" i="27" s="1"/>
  <c r="F13" i="27" s="1"/>
  <c r="C12" i="27"/>
  <c r="D12" i="27" s="1"/>
  <c r="E12" i="27" s="1"/>
  <c r="F12" i="27" s="1"/>
  <c r="G15" i="26"/>
  <c r="G14" i="26"/>
  <c r="G13" i="26"/>
  <c r="C10" i="25"/>
  <c r="D10" i="25" s="1"/>
  <c r="E10" i="25" s="1"/>
  <c r="F10" i="25" s="1"/>
  <c r="G12" i="27" l="1"/>
  <c r="G13" i="27"/>
  <c r="E15" i="24" l="1"/>
  <c r="D15" i="24"/>
  <c r="C15" i="24"/>
  <c r="E26" i="23"/>
  <c r="D26" i="23"/>
  <c r="C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26" i="23" s="1"/>
  <c r="E8" i="23"/>
  <c r="E13" i="22"/>
  <c r="D13" i="22"/>
  <c r="C13" i="22"/>
  <c r="E13" i="21"/>
  <c r="D13" i="21"/>
  <c r="C13" i="21"/>
  <c r="E16" i="20"/>
  <c r="E14" i="20"/>
  <c r="C14" i="20"/>
  <c r="D14" i="20" s="1"/>
  <c r="D12" i="20"/>
  <c r="C12" i="20"/>
  <c r="C16" i="20" s="1"/>
  <c r="E16" i="19"/>
  <c r="C16" i="19"/>
  <c r="D16" i="20" l="1"/>
  <c r="F37" i="15"/>
  <c r="L25" i="15" l="1"/>
  <c r="L15" i="15" l="1"/>
  <c r="F29" i="15" s="1"/>
  <c r="L16" i="15"/>
  <c r="F33" i="15" s="1"/>
  <c r="L14" i="15"/>
  <c r="F25" i="15"/>
  <c r="F15" i="15"/>
  <c r="F28" i="15" s="1"/>
  <c r="F30" i="15" s="1"/>
  <c r="F16" i="15"/>
  <c r="F32" i="15" s="1"/>
  <c r="F34" i="15" s="1"/>
  <c r="F14" i="15"/>
  <c r="F36" i="15" l="1"/>
  <c r="F38" i="15" s="1"/>
  <c r="C65" i="17"/>
  <c r="C78" i="17" s="1"/>
  <c r="C58" i="17"/>
  <c r="C62" i="17" s="1"/>
  <c r="L56" i="17"/>
  <c r="C54" i="17"/>
  <c r="C55" i="17" s="1"/>
  <c r="F53" i="17"/>
  <c r="F59" i="17" s="1"/>
  <c r="F73" i="17" s="1"/>
  <c r="L51" i="17"/>
  <c r="L59" i="17" s="1"/>
  <c r="Y45" i="17"/>
  <c r="Y44" i="17"/>
  <c r="Y43" i="17"/>
  <c r="Y42" i="17"/>
  <c r="Y41" i="17"/>
  <c r="Y40" i="17"/>
  <c r="Y39" i="17"/>
  <c r="X35" i="17"/>
  <c r="W35" i="17"/>
  <c r="V35" i="17"/>
  <c r="U35" i="17"/>
  <c r="T35" i="17"/>
  <c r="T30" i="17" s="1"/>
  <c r="T29" i="17" s="1"/>
  <c r="S35" i="17"/>
  <c r="R35" i="17"/>
  <c r="Q35" i="17"/>
  <c r="P35" i="17"/>
  <c r="O35" i="17"/>
  <c r="N35" i="17"/>
  <c r="M35" i="17"/>
  <c r="M30" i="17" s="1"/>
  <c r="M29" i="17" s="1"/>
  <c r="L35" i="17"/>
  <c r="L30" i="17" s="1"/>
  <c r="L29" i="17" s="1"/>
  <c r="K35" i="17"/>
  <c r="J35" i="17"/>
  <c r="I35" i="17"/>
  <c r="H35" i="17"/>
  <c r="G35" i="17"/>
  <c r="F35" i="17"/>
  <c r="E35" i="17"/>
  <c r="D35" i="17"/>
  <c r="C35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U30" i="17"/>
  <c r="U29" i="17" s="1"/>
  <c r="Y28" i="17"/>
  <c r="Y27" i="17"/>
  <c r="Y26" i="17"/>
  <c r="Y25" i="17"/>
  <c r="Y24" i="17"/>
  <c r="Y23" i="17"/>
  <c r="Y22" i="17"/>
  <c r="AA21" i="17"/>
  <c r="Y21" i="17"/>
  <c r="AA20" i="17"/>
  <c r="Y20" i="17"/>
  <c r="AA19" i="17"/>
  <c r="Y19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AA17" i="17"/>
  <c r="Y17" i="17"/>
  <c r="AA16" i="17"/>
  <c r="Y16" i="17"/>
  <c r="AA15" i="17"/>
  <c r="Y15" i="17"/>
  <c r="X14" i="17"/>
  <c r="X13" i="17" s="1"/>
  <c r="X12" i="17" s="1"/>
  <c r="W14" i="17"/>
  <c r="W13" i="17" s="1"/>
  <c r="W12" i="17" s="1"/>
  <c r="V14" i="17"/>
  <c r="V13" i="17" s="1"/>
  <c r="V12" i="17" s="1"/>
  <c r="U14" i="17"/>
  <c r="T14" i="17"/>
  <c r="S14" i="17"/>
  <c r="S13" i="17" s="1"/>
  <c r="S12" i="17" s="1"/>
  <c r="R14" i="17"/>
  <c r="R13" i="17" s="1"/>
  <c r="R12" i="17" s="1"/>
  <c r="Q14" i="17"/>
  <c r="Q13" i="17" s="1"/>
  <c r="Q12" i="17" s="1"/>
  <c r="P14" i="17"/>
  <c r="P13" i="17" s="1"/>
  <c r="P12" i="17" s="1"/>
  <c r="O14" i="17"/>
  <c r="O13" i="17" s="1"/>
  <c r="O12" i="17" s="1"/>
  <c r="N14" i="17"/>
  <c r="N13" i="17" s="1"/>
  <c r="N12" i="17" s="1"/>
  <c r="M14" i="17"/>
  <c r="L14" i="17"/>
  <c r="K14" i="17"/>
  <c r="K13" i="17" s="1"/>
  <c r="K12" i="17" s="1"/>
  <c r="J14" i="17"/>
  <c r="J13" i="17" s="1"/>
  <c r="J12" i="17" s="1"/>
  <c r="I14" i="17"/>
  <c r="I13" i="17" s="1"/>
  <c r="I12" i="17" s="1"/>
  <c r="H14" i="17"/>
  <c r="H13" i="17" s="1"/>
  <c r="H12" i="17" s="1"/>
  <c r="G14" i="17"/>
  <c r="G13" i="17" s="1"/>
  <c r="G12" i="17" s="1"/>
  <c r="F14" i="17"/>
  <c r="F13" i="17" s="1"/>
  <c r="F12" i="17" s="1"/>
  <c r="E14" i="17"/>
  <c r="D14" i="17"/>
  <c r="D13" i="17" s="1"/>
  <c r="D12" i="17" s="1"/>
  <c r="C14" i="17"/>
  <c r="U13" i="17"/>
  <c r="U12" i="17" s="1"/>
  <c r="U46" i="17" s="1"/>
  <c r="T13" i="17"/>
  <c r="T12" i="17" s="1"/>
  <c r="M13" i="17"/>
  <c r="M12" i="17" s="1"/>
  <c r="L13" i="17"/>
  <c r="L12" i="17" s="1"/>
  <c r="E13" i="17"/>
  <c r="E12" i="17" s="1"/>
  <c r="C10" i="17"/>
  <c r="C11" i="17" s="1"/>
  <c r="Y9" i="17"/>
  <c r="Y8" i="17"/>
  <c r="Y7" i="17"/>
  <c r="D6" i="17"/>
  <c r="Y5" i="17"/>
  <c r="Y4" i="17"/>
  <c r="D3" i="17"/>
  <c r="O51" i="16"/>
  <c r="K51" i="16"/>
  <c r="I51" i="16"/>
  <c r="G51" i="16"/>
  <c r="E51" i="16"/>
  <c r="M50" i="16"/>
  <c r="M49" i="16"/>
  <c r="M48" i="16"/>
  <c r="Q46" i="16"/>
  <c r="M46" i="16"/>
  <c r="Q45" i="16"/>
  <c r="M45" i="16"/>
  <c r="M44" i="16"/>
  <c r="M36" i="16"/>
  <c r="L36" i="16"/>
  <c r="L51" i="16" s="1"/>
  <c r="J36" i="16"/>
  <c r="J51" i="16" s="1"/>
  <c r="H36" i="16"/>
  <c r="H51" i="16" s="1"/>
  <c r="F36" i="16"/>
  <c r="F51" i="16" s="1"/>
  <c r="E36" i="16"/>
  <c r="D36" i="16"/>
  <c r="D51" i="16" s="1"/>
  <c r="O35" i="16"/>
  <c r="N35" i="16"/>
  <c r="O34" i="16"/>
  <c r="N34" i="16"/>
  <c r="O33" i="16"/>
  <c r="N33" i="16"/>
  <c r="O32" i="16"/>
  <c r="N32" i="16"/>
  <c r="O31" i="16"/>
  <c r="N31" i="16"/>
  <c r="O30" i="16"/>
  <c r="N30" i="16"/>
  <c r="N29" i="16"/>
  <c r="G29" i="16"/>
  <c r="O29" i="16" s="1"/>
  <c r="O28" i="16"/>
  <c r="N28" i="16"/>
  <c r="N27" i="16"/>
  <c r="G27" i="16"/>
  <c r="O27" i="16" s="1"/>
  <c r="N26" i="16"/>
  <c r="G26" i="16"/>
  <c r="O26" i="16" s="1"/>
  <c r="O25" i="16"/>
  <c r="N25" i="16"/>
  <c r="N24" i="16"/>
  <c r="K24" i="16"/>
  <c r="K36" i="16" s="1"/>
  <c r="I24" i="16"/>
  <c r="I36" i="16" s="1"/>
  <c r="G24" i="16"/>
  <c r="M19" i="16"/>
  <c r="L19" i="16"/>
  <c r="K19" i="16"/>
  <c r="J19" i="16"/>
  <c r="I19" i="16"/>
  <c r="H19" i="16"/>
  <c r="G19" i="16"/>
  <c r="F19" i="16"/>
  <c r="E19" i="16"/>
  <c r="D19" i="16"/>
  <c r="K25" i="15"/>
  <c r="J25" i="15"/>
  <c r="E25" i="15"/>
  <c r="D25" i="15"/>
  <c r="K24" i="15"/>
  <c r="J24" i="15"/>
  <c r="E24" i="15"/>
  <c r="D24" i="15"/>
  <c r="K23" i="15"/>
  <c r="J23" i="15"/>
  <c r="E23" i="15"/>
  <c r="D23" i="15"/>
  <c r="E22" i="15"/>
  <c r="D22" i="15"/>
  <c r="K21" i="15"/>
  <c r="J21" i="15"/>
  <c r="E21" i="15"/>
  <c r="D21" i="15"/>
  <c r="K20" i="15"/>
  <c r="J20" i="15"/>
  <c r="E20" i="15"/>
  <c r="D20" i="15"/>
  <c r="K19" i="15"/>
  <c r="J19" i="15"/>
  <c r="E19" i="15"/>
  <c r="D19" i="15"/>
  <c r="K18" i="15"/>
  <c r="J18" i="15"/>
  <c r="E18" i="15"/>
  <c r="D18" i="15"/>
  <c r="K17" i="15"/>
  <c r="J17" i="15"/>
  <c r="E17" i="15"/>
  <c r="D17" i="15"/>
  <c r="K14" i="15"/>
  <c r="E14" i="15"/>
  <c r="K13" i="15"/>
  <c r="J13" i="15"/>
  <c r="K12" i="15"/>
  <c r="J12" i="15"/>
  <c r="E12" i="15"/>
  <c r="D12" i="15"/>
  <c r="K11" i="15"/>
  <c r="J11" i="15"/>
  <c r="E11" i="15"/>
  <c r="D11" i="15"/>
  <c r="K10" i="15"/>
  <c r="J10" i="15"/>
  <c r="E10" i="15"/>
  <c r="D10" i="15"/>
  <c r="K9" i="15"/>
  <c r="J9" i="15"/>
  <c r="E9" i="15"/>
  <c r="D9" i="15"/>
  <c r="K8" i="15"/>
  <c r="J8" i="15"/>
  <c r="E8" i="15"/>
  <c r="D8" i="15"/>
  <c r="K7" i="15"/>
  <c r="J7" i="15"/>
  <c r="E7" i="15"/>
  <c r="E16" i="15" s="1"/>
  <c r="E32" i="15" s="1"/>
  <c r="D7" i="15"/>
  <c r="D16" i="15" s="1"/>
  <c r="D32" i="15" s="1"/>
  <c r="K6" i="15"/>
  <c r="K15" i="15" s="1"/>
  <c r="E29" i="15" s="1"/>
  <c r="J6" i="15"/>
  <c r="J15" i="15" s="1"/>
  <c r="D29" i="15" s="1"/>
  <c r="E6" i="15"/>
  <c r="E15" i="15" s="1"/>
  <c r="E28" i="15" s="1"/>
  <c r="D6" i="15"/>
  <c r="D14" i="15" s="1"/>
  <c r="M34" i="15" s="1"/>
  <c r="M51" i="16" l="1"/>
  <c r="D10" i="17"/>
  <c r="D11" i="17" s="1"/>
  <c r="M46" i="17"/>
  <c r="P46" i="17"/>
  <c r="P30" i="17"/>
  <c r="P29" i="17" s="1"/>
  <c r="X30" i="17"/>
  <c r="X29" i="17" s="1"/>
  <c r="X46" i="17" s="1"/>
  <c r="O24" i="16"/>
  <c r="O36" i="16" s="1"/>
  <c r="N36" i="16"/>
  <c r="T46" i="17"/>
  <c r="I46" i="17"/>
  <c r="Q46" i="17"/>
  <c r="E30" i="17"/>
  <c r="E29" i="17" s="1"/>
  <c r="I30" i="17"/>
  <c r="I29" i="17" s="1"/>
  <c r="Q30" i="17"/>
  <c r="Q29" i="17" s="1"/>
  <c r="D37" i="15"/>
  <c r="L46" i="17"/>
  <c r="E3" i="17"/>
  <c r="F3" i="17" s="1"/>
  <c r="E46" i="17"/>
  <c r="AA18" i="17"/>
  <c r="Y35" i="17"/>
  <c r="F30" i="17"/>
  <c r="F29" i="17" s="1"/>
  <c r="F46" i="17" s="1"/>
  <c r="J30" i="17"/>
  <c r="J29" i="17" s="1"/>
  <c r="J46" i="17" s="1"/>
  <c r="N30" i="17"/>
  <c r="N29" i="17" s="1"/>
  <c r="N46" i="17" s="1"/>
  <c r="R30" i="17"/>
  <c r="R29" i="17" s="1"/>
  <c r="R46" i="17" s="1"/>
  <c r="V30" i="17"/>
  <c r="V29" i="17" s="1"/>
  <c r="V46" i="17" s="1"/>
  <c r="D30" i="17"/>
  <c r="D29" i="17" s="1"/>
  <c r="D46" i="17" s="1"/>
  <c r="D47" i="17" s="1"/>
  <c r="H30" i="17"/>
  <c r="H29" i="17" s="1"/>
  <c r="H46" i="17" s="1"/>
  <c r="Y14" i="17"/>
  <c r="G46" i="17"/>
  <c r="S46" i="17"/>
  <c r="W46" i="17"/>
  <c r="Y18" i="17"/>
  <c r="Y31" i="17"/>
  <c r="G30" i="17"/>
  <c r="G29" i="17" s="1"/>
  <c r="K30" i="17"/>
  <c r="K29" i="17" s="1"/>
  <c r="K46" i="17" s="1"/>
  <c r="O30" i="17"/>
  <c r="O29" i="17" s="1"/>
  <c r="O46" i="17" s="1"/>
  <c r="S30" i="17"/>
  <c r="S29" i="17" s="1"/>
  <c r="W30" i="17"/>
  <c r="W29" i="17" s="1"/>
  <c r="E37" i="15"/>
  <c r="E30" i="15"/>
  <c r="M32" i="15"/>
  <c r="K16" i="15"/>
  <c r="E33" i="15" s="1"/>
  <c r="E34" i="15" s="1"/>
  <c r="D15" i="15"/>
  <c r="J16" i="15"/>
  <c r="D33" i="15" s="1"/>
  <c r="D34" i="15" s="1"/>
  <c r="E6" i="17"/>
  <c r="F6" i="17" s="1"/>
  <c r="G6" i="17" s="1"/>
  <c r="H6" i="17" s="1"/>
  <c r="I6" i="17" s="1"/>
  <c r="J6" i="17" s="1"/>
  <c r="K6" i="17" s="1"/>
  <c r="L6" i="17" s="1"/>
  <c r="M6" i="17" s="1"/>
  <c r="N6" i="17" s="1"/>
  <c r="O6" i="17" s="1"/>
  <c r="P6" i="17" s="1"/>
  <c r="Q6" i="17" s="1"/>
  <c r="R6" i="17" s="1"/>
  <c r="S6" i="17" s="1"/>
  <c r="T6" i="17" s="1"/>
  <c r="U6" i="17" s="1"/>
  <c r="V6" i="17" s="1"/>
  <c r="C13" i="17"/>
  <c r="C30" i="17"/>
  <c r="P51" i="16"/>
  <c r="N51" i="16"/>
  <c r="G36" i="16"/>
  <c r="M33" i="15"/>
  <c r="J14" i="15"/>
  <c r="N34" i="15" s="1"/>
  <c r="E36" i="15" l="1"/>
  <c r="E38" i="15" s="1"/>
  <c r="D28" i="15"/>
  <c r="D30" i="15" s="1"/>
  <c r="D36" i="15" s="1"/>
  <c r="D38" i="15" s="1"/>
  <c r="W6" i="17"/>
  <c r="V10" i="17"/>
  <c r="V11" i="17" s="1"/>
  <c r="V47" i="17" s="1"/>
  <c r="E10" i="17"/>
  <c r="C29" i="17"/>
  <c r="Y29" i="17" s="1"/>
  <c r="Y30" i="17"/>
  <c r="C12" i="17"/>
  <c r="Y13" i="17"/>
  <c r="G3" i="17"/>
  <c r="F10" i="17"/>
  <c r="F11" i="17" s="1"/>
  <c r="F47" i="17" s="1"/>
  <c r="E11" i="17" l="1"/>
  <c r="C46" i="17"/>
  <c r="Y12" i="17"/>
  <c r="W10" i="17"/>
  <c r="W11" i="17" s="1"/>
  <c r="W47" i="17" s="1"/>
  <c r="X6" i="17"/>
  <c r="X10" i="17" s="1"/>
  <c r="X11" i="17" s="1"/>
  <c r="X47" i="17" s="1"/>
  <c r="H3" i="17"/>
  <c r="G10" i="17"/>
  <c r="G11" i="17" s="1"/>
  <c r="G47" i="17" s="1"/>
  <c r="D81" i="10"/>
  <c r="F66" i="10"/>
  <c r="D65" i="10"/>
  <c r="D61" i="10"/>
  <c r="H41" i="10"/>
  <c r="D38" i="10"/>
  <c r="F8" i="10"/>
  <c r="E303" i="9"/>
  <c r="F303" i="9" s="1"/>
  <c r="E302" i="9"/>
  <c r="F302" i="9" s="1"/>
  <c r="C299" i="9"/>
  <c r="C295" i="9"/>
  <c r="G301" i="9" s="1"/>
  <c r="C289" i="9"/>
  <c r="C291" i="9" s="1"/>
  <c r="J15" i="7" s="1"/>
  <c r="C282" i="9"/>
  <c r="C281" i="9"/>
  <c r="C280" i="9"/>
  <c r="C279" i="9"/>
  <c r="C270" i="9"/>
  <c r="C269" i="9"/>
  <c r="C273" i="9" s="1"/>
  <c r="K15" i="7" s="1"/>
  <c r="N264" i="9"/>
  <c r="C260" i="9"/>
  <c r="C259" i="9"/>
  <c r="C258" i="9"/>
  <c r="N253" i="9"/>
  <c r="C249" i="9"/>
  <c r="C252" i="9" s="1"/>
  <c r="H15" i="7" s="1"/>
  <c r="C241" i="9"/>
  <c r="C240" i="9"/>
  <c r="C237" i="9"/>
  <c r="C236" i="9"/>
  <c r="C235" i="9"/>
  <c r="C234" i="9"/>
  <c r="C233" i="9"/>
  <c r="C232" i="9"/>
  <c r="C231" i="9"/>
  <c r="C229" i="9"/>
  <c r="C228" i="9"/>
  <c r="C224" i="9"/>
  <c r="C223" i="9"/>
  <c r="C222" i="9"/>
  <c r="C221" i="9"/>
  <c r="C220" i="9"/>
  <c r="C219" i="9"/>
  <c r="C218" i="9"/>
  <c r="C217" i="9"/>
  <c r="C210" i="9"/>
  <c r="C209" i="9"/>
  <c r="C208" i="9"/>
  <c r="C207" i="9"/>
  <c r="C205" i="9"/>
  <c r="C204" i="9"/>
  <c r="C203" i="9"/>
  <c r="C202" i="9"/>
  <c r="C201" i="9"/>
  <c r="C200" i="9"/>
  <c r="C199" i="9"/>
  <c r="C198" i="9"/>
  <c r="C189" i="9"/>
  <c r="C188" i="9"/>
  <c r="C187" i="9"/>
  <c r="C186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5" i="9"/>
  <c r="C84" i="9"/>
  <c r="C80" i="9"/>
  <c r="E80" i="9" s="1"/>
  <c r="C79" i="9"/>
  <c r="C78" i="9"/>
  <c r="C77" i="9"/>
  <c r="F79" i="9" s="1"/>
  <c r="C76" i="9"/>
  <c r="C75" i="9"/>
  <c r="C74" i="9"/>
  <c r="C73" i="9"/>
  <c r="E78" i="9" s="1"/>
  <c r="C66" i="9"/>
  <c r="C65" i="9"/>
  <c r="C64" i="9"/>
  <c r="C63" i="9"/>
  <c r="C62" i="9"/>
  <c r="C34" i="9"/>
  <c r="C33" i="9"/>
  <c r="E13" i="9" s="1"/>
  <c r="E17" i="8" s="1"/>
  <c r="E28" i="9"/>
  <c r="G24" i="9"/>
  <c r="E14" i="9"/>
  <c r="E18" i="8" s="1"/>
  <c r="F10" i="9"/>
  <c r="F5" i="9"/>
  <c r="F40" i="8"/>
  <c r="F35" i="8"/>
  <c r="F34" i="8"/>
  <c r="E32" i="8"/>
  <c r="D32" i="8"/>
  <c r="D31" i="8"/>
  <c r="G25" i="8"/>
  <c r="F25" i="8"/>
  <c r="E23" i="8"/>
  <c r="F22" i="8"/>
  <c r="F21" i="8"/>
  <c r="E20" i="8"/>
  <c r="D20" i="8"/>
  <c r="F18" i="8"/>
  <c r="E12" i="8"/>
  <c r="E13" i="8" s="1"/>
  <c r="E15" i="8" s="1"/>
  <c r="E19" i="8" s="1"/>
  <c r="E9" i="8"/>
  <c r="L23" i="7"/>
  <c r="K23" i="7"/>
  <c r="J23" i="7"/>
  <c r="I23" i="7"/>
  <c r="H23" i="7"/>
  <c r="G23" i="7"/>
  <c r="F23" i="7"/>
  <c r="E23" i="7"/>
  <c r="D23" i="7"/>
  <c r="M21" i="7"/>
  <c r="J20" i="7"/>
  <c r="K19" i="7"/>
  <c r="M18" i="7"/>
  <c r="M16" i="7"/>
  <c r="M14" i="7"/>
  <c r="D16" i="8" s="1"/>
  <c r="F16" i="8" s="1"/>
  <c r="M12" i="7"/>
  <c r="D14" i="8" s="1"/>
  <c r="F14" i="8" s="1"/>
  <c r="L10" i="7"/>
  <c r="K10" i="7"/>
  <c r="J10" i="7"/>
  <c r="I10" i="7"/>
  <c r="H10" i="7"/>
  <c r="G10" i="7"/>
  <c r="F10" i="7"/>
  <c r="E10" i="7"/>
  <c r="D10" i="7"/>
  <c r="M9" i="7"/>
  <c r="D11" i="8" s="1"/>
  <c r="F11" i="8" s="1"/>
  <c r="M8" i="7"/>
  <c r="D10" i="8" s="1"/>
  <c r="F10" i="8" s="1"/>
  <c r="L7" i="7"/>
  <c r="K7" i="7"/>
  <c r="J7" i="7"/>
  <c r="I7" i="7"/>
  <c r="I11" i="7" s="1"/>
  <c r="H7" i="7"/>
  <c r="G7" i="7"/>
  <c r="F7" i="7"/>
  <c r="E7" i="7"/>
  <c r="D7" i="7"/>
  <c r="M6" i="7"/>
  <c r="D8" i="8" s="1"/>
  <c r="F8" i="8" s="1"/>
  <c r="M5" i="7"/>
  <c r="D7" i="8" s="1"/>
  <c r="C211" i="9" l="1"/>
  <c r="G15" i="7" s="1"/>
  <c r="C243" i="9"/>
  <c r="M7" i="7"/>
  <c r="F11" i="7"/>
  <c r="F13" i="7" s="1"/>
  <c r="J11" i="7"/>
  <c r="J13" i="7" s="1"/>
  <c r="C67" i="9"/>
  <c r="G22" i="9" s="1"/>
  <c r="G25" i="9" s="1"/>
  <c r="C283" i="9"/>
  <c r="I15" i="7" s="1"/>
  <c r="H49" i="10"/>
  <c r="D11" i="7"/>
  <c r="H11" i="7"/>
  <c r="H17" i="7" s="1"/>
  <c r="H22" i="7" s="1"/>
  <c r="H24" i="7" s="1"/>
  <c r="L11" i="7"/>
  <c r="E11" i="7"/>
  <c r="E17" i="7" s="1"/>
  <c r="E22" i="7" s="1"/>
  <c r="E24" i="7" s="1"/>
  <c r="F32" i="8"/>
  <c r="G23" i="9"/>
  <c r="D66" i="10"/>
  <c r="F38" i="9"/>
  <c r="C263" i="9"/>
  <c r="L15" i="7" s="1"/>
  <c r="H10" i="17"/>
  <c r="H11" i="17" s="1"/>
  <c r="H47" i="17" s="1"/>
  <c r="I3" i="17"/>
  <c r="Y6" i="17"/>
  <c r="Y46" i="17"/>
  <c r="C47" i="17"/>
  <c r="E47" i="17"/>
  <c r="F20" i="8"/>
  <c r="G11" i="7"/>
  <c r="K11" i="7"/>
  <c r="J17" i="7"/>
  <c r="H18" i="8"/>
  <c r="G16" i="8"/>
  <c r="F17" i="7"/>
  <c r="F22" i="7" s="1"/>
  <c r="F24" i="7" s="1"/>
  <c r="D17" i="7"/>
  <c r="D13" i="7"/>
  <c r="L17" i="7"/>
  <c r="L22" i="7" s="1"/>
  <c r="L24" i="7" s="1"/>
  <c r="L13" i="7"/>
  <c r="M10" i="7"/>
  <c r="E13" i="7"/>
  <c r="M23" i="7"/>
  <c r="D29" i="8" s="1"/>
  <c r="H24" i="8"/>
  <c r="E26" i="8"/>
  <c r="H37" i="8"/>
  <c r="G29" i="8"/>
  <c r="D83" i="10"/>
  <c r="F67" i="10"/>
  <c r="L66" i="10"/>
  <c r="I17" i="7"/>
  <c r="I22" i="7" s="1"/>
  <c r="I24" i="7" s="1"/>
  <c r="I13" i="7"/>
  <c r="F7" i="8"/>
  <c r="D9" i="8"/>
  <c r="M20" i="7"/>
  <c r="D24" i="8" s="1"/>
  <c r="F24" i="8" s="1"/>
  <c r="J19" i="7"/>
  <c r="M19" i="7" s="1"/>
  <c r="D23" i="8" s="1"/>
  <c r="F23" i="8" s="1"/>
  <c r="I31" i="8" s="1"/>
  <c r="D12" i="8"/>
  <c r="F12" i="8" s="1"/>
  <c r="C48" i="9"/>
  <c r="H19" i="10"/>
  <c r="E31" i="8" s="1"/>
  <c r="C192" i="9"/>
  <c r="F15" i="7" s="1"/>
  <c r="M15" i="7" s="1"/>
  <c r="D17" i="8" s="1"/>
  <c r="F17" i="8" s="1"/>
  <c r="H13" i="7" l="1"/>
  <c r="M11" i="7"/>
  <c r="I10" i="17"/>
  <c r="J3" i="17"/>
  <c r="C297" i="9"/>
  <c r="C301" i="9"/>
  <c r="F300" i="9"/>
  <c r="H43" i="8"/>
  <c r="D22" i="7"/>
  <c r="J22" i="7"/>
  <c r="J24" i="7" s="1"/>
  <c r="J25" i="8"/>
  <c r="F31" i="8"/>
  <c r="G31" i="8" s="1"/>
  <c r="H29" i="8"/>
  <c r="E40" i="8"/>
  <c r="F30" i="8"/>
  <c r="K17" i="7"/>
  <c r="K22" i="7" s="1"/>
  <c r="K24" i="7" s="1"/>
  <c r="K13" i="7"/>
  <c r="D13" i="8"/>
  <c r="F9" i="8"/>
  <c r="G17" i="7"/>
  <c r="G22" i="7" s="1"/>
  <c r="G24" i="7" s="1"/>
  <c r="G13" i="7"/>
  <c r="M13" i="7" l="1"/>
  <c r="H36" i="8"/>
  <c r="H38" i="8" s="1"/>
  <c r="K3" i="17"/>
  <c r="J10" i="17"/>
  <c r="J11" i="17" s="1"/>
  <c r="J47" i="17" s="1"/>
  <c r="I11" i="17"/>
  <c r="M17" i="7"/>
  <c r="D24" i="7"/>
  <c r="M24" i="7" s="1"/>
  <c r="D27" i="8" s="1"/>
  <c r="M22" i="7"/>
  <c r="F13" i="8"/>
  <c r="D15" i="8"/>
  <c r="H16" i="8"/>
  <c r="I16" i="8" s="1"/>
  <c r="F82" i="10"/>
  <c r="H82" i="10" s="1"/>
  <c r="I47" i="17" l="1"/>
  <c r="L3" i="17"/>
  <c r="K10" i="17"/>
  <c r="K11" i="17" s="1"/>
  <c r="K47" i="17" s="1"/>
  <c r="D19" i="8"/>
  <c r="F15" i="8"/>
  <c r="F27" i="8"/>
  <c r="E28" i="8"/>
  <c r="L10" i="17" l="1"/>
  <c r="L11" i="17" s="1"/>
  <c r="L47" i="17" s="1"/>
  <c r="M3" i="17"/>
  <c r="D26" i="8"/>
  <c r="F19" i="8"/>
  <c r="F28" i="8"/>
  <c r="E29" i="8"/>
  <c r="F29" i="8" s="1"/>
  <c r="M10" i="17" l="1"/>
  <c r="M11" i="17" s="1"/>
  <c r="M47" i="17" s="1"/>
  <c r="N3" i="17"/>
  <c r="G26" i="8"/>
  <c r="F26" i="8"/>
  <c r="H44" i="8"/>
  <c r="H45" i="8" s="1"/>
  <c r="I28" i="8"/>
  <c r="F33" i="8"/>
  <c r="N10" i="17" l="1"/>
  <c r="N11" i="17" s="1"/>
  <c r="N47" i="17" s="1"/>
  <c r="O3" i="17"/>
  <c r="L10" i="3"/>
  <c r="K12" i="3"/>
  <c r="K13" i="3" s="1"/>
  <c r="J10" i="3"/>
  <c r="I6" i="3"/>
  <c r="I12" i="3" s="1"/>
  <c r="I13" i="3" s="1"/>
  <c r="J6" i="3"/>
  <c r="L6" i="3"/>
  <c r="H10" i="3"/>
  <c r="G10" i="3"/>
  <c r="F10" i="3"/>
  <c r="E10" i="3"/>
  <c r="E7" i="3"/>
  <c r="D10" i="3"/>
  <c r="C7" i="3"/>
  <c r="C29" i="3"/>
  <c r="C10" i="3"/>
  <c r="P3" i="17" l="1"/>
  <c r="O10" i="17"/>
  <c r="O11" i="17" s="1"/>
  <c r="O47" i="17" s="1"/>
  <c r="P10" i="17" l="1"/>
  <c r="P11" i="17" s="1"/>
  <c r="P47" i="17" s="1"/>
  <c r="Q3" i="17"/>
  <c r="C6" i="3"/>
  <c r="C18" i="3" s="1"/>
  <c r="D6" i="3"/>
  <c r="D18" i="3" s="1"/>
  <c r="E6" i="3"/>
  <c r="E18" i="3" s="1"/>
  <c r="F6" i="3"/>
  <c r="F18" i="3" s="1"/>
  <c r="G6" i="3"/>
  <c r="G18" i="3" s="1"/>
  <c r="H6" i="3"/>
  <c r="H18" i="3" s="1"/>
  <c r="L18" i="3"/>
  <c r="E20" i="2"/>
  <c r="C20" i="3"/>
  <c r="J18" i="3"/>
  <c r="L20" i="3"/>
  <c r="J20" i="3"/>
  <c r="H20" i="3"/>
  <c r="G20" i="3"/>
  <c r="F20" i="3"/>
  <c r="E20" i="3"/>
  <c r="D20" i="3"/>
  <c r="B49" i="2"/>
  <c r="D44" i="2"/>
  <c r="C44" i="2"/>
  <c r="B44" i="2"/>
  <c r="D43" i="2"/>
  <c r="C43" i="2"/>
  <c r="B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F8" i="1"/>
  <c r="F12" i="1"/>
  <c r="G9" i="1"/>
  <c r="D8" i="1"/>
  <c r="C8" i="1"/>
  <c r="C12" i="1" s="1"/>
  <c r="Q10" i="17" l="1"/>
  <c r="Q11" i="17" s="1"/>
  <c r="Q47" i="17" s="1"/>
  <c r="R3" i="17"/>
  <c r="E44" i="2"/>
  <c r="B7" i="2"/>
  <c r="C22" i="3"/>
  <c r="F22" i="3"/>
  <c r="L22" i="3"/>
  <c r="D22" i="3"/>
  <c r="E22" i="3"/>
  <c r="B52" i="2"/>
  <c r="E43" i="2"/>
  <c r="J22" i="3"/>
  <c r="H22" i="3"/>
  <c r="G22" i="3"/>
  <c r="E12" i="3"/>
  <c r="E13" i="3" s="1"/>
  <c r="J12" i="3"/>
  <c r="J13" i="3" s="1"/>
  <c r="D12" i="3"/>
  <c r="D13" i="3" s="1"/>
  <c r="F12" i="3"/>
  <c r="F13" i="3" s="1"/>
  <c r="L12" i="3"/>
  <c r="L13" i="3" s="1"/>
  <c r="H13" i="3"/>
  <c r="C12" i="3"/>
  <c r="G12" i="3"/>
  <c r="G13" i="3" s="1"/>
  <c r="G8" i="1"/>
  <c r="G12" i="1" s="1"/>
  <c r="D12" i="1"/>
  <c r="S3" i="17" l="1"/>
  <c r="R10" i="17"/>
  <c r="R11" i="17" s="1"/>
  <c r="R47" i="17" s="1"/>
  <c r="C13" i="3"/>
  <c r="C25" i="3" s="1"/>
  <c r="C16" i="3"/>
  <c r="J24" i="3"/>
  <c r="H24" i="3"/>
  <c r="C24" i="3"/>
  <c r="F24" i="3"/>
  <c r="D24" i="3"/>
  <c r="G24" i="3"/>
  <c r="E24" i="3"/>
  <c r="L24" i="3"/>
  <c r="T3" i="17" l="1"/>
  <c r="S10" i="17"/>
  <c r="S11" i="17" s="1"/>
  <c r="S47" i="17" s="1"/>
  <c r="T10" i="17" l="1"/>
  <c r="T11" i="17" s="1"/>
  <c r="T47" i="17" s="1"/>
  <c r="U3" i="17"/>
  <c r="U10" i="17" l="1"/>
  <c r="Y3" i="17"/>
  <c r="U11" i="17" l="1"/>
  <c r="Y10" i="17"/>
  <c r="U47" i="17" l="1"/>
  <c r="Y47" i="17" s="1"/>
  <c r="Y11" i="17"/>
</calcChain>
</file>

<file path=xl/sharedStrings.xml><?xml version="1.0" encoding="utf-8"?>
<sst xmlns="http://schemas.openxmlformats.org/spreadsheetml/2006/main" count="2241" uniqueCount="1507">
  <si>
    <t xml:space="preserve"> Részvények, törzstőkék, üzletrészek állománya (Ft)</t>
  </si>
  <si>
    <t>Sorszám</t>
  </si>
  <si>
    <t>Kibocsátó neve</t>
  </si>
  <si>
    <t>Értékvesztés</t>
  </si>
  <si>
    <t>Könyvsz.érték 2016. december 31.</t>
  </si>
  <si>
    <t>Kibocsátás, alapítás  kelte</t>
  </si>
  <si>
    <t>Letéti hely</t>
  </si>
  <si>
    <t>Önkormányzat</t>
  </si>
  <si>
    <t>%</t>
  </si>
  <si>
    <t>összege (Ft)</t>
  </si>
  <si>
    <t>( értékvesztés miatt )</t>
  </si>
  <si>
    <t>tulajdoni hányada</t>
  </si>
  <si>
    <t>1.</t>
  </si>
  <si>
    <t>DV Kft. törzstőke</t>
  </si>
  <si>
    <t>1995/2003</t>
  </si>
  <si>
    <t>-</t>
  </si>
  <si>
    <t>1/1</t>
  </si>
  <si>
    <t>2.</t>
  </si>
  <si>
    <t>DHRV Kft. Törzstőke</t>
  </si>
  <si>
    <t>51/100</t>
  </si>
  <si>
    <t>3.</t>
  </si>
  <si>
    <t>2012.</t>
  </si>
  <si>
    <t>4.</t>
  </si>
  <si>
    <t>MULTI-DH Hulladékkezelő Kft</t>
  </si>
  <si>
    <t>5.</t>
  </si>
  <si>
    <t>ÉDV</t>
  </si>
  <si>
    <t>0,000….</t>
  </si>
  <si>
    <t>Összesen</t>
  </si>
  <si>
    <t>Dunaharaszti Önkormányzat 2017. december 31-i vagyonkimutatása részletezése</t>
  </si>
  <si>
    <t>Össznévérték 2016.december 31.            (Előző év)</t>
  </si>
  <si>
    <t>Össznévérték                2017. december 31.</t>
  </si>
  <si>
    <t>Dunaharaszti Város Önkormányzat célhiteleihez és egyéb fejlesztési hiteleihez kapcsolódó kötelezettségvállalás</t>
  </si>
  <si>
    <t>Megnevezés</t>
  </si>
  <si>
    <t>Célhitel (OTP)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</si>
  <si>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</si>
  <si>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</si>
  <si>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</si>
  <si>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</si>
  <si>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</si>
  <si>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</si>
  <si>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2013.07.03-2015.</t>
  </si>
  <si>
    <t>2014.12.10-2015.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</si>
  <si>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</si>
  <si>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</si>
  <si>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</si>
  <si>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</si>
  <si>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</si>
  <si>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2014.*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</si>
  <si>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</si>
  <si>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</si>
  <si>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</si>
  <si>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</si>
  <si>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</si>
  <si>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</si>
  <si>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</si>
  <si>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</si>
  <si>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</si>
  <si>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</si>
  <si>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</si>
  <si>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</si>
  <si>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</si>
  <si>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</si>
  <si>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</si>
  <si>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</si>
  <si>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</si>
  <si>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</si>
  <si>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</si>
  <si>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</si>
  <si>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</si>
  <si>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</si>
  <si>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</si>
  <si>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</si>
  <si>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</si>
  <si>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* konszolidált összeg</t>
  </si>
  <si>
    <t xml:space="preserve"> Ft-ban</t>
  </si>
  <si>
    <t>Dunaharaszti Önkormányzat</t>
  </si>
  <si>
    <t>Dunaharaszti Polgármesteri Hivatal</t>
  </si>
  <si>
    <t>Dunaharaszti Városi Bölcsőde</t>
  </si>
  <si>
    <t>Dunaharaszti Területi Gondozási Központ</t>
  </si>
  <si>
    <t>Dunaharaszti Mese Óvoda</t>
  </si>
  <si>
    <t>Dunaharaszti Család- és Gyermekjóléti Szolgálat</t>
  </si>
  <si>
    <t>Dunaharaszti Hétszínvirág Óvoda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</si>
  <si>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</si>
  <si>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elektronikus pénzeszközök egyenlege</t>
    </r>
  </si>
  <si>
    <t>Költségvetési bevételek   ( + )</t>
  </si>
  <si>
    <t>Költéségvetési kiadások    ( - )</t>
  </si>
  <si>
    <t>6.</t>
  </si>
  <si>
    <t>36* -364-3678 számlák (egyéb sajátos elszámolások)</t>
  </si>
  <si>
    <t>7.</t>
  </si>
  <si>
    <t>8.</t>
  </si>
  <si>
    <t>9.</t>
  </si>
  <si>
    <t>Felvétel időszaka</t>
  </si>
  <si>
    <t>Nem teljesített törlesztések 
2017. december 31.</t>
  </si>
  <si>
    <t xml:space="preserve">Záró állomány : 2017.12.31.        </t>
  </si>
  <si>
    <t>2017. évről technikai okok miatt 2018. évre áthúzódó</t>
  </si>
  <si>
    <t>KT-2014/04888</t>
  </si>
  <si>
    <t>KT-2014/04889</t>
  </si>
  <si>
    <t>KT-2014/04890</t>
  </si>
  <si>
    <t xml:space="preserve">FORRÁSOK MINDÖSSZESEN </t>
  </si>
  <si>
    <t>J/ PASSZÍV IDŐBELI ELHATÁROLÁSOK</t>
  </si>
  <si>
    <t>I/ KINCSTÁRI SZÁMLAVEZETÉSSEL KAPCSOLATOS ELSZÁMOLÁS</t>
  </si>
  <si>
    <t>EGYÉB SAJÁTOS FORRÁSOLDALI ELSZÁMOLÁSOK</t>
  </si>
  <si>
    <t>III. Kötelezettség jellegű sajátos elszámolások</t>
  </si>
  <si>
    <t>II. Költségvetési évet követően esedékes kötelezettségek</t>
  </si>
  <si>
    <t xml:space="preserve">I. Költségvetési évben esedékes kötelezettségek  </t>
  </si>
  <si>
    <t>H/ KÖTELEZETTSÉGEK</t>
  </si>
  <si>
    <t>VI. Mérleg szerinti eredmény</t>
  </si>
  <si>
    <t>V. Eszközök értékhelyesbítésének forrása</t>
  </si>
  <si>
    <t>IV. Felhalmozott eredmény</t>
  </si>
  <si>
    <t>III. Egyéb eszközök induláskori értéke és változ.</t>
  </si>
  <si>
    <t>II. Nemzeti vagyon változásai</t>
  </si>
  <si>
    <t>I.  Nemzeti vagyon induláskori értéke</t>
  </si>
  <si>
    <t>G/ SAJÁT TŐKE</t>
  </si>
  <si>
    <t>ESZKÖZÖK MINDÖSSZESEN</t>
  </si>
  <si>
    <t>F/ AKTÍV IDŐBELI  ELHATÁROLÁSOK</t>
  </si>
  <si>
    <t>E/ EGYÉB SAJÁTOS ESZKÖZOLDALI ELSZÁMOLÁSOK</t>
  </si>
  <si>
    <t>III. Követelés jellegű sajátos elszámolás</t>
  </si>
  <si>
    <t>II. Költségvetési évet követő évben esedékes követelések</t>
  </si>
  <si>
    <t xml:space="preserve">I. Költségvetési évben esedékes követelések </t>
  </si>
  <si>
    <t xml:space="preserve">D/ KÖVETELÉSEK  </t>
  </si>
  <si>
    <t>V. Idegen pénzeszközök</t>
  </si>
  <si>
    <t>IV. Devizaszámlák</t>
  </si>
  <si>
    <t xml:space="preserve">III. Forintszámlák </t>
  </si>
  <si>
    <t>II. Pénztárak, csekkek, betétkönyvek</t>
  </si>
  <si>
    <t>I. Hosszú lejáratú betétek</t>
  </si>
  <si>
    <t xml:space="preserve">C/ PÉNZESZKÖZÖK </t>
  </si>
  <si>
    <t xml:space="preserve">II. Értékpapírok </t>
  </si>
  <si>
    <t>I. Készletek (forgalomképes)</t>
  </si>
  <si>
    <t>B/ NEMZETI VAGYONBA TARTOZÓ FORGÓESZKÖZÖK</t>
  </si>
  <si>
    <t>4. Koncesszióba, vagyonkezelésbe adott üzleti (forgalomképes) eszköz</t>
  </si>
  <si>
    <t>3. Koncesszióba, vagyonkezelésbe adott korlátozottan forgalomképes eszköz</t>
  </si>
  <si>
    <t>2. Koncesszióba, vagyonkezelésbe adott nemzetgazdasági szempontból kiemelt jelentőségű eszköz</t>
  </si>
  <si>
    <t>1. Koncesszióba, vagyonkezelésbe adott forgalomképtelen eszköz</t>
  </si>
  <si>
    <t xml:space="preserve">IV. Koncesszióba, vagyonkezelésbe adott eszközök </t>
  </si>
  <si>
    <t xml:space="preserve">3.4. Üzleti (forgalomképes) befektetett pénzügyi eszközök értékhelyesbítése </t>
  </si>
  <si>
    <t xml:space="preserve">3.3. Korlátozottan forgalmoképes befektetett pénzügyi eszközök értékhelyesbítése </t>
  </si>
  <si>
    <t xml:space="preserve">3.2. Nemzetgazdasági szempontból kiemelt jelentőségű befektetett pénzügyi eszközök értékhelyesbítése </t>
  </si>
  <si>
    <t xml:space="preserve">3.1. Forgalomképtelen  befektetett pénzügyi eszközök értékhelyesbítése </t>
  </si>
  <si>
    <t>3. Befektetett pénzügyi eszközök értékhelyesbítése</t>
  </si>
  <si>
    <t xml:space="preserve">2.4. Üzleti (forgalomképes) tartós hitelviszonyt megtestesítő értékpapír </t>
  </si>
  <si>
    <t xml:space="preserve">2.3. Korlátozottan forgalmoképes tartós hitelviszonyt megtestesítő értékpapír </t>
  </si>
  <si>
    <t xml:space="preserve">2.2. Nemzetgazdasági szempontból kiemelt jelentőségű tartós hitelviszonyt megtestesítő értékpapír </t>
  </si>
  <si>
    <t xml:space="preserve">2.1. Forgalomképtelen tartós hitelviszonyt megtestesítő értékpapír </t>
  </si>
  <si>
    <t xml:space="preserve">2. Tartós hitelviszonyt megtestesítő értékpapír </t>
  </si>
  <si>
    <t>1.4. Üzlet (forgalomképes) tartós részesedés</t>
  </si>
  <si>
    <t>1.3. Korlátozottan forgalmoképes tartós részesedés</t>
  </si>
  <si>
    <t>1.2. Nemzetgazdasági szempontból kiemelt jelentőségű tartós részesedések</t>
  </si>
  <si>
    <t>1.1. Forgalomképtelen tartós részesedések</t>
  </si>
  <si>
    <t xml:space="preserve">1. Tartós részesedések </t>
  </si>
  <si>
    <t>III. Befektetett pénzügyi eszközök</t>
  </si>
  <si>
    <t>5.4. Üzlet (forgalomképes) tárgyi eszközök értékhelyesbítése</t>
  </si>
  <si>
    <t>5.3. Korlátozottan forgalomképes tárgyi eszközök értékhelyesbítése</t>
  </si>
  <si>
    <t>5.2.  Nemzetgazdasági szempontból kiemelt jelentőségű tárgyi eszközök értékhelyesbítése</t>
  </si>
  <si>
    <t>5.1. Forgalomképtelen tárgyi eszközök értékhelyesbítése</t>
  </si>
  <si>
    <t>5. Tárgyi eszközök értékhelyesbítése</t>
  </si>
  <si>
    <t>4.4. Üzlet (forgalomképes) beruházások, felújítások</t>
  </si>
  <si>
    <t>4.3. Korlátozottan forgalomképes  beruházások, felújítások</t>
  </si>
  <si>
    <t>4.2.  Nemzetgazdasági szempontból kiemelt jelentőségű beruházások, felújítások</t>
  </si>
  <si>
    <t>4.1. Forgalomképtelen beruházások, felújítások</t>
  </si>
  <si>
    <t xml:space="preserve">4. Beruházások, felújítások </t>
  </si>
  <si>
    <t xml:space="preserve">3.4. Üzleti tenyészállatok </t>
  </si>
  <si>
    <t xml:space="preserve">3.3. Korlátozottan forgalomképes tenyészállatok </t>
  </si>
  <si>
    <t xml:space="preserve">3.2. Nemzetgazdasági szempontból kiemelt jelentőségű tenyészállatok </t>
  </si>
  <si>
    <t xml:space="preserve">3.1. Forgalomképtelen tenyészállatok </t>
  </si>
  <si>
    <t xml:space="preserve">3. Tenyészállatok </t>
  </si>
  <si>
    <t>2.4. Üzleti (forgalomképes) gépek, berendezések, felszerelések, járművek</t>
  </si>
  <si>
    <t>2.3. Korlátozottan forgalomképes gépek, berendezések, felszerelések, járművek</t>
  </si>
  <si>
    <t>2.2. Nemzetgazdasági szempontból kiemelt jelentőségű gépek, berendezések, felszerelések, járművek</t>
  </si>
  <si>
    <t>2.1. Forgalomképtelen gépek, berendezések, felszerelések, járművek</t>
  </si>
  <si>
    <t>2. Gépek, berendezések, felszerelések, járművek</t>
  </si>
  <si>
    <t>1.4. Üzleti (forgalomképes) ingatlanok és a kapcsolódó vagyoni értékű jogok</t>
  </si>
  <si>
    <t>1.3. Korlátozottan forgalomképes ingatlanok és a kapcsolódó vagyoni értékű jogok</t>
  </si>
  <si>
    <t>1.2. Nemzetgazdasági szempontból kiemelt jelentőségű  ingatlanok és kapcsolódó vagyoni értékű jogok</t>
  </si>
  <si>
    <t>1.1.Forgalomképtelen ingatlanok és a kapcsolódó vagyoni értékű jogok</t>
  </si>
  <si>
    <t>1. Ingatlanok és a kapcsolódó vagyoni értékű jogok</t>
  </si>
  <si>
    <t>II. Tárgyi eszközök</t>
  </si>
  <si>
    <t>1.2. Forgalomképes immateriális javak</t>
  </si>
  <si>
    <t>1.1. Korlátozottan forgalomképes immateriális javak</t>
  </si>
  <si>
    <t>I. Immateriális javak</t>
  </si>
  <si>
    <t>A/NEMZETI VAGYONBA TARTOZÓ BEFEKTETETT ESZKÖZÖK</t>
  </si>
  <si>
    <t>Nettó</t>
  </si>
  <si>
    <t>Bruttó</t>
  </si>
  <si>
    <t>Művelődési Ház</t>
  </si>
  <si>
    <t>Szivárvány Óvoda</t>
  </si>
  <si>
    <t>Dunaharaszti Városi Könyvtár</t>
  </si>
  <si>
    <t>Dunaharaszti Város Önkormányzata</t>
  </si>
  <si>
    <t>12/A - Mérleg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</si>
  <si>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</si>
  <si>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</si>
  <si>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</si>
  <si>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</si>
  <si>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</si>
  <si>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</si>
  <si>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</si>
  <si>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</si>
  <si>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</si>
  <si>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</si>
  <si>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</si>
  <si>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</si>
  <si>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</si>
  <si>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</si>
  <si>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</si>
  <si>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</si>
  <si>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</si>
  <si>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</si>
  <si>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</si>
  <si>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</si>
  <si>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</si>
  <si>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</si>
  <si>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</si>
  <si>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</si>
  <si>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</si>
  <si>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</si>
  <si>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</si>
  <si>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</si>
  <si>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</si>
  <si>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</si>
  <si>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</si>
  <si>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</si>
  <si>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</si>
  <si>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</si>
  <si>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</si>
  <si>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</si>
  <si>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</si>
  <si>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</si>
  <si>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</si>
  <si>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</si>
  <si>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</si>
  <si>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</si>
  <si>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</si>
  <si>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</si>
  <si>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</si>
  <si>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</si>
  <si>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</si>
  <si>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</si>
  <si>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</si>
  <si>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</si>
  <si>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</si>
  <si>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</si>
  <si>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</si>
  <si>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</si>
  <si>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</si>
  <si>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</si>
  <si>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</si>
  <si>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</si>
  <si>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</si>
  <si>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</si>
  <si>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</si>
  <si>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</si>
  <si>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</si>
  <si>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</si>
  <si>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</si>
  <si>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</si>
  <si>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</si>
  <si>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</si>
  <si>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</si>
  <si>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</si>
  <si>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</si>
  <si>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</si>
  <si>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</si>
  <si>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</si>
  <si>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</si>
  <si>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</si>
  <si>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</si>
  <si>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</si>
  <si>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</si>
  <si>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</si>
  <si>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</si>
  <si>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</si>
  <si>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</si>
  <si>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</si>
  <si>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</si>
  <si>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</si>
  <si>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</si>
  <si>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</si>
  <si>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</si>
  <si>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</si>
  <si>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</si>
  <si>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</si>
  <si>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</si>
  <si>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</si>
  <si>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</si>
  <si>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</si>
  <si>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</si>
  <si>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</si>
  <si>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</si>
  <si>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</si>
  <si>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</si>
  <si>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</si>
  <si>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</si>
  <si>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</si>
  <si>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</si>
  <si>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</si>
  <si>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</si>
  <si>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</si>
  <si>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</si>
  <si>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</si>
  <si>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</si>
  <si>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</si>
  <si>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</si>
  <si>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</si>
  <si>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</si>
  <si>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</si>
  <si>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</si>
  <si>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</si>
  <si>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</si>
  <si>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</si>
  <si>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</si>
  <si>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</si>
  <si>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</si>
  <si>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</si>
  <si>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</si>
  <si>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</si>
  <si>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</si>
  <si>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</si>
  <si>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</si>
  <si>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</si>
  <si>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</si>
  <si>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</si>
  <si>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</si>
  <si>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</si>
  <si>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</si>
  <si>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</si>
  <si>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</si>
  <si>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</si>
  <si>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</si>
  <si>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</si>
  <si>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</si>
  <si>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</si>
  <si>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</si>
  <si>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</si>
  <si>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</si>
  <si>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</si>
  <si>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</si>
  <si>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</si>
  <si>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</si>
  <si>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</si>
  <si>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</si>
  <si>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</si>
  <si>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 és más nyereségjellegű 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</si>
  <si>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</si>
  <si>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</si>
  <si>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</si>
  <si>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</si>
  <si>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</si>
  <si>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</si>
  <si>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</si>
  <si>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</si>
  <si>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</si>
  <si>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</si>
  <si>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</si>
  <si>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</si>
  <si>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</si>
  <si>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</si>
  <si>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</si>
  <si>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</si>
  <si>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</si>
  <si>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</si>
  <si>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</si>
  <si>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</si>
  <si>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</si>
  <si>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</si>
  <si>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</si>
  <si>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</si>
  <si>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</si>
  <si>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</si>
  <si>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</si>
  <si>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</si>
  <si>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</si>
  <si>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</si>
  <si>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</si>
  <si>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</si>
  <si>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</si>
  <si>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</si>
  <si>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</si>
  <si>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</si>
  <si>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</si>
  <si>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</si>
  <si>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</si>
  <si>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</si>
  <si>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</si>
  <si>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</si>
  <si>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</si>
  <si>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</si>
  <si>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</si>
  <si>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</si>
  <si>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</si>
  <si>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</si>
  <si>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</si>
  <si>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</si>
  <si>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</si>
  <si>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</si>
  <si>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</si>
  <si>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</si>
  <si>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</si>
  <si>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</si>
  <si>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</si>
  <si>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</si>
  <si>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</si>
  <si>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</si>
  <si>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</si>
  <si>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</si>
  <si>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</si>
  <si>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</si>
  <si>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</si>
  <si>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</si>
  <si>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</si>
  <si>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</si>
  <si>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</si>
  <si>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</si>
  <si>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</si>
  <si>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</si>
  <si>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</si>
  <si>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</si>
  <si>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</si>
  <si>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</si>
  <si>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</si>
  <si>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</si>
  <si>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</si>
  <si>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</si>
  <si>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</si>
  <si>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</si>
  <si>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</si>
  <si>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</si>
  <si>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</si>
  <si>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</si>
  <si>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</si>
  <si>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</si>
  <si>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</si>
  <si>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</si>
  <si>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</si>
  <si>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</si>
  <si>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</si>
  <si>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</si>
  <si>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</si>
  <si>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</si>
  <si>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</si>
  <si>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</si>
  <si>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</si>
  <si>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</si>
  <si>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</si>
  <si>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</si>
  <si>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</si>
  <si>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</si>
  <si>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</si>
  <si>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</si>
  <si>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</si>
  <si>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</si>
  <si>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</si>
  <si>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</si>
  <si>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</si>
  <si>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</si>
  <si>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</si>
  <si>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</si>
  <si>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</si>
  <si>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</si>
  <si>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</si>
  <si>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</si>
  <si>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</si>
  <si>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</si>
  <si>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</si>
  <si>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</si>
  <si>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</si>
  <si>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</si>
  <si>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</si>
  <si>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</si>
  <si>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</si>
  <si>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</si>
  <si>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</si>
  <si>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</si>
  <si>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</si>
  <si>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</si>
  <si>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142</t>
  </si>
  <si>
    <t>D/II Költségvetési évet követően esedékes követelések (=D/II/1+…+D/II/8)</t>
  </si>
  <si>
    <t>143</t>
  </si>
  <si>
    <t>D/III/1 Adott előlegek (=D/III/1a+…+D/III/1f)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</si>
  <si>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</si>
  <si>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</si>
  <si>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</si>
  <si>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</si>
  <si>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</si>
  <si>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</si>
  <si>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</si>
  <si>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</si>
  <si>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</si>
  <si>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</si>
  <si>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</si>
  <si>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</si>
  <si>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</si>
  <si>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</si>
  <si>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</si>
  <si>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</si>
  <si>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152</t>
  </si>
  <si>
    <t>D/III/4 Forgótőke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</si>
  <si>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</si>
  <si>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</si>
  <si>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</si>
  <si>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</si>
  <si>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</si>
  <si>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</si>
  <si>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</si>
  <si>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</si>
  <si>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</si>
  <si>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</si>
  <si>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158</t>
  </si>
  <si>
    <t>D/III Követelés jellegű sajátos elszámolások (=D/III/1+…+D/III/9)</t>
  </si>
  <si>
    <t>159</t>
  </si>
  <si>
    <t>D) KÖVETELÉSEK  (=D/I+D/II+D/III)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</si>
  <si>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</si>
  <si>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</si>
  <si>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</si>
  <si>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</si>
  <si>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</si>
  <si>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</si>
  <si>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</si>
  <si>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</si>
  <si>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</si>
  <si>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</si>
  <si>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165</t>
  </si>
  <si>
    <t>E/II/1 Kapott előleghez kapcsolódó fizetendő általános forgalmi adó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</si>
  <si>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</si>
  <si>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</si>
  <si>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</si>
  <si>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</si>
  <si>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</si>
  <si>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</si>
  <si>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</si>
  <si>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</si>
  <si>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</si>
  <si>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</si>
  <si>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</si>
  <si>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</si>
  <si>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</si>
  <si>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</si>
  <si>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</si>
  <si>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</si>
  <si>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</si>
  <si>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</si>
  <si>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</si>
  <si>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</si>
  <si>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</si>
  <si>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</si>
  <si>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</si>
  <si>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</si>
  <si>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</si>
  <si>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</si>
  <si>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</si>
  <si>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G/III/1 Megszűnés miatt átvett lekötött betétek könyv szerinti értéke és változása</t>
  </si>
  <si>
    <t>180</t>
  </si>
  <si>
    <t>G/III/2 Megszűnés miatt átvett egyéb pénzeszközök könyv szerinti értéke és változása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</si>
  <si>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</si>
  <si>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</si>
  <si>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</si>
  <si>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</si>
  <si>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</si>
  <si>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</si>
  <si>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184</t>
  </si>
  <si>
    <t>G/V Eszközök értékhelyesbítésének forrása</t>
  </si>
  <si>
    <t>185</t>
  </si>
  <si>
    <t>G/VI Mérleg szerinti eredmény</t>
  </si>
  <si>
    <t>186</t>
  </si>
  <si>
    <t>G/ SAJÁT TŐKE  (= G/I+…+G/VI)</t>
  </si>
  <si>
    <t>187</t>
  </si>
  <si>
    <t>H/I/1 Költségvetési évben esedékes kötelezettségek személyi juttatásokra</t>
  </si>
  <si>
    <t>188</t>
  </si>
  <si>
    <t>H/I/2 Költségvetési évben esedékes kötelezettségek munkaadókat terhelő járulékokra és szociális hozzájárulási adóra</t>
  </si>
  <si>
    <t>189</t>
  </si>
  <si>
    <t>H/I/3 Költségvetési évben esedékes kötelezettségek dologi kiadásokra</t>
  </si>
  <si>
    <t>190</t>
  </si>
  <si>
    <t>H/I/4 Költségvetési évben esedékes kötelezettségek ellátottak pénzbeli juttatásaira</t>
  </si>
  <si>
    <t>191</t>
  </si>
  <si>
    <t>H/I/5 Költségvetési évben esedékes kötelezettségek egyéb működési célú kiadásokra (&gt;=H/I/5a+H/I/5b)</t>
  </si>
  <si>
    <t>192</t>
  </si>
  <si>
    <t>H/I/5a - ebből: költségvetési évben esedékes kötelezettségek működési célú visszatérítendő támogatások, kölcsönök törlesztésére államháztartáson belülre</t>
  </si>
  <si>
    <t>193</t>
  </si>
  <si>
    <t>H/I/5b - ebből: költségvetési évben esedékes kötelezettségek működési célú támogatásokra az Európai Uniónak</t>
  </si>
  <si>
    <t>194</t>
  </si>
  <si>
    <t>H/I/6 Költségvetési évben esedékes kötelezettségek beruházásokra</t>
  </si>
  <si>
    <t>195</t>
  </si>
  <si>
    <t>H/I/7 Költségvetési évben esedékes kötelezettségek felújításokra</t>
  </si>
  <si>
    <t>196</t>
  </si>
  <si>
    <t>H/I/8 Költségvetési évben esedékes kötelezettségek egyéb felhalmozási célú kiadásokra (&gt;=H/I/8a+H/I/8b)</t>
  </si>
  <si>
    <t>197</t>
  </si>
  <si>
    <t>H/I/8a - ebből: költségvetési évben esedékes kötelezettségek felhalmozási célú visszatérítendő támogatások, kölcsönök törlesztésére államháztartáson belülre</t>
  </si>
  <si>
    <t>198</t>
  </si>
  <si>
    <t>H/I/8b - ebből: költségvetési évben esedékes kötelezettségek felhalmozási célú támogatásokra az Európai Uniónak</t>
  </si>
  <si>
    <t>199</t>
  </si>
  <si>
    <t>H/I/9 Költségvetési évben esedékes kötelezettségek finanszírozási kiadásokra (&gt;=H/I/9a+…+H/I/9l)</t>
  </si>
  <si>
    <t>200</t>
  </si>
  <si>
    <t>H/I/9a - ebből: költségvetési évben esedékes kötelezettségek hosszú lejáratú hitelek, kölcsönök törlesztésére pénzügyi vállalkozásnak</t>
  </si>
  <si>
    <t>201</t>
  </si>
  <si>
    <t>H/I/9b - ebből: költségvetési évben esedékes kötelezettségek rövid lejáratú hitelek, kölcsönök törlesztésére pénzügyi vállalkozásnak</t>
  </si>
  <si>
    <t>202</t>
  </si>
  <si>
    <t>H/I/9c - ebből: költségvetési évben esedékes kötelezettségek kincstárjegyek beváltására</t>
  </si>
  <si>
    <t>203</t>
  </si>
  <si>
    <t>H/I/9d - ebből: költségvetési évben esedékes kötelezettségek éven belüli lejáratú belföldi értékpapírok beváltására</t>
  </si>
  <si>
    <t>204</t>
  </si>
  <si>
    <t>H/I/9e - ebből: költségvetési évben esedékes kötelezettségek belföldi kötvények beváltására</t>
  </si>
  <si>
    <t>205</t>
  </si>
  <si>
    <t>H/I/9f - ebből: költségvetési évben esedékes kötelezettségek éven túli lejáratú belföldi értékpapírok beváltására</t>
  </si>
  <si>
    <t>206</t>
  </si>
  <si>
    <t>H/I/9g - ebből: költségvetési évben esedékes kötelezettségek államháztartáson belüli megelőlegezések visszafizetésére</t>
  </si>
  <si>
    <t>207</t>
  </si>
  <si>
    <t>H/I/9h - ebből: költségvetési évben esedékes kötelezettségek pénzügyi lízing kiadásaira</t>
  </si>
  <si>
    <t>208</t>
  </si>
  <si>
    <t>H/I/9i - ebből: költségvetési évben esedékes kötelezettségek külföldi értékpapírok beváltására</t>
  </si>
  <si>
    <t>209</t>
  </si>
  <si>
    <t>H/I/9j - ebből: költségvetési évben esedékes kötelezettségek hitelek, kölcsönök törlesztésére külföldi kormányoknak és nemzetközi szervezeteknek</t>
  </si>
  <si>
    <t>210</t>
  </si>
  <si>
    <t>H/I/9k - ebből: költségvetési évben esedékes kötelezettségek hitelek, kölcsönök törlesztésére külföldi pénzintézeteknek</t>
  </si>
  <si>
    <t>211</t>
  </si>
  <si>
    <t>H/I/9l - ebből: költségvetési évben esedékes kötelezettségek váltókiadásokra</t>
  </si>
  <si>
    <t>212</t>
  </si>
  <si>
    <t>H/I Költségvetési évben esedékes kötelezettségek (=H/I/1+…+H/I/9)</t>
  </si>
  <si>
    <t>213</t>
  </si>
  <si>
    <t>H/II/1 Költségvetési évet követően esedékes kötelezettségek személyi juttatásokra</t>
  </si>
  <si>
    <t>214</t>
  </si>
  <si>
    <t>H/II/2 Költségvetési évet követően esedékes kötelezettségek munkaadókat terhelő járulékokra és szociális hozzájárulási adóra</t>
  </si>
  <si>
    <t>215</t>
  </si>
  <si>
    <t>H/II/3 Költségvetési évet követően esedékes kötelezettségek dologi kiadásokra</t>
  </si>
  <si>
    <t>216</t>
  </si>
  <si>
    <t>H/II/4 Költségvetési évet követően esedékes kötelezettségek ellátottak pénzbeli juttatásaira</t>
  </si>
  <si>
    <t>217</t>
  </si>
  <si>
    <t>H/II/5 Költségvetési évet követően esedékes kötelezettségek egyéb működési célú kiadásokra (&gt;=H/II/5a+H/II/5b)</t>
  </si>
  <si>
    <t>218</t>
  </si>
  <si>
    <t>H/II/5a - ebből: költségvetési évet követően esedékes kötelezettségek működési célú visszatérítendő támogatások, kölcsönök törlesztésére államháztartáson belülre</t>
  </si>
  <si>
    <t>219</t>
  </si>
  <si>
    <t>H/II/5b - ebből: költségvetési évet követően esedékes kötelezettségek működési célú támogatásokra az Európai Uniónak</t>
  </si>
  <si>
    <t>220</t>
  </si>
  <si>
    <t>H/II/6 Költségvetési évet követően esedékes kötelezettségek beruházásokra</t>
  </si>
  <si>
    <t>221</t>
  </si>
  <si>
    <t>H/II/7 Költségvetési évet követően esedékes kötelezettségek felújításokra</t>
  </si>
  <si>
    <t>222</t>
  </si>
  <si>
    <t>H/II/8 Költségvetési évet követően esedékes kötelezettségek egyéb felhalmozási célú kiadásokra (&gt;=H/II/8a+H/II/8b)</t>
  </si>
  <si>
    <t>223</t>
  </si>
  <si>
    <t>H/II/8a - ebből: költségvetési évet követően esedékes kötelezettségek felhalmozási célú visszatérítendő támogatások, kölcsönök törlesztésére államháztartáson belülre</t>
  </si>
  <si>
    <t>224</t>
  </si>
  <si>
    <t>H/II/8b - ebből: költségvetési évet követően esedékes kötelezettségek felhalmozási célú támogatásokra az Európai Uniónak</t>
  </si>
  <si>
    <t>225</t>
  </si>
  <si>
    <t>H/II/9 Költségvetési évet követően esedékes kötelezettségek finanszírozási kiadásokra (&gt;=H/II/9a+…+H/II/9j)</t>
  </si>
  <si>
    <t>226</t>
  </si>
  <si>
    <t>H/II/9a - ebből: költségvetési évet követően esedékes kötelezettségek hosszú lejáratú hitelek, kölcsönök törlesztésére pénzügyi vállalkozásnak</t>
  </si>
  <si>
    <t>227</t>
  </si>
  <si>
    <t>H/II/9b - ebből: költségvetési évet követően esedékes kötelezettségek kincstárjegyek beváltására</t>
  </si>
  <si>
    <t>228</t>
  </si>
  <si>
    <t>H/II/9c - ebből: költségvetési évet követően esedékes kötelezettségek belföldi kötvények beváltására</t>
  </si>
  <si>
    <t>229</t>
  </si>
  <si>
    <t>H/II/9d - ebből: költségvetési évet követően esedékes kötelezettségek éven túli lejáratú belföldi értékpapírok beváltására</t>
  </si>
  <si>
    <t>230</t>
  </si>
  <si>
    <t>H/II/9e - ebből: költségvetési évet követően esedékes kötelezettségek államháztartáson belüli megelőlegezések visszafizetésére</t>
  </si>
  <si>
    <t>231</t>
  </si>
  <si>
    <t>H/II/9f - ebből: költségvetési évet követően esedékes kötelezettségek pénzügyi lízing kiadásaira</t>
  </si>
  <si>
    <t>232</t>
  </si>
  <si>
    <t>H/II/9g - ebből: költségvetési évet követően esedékes kötelezettségek külföldi értékpapírok beváltására</t>
  </si>
  <si>
    <t>233</t>
  </si>
  <si>
    <t>H/II/9h - ebből: költségvetési évet követően esedékes kötelezettségek hitelek, kölcsönök törlesztésére külföldi kormányoknak és nemzetközi szervezeteknek</t>
  </si>
  <si>
    <t>234</t>
  </si>
  <si>
    <t>H/II/9i - ebből: költségvetési évet követően esedékes kötelezettségek külföldi hitelek, kölcsönök törlesztésére külföldi pénzintézeteknek</t>
  </si>
  <si>
    <t>235</t>
  </si>
  <si>
    <t>H/II/9j - ebből: költségvetési évet követően esedékes kötelezettségek váltókiadásokra</t>
  </si>
  <si>
    <t>236</t>
  </si>
  <si>
    <t>H/II Költségvetési évet követően esedékes kötelezettségek (=H/II/1+…+H/II/9)</t>
  </si>
  <si>
    <t>237</t>
  </si>
  <si>
    <t>H/III/1 Kapott előlegek</t>
  </si>
  <si>
    <t>238</t>
  </si>
  <si>
    <t>H/III/2 Továbbadási célból folyósított támogatások, ellátások elszámolása</t>
  </si>
  <si>
    <t>239</t>
  </si>
  <si>
    <t>H/III/3 Más szervezetet megillető bevételek elszámolása</t>
  </si>
  <si>
    <t>240</t>
  </si>
  <si>
    <t>H/III/4 Forgótőke elszámolása (Kincstár)</t>
  </si>
  <si>
    <t>241</t>
  </si>
  <si>
    <t>H/III/5 Nemzeti vagyonba tartozó befektetett eszközökkel kapcsolatos egyes kötelezettség jellegű sajátos elszámolások</t>
  </si>
  <si>
    <t>242</t>
  </si>
  <si>
    <t>H/III/6 Nem társadalombiztosítás pénzügyi alapjait terhelő kifizetett ellátások megtérítésének elszámolása</t>
  </si>
  <si>
    <t>243</t>
  </si>
  <si>
    <t>H/III/7 Munkáltató által korengedményes nyugdíjhoz megfizetett hozzájárulás elszámolása</t>
  </si>
  <si>
    <t>244</t>
  </si>
  <si>
    <t>H/III/8 Letétre, megőrzésre, fedezetkezelésre átvett pénzeszközök, biztosítékok</t>
  </si>
  <si>
    <t>245</t>
  </si>
  <si>
    <t>H/III/9 Nemzetközi támogatási programok pénzeszközei</t>
  </si>
  <si>
    <t>246</t>
  </si>
  <si>
    <t>H/III/10 Államadósság Kezelő Központ Zrt.-nél elhelyezett fedezeti betétek</t>
  </si>
  <si>
    <t>247</t>
  </si>
  <si>
    <t>H/III Kötelezettség jellegű sajátos elszámolások (=H/III/1+…+H/III/10)</t>
  </si>
  <si>
    <t>248</t>
  </si>
  <si>
    <t>H) KÖTELEZETTSÉGEK (=H/I+H/II+H/III)</t>
  </si>
  <si>
    <t>249</t>
  </si>
  <si>
    <t>I) KINCSTÁRI SZÁMLAVEZETÉSSEL KAPCSOLATOS ELSZÁMOLÁSOK</t>
  </si>
  <si>
    <t>250</t>
  </si>
  <si>
    <t>J/1 Eredményszemléletű bevételek passzív időbeli elhatárolása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</si>
  <si>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</si>
  <si>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</si>
  <si>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</si>
  <si>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</si>
  <si>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</si>
  <si>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</si>
  <si>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</si>
  <si>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</si>
  <si>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13/A1 -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</si>
  <si>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</si>
  <si>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</si>
  <si>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</si>
  <si>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</si>
  <si>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</si>
  <si>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</si>
  <si>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</si>
  <si>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</si>
  <si>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</si>
  <si>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</si>
  <si>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</si>
  <si>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</si>
  <si>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</si>
  <si>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</si>
  <si>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</si>
  <si>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</si>
  <si>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</si>
  <si>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</si>
  <si>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</si>
  <si>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</si>
  <si>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</si>
  <si>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</si>
  <si>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</si>
  <si>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</si>
  <si>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</si>
  <si>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</si>
  <si>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</si>
  <si>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</si>
  <si>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</si>
  <si>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</si>
  <si>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</si>
  <si>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</si>
  <si>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</si>
  <si>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</si>
  <si>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</si>
  <si>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</si>
  <si>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</si>
  <si>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</si>
  <si>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</si>
  <si>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</si>
  <si>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</si>
  <si>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</si>
  <si>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</si>
  <si>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</si>
  <si>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ebből: Idegen pénzeszköz záró pénzkészlet: letéti számla</t>
  </si>
  <si>
    <t xml:space="preserve">Dunaharaszti Városi Könyvtár </t>
  </si>
  <si>
    <t>Pénzeszközök változása  2017. évben</t>
  </si>
  <si>
    <t>Dunaharaszti József Attila Művelődési Ház</t>
  </si>
  <si>
    <r>
      <t xml:space="preserve"> </t>
    </r>
    <r>
      <rPr>
        <sz val="10"/>
        <rFont val="Times New Roman CE"/>
        <family val="1"/>
        <charset val="238"/>
      </rPr>
      <t>Pénztárak és  elektronikus pénzeszközök egyenlege</t>
    </r>
  </si>
  <si>
    <t>Dunaharaszti Szivárvány Óvoda</t>
  </si>
  <si>
    <r>
      <t>Pénzkészlet 2017. január 1-jén
e</t>
    </r>
    <r>
      <rPr>
        <i/>
        <sz val="10"/>
        <rFont val="Times New Roman CE"/>
        <charset val="238"/>
      </rPr>
      <t>bből:</t>
    </r>
  </si>
  <si>
    <r>
      <t>Záró pénzkészlet 2017. december 31-én
e</t>
    </r>
    <r>
      <rPr>
        <i/>
        <sz val="10"/>
        <rFont val="Times New Roman CE"/>
        <charset val="238"/>
      </rPr>
      <t>bből:</t>
    </r>
  </si>
  <si>
    <t>INTÉZMÉNYEK MARADVÁNYKIMUTATÁSA</t>
  </si>
  <si>
    <t>Sor-szám</t>
  </si>
  <si>
    <t>Mindösszesen</t>
  </si>
  <si>
    <t>Alaptevékenység költségvetési bevételei</t>
  </si>
  <si>
    <t>Alaptevékenység költségvetési kiadásai</t>
  </si>
  <si>
    <r>
      <t xml:space="preserve">Alaptevékenység költségvetési egyenlege </t>
    </r>
    <r>
      <rPr>
        <i/>
        <sz val="18"/>
        <color indexed="8"/>
        <rFont val="Garamond"/>
        <family val="1"/>
        <charset val="238"/>
      </rPr>
      <t>(Alaptevékenység költségvetési bevételei - Alaptevékenység költségvetési kiadásai)</t>
    </r>
  </si>
  <si>
    <t>Alaptevékenység finanszírozási bevétele</t>
  </si>
  <si>
    <t>Alaptevékenység finanszírozási kiadása</t>
  </si>
  <si>
    <r>
      <t xml:space="preserve">Alaptevékenység finanszírozási egyenlege </t>
    </r>
    <r>
      <rPr>
        <i/>
        <sz val="18"/>
        <color indexed="8"/>
        <rFont val="Garamond"/>
        <family val="1"/>
        <charset val="238"/>
      </rPr>
      <t>(Alaptevékenység finanszírozási bevétele - Alaptevékenység finanszírozási kiadása)</t>
    </r>
  </si>
  <si>
    <r>
      <t>Alaptevékenység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  <r>
      <rPr>
        <i/>
        <sz val="18"/>
        <color indexed="8"/>
        <rFont val="Garamond"/>
        <family val="1"/>
        <charset val="238"/>
      </rPr>
      <t>(+/- Alaptevékenység költségvetési egyenlege +/- Alaptevékenység finanszírozási egyenlege)</t>
    </r>
  </si>
  <si>
    <r>
      <t>Vállalkozási 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</si>
  <si>
    <r>
      <t>Összes maradvány</t>
    </r>
    <r>
      <rPr>
        <b/>
        <i/>
        <sz val="15"/>
        <color indexed="8"/>
        <rFont val="Garamond"/>
        <family val="1"/>
        <charset val="238"/>
      </rPr>
      <t xml:space="preserve"> (Alaptevékenység maradványa + Vállalkozói tevékenység maradványa)</t>
    </r>
  </si>
  <si>
    <t>10.</t>
  </si>
  <si>
    <t>Alaptevékenység kötelezettvállalással terhelt maradvány (részletezve 13.c tábla)</t>
  </si>
  <si>
    <t>ebből: működés</t>
  </si>
  <si>
    <t>ebből: felhalmozás</t>
  </si>
  <si>
    <t>11.</t>
  </si>
  <si>
    <r>
      <t>Alaptevékenység szabad maradványa</t>
    </r>
    <r>
      <rPr>
        <i/>
        <sz val="15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</si>
  <si>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12.</t>
  </si>
  <si>
    <t>Mérlegben következő évet terhelő kötött tételek</t>
  </si>
  <si>
    <t>13.</t>
  </si>
  <si>
    <t>Alszámlák (kötött)</t>
  </si>
  <si>
    <t>14.</t>
  </si>
  <si>
    <t>Alaptevékenység korrigált szabad maradványa</t>
  </si>
  <si>
    <t>15.</t>
  </si>
  <si>
    <t>szabad maradvány felhasználás</t>
  </si>
  <si>
    <t>16.</t>
  </si>
  <si>
    <t>Elvonás szabad maradvány terhére</t>
  </si>
  <si>
    <t>ÖNKORMÁNYZAT MARADVÁNYKIMUTATÁSA</t>
  </si>
  <si>
    <t>Intézmények összesen</t>
  </si>
  <si>
    <t>Városi szintű önkormányzat összesen</t>
  </si>
  <si>
    <r>
      <t>Összes maradvány</t>
    </r>
    <r>
      <rPr>
        <b/>
        <i/>
        <sz val="18"/>
        <color indexed="8"/>
        <rFont val="Garamond"/>
        <family val="1"/>
        <charset val="238"/>
      </rPr>
      <t xml:space="preserve"> (Alaptevékenység maradványa + Vállalkozói tevékenység maradványa+korrekciók)</t>
    </r>
  </si>
  <si>
    <t>Alaptevékenység kötelezettvállalással terhelt maradványa (részletezve 13.c tábla)</t>
  </si>
  <si>
    <r>
      <t>Alaptevékenység szabad maradványa</t>
    </r>
    <r>
      <rPr>
        <i/>
        <sz val="18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</si>
  <si>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KGR-rel egyező</t>
  </si>
  <si>
    <t>KGR riport</t>
  </si>
  <si>
    <r>
      <t xml:space="preserve">Alszámlák (kötött)* </t>
    </r>
    <r>
      <rPr>
        <sz val="18"/>
        <color indexed="8"/>
        <rFont val="Garamond"/>
        <family val="1"/>
        <charset val="238"/>
      </rPr>
      <t>(részletezve 13.c tábla)</t>
    </r>
  </si>
  <si>
    <r>
      <t xml:space="preserve">Alaptevékenység korrigált szabad maradványa         </t>
    </r>
    <r>
      <rPr>
        <i/>
        <sz val="18"/>
        <color indexed="8"/>
        <rFont val="Garamond"/>
        <family val="1"/>
        <charset val="238"/>
      </rPr>
      <t>(Alaptevékenység szabad maradványa - Mérlegben következő évet terhelő kötött tételek - Alszámlák )</t>
    </r>
  </si>
  <si>
    <t>17.</t>
  </si>
  <si>
    <t>Intézményi költségvetési befizetés</t>
  </si>
  <si>
    <t>18.</t>
  </si>
  <si>
    <r>
      <t xml:space="preserve">Szabad maradvány </t>
    </r>
    <r>
      <rPr>
        <sz val="18"/>
        <color indexed="8"/>
        <rFont val="Garamond"/>
        <family val="1"/>
        <charset val="238"/>
      </rPr>
      <t>(részletezve 13.d tábla)</t>
    </r>
  </si>
  <si>
    <t>ebből: eredeti költségvetési rendeletbe már beemelt maradvány</t>
  </si>
  <si>
    <t xml:space="preserve">       ebből: működés</t>
  </si>
  <si>
    <t xml:space="preserve">       ebből: felhalmozás</t>
  </si>
  <si>
    <t>ebből: zárszámadási rendelet elfogadását követően kerül beemelésre a 2018. évi költségvetésbe</t>
  </si>
  <si>
    <t>Működési maradvány</t>
  </si>
  <si>
    <t xml:space="preserve"> * Az Önkormányzati alszámlák eredeti költségvetésben kerültek tervezésre.</t>
  </si>
  <si>
    <t>Felhalm.maradvány</t>
  </si>
  <si>
    <t>Maradvány összesen</t>
  </si>
  <si>
    <t>kötött maradvány</t>
  </si>
  <si>
    <t>Szabad maradvány</t>
  </si>
  <si>
    <t>Összes maradvány</t>
  </si>
  <si>
    <t>Dunaharaszti Város Önkormányzata - kötött maradvány</t>
  </si>
  <si>
    <t>1. Mérlegben szereplő kötött maradvány</t>
  </si>
  <si>
    <t>Szerződés tárgya</t>
  </si>
  <si>
    <t>Összeg</t>
  </si>
  <si>
    <t>Működés</t>
  </si>
  <si>
    <t>DMTK Előirányzat maradvány</t>
  </si>
  <si>
    <t xml:space="preserve"> 2018. évi eredeti előirányzatok között maradvány igénybevételként szerepel</t>
  </si>
  <si>
    <t>DMTK támogatás 2016. évi maradvány</t>
  </si>
  <si>
    <t>DMTK Labdarúgó Szakosztály</t>
  </si>
  <si>
    <t>Önk. gépjárművek casco</t>
  </si>
  <si>
    <t>Barna Olivér 2017.december havi étk</t>
  </si>
  <si>
    <t>Barna Olivér 11.havi étk.</t>
  </si>
  <si>
    <t>Barna Olivér 10havi mélt.étkezés</t>
  </si>
  <si>
    <t>Kártevő gyérítés Dh területén</t>
  </si>
  <si>
    <t>Belterületi ill.szemét elszáll</t>
  </si>
  <si>
    <t>Külterületi csap.víz rendsz.üzem</t>
  </si>
  <si>
    <t>Belterületi zárt csap.víz elvez,üzem</t>
  </si>
  <si>
    <t>Fényképezés 12.</t>
  </si>
  <si>
    <t>Dózsa jelzőlámpa 11.23-12.22</t>
  </si>
  <si>
    <t>Dózsa 26 gázdij 11.14-1216</t>
  </si>
  <si>
    <t>Temetési kellékek</t>
  </si>
  <si>
    <t>Temető szoftver 1.</t>
  </si>
  <si>
    <t>2016. ktgvetében szerepel</t>
  </si>
  <si>
    <t>Temető gázdij 11.22-12.21</t>
  </si>
  <si>
    <t>2016. ktgvetében rögzítendő kötött tétel</t>
  </si>
  <si>
    <t>Temető hűtőkarb.12</t>
  </si>
  <si>
    <t>2016. ktgvetében rögzítendő szabad tétel 13. d űrlap</t>
  </si>
  <si>
    <t>Maradvány</t>
  </si>
  <si>
    <t>Strandfürdő térvil. 11.23-12.22</t>
  </si>
  <si>
    <t>Sprtsziget áram 11.23-12.22</t>
  </si>
  <si>
    <t>Kandó térvil.11.23-12.22. áramdij</t>
  </si>
  <si>
    <t>Focipálya áramdij 11.23-12.22</t>
  </si>
  <si>
    <t>Kisposta gázdíj 12</t>
  </si>
  <si>
    <t>Bölcsőde ép.és eszközbesz.közbesz.elj</t>
  </si>
  <si>
    <t>Tájház gázdij 16.12.15-17.12.11</t>
  </si>
  <si>
    <t>Dózsa 83 szivattyu átemelő 11.23-12.22</t>
  </si>
  <si>
    <t>Locsoló áramdij 11.23-12.22</t>
  </si>
  <si>
    <t>Dh.középületek ép.energ.fejl.közbesz.</t>
  </si>
  <si>
    <t>Felhalmozás</t>
  </si>
  <si>
    <t>Települési Arculati Kézikönyv elkész.</t>
  </si>
  <si>
    <t>2014. évi hitel lehívás előírása</t>
  </si>
  <si>
    <t>Szőlőhegy 20. vízbekötés</t>
  </si>
  <si>
    <t>Paradicsom-sziget vízell. terve</t>
  </si>
  <si>
    <t>Újhegyi dűlő víz- és szennyvízell. terve</t>
  </si>
  <si>
    <t>Szennyvíz "bérleti díj" felhasználás</t>
  </si>
  <si>
    <t>Vízell. Értéknöv. felújítások</t>
  </si>
  <si>
    <t>ASP hardver</t>
  </si>
  <si>
    <t>Sportcsarnok ép.gépészeti műsz.ell.felad</t>
  </si>
  <si>
    <t>MÉRLEGBEN SZEREPLŐ KÖTÖTT MARADVÁNY</t>
  </si>
  <si>
    <t>2. Mérlegben következő évet terhelő kötött tételek</t>
  </si>
  <si>
    <t>3. Elkülönített számlák*  (19.419.474 Ft)</t>
  </si>
  <si>
    <t>Bölcsőde zöldség, gyümölcs</t>
  </si>
  <si>
    <t>2018. évi eredeti előirányzatok között maradvány igénybevételként szerepel</t>
  </si>
  <si>
    <t>Bölcsőde sertéshús</t>
  </si>
  <si>
    <t>Bölcsőde marhahús</t>
  </si>
  <si>
    <r>
      <t>Bölcsőde</t>
    </r>
    <r>
      <rPr>
        <b/>
        <sz val="18"/>
        <color theme="1"/>
        <rFont val="Garamond"/>
        <family val="1"/>
        <charset val="238"/>
      </rPr>
      <t xml:space="preserve"> </t>
    </r>
    <r>
      <rPr>
        <sz val="18"/>
        <color theme="1"/>
        <rFont val="Garamond"/>
        <family val="1"/>
        <charset val="238"/>
      </rPr>
      <t>tej és tejtermék</t>
    </r>
  </si>
  <si>
    <t>Bölcsőde baromfi termék</t>
  </si>
  <si>
    <t>Bölcsőde felvágott termékek</t>
  </si>
  <si>
    <t>Bölcsőde gáz alapdíj 2017.11.01-11.30.</t>
  </si>
  <si>
    <t>Bölcsőde gáz hődíj 2017.11.11-12.10.</t>
  </si>
  <si>
    <t>Bölcsőde internet + modem bérlet 2018.január</t>
  </si>
  <si>
    <t>Bölcsőde vészvilágítók felülvizsgálata</t>
  </si>
  <si>
    <t>3. Elkülönített számlák</t>
  </si>
  <si>
    <t>OMV 2017 december elszámolás</t>
  </si>
  <si>
    <t>Tisztitószer ÖNO, védőnők, HOSZ</t>
  </si>
  <si>
    <t>ÖNO gázdíj 20171208-20180107</t>
  </si>
  <si>
    <t>Tejtermék ÖNO</t>
  </si>
  <si>
    <t>ÖNO 49. hét étkezés junior</t>
  </si>
  <si>
    <t>ÖNO 50. hét étk. junior</t>
  </si>
  <si>
    <t>ÖNO felvágott beszerzés</t>
  </si>
  <si>
    <t>Gázkész. karb. díj 2017 IV név</t>
  </si>
  <si>
    <t>ÖNO posta ktg 20171206-20171207</t>
  </si>
  <si>
    <t>ÖNO ffi és női fodrászat</t>
  </si>
  <si>
    <t>Vészjelző bérleti díj 2017 december</t>
  </si>
  <si>
    <t>Veszélyes hull.száll. 2017 december</t>
  </si>
  <si>
    <t>Veszélyes hulladék száll. 2017 december</t>
  </si>
  <si>
    <t>Gyermekorv.rend. telefon 2017 november</t>
  </si>
  <si>
    <t>Gyermekorv. áramdíj 171116-171215</t>
  </si>
  <si>
    <t>Gyermekorv. rend. gázdíj 171124-171223</t>
  </si>
  <si>
    <t>Gyermekorv.rend.gázdíj 20171224-20180123</t>
  </si>
  <si>
    <t>Védőnők áramdíj 171123-171222</t>
  </si>
  <si>
    <t>Gázdíj védőnők 20171117-20171216</t>
  </si>
  <si>
    <t>Védőnők gázdíj 20171217-20180116</t>
  </si>
  <si>
    <t>F. Bernadett december bérlet171206-18015</t>
  </si>
  <si>
    <t>Szivárvány ovi 48/2. hét étkezés junior</t>
  </si>
  <si>
    <t>Hunyadi alsó 48/2. hét étk. junior</t>
  </si>
  <si>
    <t>Napsugár ovi 48/2 hét étkezés junior</t>
  </si>
  <si>
    <t>Mese ovi 48/2. hét étk. junior</t>
  </si>
  <si>
    <t>Hétszínvirág ovi 48/2. hét étk. junior</t>
  </si>
  <si>
    <t>Százszorszép ovi 48/2. hét étk. junior</t>
  </si>
  <si>
    <t>Mese óvoda 49. hét étk. junior</t>
  </si>
  <si>
    <t>Napsugár ovi 49. hét étkezés junior</t>
  </si>
  <si>
    <t>Szivárvány ovi 49.hét étk. junior</t>
  </si>
  <si>
    <t>Százszorszép ovi 49. hét étk. junior</t>
  </si>
  <si>
    <t>Hétszínvirág ovi 49. hét étk. junior</t>
  </si>
  <si>
    <t>Hétszínvirág ovi 50. hét étk. junior</t>
  </si>
  <si>
    <t>Százszorszép ovi 50. hét étk. junior</t>
  </si>
  <si>
    <t>Szivárvány ovi 50. hét étk. junior</t>
  </si>
  <si>
    <t>Mese ovi 50. hét étk. junior</t>
  </si>
  <si>
    <t>Napsugár ovi 50. hét étk. junior</t>
  </si>
  <si>
    <t>Földváry konyha áramdíj 171123-171222</t>
  </si>
  <si>
    <t>Kőrösi konyha áramdíj 171101-171130</t>
  </si>
  <si>
    <t>Hunyadi csat.parti k.áramd 171109-171208</t>
  </si>
  <si>
    <t>Rákóczi konyha áramdíj 171123-171222</t>
  </si>
  <si>
    <t>Rákóczi konyha áramdíj 171014-171122</t>
  </si>
  <si>
    <t>Rákóczi konyha gázdíj 2017 november</t>
  </si>
  <si>
    <t>Kőrösi konyha gázdíj 2017 november</t>
  </si>
  <si>
    <t>Hunyadi csat.konyha gázdíj 2017 november</t>
  </si>
  <si>
    <t>Kőrösi konyha gázdíj 2017 október</t>
  </si>
  <si>
    <t>Kőrösi konyha gázdíj 2017 szeptember</t>
  </si>
  <si>
    <t>Kőrösi konyha gázdíj 2017 augusztus</t>
  </si>
  <si>
    <t>Kőrösi konyha gázdíj 2017 július</t>
  </si>
  <si>
    <t>Kőrösi konyha gázdíj 2017 június</t>
  </si>
  <si>
    <t>Kőrösi konyha gázdíj 2017 május</t>
  </si>
  <si>
    <t>Kőrösi konyha gázdíj 2017 április</t>
  </si>
  <si>
    <t>Kőrösi konyha gázdíj 2017 március</t>
  </si>
  <si>
    <t>Kőrösi konyha gázdíj 2017 február</t>
  </si>
  <si>
    <t>Rákóczi konyha hődíj 2017 október</t>
  </si>
  <si>
    <t>Kőrösi konyha hődíj 2017 október</t>
  </si>
  <si>
    <t>Kőrösi konyha gázdíj 2017 január</t>
  </si>
  <si>
    <t>Kőrösi isk. 48/2. hét étkezés junior</t>
  </si>
  <si>
    <t>Rákóczi isk. 48/2. hét étkezés junior</t>
  </si>
  <si>
    <t>Hunyadi csat.part 48/2. hét étk. junior</t>
  </si>
  <si>
    <t>Hunyadi felső 48/2. hét étk. junior</t>
  </si>
  <si>
    <t>Hunyadi csat. 49. hét étk. junior</t>
  </si>
  <si>
    <t>Rákóczi isk. 49. hét étkezés junior</t>
  </si>
  <si>
    <t>Hunyadi alsó 49. hét étk. junior</t>
  </si>
  <si>
    <t>Hunyadi felső 49. hét étk. junior</t>
  </si>
  <si>
    <t>Kőrösi isk. 49 hét étk.junior</t>
  </si>
  <si>
    <t>Hunyadi alsó 50. hét étk. junior</t>
  </si>
  <si>
    <t>Hunyadi felső 50. hét étk. junior</t>
  </si>
  <si>
    <t>Hunyadi csat. part. 50. hét étk. junior</t>
  </si>
  <si>
    <t>Kőrösi isk. 50 hét étk. junior</t>
  </si>
  <si>
    <t>Rákóczi isk. 50. hét étk. junior</t>
  </si>
  <si>
    <t>BEG áramdíj 20171123-20171222</t>
  </si>
  <si>
    <t>BEG gázdíj 2017 november</t>
  </si>
  <si>
    <t>BEG hődíj 2017 október</t>
  </si>
  <si>
    <t>BEG 48/2. hét étkezés junior</t>
  </si>
  <si>
    <t>BEG 49. hét étkezés junior</t>
  </si>
  <si>
    <t>BEG 50. hét étk. junior</t>
  </si>
  <si>
    <t>Felnőtt ebéd 48/2. hét junior</t>
  </si>
  <si>
    <t>Felnőtt ebéd 49. hét junior</t>
  </si>
  <si>
    <t>Felnőtt 50. hét étkezés junior</t>
  </si>
  <si>
    <t>Sziv. ovi gázdíj 2017 november</t>
  </si>
  <si>
    <t>Szikvíz konyhákra - Junior Zrt.</t>
  </si>
  <si>
    <t>Óvodai tanácsadó előfiz. 2017.12-2018.11</t>
  </si>
  <si>
    <t>Közokt.ésnev.tanács. előf. 201712-201811</t>
  </si>
  <si>
    <t>Mese ovi tisztitószer</t>
  </si>
  <si>
    <t>Mese ovi alapdíj 2017 november</t>
  </si>
  <si>
    <t>Mese ovi hődíj 2017 október</t>
  </si>
  <si>
    <t>Mese ovi vészvilágítók felülvizsgálata</t>
  </si>
  <si>
    <t>Közokt. És nev.tanács. előf. 201712-201811</t>
  </si>
  <si>
    <t>Mese ovi posta ktg 20171201-20171215</t>
  </si>
  <si>
    <t>Közokt. és nev.tanács. előf. 201712-201811</t>
  </si>
  <si>
    <t>Napsugár ovi gázdíj 20171118-20171217</t>
  </si>
  <si>
    <t>Napsugár ovi gázdíj 20171218-20180117</t>
  </si>
  <si>
    <t>LFH-300 + POA-201 gk.üzema.2017.dec.</t>
  </si>
  <si>
    <t>Fénycsövek</t>
  </si>
  <si>
    <t>Internet + modem bérlet 2018.január</t>
  </si>
  <si>
    <t>Gázdíj 2017.11.25-12.24.</t>
  </si>
  <si>
    <t>Gázdíj 2017.12.25-2018.01.24.</t>
  </si>
  <si>
    <t>Gáz alapdíj 2017.11.01-11.30.</t>
  </si>
  <si>
    <t>Gáz hődíj 2017.10.01-10.31.</t>
  </si>
  <si>
    <t>POA-201Casco 2017.11.30-2018.11.29.</t>
  </si>
  <si>
    <t>Csop.bizt.47 fő 2017.11.24-2018.11.23.</t>
  </si>
  <si>
    <t>Posta ktg. 2017.12.01-12.15.</t>
  </si>
  <si>
    <t>Zene szolg. céges rendezvényen</t>
  </si>
  <si>
    <t>Eljárási díj - jelzálog törlése</t>
  </si>
  <si>
    <t>Internet Adó csop. 2017.11.15-12.14.</t>
  </si>
  <si>
    <t>WinPa és IPS-2 szoftver bérlete - Adó</t>
  </si>
  <si>
    <t>Karácsonyi díszvilágítás karbantartás</t>
  </si>
  <si>
    <t>Cafeteria portál haszn.díj Szivárvány o.</t>
  </si>
  <si>
    <t>Kazánhoz szabályozó csere</t>
  </si>
  <si>
    <t>Családseg. áramdíj 20171109-20171208</t>
  </si>
  <si>
    <t>Gázkész.karbantartása 2017 IV. név</t>
  </si>
  <si>
    <t>Ellátmány</t>
  </si>
  <si>
    <t>Laffet telefondij</t>
  </si>
  <si>
    <t>Laffert nagytakarítás</t>
  </si>
  <si>
    <t>Laffert előadói tev.</t>
  </si>
  <si>
    <t>Karácsonyi műsor</t>
  </si>
  <si>
    <t>Szivárvány ovi vodafone 2017 november</t>
  </si>
  <si>
    <t>Szivárvány ovi telefon 2017 november</t>
  </si>
  <si>
    <t>Százszorszép ovi gázd. 171119-171218</t>
  </si>
  <si>
    <t>Gázdíj 2017.11.17-12.16.</t>
  </si>
  <si>
    <t>Könyvtár 1 % számla**</t>
  </si>
  <si>
    <t>ELKÜLÖNÍTETT SZÁMLA</t>
  </si>
  <si>
    <t>1. Mérlegben szereplő kötött maradvány összesen</t>
  </si>
  <si>
    <t>2. Mérlegben következő évet terhelő kötött tételek összesen</t>
  </si>
  <si>
    <t>3. Elkülönített számlák összesen</t>
  </si>
  <si>
    <t>KÖTÖTT MARADVÁNY MINDÖSSZESEN</t>
  </si>
  <si>
    <t>* Az eredeti költségvetési rendeletbe nem a maradvánnyal szemben került tervezésre.</t>
  </si>
  <si>
    <t>** A zárszámadási rendelet elfogadását követően kerül beemelésre a költségvetésbe.</t>
  </si>
  <si>
    <t>Dunaharaszti Város Önkormányzata szabad maradvány felhasználása</t>
  </si>
  <si>
    <t xml:space="preserve">Eredeti költségvetési rendeletbe a 2017. évi szabad maradvánnyal szemben beemelt tételek </t>
  </si>
  <si>
    <t>Szerződés tárgya/ Feladat</t>
  </si>
  <si>
    <t>Működési</t>
  </si>
  <si>
    <t xml:space="preserve">Erdőállomány kezelés és fenntartás </t>
  </si>
  <si>
    <t xml:space="preserve">Zöldterület kezelés </t>
  </si>
  <si>
    <t>Külterületi szemét és veszélyes hulladék gyűjtése</t>
  </si>
  <si>
    <t>Szelektív hulladékgyűjtés és zöldhulladék gyűjtés</t>
  </si>
  <si>
    <t xml:space="preserve">Helyi közutak fenntartása </t>
  </si>
  <si>
    <t>Csapadékvíz-belvíz üzemeltetés és szippantás</t>
  </si>
  <si>
    <t xml:space="preserve">Vagyongazdálkodási kiadások </t>
  </si>
  <si>
    <t xml:space="preserve">Intézményi zöldterület ad hoc feladatainak ellátása </t>
  </si>
  <si>
    <r>
      <rPr>
        <sz val="11"/>
        <color theme="1"/>
        <rFont val="Calibri"/>
        <family val="2"/>
        <charset val="238"/>
        <scheme val="minor"/>
      </rPr>
      <t xml:space="preserve"> „Várossá válás” szeptemberi ünnepsége</t>
    </r>
  </si>
  <si>
    <t xml:space="preserve">Utcanévtáblák, gyepmester, városi közkutak </t>
  </si>
  <si>
    <t xml:space="preserve">Települési támogatás </t>
  </si>
  <si>
    <t xml:space="preserve">Települési támogatás: Időskorúak és gondnokoltak karácsonyi csomagja és rendezvényeik </t>
  </si>
  <si>
    <t xml:space="preserve">Krízishelyzet és egyéb szociális célú támogatás </t>
  </si>
  <si>
    <t>DMTK támogatása (Sportlétesítmények, edzőtáborok működtetése fejlesztése) +</t>
  </si>
  <si>
    <t xml:space="preserve">DMTK támogatása (Versenysport- és utánpótlás-nevelési tevékenység és támogatása) </t>
  </si>
  <si>
    <t xml:space="preserve">2018. évi csapadékvíz elvezetés, intézményi beruházások tervezése, üzemeltetési, vízjogi engedélyek beszerzése, műszak ellenőrzések tartalék  </t>
  </si>
  <si>
    <t xml:space="preserve">Út- és parkolóépítési tervek, műszaki ellenőrzés, eljárási díjak, engedélyek tartalék </t>
  </si>
  <si>
    <t xml:space="preserve">Intézményi ingatlanok különféle karbantartási kerete </t>
  </si>
  <si>
    <t>19.</t>
  </si>
  <si>
    <t>Iskolák különféle karbantartási tartalék</t>
  </si>
  <si>
    <t>20.</t>
  </si>
  <si>
    <t xml:space="preserve">Intézményvezetők jutalmazási kerete tartalék </t>
  </si>
  <si>
    <t>21.</t>
  </si>
  <si>
    <t xml:space="preserve">Köztisztviselők felmentése, végkielégítése tartalék </t>
  </si>
  <si>
    <t>22.</t>
  </si>
  <si>
    <t xml:space="preserve">Törvény által kötelezően kifizetendő jubileumi jutalom </t>
  </si>
  <si>
    <t>23.</t>
  </si>
  <si>
    <t xml:space="preserve">Bértartalék </t>
  </si>
  <si>
    <t>24.</t>
  </si>
  <si>
    <t xml:space="preserve">A beruházásokhoz kapcsolódó EU támogatások és hitelek kockázati fedezete </t>
  </si>
  <si>
    <t>25.</t>
  </si>
  <si>
    <t xml:space="preserve">Útfenntartás rendkívüli kiadásai (útfenntartás opció) tartalék </t>
  </si>
  <si>
    <t>26.</t>
  </si>
  <si>
    <t xml:space="preserve">Közmunkásokhoz kapcsolódó tartalék </t>
  </si>
  <si>
    <t>27.</t>
  </si>
  <si>
    <t>Városgazdálkodás: üzemeltetés, karbantartás biztonsági tartalék</t>
  </si>
  <si>
    <t>28.</t>
  </si>
  <si>
    <t>Normatíva felülvizsgálat tartalék</t>
  </si>
  <si>
    <t>29.</t>
  </si>
  <si>
    <t xml:space="preserve">Képviselő-testület rendelkezése általános tartalék </t>
  </si>
  <si>
    <t>30.</t>
  </si>
  <si>
    <t xml:space="preserve">Polgármester rendelkezése általános tartalék </t>
  </si>
  <si>
    <t>31.</t>
  </si>
  <si>
    <t xml:space="preserve">Vismajor tartalék </t>
  </si>
  <si>
    <t>Felhalmozási</t>
  </si>
  <si>
    <t>32.</t>
  </si>
  <si>
    <t>Járdaépítés</t>
  </si>
  <si>
    <t>33.</t>
  </si>
  <si>
    <t>Csapadékvíz beruházások egyéb</t>
  </si>
  <si>
    <t>34.</t>
  </si>
  <si>
    <t xml:space="preserve">Hidreológiai köz csapadékvíz elvezetése (Keskeny utca) </t>
  </si>
  <si>
    <t>35.</t>
  </si>
  <si>
    <t xml:space="preserve">Bezerédi utca csapadékvíz elvezetése </t>
  </si>
  <si>
    <t>36.</t>
  </si>
  <si>
    <t>Közvilágítás bővítése lakossági igény szerint</t>
  </si>
  <si>
    <t>37.</t>
  </si>
  <si>
    <t>Köztéri szemétgyűjtők beszerzése</t>
  </si>
  <si>
    <t>38.</t>
  </si>
  <si>
    <t xml:space="preserve">Közlekedési információs rendszer </t>
  </si>
  <si>
    <t>39.</t>
  </si>
  <si>
    <t xml:space="preserve">Knézich utcai telek vásárlás játszótér építése céljából </t>
  </si>
  <si>
    <t>40.</t>
  </si>
  <si>
    <t xml:space="preserve">Arany János u. parkoló, járda és buszöböl építése </t>
  </si>
  <si>
    <t>41.</t>
  </si>
  <si>
    <t>Arany János u.- Eötvös u.- Jókai u. kereszteződésben transzformátor állomás és közvilágítás kiépítése</t>
  </si>
  <si>
    <t>42.</t>
  </si>
  <si>
    <t xml:space="preserve">Knézich utcai belső parkoló térkőből </t>
  </si>
  <si>
    <t>43.</t>
  </si>
  <si>
    <t xml:space="preserve">Knézich utcai külső parkoló és járda </t>
  </si>
  <si>
    <t>44.</t>
  </si>
  <si>
    <t xml:space="preserve">Járdaépítés M0 hídtól a Posta Sándor utcáig </t>
  </si>
  <si>
    <t>45.</t>
  </si>
  <si>
    <t xml:space="preserve">Járdaépítés M0 hídtól a Szekér utcáig </t>
  </si>
  <si>
    <t>46.</t>
  </si>
  <si>
    <t xml:space="preserve">Szent István utcában járda aszfaltból </t>
  </si>
  <si>
    <t>47.</t>
  </si>
  <si>
    <t>Andrássy u. közvilágítás kiépítése</t>
  </si>
  <si>
    <t>48.</t>
  </si>
  <si>
    <t>Knézich utcai játszótérre eszközök és kerítés</t>
  </si>
  <si>
    <t>49.</t>
  </si>
  <si>
    <t>E-töltő állomás berendezéséhez egyéb költségek</t>
  </si>
  <si>
    <t>50.</t>
  </si>
  <si>
    <t xml:space="preserve">Sport-szigeti napközis tábor I. ütem </t>
  </si>
  <si>
    <t>51.</t>
  </si>
  <si>
    <t xml:space="preserve">Dunaharaszti József Attila Művelődési Ház szellőztető rendszerének kiépítése és kazáncsere </t>
  </si>
  <si>
    <t>52.</t>
  </si>
  <si>
    <t xml:space="preserve">Rendőrség épületének festése és nyílászáró csere </t>
  </si>
  <si>
    <t>53.</t>
  </si>
  <si>
    <t xml:space="preserve">Arany J. u. -Eötvös u.- Jókai u. kereszteződésénél épület bontás </t>
  </si>
  <si>
    <t>54.</t>
  </si>
  <si>
    <t>Különféle tervezések</t>
  </si>
  <si>
    <t>55.</t>
  </si>
  <si>
    <t>ASP pályázat</t>
  </si>
  <si>
    <t xml:space="preserve"> </t>
  </si>
  <si>
    <t>56.</t>
  </si>
  <si>
    <t xml:space="preserve">51-es úti turbo körforgalom </t>
  </si>
  <si>
    <t>57.</t>
  </si>
  <si>
    <t>Elektromos töltőállomás pályázat</t>
  </si>
  <si>
    <t>58.</t>
  </si>
  <si>
    <t>Bölcsőde tagintézmény pályázta</t>
  </si>
  <si>
    <t>Dunaharaszti Város Önkormányzata SZABAD MARADVÁNY</t>
  </si>
  <si>
    <t>Dunaharaszti Intézmények</t>
  </si>
  <si>
    <t>Dunaharaszti Polgármesteri Hivatal (eszközbeszerzés)</t>
  </si>
  <si>
    <t>Dunaharaszti Polgármesteri Hivatal (informatikai szolgáltatás)</t>
  </si>
  <si>
    <t>Dunaharaszti Hétszínvirág Óvoda (eszközbeszerzés)</t>
  </si>
  <si>
    <t>Dunaharaszti Mese Óvoda (eszközbeszerzés)</t>
  </si>
  <si>
    <t>Dunaharaszti Városi Bölcsőde (eszközbeszerzés)</t>
  </si>
  <si>
    <t>Dunaharaszti Család - és Gyermekjóléti Szolgálat (eszközbeszerzés)</t>
  </si>
  <si>
    <t>Dunaharaszti Területi és Gondozási Központ (eszközbeszerzés)</t>
  </si>
  <si>
    <t>Dunaharaszti Városi Könyvtár (eszközbeszerzés)</t>
  </si>
  <si>
    <t>Dunaharaszti József Attila Művelődési Ház (eszközbeszerzés)</t>
  </si>
  <si>
    <t>Dunaharaszti Szivárvány Óvoda (eszközbeszerzés)</t>
  </si>
  <si>
    <t>Dunaharaszti Intézmények SZABAD MARADVÁNY</t>
  </si>
  <si>
    <t>Eredeti költségvetési rendeletbe a 2017. évi szabad maradvánnyal szemben beemelt tételek összesen</t>
  </si>
  <si>
    <t>Zárszámadási rendelet elfogadását követően kerül beemelésre a 2018. évi költségvetésbe a szabad maradvány terhére</t>
  </si>
  <si>
    <t>Dunaharaszti Polgármesteri Hivatal bér és járulék kiegészítése</t>
  </si>
  <si>
    <t>Szabad maradvány mindösszesen</t>
  </si>
  <si>
    <t>A Dunaharaszti Önkormányzat több éves kihatással járó kiemelt  feladatai éves bontásban (ezer Ft)</t>
  </si>
  <si>
    <t>Határozatlan idejű szerződéssel és  hosszabb időszakra vállalt  kiemelt feladatok:</t>
  </si>
  <si>
    <t>Feladat</t>
  </si>
  <si>
    <t>Kötelezettség
lejárata (év)</t>
  </si>
  <si>
    <t>Tervezett kiadások</t>
  </si>
  <si>
    <t xml:space="preserve">bevétel </t>
  </si>
  <si>
    <t>kiadás</t>
  </si>
  <si>
    <t>Ügyeleti szolgálat ellátása Dunaharaszti területén 
( Haraszti Fraxinus Egészségügyi Szolgáltató Nonprofit Közhasznú Kft)</t>
  </si>
  <si>
    <t>határozatlan</t>
  </si>
  <si>
    <t>Ügyeleti szolgálat támogatása Dunaharaszti területén 
( Haraszti Fraxinus Egészségügyi Szolgáltató Nonprofit Közhasznú Kft)</t>
  </si>
  <si>
    <t>Városi temető épületének bérleti díja DV Kft.</t>
  </si>
  <si>
    <t>Hétszínvirág Óvoda bérleti díja  DV Kft</t>
  </si>
  <si>
    <t>Sentinel-Max Kft. Dh.Önkorm.ing.,nem lakáscélú ing., irodák őrzés véd. távfelügyelete</t>
  </si>
  <si>
    <t>Asztalos László Piac komm. hulladék elszállítása</t>
  </si>
  <si>
    <t>Szomorú-szív Kft. Kóbor kutyák befogása és elszáll. közterületről</t>
  </si>
  <si>
    <t>Á-D2 Kft. Térfigyelő kamerák felügyeleti díja, karbantartása</t>
  </si>
  <si>
    <t>MICRO-PREV Kft. fogl-eü szakellátása</t>
  </si>
  <si>
    <t>Groupama Zrt. Önkormányzat és Intézményei vagyonbiztosítása</t>
  </si>
  <si>
    <t>Origo Frigo Kft. Városi Köztemető hűtőberendezések karbantartása</t>
  </si>
  <si>
    <t xml:space="preserve">Govern Soft Kft. CGR pénzügyi rendszer </t>
  </si>
  <si>
    <t>Határozott idejű szerződéssel vállalt több éves kihatással járó kiemelt feladatok</t>
  </si>
  <si>
    <t>.</t>
  </si>
  <si>
    <t>Parkok közterületek fenntartása Zöld Korona 2000 Kft.</t>
  </si>
  <si>
    <t>Energia racionalizálás program (COTHEC) Polgármesteri Hivatal</t>
  </si>
  <si>
    <t>Energia racionalizálás pr. (COTHEC) Mese Óvoda</t>
  </si>
  <si>
    <t>Energia racionalizálás program (COTHEC) Városi Bölcsöde</t>
  </si>
  <si>
    <t>Energia racionalizálás pr. (COTHEC) Orvosi redelő Damjanich u.</t>
  </si>
  <si>
    <t xml:space="preserve">CAMINUS Zrt. "Szemünk fénye program" világítás energiaracionalizálás </t>
  </si>
  <si>
    <t xml:space="preserve">Ventona-Trans Kft. Autóbusszal végzett menetrend szerinti személyszállítás </t>
  </si>
  <si>
    <t>Dunaharaszti Ipartestület támogatás</t>
  </si>
  <si>
    <t>Dunaharaszti Ipartestület műsoridő vásárlás</t>
  </si>
  <si>
    <t>Jakab Árpád erdő és természetvédelmi feladatok</t>
  </si>
  <si>
    <t>Hiteltörlesztés és kamatfizetés</t>
  </si>
  <si>
    <t>Felhalmozási célú finanszírozási kiadások (hiteltörlesztés)</t>
  </si>
  <si>
    <t xml:space="preserve">Szivárvány Óvoda építése - 7.2 hitelcél: Közoktatási feladatellátás </t>
  </si>
  <si>
    <t>2014. évi útépítések - 5.1 hitelcél: Helyi közútak építése, felújítása</t>
  </si>
  <si>
    <t>2014. évi csapadékvíz elvezetések - 6.3 hitelcél: Csapadék - vízelvezetés</t>
  </si>
  <si>
    <t>Hitelhez kapcsolódó kamatfizetési kötelezettség</t>
  </si>
  <si>
    <t xml:space="preserve">Szivárvány Óvoda építése: 7.2 hitelcél: Közoktatási feladatellátás </t>
  </si>
  <si>
    <t>adatok Ft-ban</t>
  </si>
  <si>
    <t>Bevételek</t>
  </si>
  <si>
    <t>Kiadások</t>
  </si>
  <si>
    <t>Rovat</t>
  </si>
  <si>
    <t xml:space="preserve">Működési célú támogatások államháztartáson belülről </t>
  </si>
  <si>
    <t>B1</t>
  </si>
  <si>
    <t>Személyi juttatások</t>
  </si>
  <si>
    <t>K1</t>
  </si>
  <si>
    <t xml:space="preserve">Felhalmozási célú támogatások államháztartáson belülről </t>
  </si>
  <si>
    <t>B2</t>
  </si>
  <si>
    <t xml:space="preserve">Munkaadókat terhelő járulékok és szociális hozzájárulási adó                                                                            </t>
  </si>
  <si>
    <t>K2</t>
  </si>
  <si>
    <t xml:space="preserve">Közhatalmi bevételek </t>
  </si>
  <si>
    <t>B3</t>
  </si>
  <si>
    <t xml:space="preserve">Dologi kiadások </t>
  </si>
  <si>
    <t>K3</t>
  </si>
  <si>
    <t xml:space="preserve">Működési bevételek </t>
  </si>
  <si>
    <t>B4</t>
  </si>
  <si>
    <t>Ellátottak pénzbeli juttatásai</t>
  </si>
  <si>
    <t>K4</t>
  </si>
  <si>
    <t xml:space="preserve">Felhalmozási bevételek </t>
  </si>
  <si>
    <t>B5</t>
  </si>
  <si>
    <t xml:space="preserve">Egyéb működési célú kiadások </t>
  </si>
  <si>
    <t>K5</t>
  </si>
  <si>
    <t xml:space="preserve">Működési célú átvett pénzeszközök </t>
  </si>
  <si>
    <t>B6</t>
  </si>
  <si>
    <t xml:space="preserve">Beruházások </t>
  </si>
  <si>
    <t>K6</t>
  </si>
  <si>
    <t xml:space="preserve">Felhalmozási célú átvett pénzeszközök </t>
  </si>
  <si>
    <t>B7</t>
  </si>
  <si>
    <t>Felújítások</t>
  </si>
  <si>
    <t>K7</t>
  </si>
  <si>
    <t xml:space="preserve">Egyéb felhalmozási célú kiadások </t>
  </si>
  <si>
    <t>K8</t>
  </si>
  <si>
    <t xml:space="preserve">Költségvetési bevételek </t>
  </si>
  <si>
    <t>B1-B7</t>
  </si>
  <si>
    <t xml:space="preserve">Költségvetési kiadások </t>
  </si>
  <si>
    <t>K1-K8</t>
  </si>
  <si>
    <t xml:space="preserve"> ebből: költségvetési működési bevételek</t>
  </si>
  <si>
    <t xml:space="preserve"> ebből: költségvetési működési kiadások</t>
  </si>
  <si>
    <t xml:space="preserve"> ebből: költségvetési felhalmozási bevételek</t>
  </si>
  <si>
    <t xml:space="preserve"> ebből: költségvetési felhalmozási kiadások</t>
  </si>
  <si>
    <t>Finanszírozási bevételek</t>
  </si>
  <si>
    <t>B8</t>
  </si>
  <si>
    <t>Finanszírozási kiadások</t>
  </si>
  <si>
    <t>K9</t>
  </si>
  <si>
    <t xml:space="preserve">    Ebből: működési célú pénzmaradvány</t>
  </si>
  <si>
    <t xml:space="preserve">   Ebből: államháztartáson belüli megelőlegezések visszafizetése</t>
  </si>
  <si>
    <t xml:space="preserve">    Ebből: felhalmozási célú pénzmaradvány</t>
  </si>
  <si>
    <t xml:space="preserve">   Ebből működési célú intézményfinanszírozás kiadása</t>
  </si>
  <si>
    <t xml:space="preserve">    Ebből: működési célú intézményfinanszírozás bevétele</t>
  </si>
  <si>
    <t xml:space="preserve">   Ebből felhalmozási célú intézményfinanszírozás kiadása</t>
  </si>
  <si>
    <t xml:space="preserve">    Ebből: felhalmozási célú intézményfinanszírozás bevétele</t>
  </si>
  <si>
    <t xml:space="preserve">   Ebből: hitelfelvétellel kapcsolatos kiadások</t>
  </si>
  <si>
    <t xml:space="preserve">    Ebből: Hitelfelvétel</t>
  </si>
  <si>
    <t>TÁRGYÉVI MŰKÖDÉSI BEVÉTELEK (B1+B3+B4+B6+B8)</t>
  </si>
  <si>
    <t>TÁRGYÉVI MŰKÖDÉSI KIADÁSOK (K1+K2+K3+K4+K5+K9)</t>
  </si>
  <si>
    <t>TÁRGYÉVI FELHALMOZÁSI BEVÉTELEK (B2+B5+B7+B8)</t>
  </si>
  <si>
    <t>TÁRGYÉVI FELHALMOZÁSI KIADÁSOK (K6+K7+K8+K9)</t>
  </si>
  <si>
    <t>TÁRGYÉVI BEVÉTELEK ÖSSZESEN</t>
  </si>
  <si>
    <t>B1-B8</t>
  </si>
  <si>
    <t>TÁRGYÉVI KIADÁSOK ÖSSZESEN</t>
  </si>
  <si>
    <t>K1-K9</t>
  </si>
  <si>
    <t>Költségvetési működési bevételek</t>
  </si>
  <si>
    <t>Költségvetési működési kiadások</t>
  </si>
  <si>
    <t>Költségvetési működési egyenleg</t>
  </si>
  <si>
    <t>Költségvetési felhalmozási bevételek</t>
  </si>
  <si>
    <t>Költségvetési felhalmozási kiadások</t>
  </si>
  <si>
    <t>Költségvetési felhalmozási egyenleg</t>
  </si>
  <si>
    <t>Költségvetési egyenleg (Költségvetési működési egyenleg + Költségvetési felhalmozási egyenleg)</t>
  </si>
  <si>
    <t>Finanszírozási egyenleg (Finanszírozási bevétel - Finanszírozási kiadás)</t>
  </si>
  <si>
    <t>2016. évi költségvetés egyenlege (Költségvetési egyenleg + Finanszírozási egyenleg)</t>
  </si>
  <si>
    <t>Dunaharaszti Város Önkormányzat saját bevételeinek és a Stabilitási törvény 3. § (1) bekezdése szerinti adósságot keletkeztető ügyleteiből eredő fizetési kötelezettségeinek várható összege a futamidő végéig (Áht. 29/A. §) Ft-ban</t>
  </si>
  <si>
    <t>2017. év</t>
  </si>
  <si>
    <t>2018. év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</si>
  <si>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</si>
  <si>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</si>
  <si>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</si>
  <si>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</si>
  <si>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</si>
  <si>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</si>
  <si>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</si>
  <si>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</si>
  <si>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</si>
  <si>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</si>
  <si>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</si>
  <si>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</si>
  <si>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</si>
  <si>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</si>
  <si>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</si>
  <si>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</si>
  <si>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</si>
  <si>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>2036. év</t>
  </si>
  <si>
    <t>2037. év</t>
  </si>
  <si>
    <t>2038. év</t>
  </si>
  <si>
    <t>Helyi adók</t>
  </si>
  <si>
    <t>Osztalékok, koncessziós díjak, hozambevételek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</si>
  <si>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</si>
  <si>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</si>
  <si>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</si>
  <si>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</si>
  <si>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</si>
  <si>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</si>
  <si>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</si>
  <si>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</si>
  <si>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</si>
  <si>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</si>
  <si>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</si>
  <si>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</si>
  <si>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</si>
  <si>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</si>
  <si>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</si>
  <si>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</si>
  <si>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</si>
  <si>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</si>
  <si>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</si>
  <si>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</si>
  <si>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</si>
  <si>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</si>
  <si>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</si>
  <si>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</si>
  <si>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</si>
  <si>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</si>
  <si>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</si>
  <si>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</si>
  <si>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</si>
  <si>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</si>
  <si>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</si>
  <si>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</si>
  <si>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</si>
  <si>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</si>
  <si>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</si>
  <si>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</si>
  <si>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</si>
  <si>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</si>
  <si>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</si>
  <si>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1. sor</t>
  </si>
  <si>
    <t>Építményadó</t>
  </si>
  <si>
    <t>2. sor B404</t>
  </si>
  <si>
    <t>051 nem lakásc. Önk ing</t>
  </si>
  <si>
    <t>3. sor PMH B355 és B36</t>
  </si>
  <si>
    <t>TelekDÓ</t>
  </si>
  <si>
    <t>052 lakás</t>
  </si>
  <si>
    <t>119 egyéb adóbev Bírság pólék</t>
  </si>
  <si>
    <t>Kommadó</t>
  </si>
  <si>
    <t>053 Laffert</t>
  </si>
  <si>
    <t>Összesen2015</t>
  </si>
  <si>
    <t>Idegenforg.adó</t>
  </si>
  <si>
    <t>054 Sírhely</t>
  </si>
  <si>
    <t>Iparűzési adó</t>
  </si>
  <si>
    <t>069 szennyv bérleti díj</t>
  </si>
  <si>
    <t>köv években Br 142840 nettó 112472000</t>
  </si>
  <si>
    <t>előző évi hátralék</t>
  </si>
  <si>
    <t>078 Hunyadi</t>
  </si>
  <si>
    <t>előző évi hátralék Önk</t>
  </si>
  <si>
    <t>079 II. Rákóczi</t>
  </si>
  <si>
    <t>előző évi hátralék PMH</t>
  </si>
  <si>
    <t>3. sor</t>
  </si>
  <si>
    <t>080 Kőrösi</t>
  </si>
  <si>
    <t>Össesen</t>
  </si>
  <si>
    <t>Egyéb adóbev Pótlék, bírság (119)</t>
  </si>
  <si>
    <t>081 BEG</t>
  </si>
  <si>
    <t>PMH B3 bírság, elj.díj</t>
  </si>
  <si>
    <t>4. sor</t>
  </si>
  <si>
    <t>DPMV is benne van</t>
  </si>
  <si>
    <t>051 Ingatlan ért.</t>
  </si>
  <si>
    <t>051 Terembér</t>
  </si>
  <si>
    <t>052 Lakás</t>
  </si>
  <si>
    <t>Művház</t>
  </si>
  <si>
    <t>Művház hátralék</t>
  </si>
  <si>
    <t>110 Közter, reklámtábla</t>
  </si>
  <si>
    <t>120 Bizonytalan bev B4</t>
  </si>
  <si>
    <t>5. sor</t>
  </si>
  <si>
    <t>Részvény értékesítés (112)</t>
  </si>
  <si>
    <t xml:space="preserve">4. </t>
  </si>
  <si>
    <t>a)  ellátottak térítési díjának,  kártérítésének méltányossági alapon történő elengedésének összege</t>
  </si>
  <si>
    <t>sorszám</t>
  </si>
  <si>
    <t>Szervezet neve</t>
  </si>
  <si>
    <t>Eredeti Támogatásértékű működési kiadás</t>
  </si>
  <si>
    <t>Módosított Támogatásértékű működési kiadás</t>
  </si>
  <si>
    <t>Módosított Működési célú pénzeszköz átadás államháztartáson kívülre</t>
  </si>
  <si>
    <t>Halasztott tételek</t>
  </si>
  <si>
    <t>Feladat típusa</t>
  </si>
  <si>
    <t>Szociális (Gondozási Központ)</t>
  </si>
  <si>
    <t>Szociális (Városi Bölcsőde)</t>
  </si>
  <si>
    <t>Közoktatás</t>
  </si>
  <si>
    <t>Összesen:</t>
  </si>
  <si>
    <t>b)  lakosság részére lakásépítéshez, lakásfelújításhoz nyújtott kölcsönök elengedésének összege nemleges</t>
  </si>
  <si>
    <t xml:space="preserve">c)  a helyi adónál, gépjárműadónál biztosított kedvezmény, mentesség összege adónemenként </t>
  </si>
  <si>
    <t>Rovatrend száma</t>
  </si>
  <si>
    <t>Telekadó</t>
  </si>
  <si>
    <t>Kommunális adó</t>
  </si>
  <si>
    <t>Gépjárműadó</t>
  </si>
  <si>
    <t>Késedelmi pótlék</t>
  </si>
  <si>
    <t>Bírság</t>
  </si>
  <si>
    <t>d)  a helyiségek, eszközök hasznosításából származó bevételből nyújtott kedvezmény, mentesség összege</t>
  </si>
  <si>
    <t>Közterület rendjének fenntartása</t>
  </si>
  <si>
    <t>Önkormányzati tulajdonban álló helyiségek</t>
  </si>
  <si>
    <t>e) az egyéb nyújtott kedvezmény vagy kölcsön elengedésének összege nemleges</t>
  </si>
  <si>
    <t>Teljesítés</t>
  </si>
  <si>
    <t>2017. évi eredeti előirányzat</t>
  </si>
  <si>
    <t>2017. évi módosított előirányzat</t>
  </si>
  <si>
    <t>2017-től a lejáratig fizetendő összeg összesen</t>
  </si>
  <si>
    <t>2020. év és azt követő években</t>
  </si>
  <si>
    <t>Junior Vendéglátó Zrt.</t>
  </si>
  <si>
    <t>2019. augusztus 23.</t>
  </si>
  <si>
    <t>2019. december 31.</t>
  </si>
  <si>
    <t>Nemzeti Hulladékgazdálkodási Koordináló és Vagyonkezelő Zrt. Dunaharaszti Város közigazgatási területén lakossági
 hulladék, szelektív hulladékgyűjtése-és szállítása</t>
  </si>
  <si>
    <t>Előző évi egyéb adóbev Pótlék, bírság</t>
  </si>
  <si>
    <t>Előző évi PMH B3  bírság elj.díj</t>
  </si>
  <si>
    <t>051  előző évi hátralék</t>
  </si>
  <si>
    <t>052 előző évi hátralék</t>
  </si>
  <si>
    <t>069, 105 Bérleti díj</t>
  </si>
  <si>
    <t>110 előző évi hátralék</t>
  </si>
  <si>
    <t>119 Telekeladás hátralék</t>
  </si>
  <si>
    <t>Dunaharaszti Önkormányzat közvetett támogatásainak részletezése 2017. évben az Ávr.  28 §-a szerint, amelyről rendelkezik az Áht. 24 § (4) bekezdés c) pontja</t>
  </si>
  <si>
    <t>Eredeti                   Működési célú pénzeszköz átadás államháztartáson kívülre</t>
  </si>
  <si>
    <t>Teljesítés adatok</t>
  </si>
  <si>
    <t>Dunaharaszti Város Önkormányzat 2017. évi működési, felhalmozási bevételeinek és kiadásainak mérlegszerű bemutatása (Ft-ban)</t>
  </si>
  <si>
    <t>Eredeti előirányzat</t>
  </si>
  <si>
    <t>Módosított előirányzat</t>
  </si>
  <si>
    <t>Dunaharaszti Város Önkormányzata ASP Központhoz való csatlakozása</t>
  </si>
  <si>
    <t>KÖFOP-1.2.1-VEKOP-16-2017-01053</t>
  </si>
  <si>
    <r>
      <t xml:space="preserve">Elszámolható összköltség: </t>
    </r>
    <r>
      <rPr>
        <b/>
        <sz val="12"/>
        <color theme="1"/>
        <rFont val="Calibri"/>
        <family val="2"/>
        <charset val="238"/>
        <scheme val="minor"/>
      </rPr>
      <t>9 000 000 Ft</t>
    </r>
  </si>
  <si>
    <t>Támogatói Okirat</t>
  </si>
  <si>
    <t>Támogatási előleg
összege</t>
  </si>
  <si>
    <t>Ebből pénzforglamilag teljesült 2017.12.31-ig</t>
  </si>
  <si>
    <t>Következő évre
áthúzódó összeg</t>
  </si>
  <si>
    <t>Támogatás intenzítása 100%</t>
  </si>
  <si>
    <t>Kiadások szerződés szerinti megoszlása</t>
  </si>
  <si>
    <t>Projekt teljes összege</t>
  </si>
  <si>
    <t>Pénzforgalmi teljesítés
2017.12.31-ig</t>
  </si>
  <si>
    <t>Projekt menedzsment költségei</t>
  </si>
  <si>
    <t>Eszköz beszerés költségei</t>
  </si>
  <si>
    <t>Szakértői díjak</t>
  </si>
  <si>
    <t>Képzéshez kapcsolódó költségek</t>
  </si>
  <si>
    <t>Nyílvánosság költségei</t>
  </si>
  <si>
    <t>Szakmai jellegű munkabér</t>
  </si>
  <si>
    <t>Projekt minősszesen:</t>
  </si>
  <si>
    <t xml:space="preserve"> Fő út - Károlyi Mihály utca fejlesztése</t>
  </si>
  <si>
    <t>PM_ONKOMUT_2016/122</t>
  </si>
  <si>
    <r>
      <t xml:space="preserve">Elszámolható összköltség: </t>
    </r>
    <r>
      <rPr>
        <b/>
        <sz val="12"/>
        <color theme="1"/>
        <rFont val="Calibri"/>
        <family val="2"/>
        <charset val="238"/>
        <scheme val="minor"/>
      </rPr>
      <t>125 771 671 Ft</t>
    </r>
  </si>
  <si>
    <t>Támogatási szerződés</t>
  </si>
  <si>
    <t>Támogatás intenzítása 85 %
saját forrás: 18 865 751 Ft</t>
  </si>
  <si>
    <t>Beruházás előkészítéséhez kapcsolódó költségek</t>
  </si>
  <si>
    <t>Közbeszerzési eljárás költségei</t>
  </si>
  <si>
    <t>Főtevékenységhez kapcsolódó költség</t>
  </si>
  <si>
    <t>Műszaki ellenőrzés költségei</t>
  </si>
  <si>
    <t>Projektmenedzsmenthez kapcsolódó költségek</t>
  </si>
  <si>
    <t>Elektromos töltőállomás létesítése</t>
  </si>
  <si>
    <t>GZR-T-Ö-2016-0030</t>
  </si>
  <si>
    <r>
      <t xml:space="preserve">Összköltség: </t>
    </r>
    <r>
      <rPr>
        <b/>
        <sz val="12"/>
        <color theme="1"/>
        <rFont val="Calibri"/>
        <family val="2"/>
        <charset val="238"/>
        <scheme val="minor"/>
      </rPr>
      <t>5 235 608 Ft</t>
    </r>
  </si>
  <si>
    <t>Támogatás intenzítása 52.72 %
saját forrás: 2 475 608 Ft</t>
  </si>
  <si>
    <t>Töltőoszlop</t>
  </si>
  <si>
    <t>Villamoshálózati csatlakozási díj</t>
  </si>
  <si>
    <t>Töltőhely kialakításához kapcsolódó költségek</t>
  </si>
  <si>
    <t>A Dunaharaszti MTK részére teniszpálya építése</t>
  </si>
  <si>
    <t>BMSK-III-010/0214/2017</t>
  </si>
  <si>
    <r>
      <t xml:space="preserve">Elszámolható összköltség: </t>
    </r>
    <r>
      <rPr>
        <b/>
        <sz val="12"/>
        <color theme="1"/>
        <rFont val="Calibri"/>
        <family val="2"/>
        <charset val="238"/>
        <scheme val="minor"/>
      </rPr>
      <t>8 763 000 Ft</t>
    </r>
  </si>
  <si>
    <t>Támogatás intenzítása 34,23 %
saját forrás: 5 763 000 Ft</t>
  </si>
  <si>
    <t>Sportpálya szabványosítás (Támogatáson belüli tételek: alépítvényi munka, salakréteg, salak örlemény)</t>
  </si>
  <si>
    <t>Sportpálya szabványosítás (Támogatáson kívüli tételek)</t>
  </si>
  <si>
    <t>Lapdafogó háló és kerítés építese</t>
  </si>
  <si>
    <t>Dunaharaszti Városi Bölcsőde új tagintézményének építése</t>
  </si>
  <si>
    <t>VEKOP-6.1.1.-15-PT1-2015-00076</t>
  </si>
  <si>
    <t>Elszámolható összköltség: 397 909 188 Ft</t>
  </si>
  <si>
    <t>2016 évben teljesült</t>
  </si>
  <si>
    <t>Műszaki ellenőr</t>
  </si>
  <si>
    <t>Terület előkészítés</t>
  </si>
  <si>
    <t>Műszaki tervek, tenderterv, ezek díjai</t>
  </si>
  <si>
    <t>Pályázattal kapcsolatos költségek</t>
  </si>
  <si>
    <t>Előzetes tanulmány megvalósuláshoz</t>
  </si>
  <si>
    <t xml:space="preserve">Előzetes szakértői díj </t>
  </si>
  <si>
    <t>Egyéb szolgáltatás</t>
  </si>
  <si>
    <t>Közbeszerzési költség</t>
  </si>
  <si>
    <t>Projektm.szakértői díj</t>
  </si>
  <si>
    <t>Építéshez kapcsolódó költség</t>
  </si>
  <si>
    <t>Műszaki jellegű szolgátlatás</t>
  </si>
  <si>
    <t>Tartalék</t>
  </si>
  <si>
    <t>Nyílvánosság</t>
  </si>
  <si>
    <t>Eszközbeszerzés</t>
  </si>
  <si>
    <t>51. számú Fő út - Gábor Áron utca körforgalmú csomópont kiépítése</t>
  </si>
  <si>
    <t>BMÖGF/367-2/2017</t>
  </si>
  <si>
    <t>Támogatási Okirat</t>
  </si>
  <si>
    <t>Előkészítő és földmunkák</t>
  </si>
  <si>
    <t>Útépítés és egyéb pályaszerkezet építés</t>
  </si>
  <si>
    <t>Forgalomtechnikai létesítmények</t>
  </si>
  <si>
    <t>Vízépítés</t>
  </si>
  <si>
    <t>Növénytelepítés, környezetvédelem</t>
  </si>
  <si>
    <t>Dunaharaszti Város Önkormányzatának európai uniós forrásokból megvalósuló beruházásai</t>
  </si>
  <si>
    <r>
      <t>Projekt címe:</t>
    </r>
    <r>
      <rPr>
        <b/>
        <u/>
        <sz val="12"/>
        <rFont val="Garamond"/>
        <family val="1"/>
        <charset val="238"/>
      </rPr>
      <t xml:space="preserve"> "Dunaharaszti Napsugár Óvoda energetikai fejlesztése"</t>
    </r>
  </si>
  <si>
    <r>
      <t xml:space="preserve">Projekt azonosítószáma: </t>
    </r>
    <r>
      <rPr>
        <b/>
        <sz val="12"/>
        <rFont val="Garamond"/>
        <family val="1"/>
        <charset val="238"/>
      </rPr>
      <t>KEOP-5.3.0/B-09-2010-0099</t>
    </r>
  </si>
  <si>
    <r>
      <t xml:space="preserve">Projektmenedzser: </t>
    </r>
    <r>
      <rPr>
        <b/>
        <sz val="12"/>
        <rFont val="Garamond"/>
        <family val="1"/>
        <charset val="238"/>
      </rPr>
      <t>Corex Projektfejlesztési Kft.</t>
    </r>
  </si>
  <si>
    <t>A projekt fenntartási időszakára vállalt számszerűsíthető eredmények:</t>
  </si>
  <si>
    <t>Megújuló energiahordozó felhasználás növekedése (GJ/év)</t>
  </si>
  <si>
    <t>Energiahatékonyság növelés révén megtakarított éves elsődleges (primer) energiahordozó mennyisége (GJ/év)</t>
  </si>
  <si>
    <t>ÜHG-kibocsátás csökkentése (t/év)</t>
  </si>
  <si>
    <t>Horizontális vállalások</t>
  </si>
  <si>
    <t>a) Foglalkoztatottak száma (statisztikai állományi létszám) (fő)</t>
  </si>
  <si>
    <t>b) Nők száma a foglalkoztatottak közt (fő)</t>
  </si>
  <si>
    <t>c) A projekt által érintettek száma (fő)</t>
  </si>
  <si>
    <t>cA) Nők száma a projekt által érintett célcsoportban (fő)</t>
  </si>
  <si>
    <t>cB) Roma emberek száma a projekt által érintett célcsoportban (fő)</t>
  </si>
  <si>
    <t>cC) Fogyatékos emberek száma a projekt által érintett célcsoportban (fő)</t>
  </si>
  <si>
    <t>4. A szervezet döntéshozói, munkavállalói vagy közönsége számára esélyegyenlőségi képzést tart (I/N)</t>
  </si>
  <si>
    <t>I</t>
  </si>
  <si>
    <t>13. Részmunkaidős foglalkoztatottak száma (fő)</t>
  </si>
  <si>
    <t>15. Fogyatékossággal élő alkalmazottak száma (fő)</t>
  </si>
  <si>
    <t>3.f A fenntarthatósággal kapcsolatos tudásmegosztáson részt vett munkavállalók aránya tudásmegosztásban résztvevők száma (fő)</t>
  </si>
  <si>
    <t>A fenntarthatósággal kapcsolatos tudásmegosztáson részt vett munkavállalók aránya össz munkavállalói létszám (fő)</t>
  </si>
  <si>
    <t>24. Helyszínválasztáskor környezetbarát közlekedési (elérhetőségi) szempontok érvényesítése (I/N)</t>
  </si>
  <si>
    <t>35. Újrahasznosított papír használat az irodai és nyomdai munkák során (I/N)</t>
  </si>
  <si>
    <r>
      <t>Projekt címe.</t>
    </r>
    <r>
      <rPr>
        <b/>
        <u/>
        <sz val="12"/>
        <rFont val="Garamond"/>
        <family val="1"/>
        <charset val="238"/>
      </rPr>
      <t xml:space="preserve"> „Hétszínvirág Óvoda napelemes korszerűsítése"</t>
    </r>
  </si>
  <si>
    <r>
      <t xml:space="preserve">Projekt azonosítószáma: </t>
    </r>
    <r>
      <rPr>
        <b/>
        <sz val="12"/>
        <rFont val="Garamond"/>
        <family val="1"/>
        <charset val="238"/>
      </rPr>
      <t>KMOP-3.3.3-13-2013-0075</t>
    </r>
  </si>
  <si>
    <r>
      <t xml:space="preserve">Projektmenedzser: </t>
    </r>
    <r>
      <rPr>
        <b/>
        <sz val="10"/>
        <rFont val="Arial"/>
        <family val="2"/>
        <charset val="238"/>
      </rPr>
      <t>Corex Projektfejlesztési Kft.</t>
    </r>
  </si>
  <si>
    <t>Megújuló energiahordozó bázisú villamosenergiatermelés növekedése (GWh/év)
(A megújuló energiahordozó felhasználásának növekedése indikátoron belül)
(amennyiben releváns)</t>
  </si>
  <si>
    <t>22. Gyesről, gyedről, ápolási díjról visszatérők alkalmazása az elmúlt 5 évben (fő)</t>
  </si>
  <si>
    <r>
      <t>Projekt címe.</t>
    </r>
    <r>
      <rPr>
        <b/>
        <u/>
        <sz val="12"/>
        <rFont val="Garamond"/>
        <family val="1"/>
        <charset val="238"/>
      </rPr>
      <t xml:space="preserve"> „Kőrösi Csoma Sándor Általános Iskola napelemes korszerűsítése""</t>
    </r>
  </si>
  <si>
    <r>
      <t xml:space="preserve">Projekt azonosítószáma: </t>
    </r>
    <r>
      <rPr>
        <b/>
        <sz val="12"/>
        <rFont val="Garamond"/>
        <family val="1"/>
        <charset val="238"/>
      </rPr>
      <t>KMOP-3.3.3-13-2013-0080</t>
    </r>
  </si>
  <si>
    <r>
      <t>Projekt címe.</t>
    </r>
    <r>
      <rPr>
        <b/>
        <u/>
        <sz val="12"/>
        <rFont val="Garamond"/>
        <family val="1"/>
        <charset val="238"/>
      </rPr>
      <t xml:space="preserve"> „Dunaharaszti Mese Óvoda fejlesztése a Szivárvány Óvoda tagintézmény létrehozásával, 6 csoportos új épület építésével"</t>
    </r>
  </si>
  <si>
    <r>
      <t xml:space="preserve">Projekt azonosítószáma: </t>
    </r>
    <r>
      <rPr>
        <b/>
        <sz val="12"/>
        <rFont val="Garamond"/>
        <family val="1"/>
        <charset val="238"/>
      </rPr>
      <t>KMOP-4.6.1-11-2012-2025</t>
    </r>
  </si>
  <si>
    <r>
      <t xml:space="preserve">Projekt menedzser: </t>
    </r>
    <r>
      <rPr>
        <b/>
        <sz val="12"/>
        <rFont val="Garamond"/>
        <family val="1"/>
        <charset val="238"/>
      </rPr>
      <t>Corex Projektfejlesztési Kft.</t>
    </r>
  </si>
  <si>
    <t>Fenntartási időszak</t>
  </si>
  <si>
    <t>Eredmény/Mutató/Indikátor neve</t>
  </si>
  <si>
    <t>Mérték-</t>
  </si>
  <si>
    <t>Bázisérték</t>
  </si>
  <si>
    <t>Megvalósítási</t>
  </si>
  <si>
    <t>Fenntartási időszak (célérték)</t>
  </si>
  <si>
    <t>egység</t>
  </si>
  <si>
    <t>időszak (célérték)</t>
  </si>
  <si>
    <t>(db, fő, %)</t>
  </si>
  <si>
    <t>Output indikátor</t>
  </si>
  <si>
    <t>A közoktatási intézmények fejlesztéssel érintett telephelyeinek száma</t>
  </si>
  <si>
    <t>db</t>
  </si>
  <si>
    <t>A projekt eredményeképpen létrejött, újonnan kialakított és működésbe bevont csoportszobák száma</t>
  </si>
  <si>
    <t>A projekt eredményeképpen létrejött, újonnan kialakított és működésbe bevont csoportszobákban létesített férőhelyek száma</t>
  </si>
  <si>
    <t>Akadálymentes épített vagy felújított helyiségek száma</t>
  </si>
  <si>
    <t>Fejlesztéssel érintett/Fejlesztett udvarok száma</t>
  </si>
  <si>
    <t>Eredmény indikátor</t>
  </si>
  <si>
    <t>A támogatott intézményben ellátott gyerekek átlagos létszámának összege</t>
  </si>
  <si>
    <t>fő</t>
  </si>
  <si>
    <t>A támogatott intézményekben ellátott/tanuló hátrányos helyzetű gyerekek átlagos létszámának összege</t>
  </si>
  <si>
    <t>A támogatott intézményekben ellátott/tanuló gyerekek átlagos létszámának összege - ebből sajátos nevelési igényű</t>
  </si>
  <si>
    <t>A programok által érintett tanulók között a 11/1994 (VI.8) MKM rendelet 39/E §. értelmében integrációs nevelésbe bevont tanulók száma</t>
  </si>
  <si>
    <t>2017.  tény</t>
  </si>
  <si>
    <t>II.</t>
  </si>
  <si>
    <t>13.a - 13.d mellékletek, 1-10. tájékoztató táblák és 1-10. függelékek</t>
  </si>
  <si>
    <t>Dunaharaszti Város Önkormányzata 2017. évi költségvetésének végrehajtásáról szóló beszámoló (zárszámadás) egyes mellékletei, tájékoztató táblái és függelékei</t>
  </si>
  <si>
    <t xml:space="preserve">Baross utca </t>
  </si>
  <si>
    <t>Helyi tömegközlekedés támogatásának kiegészítése</t>
  </si>
  <si>
    <t>Vis major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</si>
</sst>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  <numFmt numFmtId="166" formatCode="#,###__"/>
    <numFmt numFmtId="167" formatCode="#,##0_ ;\-#,##0\ "/>
    <numFmt numFmtId="168" formatCode="#,##0_ ;[Red]\-#,##0\ "/>
    <numFmt numFmtId="169" formatCode="#,##0\ &quot;Ft&quot;"/>
    <numFmt numFmtId="170" formatCode="_-* #,##0.000\ &quot;Ft&quot;_-;\-* #,##0.000\ &quot;Ft&quot;_-;_-* &quot;-&quot;??\ &quot;Ft&quot;_-;_-@_-"/>
    <numFmt numFmtId="171" formatCode="_-* #,##0.0\ &quot;Ft&quot;_-;\-* #,##0.0\ &quot;Ft&quot;_-;_-* &quot;-&quot;??\ &quot;Ft&quot;_-;_-@_-"/>
    <numFmt numFmtId="172" formatCode="_-* #,##0\ &quot;Ft&quot;_-;\-* #,##0\ &quot;Ft&quot;_-;_-* &quot;-&quot;???\ &quot;Ft&quot;_-;_-@_-"/>
    <numFmt numFmtId="173" formatCode="_-* #,##0\ _F_t_-;\-* #,##0\ _F_t_-;_-* \-??\ _F_t_-;_-@_-"/>
    <numFmt numFmtId="174" formatCode="0.000"/>
  </numFmts>
  <fonts count="1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4"/>
      <name val="Garamond"/>
      <family val="1"/>
      <charset val="238"/>
    </font>
    <font>
      <b/>
      <u/>
      <sz val="12"/>
      <name val="Garamond"/>
      <family val="1"/>
      <charset val="238"/>
    </font>
    <font>
      <sz val="12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Garamond"/>
      <family val="1"/>
      <charset val="238"/>
    </font>
    <font>
      <b/>
      <sz val="12"/>
      <color indexed="10"/>
      <name val="Garamond"/>
      <family val="1"/>
      <charset val="238"/>
    </font>
    <font>
      <sz val="12"/>
      <color indexed="10"/>
      <name val="Garamond"/>
      <family val="1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sz val="8"/>
      <name val="Arial CE"/>
      <charset val="238"/>
    </font>
    <font>
      <b/>
      <i/>
      <sz val="9"/>
      <name val="Arial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b/>
      <sz val="18"/>
      <color indexed="8"/>
      <name val="Garamond"/>
      <family val="1"/>
      <charset val="238"/>
    </font>
    <font>
      <sz val="15"/>
      <color indexed="8"/>
      <name val="Garamond"/>
      <family val="1"/>
      <charset val="238"/>
    </font>
    <font>
      <b/>
      <sz val="16"/>
      <color indexed="8"/>
      <name val="Garamond"/>
      <family val="1"/>
      <charset val="238"/>
    </font>
    <font>
      <sz val="18"/>
      <color indexed="8"/>
      <name val="Garamond"/>
      <family val="1"/>
      <charset val="238"/>
    </font>
    <font>
      <b/>
      <i/>
      <sz val="14"/>
      <color indexed="8"/>
      <name val="Garamond"/>
      <family val="1"/>
      <charset val="238"/>
    </font>
    <font>
      <b/>
      <i/>
      <sz val="18"/>
      <color indexed="8"/>
      <name val="Garamond"/>
      <family val="1"/>
      <charset val="238"/>
    </font>
    <font>
      <i/>
      <sz val="18"/>
      <color indexed="8"/>
      <name val="Garamond"/>
      <family val="1"/>
      <charset val="238"/>
    </font>
    <font>
      <b/>
      <i/>
      <sz val="15"/>
      <color indexed="8"/>
      <name val="Garamond"/>
      <family val="1"/>
      <charset val="238"/>
    </font>
    <font>
      <b/>
      <i/>
      <sz val="16"/>
      <color indexed="8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5"/>
      <color indexed="8"/>
      <name val="Garamond"/>
      <family val="1"/>
      <charset val="238"/>
    </font>
    <font>
      <i/>
      <sz val="15"/>
      <color indexed="8"/>
      <name val="Garamond"/>
      <family val="1"/>
      <charset val="238"/>
    </font>
    <font>
      <sz val="15"/>
      <name val="Garamond"/>
      <family val="1"/>
      <charset val="238"/>
    </font>
    <font>
      <b/>
      <sz val="18"/>
      <name val="Garamond"/>
      <family val="1"/>
      <charset val="238"/>
    </font>
    <font>
      <sz val="11"/>
      <name val="Calibri"/>
      <family val="2"/>
      <charset val="238"/>
      <scheme val="minor"/>
    </font>
    <font>
      <sz val="18"/>
      <name val="Garamond"/>
      <family val="1"/>
      <charset val="238"/>
    </font>
    <font>
      <b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b/>
      <sz val="20"/>
      <color theme="1"/>
      <name val="Garamond"/>
      <family val="1"/>
      <charset val="238"/>
    </font>
    <font>
      <i/>
      <sz val="18"/>
      <color theme="1"/>
      <name val="Garamond"/>
      <family val="1"/>
      <charset val="238"/>
    </font>
    <font>
      <i/>
      <sz val="18"/>
      <name val="Garamond"/>
      <family val="1"/>
      <charset val="238"/>
    </font>
    <font>
      <sz val="14"/>
      <color theme="1"/>
      <name val="Garamond"/>
      <family val="1"/>
      <charset val="238"/>
    </font>
    <font>
      <b/>
      <i/>
      <sz val="18"/>
      <color theme="1"/>
      <name val="Garamond"/>
      <family val="1"/>
      <charset val="238"/>
    </font>
    <font>
      <b/>
      <i/>
      <sz val="18"/>
      <name val="Garamond"/>
      <family val="1"/>
      <charset val="238"/>
    </font>
    <font>
      <b/>
      <i/>
      <sz val="16"/>
      <color theme="1"/>
      <name val="Garamond"/>
      <family val="1"/>
      <charset val="238"/>
    </font>
    <font>
      <b/>
      <i/>
      <sz val="14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sz val="12"/>
      <name val="Arial CE"/>
      <family val="2"/>
      <charset val="238"/>
    </font>
    <font>
      <b/>
      <sz val="10"/>
      <name val="Garamond"/>
      <family val="1"/>
      <charset val="238"/>
    </font>
    <font>
      <sz val="14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9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i/>
      <sz val="12"/>
      <color indexed="8"/>
      <name val="Garamond"/>
      <family val="1"/>
      <charset val="238"/>
    </font>
    <font>
      <b/>
      <sz val="13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indexed="10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sz val="10"/>
      <color theme="1"/>
      <name val="Bookman Old Style"/>
      <family val="1"/>
      <charset val="238"/>
    </font>
    <font>
      <u/>
      <sz val="12"/>
      <name val="Garamond"/>
      <family val="1"/>
      <charset val="238"/>
    </font>
    <font>
      <b/>
      <i/>
      <u/>
      <sz val="12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2"/>
      <color rgb="FF000000"/>
      <name val="Garamond"/>
      <family val="1"/>
      <charset val="238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B3B3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27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86" fillId="0" borderId="0" applyFill="0" applyBorder="0" applyAlignment="0" applyProtection="0"/>
    <xf numFmtId="0" fontId="86" fillId="0" borderId="0"/>
    <xf numFmtId="0" fontId="4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897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/>
    <xf numFmtId="0" fontId="7" fillId="0" borderId="0" xfId="2" applyFont="1"/>
    <xf numFmtId="164" fontId="7" fillId="0" borderId="0" xfId="3" applyNumberFormat="1" applyFont="1"/>
    <xf numFmtId="164" fontId="7" fillId="0" borderId="0" xfId="3" applyNumberFormat="1" applyFont="1" applyAlignment="1">
      <alignment horizontal="center"/>
    </xf>
    <xf numFmtId="14" fontId="4" fillId="0" borderId="0" xfId="2" applyNumberFormat="1" applyFont="1" applyAlignment="1">
      <alignment horizontal="center"/>
    </xf>
    <xf numFmtId="164" fontId="4" fillId="0" borderId="1" xfId="3" applyNumberFormat="1" applyFont="1" applyBorder="1" applyAlignment="1">
      <alignment horizontal="center" wrapText="1"/>
    </xf>
    <xf numFmtId="0" fontId="4" fillId="0" borderId="4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3" fillId="0" borderId="1" xfId="4" applyFont="1" applyBorder="1"/>
    <xf numFmtId="165" fontId="4" fillId="0" borderId="1" xfId="5" applyNumberFormat="1" applyFont="1" applyBorder="1"/>
    <xf numFmtId="9" fontId="4" fillId="0" borderId="1" xfId="6" applyFont="1" applyBorder="1"/>
    <xf numFmtId="165" fontId="3" fillId="0" borderId="1" xfId="5" applyNumberFormat="1" applyFont="1" applyBorder="1" applyAlignment="1">
      <alignment horizontal="center"/>
    </xf>
    <xf numFmtId="14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0" fontId="3" fillId="0" borderId="0" xfId="4" applyFont="1" applyBorder="1"/>
    <xf numFmtId="0" fontId="3" fillId="0" borderId="0" xfId="4" applyFont="1"/>
    <xf numFmtId="49" fontId="3" fillId="0" borderId="1" xfId="4" applyNumberFormat="1" applyFont="1" applyBorder="1" applyAlignment="1">
      <alignment horizontal="center" vertical="center"/>
    </xf>
    <xf numFmtId="9" fontId="4" fillId="0" borderId="1" xfId="6" applyNumberFormat="1" applyFont="1" applyBorder="1"/>
    <xf numFmtId="165" fontId="4" fillId="0" borderId="1" xfId="5" applyNumberFormat="1" applyFont="1" applyFill="1" applyBorder="1" applyAlignment="1">
      <alignment horizontal="center" vertical="center"/>
    </xf>
    <xf numFmtId="9" fontId="4" fillId="0" borderId="1" xfId="6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14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Border="1"/>
    <xf numFmtId="0" fontId="4" fillId="0" borderId="0" xfId="2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center"/>
    </xf>
    <xf numFmtId="14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0" borderId="0" xfId="2" applyFont="1" applyFill="1" applyBorder="1"/>
    <xf numFmtId="0" fontId="4" fillId="0" borderId="0" xfId="2" applyFont="1" applyFill="1"/>
    <xf numFmtId="0" fontId="4" fillId="0" borderId="0" xfId="2" applyFont="1" applyFill="1" applyBorder="1"/>
    <xf numFmtId="0" fontId="3" fillId="0" borderId="0" xfId="2" applyFont="1" applyFill="1"/>
    <xf numFmtId="164" fontId="4" fillId="0" borderId="0" xfId="3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2" fontId="4" fillId="0" borderId="0" xfId="3" applyNumberFormat="1" applyFont="1" applyFill="1" applyBorder="1" applyAlignment="1">
      <alignment horizontal="center"/>
    </xf>
    <xf numFmtId="0" fontId="12" fillId="0" borderId="0" xfId="2" applyFont="1" applyFill="1" applyBorder="1"/>
    <xf numFmtId="0" fontId="13" fillId="0" borderId="0" xfId="2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0" fontId="13" fillId="0" borderId="0" xfId="2" applyFont="1" applyFill="1"/>
    <xf numFmtId="0" fontId="12" fillId="0" borderId="0" xfId="2" applyFont="1" applyFill="1"/>
    <xf numFmtId="164" fontId="4" fillId="0" borderId="0" xfId="3" applyNumberFormat="1" applyFont="1" applyFill="1" applyBorder="1"/>
    <xf numFmtId="164" fontId="3" fillId="0" borderId="0" xfId="3" applyNumberFormat="1" applyFont="1"/>
    <xf numFmtId="164" fontId="3" fillId="0" borderId="0" xfId="3" applyNumberFormat="1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6" fillId="0" borderId="6" xfId="7" applyFont="1" applyFill="1" applyBorder="1"/>
    <xf numFmtId="0" fontId="16" fillId="0" borderId="7" xfId="7" applyFont="1" applyFill="1" applyBorder="1"/>
    <xf numFmtId="0" fontId="17" fillId="0" borderId="0" xfId="7" applyFont="1" applyFill="1" applyBorder="1"/>
    <xf numFmtId="0" fontId="16" fillId="0" borderId="0" xfId="7" applyFont="1" applyFill="1" applyBorder="1" applyAlignment="1">
      <alignment horizontal="center"/>
    </xf>
    <xf numFmtId="0" fontId="16" fillId="0" borderId="0" xfId="7" applyFont="1" applyFill="1" applyBorder="1" applyAlignment="1">
      <alignment horizontal="right"/>
    </xf>
    <xf numFmtId="0" fontId="16" fillId="0" borderId="8" xfId="7" applyFont="1" applyFill="1" applyBorder="1"/>
    <xf numFmtId="165" fontId="20" fillId="0" borderId="1" xfId="1" applyNumberFormat="1" applyFont="1" applyFill="1" applyBorder="1" applyAlignment="1">
      <alignment horizontal="center" vertical="center"/>
    </xf>
    <xf numFmtId="0" fontId="16" fillId="0" borderId="10" xfId="7" applyFont="1" applyFill="1" applyBorder="1"/>
    <xf numFmtId="0" fontId="16" fillId="0" borderId="1" xfId="7" applyFont="1" applyFill="1" applyBorder="1" applyAlignment="1">
      <alignment horizontal="center" vertical="center"/>
    </xf>
    <xf numFmtId="3" fontId="21" fillId="0" borderId="1" xfId="7" applyNumberFormat="1" applyFont="1" applyFill="1" applyBorder="1" applyAlignment="1">
      <alignment horizontal="center" vertical="center" wrapText="1"/>
    </xf>
    <xf numFmtId="0" fontId="16" fillId="0" borderId="11" xfId="7" applyFont="1" applyFill="1" applyBorder="1"/>
    <xf numFmtId="14" fontId="16" fillId="0" borderId="1" xfId="7" applyNumberFormat="1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3" fontId="22" fillId="0" borderId="1" xfId="7" applyNumberFormat="1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/>
    </xf>
    <xf numFmtId="0" fontId="16" fillId="0" borderId="1" xfId="7" applyNumberFormat="1" applyFont="1" applyFill="1" applyBorder="1" applyAlignment="1">
      <alignment horizontal="center" vertical="center"/>
    </xf>
    <xf numFmtId="3" fontId="23" fillId="0" borderId="1" xfId="7" applyNumberFormat="1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/>
    </xf>
    <xf numFmtId="0" fontId="23" fillId="0" borderId="11" xfId="7" applyFont="1" applyFill="1" applyBorder="1" applyAlignment="1">
      <alignment horizontal="center"/>
    </xf>
    <xf numFmtId="3" fontId="16" fillId="0" borderId="1" xfId="7" applyNumberFormat="1" applyFont="1" applyFill="1" applyBorder="1" applyAlignment="1">
      <alignment horizontal="center" vertical="center"/>
    </xf>
    <xf numFmtId="3" fontId="23" fillId="0" borderId="1" xfId="7" applyNumberFormat="1" applyFont="1" applyFill="1" applyBorder="1" applyAlignment="1">
      <alignment horizontal="center" vertical="center" wrapText="1"/>
    </xf>
    <xf numFmtId="0" fontId="22" fillId="0" borderId="0" xfId="7" applyFont="1" applyFill="1" applyBorder="1"/>
    <xf numFmtId="0" fontId="22" fillId="0" borderId="12" xfId="7" applyFont="1" applyFill="1" applyBorder="1"/>
    <xf numFmtId="3" fontId="16" fillId="0" borderId="1" xfId="7" applyNumberFormat="1" applyFont="1" applyFill="1" applyBorder="1" applyAlignment="1">
      <alignment horizontal="center" vertical="center" wrapText="1"/>
    </xf>
    <xf numFmtId="3" fontId="19" fillId="0" borderId="1" xfId="7" applyNumberFormat="1" applyFont="1" applyFill="1" applyBorder="1" applyAlignment="1">
      <alignment horizontal="center" vertical="center" wrapText="1"/>
    </xf>
    <xf numFmtId="3" fontId="22" fillId="0" borderId="1" xfId="7" applyNumberFormat="1" applyFont="1" applyFill="1" applyBorder="1" applyAlignment="1">
      <alignment horizontal="center" vertical="center"/>
    </xf>
    <xf numFmtId="0" fontId="22" fillId="0" borderId="6" xfId="7" applyFont="1" applyFill="1" applyBorder="1"/>
    <xf numFmtId="165" fontId="16" fillId="0" borderId="1" xfId="5" applyNumberFormat="1" applyFont="1" applyFill="1" applyBorder="1" applyAlignment="1">
      <alignment horizontal="center" vertical="center"/>
    </xf>
    <xf numFmtId="165" fontId="19" fillId="0" borderId="1" xfId="5" applyNumberFormat="1" applyFont="1" applyFill="1" applyBorder="1" applyAlignment="1">
      <alignment horizontal="center" vertical="center"/>
    </xf>
    <xf numFmtId="3" fontId="23" fillId="0" borderId="13" xfId="7" applyNumberFormat="1" applyFont="1" applyFill="1" applyBorder="1" applyAlignment="1">
      <alignment horizontal="center" vertical="center"/>
    </xf>
    <xf numFmtId="3" fontId="23" fillId="0" borderId="14" xfId="7" applyNumberFormat="1" applyFont="1" applyFill="1" applyBorder="1" applyAlignment="1">
      <alignment horizontal="center" vertical="center"/>
    </xf>
    <xf numFmtId="3" fontId="23" fillId="0" borderId="15" xfId="7" applyNumberFormat="1" applyFont="1" applyFill="1" applyBorder="1" applyAlignment="1">
      <alignment horizontal="center" vertical="center"/>
    </xf>
    <xf numFmtId="3" fontId="23" fillId="0" borderId="16" xfId="7" applyNumberFormat="1" applyFont="1" applyFill="1" applyBorder="1" applyAlignment="1">
      <alignment horizontal="center" vertical="center"/>
    </xf>
    <xf numFmtId="3" fontId="23" fillId="0" borderId="0" xfId="7" applyNumberFormat="1" applyFont="1" applyFill="1" applyBorder="1" applyAlignment="1">
      <alignment horizontal="center" vertical="center"/>
    </xf>
    <xf numFmtId="3" fontId="16" fillId="0" borderId="17" xfId="7" applyNumberFormat="1" applyFont="1" applyFill="1" applyBorder="1" applyAlignment="1">
      <alignment horizontal="center" vertical="center"/>
    </xf>
    <xf numFmtId="165" fontId="16" fillId="0" borderId="11" xfId="5" applyNumberFormat="1" applyFont="1" applyFill="1" applyBorder="1" applyAlignment="1">
      <alignment horizontal="center" vertical="center"/>
    </xf>
    <xf numFmtId="165" fontId="16" fillId="0" borderId="0" xfId="5" applyNumberFormat="1" applyFont="1" applyFill="1" applyBorder="1" applyAlignment="1">
      <alignment horizontal="center" vertical="center"/>
    </xf>
    <xf numFmtId="0" fontId="24" fillId="2" borderId="18" xfId="7" applyFont="1" applyFill="1" applyBorder="1" applyAlignment="1">
      <alignment horizontal="center" vertical="center" wrapText="1"/>
    </xf>
    <xf numFmtId="165" fontId="25" fillId="2" borderId="19" xfId="5" applyNumberFormat="1" applyFont="1" applyFill="1" applyBorder="1" applyAlignment="1">
      <alignment horizontal="center" vertical="center"/>
    </xf>
    <xf numFmtId="3" fontId="25" fillId="2" borderId="0" xfId="7" applyNumberFormat="1" applyFont="1" applyFill="1" applyBorder="1"/>
    <xf numFmtId="0" fontId="25" fillId="2" borderId="0" xfId="7" applyFont="1" applyFill="1" applyBorder="1"/>
    <xf numFmtId="0" fontId="25" fillId="2" borderId="7" xfId="7" applyFont="1" applyFill="1" applyBorder="1"/>
    <xf numFmtId="0" fontId="26" fillId="3" borderId="0" xfId="7" applyFont="1" applyFill="1" applyBorder="1" applyAlignment="1">
      <alignment horizontal="center" vertical="center" wrapText="1"/>
    </xf>
    <xf numFmtId="165" fontId="26" fillId="3" borderId="20" xfId="5" applyNumberFormat="1" applyFont="1" applyFill="1" applyBorder="1" applyAlignment="1">
      <alignment vertical="center"/>
    </xf>
    <xf numFmtId="3" fontId="20" fillId="3" borderId="0" xfId="7" applyNumberFormat="1" applyFont="1" applyFill="1" applyBorder="1"/>
    <xf numFmtId="0" fontId="20" fillId="3" borderId="0" xfId="7" applyFont="1" applyFill="1" applyBorder="1"/>
    <xf numFmtId="0" fontId="16" fillId="0" borderId="21" xfId="7" applyFont="1" applyFill="1" applyBorder="1"/>
    <xf numFmtId="165" fontId="20" fillId="0" borderId="0" xfId="5" applyNumberFormat="1" applyFont="1" applyFill="1" applyBorder="1" applyAlignment="1">
      <alignment vertical="center" wrapText="1"/>
    </xf>
    <xf numFmtId="165" fontId="16" fillId="0" borderId="0" xfId="7" applyNumberFormat="1" applyFont="1" applyFill="1" applyBorder="1"/>
    <xf numFmtId="0" fontId="20" fillId="0" borderId="0" xfId="7" applyFont="1" applyFill="1" applyBorder="1" applyAlignment="1"/>
    <xf numFmtId="0" fontId="20" fillId="0" borderId="0" xfId="7" applyFont="1" applyFill="1" applyBorder="1" applyAlignment="1">
      <alignment vertical="center" wrapText="1"/>
    </xf>
    <xf numFmtId="0" fontId="20" fillId="0" borderId="0" xfId="7" applyFont="1" applyFill="1" applyBorder="1"/>
    <xf numFmtId="3" fontId="20" fillId="0" borderId="0" xfId="7" applyNumberFormat="1" applyFont="1" applyFill="1" applyBorder="1"/>
    <xf numFmtId="0" fontId="20" fillId="0" borderId="0" xfId="7" applyFont="1" applyFill="1" applyBorder="1" applyAlignment="1">
      <alignment horizontal="center" wrapText="1"/>
    </xf>
    <xf numFmtId="0" fontId="20" fillId="0" borderId="0" xfId="7" applyFont="1" applyFill="1" applyBorder="1" applyAlignment="1">
      <alignment horizontal="center"/>
    </xf>
    <xf numFmtId="3" fontId="20" fillId="0" borderId="0" xfId="7" applyNumberFormat="1" applyFont="1" applyFill="1" applyBorder="1" applyAlignment="1"/>
    <xf numFmtId="0" fontId="19" fillId="0" borderId="0" xfId="7" applyFont="1" applyFill="1" applyBorder="1"/>
    <xf numFmtId="3" fontId="16" fillId="0" borderId="0" xfId="7" applyNumberFormat="1" applyFont="1" applyFill="1" applyBorder="1" applyAlignment="1">
      <alignment horizontal="center"/>
    </xf>
    <xf numFmtId="3" fontId="16" fillId="0" borderId="0" xfId="7" applyNumberFormat="1" applyFont="1" applyFill="1" applyBorder="1"/>
    <xf numFmtId="0" fontId="16" fillId="0" borderId="12" xfId="7" applyFont="1" applyFill="1" applyBorder="1"/>
    <xf numFmtId="0" fontId="16" fillId="0" borderId="22" xfId="7" applyFont="1" applyFill="1" applyBorder="1"/>
    <xf numFmtId="0" fontId="16" fillId="0" borderId="23" xfId="7" applyFont="1" applyFill="1" applyBorder="1"/>
    <xf numFmtId="0" fontId="27" fillId="0" borderId="0" xfId="8" applyFill="1"/>
    <xf numFmtId="0" fontId="28" fillId="0" borderId="0" xfId="8" applyFont="1" applyFill="1" applyAlignment="1">
      <alignment horizontal="right"/>
    </xf>
    <xf numFmtId="0" fontId="29" fillId="0" borderId="0" xfId="8" applyFont="1" applyFill="1" applyAlignment="1" applyProtection="1">
      <alignment vertical="center" wrapText="1"/>
      <protection locked="0"/>
    </xf>
    <xf numFmtId="0" fontId="29" fillId="0" borderId="0" xfId="8" applyFont="1" applyFill="1" applyAlignment="1" applyProtection="1">
      <alignment horizontal="center" vertical="top" wrapText="1"/>
      <protection locked="0"/>
    </xf>
    <xf numFmtId="0" fontId="27" fillId="0" borderId="0" xfId="8" applyFill="1" applyBorder="1" applyAlignment="1">
      <alignment horizontal="right" wrapText="1"/>
    </xf>
    <xf numFmtId="0" fontId="30" fillId="0" borderId="25" xfId="8" applyFont="1" applyFill="1" applyBorder="1" applyAlignment="1">
      <alignment horizontal="center" vertical="center" textRotation="90" wrapText="1"/>
    </xf>
    <xf numFmtId="0" fontId="29" fillId="0" borderId="26" xfId="8" applyFont="1" applyFill="1" applyBorder="1" applyAlignment="1">
      <alignment horizontal="center" vertical="center"/>
    </xf>
    <xf numFmtId="0" fontId="31" fillId="0" borderId="26" xfId="8" applyFont="1" applyFill="1" applyBorder="1" applyAlignment="1">
      <alignment horizontal="center" vertical="center" wrapText="1"/>
    </xf>
    <xf numFmtId="0" fontId="32" fillId="0" borderId="26" xfId="8" applyFont="1" applyFill="1" applyBorder="1" applyAlignment="1">
      <alignment horizontal="center" vertical="center" wrapText="1"/>
    </xf>
    <xf numFmtId="0" fontId="27" fillId="0" borderId="0" xfId="8" applyFill="1" applyBorder="1" applyAlignment="1">
      <alignment horizontal="center"/>
    </xf>
    <xf numFmtId="0" fontId="32" fillId="0" borderId="0" xfId="8" applyFont="1" applyFill="1" applyBorder="1" applyAlignment="1">
      <alignment horizontal="center" vertical="center" wrapText="1"/>
    </xf>
    <xf numFmtId="0" fontId="27" fillId="0" borderId="0" xfId="8" applyFill="1" applyAlignment="1">
      <alignment horizontal="center"/>
    </xf>
    <xf numFmtId="0" fontId="27" fillId="0" borderId="27" xfId="8" applyFill="1" applyBorder="1" applyAlignment="1">
      <alignment horizontal="center" vertical="center"/>
    </xf>
    <xf numFmtId="0" fontId="27" fillId="0" borderId="28" xfId="8" applyFill="1" applyBorder="1" applyAlignment="1" applyProtection="1">
      <alignment horizontal="left" vertical="center" wrapText="1" indent="1"/>
      <protection locked="0"/>
    </xf>
    <xf numFmtId="165" fontId="34" fillId="0" borderId="28" xfId="1" applyNumberFormat="1" applyFont="1" applyFill="1" applyBorder="1" applyAlignment="1" applyProtection="1">
      <alignment horizontal="right" vertical="center"/>
    </xf>
    <xf numFmtId="166" fontId="34" fillId="0" borderId="0" xfId="8" applyNumberFormat="1" applyFont="1" applyFill="1" applyBorder="1" applyAlignment="1" applyProtection="1">
      <alignment horizontal="right" vertical="center"/>
    </xf>
    <xf numFmtId="166" fontId="27" fillId="0" borderId="0" xfId="8" applyNumberFormat="1" applyFill="1"/>
    <xf numFmtId="0" fontId="35" fillId="0" borderId="28" xfId="8" applyFont="1" applyFill="1" applyBorder="1" applyAlignment="1">
      <alignment horizontal="left" vertical="center" indent="5"/>
    </xf>
    <xf numFmtId="165" fontId="37" fillId="0" borderId="28" xfId="1" applyNumberFormat="1" applyFont="1" applyFill="1" applyBorder="1" applyAlignment="1" applyProtection="1">
      <alignment horizontal="right" vertical="center"/>
      <protection locked="0"/>
    </xf>
    <xf numFmtId="165" fontId="37" fillId="0" borderId="28" xfId="1" applyNumberFormat="1" applyFont="1" applyFill="1" applyBorder="1" applyAlignment="1">
      <alignment vertical="center"/>
    </xf>
    <xf numFmtId="167" fontId="37" fillId="0" borderId="0" xfId="9" applyNumberFormat="1" applyFont="1" applyFill="1" applyBorder="1" applyAlignment="1">
      <alignment vertical="center"/>
    </xf>
    <xf numFmtId="0" fontId="27" fillId="0" borderId="29" xfId="8" applyFill="1" applyBorder="1" applyAlignment="1">
      <alignment horizontal="center" vertical="center"/>
    </xf>
    <xf numFmtId="0" fontId="35" fillId="0" borderId="30" xfId="8" applyFont="1" applyFill="1" applyBorder="1" applyAlignment="1">
      <alignment horizontal="left" vertical="center" wrapText="1" indent="5"/>
    </xf>
    <xf numFmtId="165" fontId="37" fillId="0" borderId="30" xfId="1" applyNumberFormat="1" applyFont="1" applyFill="1" applyBorder="1" applyAlignment="1" applyProtection="1">
      <alignment horizontal="right" vertical="center"/>
      <protection locked="0"/>
    </xf>
    <xf numFmtId="165" fontId="37" fillId="0" borderId="30" xfId="1" applyNumberFormat="1" applyFont="1" applyFill="1" applyBorder="1" applyAlignment="1">
      <alignment vertical="center"/>
    </xf>
    <xf numFmtId="0" fontId="27" fillId="0" borderId="25" xfId="8" applyFill="1" applyBorder="1" applyAlignment="1">
      <alignment horizontal="center" vertical="center"/>
    </xf>
    <xf numFmtId="0" fontId="27" fillId="0" borderId="26" xfId="8" applyFont="1" applyFill="1" applyBorder="1" applyAlignment="1">
      <alignment horizontal="left" vertical="center" indent="1"/>
    </xf>
    <xf numFmtId="165" fontId="37" fillId="0" borderId="26" xfId="1" applyNumberFormat="1" applyFont="1" applyFill="1" applyBorder="1" applyAlignment="1" applyProtection="1">
      <alignment horizontal="right" vertical="center"/>
      <protection locked="0"/>
    </xf>
    <xf numFmtId="165" fontId="37" fillId="0" borderId="26" xfId="1" applyNumberFormat="1" applyFont="1" applyFill="1" applyBorder="1" applyAlignment="1">
      <alignment vertical="center"/>
    </xf>
    <xf numFmtId="165" fontId="37" fillId="0" borderId="31" xfId="1" applyNumberFormat="1" applyFont="1" applyFill="1" applyBorder="1" applyAlignment="1">
      <alignment vertical="center"/>
    </xf>
    <xf numFmtId="167" fontId="38" fillId="0" borderId="0" xfId="9" applyNumberFormat="1" applyFont="1" applyFill="1" applyBorder="1" applyAlignment="1">
      <alignment vertical="center"/>
    </xf>
    <xf numFmtId="0" fontId="27" fillId="0" borderId="28" xfId="8" applyFont="1" applyFill="1" applyBorder="1" applyAlignment="1">
      <alignment horizontal="left" vertical="center" indent="1"/>
    </xf>
    <xf numFmtId="165" fontId="37" fillId="0" borderId="32" xfId="1" applyNumberFormat="1" applyFont="1" applyFill="1" applyBorder="1" applyAlignment="1">
      <alignment vertical="center"/>
    </xf>
    <xf numFmtId="0" fontId="27" fillId="0" borderId="33" xfId="8" applyFill="1" applyBorder="1" applyAlignment="1">
      <alignment horizontal="center" vertical="center"/>
    </xf>
    <xf numFmtId="0" fontId="27" fillId="0" borderId="34" xfId="8" applyFont="1" applyFill="1" applyBorder="1" applyAlignment="1">
      <alignment horizontal="left" vertical="center" wrapText="1" indent="1"/>
    </xf>
    <xf numFmtId="165" fontId="37" fillId="0" borderId="34" xfId="1" applyNumberFormat="1" applyFont="1" applyFill="1" applyBorder="1" applyAlignment="1" applyProtection="1">
      <alignment horizontal="right" vertical="center"/>
      <protection locked="0"/>
    </xf>
    <xf numFmtId="165" fontId="37" fillId="0" borderId="34" xfId="1" applyNumberFormat="1" applyFont="1" applyFill="1" applyBorder="1" applyAlignment="1">
      <alignment vertical="center"/>
    </xf>
    <xf numFmtId="165" fontId="37" fillId="0" borderId="35" xfId="1" applyNumberFormat="1" applyFont="1" applyFill="1" applyBorder="1" applyAlignment="1">
      <alignment vertical="center"/>
    </xf>
    <xf numFmtId="0" fontId="27" fillId="0" borderId="36" xfId="8" applyFill="1" applyBorder="1" applyAlignment="1">
      <alignment horizontal="center" vertical="center"/>
    </xf>
    <xf numFmtId="0" fontId="27" fillId="0" borderId="37" xfId="8" applyFill="1" applyBorder="1" applyAlignment="1" applyProtection="1">
      <alignment horizontal="left" vertical="center" wrapText="1" indent="1"/>
      <protection locked="0"/>
    </xf>
    <xf numFmtId="165" fontId="34" fillId="0" borderId="37" xfId="1" applyNumberFormat="1" applyFont="1" applyFill="1" applyBorder="1" applyAlignment="1" applyProtection="1">
      <alignment horizontal="right" vertical="center"/>
    </xf>
    <xf numFmtId="167" fontId="39" fillId="0" borderId="0" xfId="9" applyNumberFormat="1" applyFont="1" applyFill="1" applyBorder="1" applyAlignment="1">
      <alignment vertical="center"/>
    </xf>
    <xf numFmtId="165" fontId="27" fillId="0" borderId="28" xfId="1" applyNumberFormat="1" applyFont="1" applyFill="1" applyBorder="1"/>
    <xf numFmtId="0" fontId="35" fillId="0" borderId="34" xfId="8" applyFont="1" applyFill="1" applyBorder="1" applyAlignment="1">
      <alignment horizontal="left" vertical="center" wrapText="1" indent="5"/>
    </xf>
    <xf numFmtId="165" fontId="27" fillId="0" borderId="34" xfId="1" applyNumberFormat="1" applyFont="1" applyFill="1" applyBorder="1"/>
    <xf numFmtId="165" fontId="40" fillId="0" borderId="0" xfId="1" applyNumberFormat="1" applyFont="1" applyFill="1"/>
    <xf numFmtId="165" fontId="27" fillId="0" borderId="0" xfId="1" applyNumberFormat="1" applyFont="1" applyFill="1"/>
    <xf numFmtId="167" fontId="27" fillId="0" borderId="0" xfId="8" applyNumberFormat="1" applyFill="1"/>
    <xf numFmtId="44" fontId="27" fillId="0" borderId="0" xfId="1" applyFont="1" applyFill="1"/>
    <xf numFmtId="164" fontId="27" fillId="0" borderId="0" xfId="8" applyNumberFormat="1" applyFill="1"/>
    <xf numFmtId="0" fontId="0" fillId="0" borderId="0" xfId="0" applyFill="1"/>
    <xf numFmtId="164" fontId="0" fillId="0" borderId="0" xfId="0" applyNumberFormat="1" applyFill="1"/>
    <xf numFmtId="164" fontId="41" fillId="0" borderId="1" xfId="10" applyNumberFormat="1" applyFont="1" applyFill="1" applyBorder="1" applyAlignment="1">
      <alignment vertical="center" wrapText="1"/>
    </xf>
    <xf numFmtId="164" fontId="42" fillId="0" borderId="1" xfId="10" applyNumberFormat="1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41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164" fontId="42" fillId="0" borderId="1" xfId="10" applyNumberFormat="1" applyFont="1" applyFill="1" applyBorder="1" applyAlignment="1">
      <alignment horizontal="center" vertical="center" wrapText="1"/>
    </xf>
    <xf numFmtId="165" fontId="27" fillId="0" borderId="0" xfId="8" applyNumberFormat="1" applyFill="1"/>
    <xf numFmtId="165" fontId="37" fillId="0" borderId="38" xfId="1" applyNumberFormat="1" applyFont="1" applyFill="1" applyBorder="1" applyAlignment="1">
      <alignment vertical="center"/>
    </xf>
    <xf numFmtId="165" fontId="37" fillId="0" borderId="39" xfId="1" applyNumberFormat="1" applyFont="1" applyFill="1" applyBorder="1" applyAlignment="1">
      <alignment vertical="center"/>
    </xf>
    <xf numFmtId="165" fontId="37" fillId="0" borderId="40" xfId="1" applyNumberFormat="1" applyFont="1" applyFill="1" applyBorder="1" applyAlignment="1">
      <alignment vertical="center"/>
    </xf>
    <xf numFmtId="0" fontId="9" fillId="0" borderId="0" xfId="7"/>
    <xf numFmtId="0" fontId="0" fillId="6" borderId="0" xfId="0" applyFill="1"/>
    <xf numFmtId="0" fontId="54" fillId="6" borderId="26" xfId="0" applyFont="1" applyFill="1" applyBorder="1" applyAlignment="1">
      <alignment horizontal="center"/>
    </xf>
    <xf numFmtId="0" fontId="54" fillId="6" borderId="28" xfId="0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center"/>
    </xf>
    <xf numFmtId="165" fontId="54" fillId="6" borderId="28" xfId="1" applyNumberFormat="1" applyFont="1" applyFill="1" applyBorder="1" applyAlignment="1">
      <alignment vertical="center" wrapText="1"/>
    </xf>
    <xf numFmtId="165" fontId="55" fillId="6" borderId="32" xfId="1" applyNumberFormat="1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/>
    </xf>
    <xf numFmtId="165" fontId="60" fillId="6" borderId="28" xfId="1" applyNumberFormat="1" applyFont="1" applyFill="1" applyBorder="1" applyAlignment="1">
      <alignment vertical="center" wrapText="1"/>
    </xf>
    <xf numFmtId="165" fontId="61" fillId="6" borderId="32" xfId="1" applyNumberFormat="1" applyFont="1" applyFill="1" applyBorder="1" applyAlignment="1">
      <alignment horizontal="center" vertical="center"/>
    </xf>
    <xf numFmtId="0" fontId="62" fillId="6" borderId="1" xfId="0" applyFont="1" applyFill="1" applyBorder="1" applyAlignment="1">
      <alignment horizontal="center"/>
    </xf>
    <xf numFmtId="165" fontId="63" fillId="6" borderId="28" xfId="1" applyNumberFormat="1" applyFont="1" applyFill="1" applyBorder="1" applyAlignment="1">
      <alignment vertical="center" wrapText="1"/>
    </xf>
    <xf numFmtId="165" fontId="53" fillId="6" borderId="28" xfId="1" applyNumberFormat="1" applyFont="1" applyFill="1" applyBorder="1" applyAlignment="1">
      <alignment vertical="center"/>
    </xf>
    <xf numFmtId="165" fontId="56" fillId="6" borderId="28" xfId="1" applyNumberFormat="1" applyFont="1" applyFill="1" applyBorder="1" applyAlignment="1">
      <alignment vertical="center"/>
    </xf>
    <xf numFmtId="165" fontId="59" fillId="6" borderId="28" xfId="1" applyNumberFormat="1" applyFont="1" applyFill="1" applyBorder="1" applyAlignment="1">
      <alignment vertical="center"/>
    </xf>
    <xf numFmtId="165" fontId="58" fillId="6" borderId="28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horizontal="center"/>
    </xf>
    <xf numFmtId="165" fontId="66" fillId="6" borderId="28" xfId="1" applyNumberFormat="1" applyFont="1" applyFill="1" applyBorder="1" applyAlignment="1">
      <alignment vertical="center"/>
    </xf>
    <xf numFmtId="165" fontId="5" fillId="6" borderId="32" xfId="1" applyNumberFormat="1" applyFont="1" applyFill="1" applyBorder="1" applyAlignment="1">
      <alignment horizontal="center" vertical="center"/>
    </xf>
    <xf numFmtId="0" fontId="67" fillId="6" borderId="0" xfId="0" applyFont="1" applyFill="1"/>
    <xf numFmtId="165" fontId="68" fillId="6" borderId="28" xfId="1" applyNumberFormat="1" applyFont="1" applyFill="1" applyBorder="1" applyAlignment="1">
      <alignment vertical="center"/>
    </xf>
    <xf numFmtId="0" fontId="56" fillId="6" borderId="0" xfId="0" applyFont="1" applyFill="1"/>
    <xf numFmtId="0" fontId="56" fillId="6" borderId="27" xfId="0" applyFont="1" applyFill="1" applyBorder="1" applyAlignment="1">
      <alignment horizontal="center"/>
    </xf>
    <xf numFmtId="165" fontId="53" fillId="6" borderId="28" xfId="1" applyNumberFormat="1" applyFont="1" applyFill="1" applyBorder="1" applyAlignment="1">
      <alignment horizontal="center" vertical="center"/>
    </xf>
    <xf numFmtId="165" fontId="53" fillId="6" borderId="32" xfId="1" applyNumberFormat="1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/>
    </xf>
    <xf numFmtId="0" fontId="58" fillId="6" borderId="0" xfId="0" applyFont="1" applyFill="1"/>
    <xf numFmtId="0" fontId="53" fillId="6" borderId="27" xfId="0" applyFont="1" applyFill="1" applyBorder="1" applyAlignment="1">
      <alignment horizontal="center"/>
    </xf>
    <xf numFmtId="0" fontId="53" fillId="6" borderId="0" xfId="0" applyFont="1" applyFill="1"/>
    <xf numFmtId="0" fontId="53" fillId="4" borderId="27" xfId="0" applyFont="1" applyFill="1" applyBorder="1" applyAlignment="1">
      <alignment horizontal="center"/>
    </xf>
    <xf numFmtId="165" fontId="53" fillId="4" borderId="28" xfId="1" applyNumberFormat="1" applyFont="1" applyFill="1" applyBorder="1" applyAlignment="1">
      <alignment horizontal="center" vertical="center"/>
    </xf>
    <xf numFmtId="165" fontId="53" fillId="4" borderId="32" xfId="1" applyNumberFormat="1" applyFont="1" applyFill="1" applyBorder="1" applyAlignment="1">
      <alignment horizontal="center" vertical="center"/>
    </xf>
    <xf numFmtId="165" fontId="53" fillId="7" borderId="32" xfId="1" applyNumberFormat="1" applyFont="1" applyFill="1" applyBorder="1" applyAlignment="1">
      <alignment horizontal="center" vertical="center"/>
    </xf>
    <xf numFmtId="165" fontId="51" fillId="6" borderId="0" xfId="0" applyNumberFormat="1" applyFont="1" applyFill="1"/>
    <xf numFmtId="0" fontId="51" fillId="6" borderId="0" xfId="0" applyFont="1" applyFill="1"/>
    <xf numFmtId="165" fontId="58" fillId="6" borderId="28" xfId="1" applyNumberFormat="1" applyFont="1" applyFill="1" applyBorder="1" applyAlignment="1">
      <alignment horizontal="center" vertical="center"/>
    </xf>
    <xf numFmtId="165" fontId="58" fillId="6" borderId="32" xfId="1" applyNumberFormat="1" applyFont="1" applyFill="1" applyBorder="1" applyAlignment="1">
      <alignment horizontal="center" vertical="center"/>
    </xf>
    <xf numFmtId="0" fontId="70" fillId="6" borderId="0" xfId="0" applyFont="1" applyFill="1"/>
    <xf numFmtId="165" fontId="70" fillId="6" borderId="0" xfId="0" applyNumberFormat="1" applyFont="1" applyFill="1"/>
    <xf numFmtId="0" fontId="69" fillId="6" borderId="0" xfId="0" applyFont="1" applyFill="1"/>
    <xf numFmtId="164" fontId="51" fillId="6" borderId="0" xfId="10" applyNumberFormat="1" applyFont="1" applyFill="1"/>
    <xf numFmtId="0" fontId="71" fillId="6" borderId="0" xfId="0" applyFont="1" applyFill="1"/>
    <xf numFmtId="165" fontId="71" fillId="6" borderId="0" xfId="0" applyNumberFormat="1" applyFont="1" applyFill="1"/>
    <xf numFmtId="165" fontId="69" fillId="6" borderId="0" xfId="0" applyNumberFormat="1" applyFont="1" applyFill="1"/>
    <xf numFmtId="0" fontId="72" fillId="6" borderId="27" xfId="0" applyFont="1" applyFill="1" applyBorder="1" applyAlignment="1">
      <alignment horizontal="center"/>
    </xf>
    <xf numFmtId="165" fontId="72" fillId="6" borderId="28" xfId="1" applyNumberFormat="1" applyFont="1" applyFill="1" applyBorder="1" applyAlignment="1">
      <alignment horizontal="center" vertical="center"/>
    </xf>
    <xf numFmtId="165" fontId="72" fillId="6" borderId="32" xfId="1" applyNumberFormat="1" applyFont="1" applyFill="1" applyBorder="1" applyAlignment="1">
      <alignment horizontal="center" vertical="center"/>
    </xf>
    <xf numFmtId="0" fontId="0" fillId="6" borderId="0" xfId="0" applyFont="1" applyFill="1"/>
    <xf numFmtId="0" fontId="58" fillId="6" borderId="33" xfId="0" applyFont="1" applyFill="1" applyBorder="1" applyAlignment="1">
      <alignment horizontal="center"/>
    </xf>
    <xf numFmtId="165" fontId="58" fillId="6" borderId="34" xfId="1" applyNumberFormat="1" applyFont="1" applyFill="1" applyBorder="1" applyAlignment="1">
      <alignment horizontal="center" vertical="center"/>
    </xf>
    <xf numFmtId="165" fontId="53" fillId="6" borderId="35" xfId="1" applyNumberFormat="1" applyFont="1" applyFill="1" applyBorder="1" applyAlignment="1">
      <alignment horizontal="center" vertical="center"/>
    </xf>
    <xf numFmtId="0" fontId="53" fillId="6" borderId="0" xfId="0" applyFont="1" applyFill="1" applyAlignment="1">
      <alignment horizontal="center"/>
    </xf>
    <xf numFmtId="0" fontId="56" fillId="6" borderId="0" xfId="0" applyFont="1" applyFill="1" applyBorder="1" applyAlignment="1">
      <alignment horizontal="center" vertical="center" wrapText="1"/>
    </xf>
    <xf numFmtId="165" fontId="53" fillId="6" borderId="0" xfId="1" applyNumberFormat="1" applyFont="1" applyFill="1" applyBorder="1" applyAlignment="1">
      <alignment horizontal="center" vertical="center"/>
    </xf>
    <xf numFmtId="0" fontId="73" fillId="6" borderId="0" xfId="0" applyFont="1" applyFill="1"/>
    <xf numFmtId="165" fontId="53" fillId="6" borderId="0" xfId="1" applyNumberFormat="1" applyFont="1" applyFill="1" applyBorder="1" applyAlignment="1">
      <alignment horizontal="left" vertical="center"/>
    </xf>
    <xf numFmtId="165" fontId="0" fillId="6" borderId="0" xfId="0" applyNumberFormat="1" applyFill="1"/>
    <xf numFmtId="0" fontId="7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3" fillId="8" borderId="0" xfId="0" applyFont="1" applyFill="1"/>
    <xf numFmtId="0" fontId="72" fillId="8" borderId="0" xfId="0" applyFont="1" applyFill="1"/>
    <xf numFmtId="0" fontId="68" fillId="8" borderId="0" xfId="0" applyFont="1" applyFill="1"/>
    <xf numFmtId="0" fontId="73" fillId="8" borderId="44" xfId="0" applyFont="1" applyFill="1" applyBorder="1"/>
    <xf numFmtId="0" fontId="0" fillId="8" borderId="0" xfId="0" applyFill="1"/>
    <xf numFmtId="0" fontId="73" fillId="0" borderId="1" xfId="0" applyFont="1" applyFill="1" applyBorder="1"/>
    <xf numFmtId="0" fontId="75" fillId="0" borderId="1" xfId="0" applyFont="1" applyFill="1" applyBorder="1"/>
    <xf numFmtId="0" fontId="68" fillId="0" borderId="1" xfId="0" applyFont="1" applyFill="1" applyBorder="1"/>
    <xf numFmtId="0" fontId="73" fillId="0" borderId="0" xfId="0" applyFont="1" applyFill="1"/>
    <xf numFmtId="0" fontId="66" fillId="0" borderId="1" xfId="0" applyFont="1" applyFill="1" applyBorder="1" applyAlignment="1">
      <alignment horizontal="center" vertical="center" wrapText="1"/>
    </xf>
    <xf numFmtId="165" fontId="66" fillId="0" borderId="2" xfId="1" applyNumberFormat="1" applyFont="1" applyFill="1" applyBorder="1" applyAlignment="1">
      <alignment horizontal="center" vertical="center" wrapText="1"/>
    </xf>
    <xf numFmtId="165" fontId="66" fillId="0" borderId="1" xfId="1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center" wrapText="1"/>
    </xf>
    <xf numFmtId="165" fontId="68" fillId="0" borderId="2" xfId="1" applyNumberFormat="1" applyFont="1" applyFill="1" applyBorder="1" applyAlignment="1">
      <alignment horizontal="center" vertical="center" wrapText="1"/>
    </xf>
    <xf numFmtId="165" fontId="73" fillId="0" borderId="0" xfId="0" applyNumberFormat="1" applyFont="1" applyFill="1"/>
    <xf numFmtId="165" fontId="72" fillId="0" borderId="0" xfId="0" applyNumberFormat="1" applyFont="1" applyFill="1"/>
    <xf numFmtId="0" fontId="72" fillId="0" borderId="0" xfId="0" applyFont="1" applyFill="1"/>
    <xf numFmtId="0" fontId="73" fillId="0" borderId="2" xfId="0" applyFont="1" applyFill="1" applyBorder="1"/>
    <xf numFmtId="0" fontId="76" fillId="0" borderId="1" xfId="0" applyFont="1" applyFill="1" applyBorder="1" applyAlignment="1">
      <alignment vertical="center" wrapText="1"/>
    </xf>
    <xf numFmtId="165" fontId="68" fillId="0" borderId="1" xfId="1" applyNumberFormat="1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 wrapText="1"/>
    </xf>
    <xf numFmtId="0" fontId="73" fillId="6" borderId="1" xfId="0" applyFont="1" applyFill="1" applyBorder="1"/>
    <xf numFmtId="0" fontId="76" fillId="6" borderId="1" xfId="0" applyFont="1" applyFill="1" applyBorder="1" applyAlignment="1">
      <alignment vertical="center" wrapText="1"/>
    </xf>
    <xf numFmtId="165" fontId="68" fillId="6" borderId="1" xfId="1" applyNumberFormat="1" applyFont="1" applyFill="1" applyBorder="1" applyAlignment="1">
      <alignment horizontal="center" vertical="center" wrapText="1"/>
    </xf>
    <xf numFmtId="0" fontId="76" fillId="6" borderId="1" xfId="0" applyFont="1" applyFill="1" applyBorder="1" applyAlignment="1">
      <alignment horizontal="left" vertical="center" wrapText="1"/>
    </xf>
    <xf numFmtId="0" fontId="73" fillId="0" borderId="0" xfId="0" applyFont="1" applyFill="1" applyBorder="1"/>
    <xf numFmtId="0" fontId="68" fillId="0" borderId="0" xfId="0" applyFont="1" applyFill="1" applyBorder="1"/>
    <xf numFmtId="0" fontId="73" fillId="0" borderId="44" xfId="0" applyFont="1" applyFill="1" applyBorder="1"/>
    <xf numFmtId="169" fontId="68" fillId="0" borderId="2" xfId="0" applyNumberFormat="1" applyFont="1" applyFill="1" applyBorder="1" applyAlignment="1">
      <alignment wrapText="1"/>
    </xf>
    <xf numFmtId="0" fontId="73" fillId="0" borderId="4" xfId="0" applyFont="1" applyFill="1" applyBorder="1"/>
    <xf numFmtId="165" fontId="68" fillId="0" borderId="46" xfId="1" applyNumberFormat="1" applyFont="1" applyFill="1" applyBorder="1" applyAlignment="1">
      <alignment horizontal="center" vertical="center" wrapText="1"/>
    </xf>
    <xf numFmtId="0" fontId="73" fillId="0" borderId="5" xfId="0" applyFont="1" applyFill="1" applyBorder="1"/>
    <xf numFmtId="0" fontId="76" fillId="0" borderId="0" xfId="0" applyFont="1" applyFill="1" applyBorder="1" applyAlignment="1">
      <alignment horizontal="left" vertical="center" wrapText="1"/>
    </xf>
    <xf numFmtId="0" fontId="76" fillId="0" borderId="4" xfId="0" applyFont="1" applyFill="1" applyBorder="1" applyAlignment="1">
      <alignment horizontal="left" vertical="center" wrapText="1"/>
    </xf>
    <xf numFmtId="169" fontId="73" fillId="0" borderId="0" xfId="0" applyNumberFormat="1" applyFont="1" applyFill="1"/>
    <xf numFmtId="165" fontId="68" fillId="0" borderId="46" xfId="1" applyNumberFormat="1" applyFont="1" applyFill="1" applyBorder="1" applyAlignment="1">
      <alignment vertical="center" wrapText="1"/>
    </xf>
    <xf numFmtId="165" fontId="76" fillId="0" borderId="1" xfId="1" applyNumberFormat="1" applyFont="1" applyFill="1" applyBorder="1" applyAlignment="1">
      <alignment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68" fillId="0" borderId="0" xfId="0" applyFont="1" applyFill="1"/>
    <xf numFmtId="0" fontId="73" fillId="0" borderId="47" xfId="0" applyFont="1" applyFill="1" applyBorder="1"/>
    <xf numFmtId="0" fontId="73" fillId="8" borderId="0" xfId="0" applyFont="1" applyFill="1" applyBorder="1"/>
    <xf numFmtId="0" fontId="72" fillId="8" borderId="0" xfId="0" applyFont="1" applyFill="1" applyBorder="1"/>
    <xf numFmtId="0" fontId="68" fillId="8" borderId="0" xfId="0" applyFont="1" applyFill="1" applyBorder="1"/>
    <xf numFmtId="0" fontId="68" fillId="8" borderId="44" xfId="0" applyFont="1" applyFill="1" applyBorder="1"/>
    <xf numFmtId="0" fontId="0" fillId="8" borderId="0" xfId="0" applyFill="1" applyBorder="1"/>
    <xf numFmtId="165" fontId="66" fillId="0" borderId="1" xfId="1" applyNumberFormat="1" applyFont="1" applyFill="1" applyBorder="1"/>
    <xf numFmtId="170" fontId="68" fillId="0" borderId="46" xfId="1" applyNumberFormat="1" applyFont="1" applyFill="1" applyBorder="1" applyAlignment="1">
      <alignment vertical="center" wrapText="1"/>
    </xf>
    <xf numFmtId="170" fontId="76" fillId="0" borderId="1" xfId="1" applyNumberFormat="1" applyFont="1" applyFill="1" applyBorder="1" applyAlignment="1">
      <alignment vertical="center" wrapText="1"/>
    </xf>
    <xf numFmtId="0" fontId="76" fillId="0" borderId="2" xfId="0" applyFont="1" applyFill="1" applyBorder="1" applyAlignment="1">
      <alignment vertical="center" wrapText="1"/>
    </xf>
    <xf numFmtId="165" fontId="68" fillId="0" borderId="1" xfId="1" applyNumberFormat="1" applyFont="1" applyFill="1" applyBorder="1" applyAlignment="1">
      <alignment vertical="center" wrapText="1"/>
    </xf>
    <xf numFmtId="171" fontId="76" fillId="0" borderId="1" xfId="1" applyNumberFormat="1" applyFont="1" applyFill="1" applyBorder="1" applyAlignment="1">
      <alignment vertical="center" wrapText="1"/>
    </xf>
    <xf numFmtId="171" fontId="68" fillId="0" borderId="46" xfId="1" applyNumberFormat="1" applyFont="1" applyFill="1" applyBorder="1" applyAlignment="1">
      <alignment vertical="center" wrapText="1"/>
    </xf>
    <xf numFmtId="0" fontId="68" fillId="0" borderId="1" xfId="0" applyFont="1" applyFill="1" applyBorder="1" applyAlignment="1">
      <alignment vertical="center" wrapText="1"/>
    </xf>
    <xf numFmtId="165" fontId="68" fillId="0" borderId="2" xfId="1" applyNumberFormat="1" applyFont="1" applyFill="1" applyBorder="1" applyAlignment="1">
      <alignment vertical="center" wrapText="1"/>
    </xf>
    <xf numFmtId="0" fontId="73" fillId="0" borderId="48" xfId="0" applyFont="1" applyFill="1" applyBorder="1"/>
    <xf numFmtId="0" fontId="76" fillId="0" borderId="0" xfId="0" applyFont="1" applyFill="1" applyBorder="1" applyAlignment="1">
      <alignment vertical="center" wrapText="1"/>
    </xf>
    <xf numFmtId="165" fontId="68" fillId="0" borderId="0" xfId="1" applyNumberFormat="1" applyFont="1" applyFill="1" applyBorder="1" applyAlignment="1">
      <alignment vertical="center" wrapText="1"/>
    </xf>
    <xf numFmtId="171" fontId="76" fillId="0" borderId="44" xfId="1" applyNumberFormat="1" applyFont="1" applyFill="1" applyBorder="1" applyAlignment="1">
      <alignment vertical="center" wrapText="1"/>
    </xf>
    <xf numFmtId="165" fontId="68" fillId="0" borderId="1" xfId="1" applyNumberFormat="1" applyFont="1" applyFill="1" applyBorder="1"/>
    <xf numFmtId="165" fontId="73" fillId="0" borderId="1" xfId="1" applyNumberFormat="1" applyFont="1" applyFill="1" applyBorder="1"/>
    <xf numFmtId="0" fontId="77" fillId="0" borderId="1" xfId="0" applyFont="1" applyFill="1" applyBorder="1" applyAlignment="1">
      <alignment horizontal="center" vertical="center" textRotation="90"/>
    </xf>
    <xf numFmtId="0" fontId="73" fillId="0" borderId="1" xfId="0" applyFont="1" applyFill="1" applyBorder="1" applyAlignment="1">
      <alignment vertical="center"/>
    </xf>
    <xf numFmtId="165" fontId="68" fillId="0" borderId="2" xfId="1" applyNumberFormat="1" applyFont="1" applyFill="1" applyBorder="1" applyAlignment="1">
      <alignment vertical="center"/>
    </xf>
    <xf numFmtId="165" fontId="73" fillId="0" borderId="1" xfId="1" applyNumberFormat="1" applyFont="1" applyFill="1" applyBorder="1" applyAlignment="1">
      <alignment horizontal="center" vertical="center" wrapText="1"/>
    </xf>
    <xf numFmtId="165" fontId="66" fillId="0" borderId="49" xfId="1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165" fontId="66" fillId="0" borderId="0" xfId="1" applyNumberFormat="1" applyFont="1" applyFill="1" applyBorder="1" applyAlignment="1">
      <alignment horizontal="center" vertical="center" wrapText="1"/>
    </xf>
    <xf numFmtId="165" fontId="66" fillId="0" borderId="3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78" fillId="0" borderId="1" xfId="0" applyFont="1" applyFill="1" applyBorder="1"/>
    <xf numFmtId="165" fontId="66" fillId="7" borderId="1" xfId="1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vertical="center" wrapText="1"/>
    </xf>
    <xf numFmtId="0" fontId="73" fillId="0" borderId="3" xfId="0" applyFont="1" applyFill="1" applyBorder="1"/>
    <xf numFmtId="165" fontId="66" fillId="7" borderId="2" xfId="0" applyNumberFormat="1" applyFont="1" applyFill="1" applyBorder="1"/>
    <xf numFmtId="172" fontId="68" fillId="0" borderId="0" xfId="0" applyNumberFormat="1" applyFont="1" applyFill="1"/>
    <xf numFmtId="172" fontId="73" fillId="0" borderId="0" xfId="0" applyNumberFormat="1" applyFont="1" applyFill="1"/>
    <xf numFmtId="0" fontId="67" fillId="0" borderId="0" xfId="0" applyFont="1" applyFill="1"/>
    <xf numFmtId="0" fontId="72" fillId="6" borderId="0" xfId="0" applyFont="1" applyFill="1" applyAlignment="1">
      <alignment horizontal="center"/>
    </xf>
    <xf numFmtId="0" fontId="80" fillId="6" borderId="0" xfId="0" applyFont="1" applyFill="1" applyAlignment="1">
      <alignment horizontal="left"/>
    </xf>
    <xf numFmtId="0" fontId="42" fillId="6" borderId="0" xfId="0" applyFont="1" applyFill="1"/>
    <xf numFmtId="0" fontId="4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0" fontId="42" fillId="6" borderId="49" xfId="0" applyFont="1" applyFill="1" applyBorder="1"/>
    <xf numFmtId="0" fontId="42" fillId="6" borderId="1" xfId="0" applyFont="1" applyFill="1" applyBorder="1" applyAlignment="1">
      <alignment horizontal="center" vertical="center"/>
    </xf>
    <xf numFmtId="169" fontId="42" fillId="0" borderId="1" xfId="0" applyNumberFormat="1" applyFont="1" applyBorder="1" applyAlignment="1">
      <alignment vertical="center" wrapText="1"/>
    </xf>
    <xf numFmtId="169" fontId="42" fillId="0" borderId="1" xfId="0" applyNumberFormat="1" applyFont="1" applyBorder="1" applyAlignment="1">
      <alignment vertical="center"/>
    </xf>
    <xf numFmtId="169" fontId="0" fillId="6" borderId="0" xfId="0" applyNumberFormat="1" applyFill="1"/>
    <xf numFmtId="0" fontId="42" fillId="6" borderId="41" xfId="0" applyFont="1" applyFill="1" applyBorder="1"/>
    <xf numFmtId="165" fontId="11" fillId="6" borderId="2" xfId="1" applyNumberFormat="1" applyFont="1" applyFill="1" applyBorder="1" applyAlignment="1">
      <alignment horizontal="center" vertical="center" wrapText="1"/>
    </xf>
    <xf numFmtId="165" fontId="42" fillId="6" borderId="9" xfId="0" applyNumberFormat="1" applyFont="1" applyFill="1" applyBorder="1"/>
    <xf numFmtId="165" fontId="0" fillId="6" borderId="0" xfId="1" applyNumberFormat="1" applyFont="1" applyFill="1"/>
    <xf numFmtId="164" fontId="0" fillId="6" borderId="0" xfId="10" applyNumberFormat="1" applyFont="1" applyFill="1"/>
    <xf numFmtId="0" fontId="42" fillId="6" borderId="50" xfId="0" applyFont="1" applyFill="1" applyBorder="1"/>
    <xf numFmtId="0" fontId="42" fillId="6" borderId="0" xfId="0" applyFont="1" applyFill="1" applyBorder="1"/>
    <xf numFmtId="0" fontId="42" fillId="6" borderId="44" xfId="0" applyFont="1" applyFill="1" applyBorder="1"/>
    <xf numFmtId="0" fontId="73" fillId="6" borderId="50" xfId="0" applyFont="1" applyFill="1" applyBorder="1"/>
    <xf numFmtId="0" fontId="72" fillId="6" borderId="0" xfId="0" applyFont="1" applyFill="1" applyBorder="1"/>
    <xf numFmtId="0" fontId="73" fillId="6" borderId="0" xfId="0" applyFont="1" applyFill="1" applyBorder="1"/>
    <xf numFmtId="0" fontId="73" fillId="6" borderId="44" xfId="0" applyFont="1" applyFill="1" applyBorder="1"/>
    <xf numFmtId="0" fontId="42" fillId="6" borderId="9" xfId="0" applyFont="1" applyFill="1" applyBorder="1"/>
    <xf numFmtId="0" fontId="42" fillId="6" borderId="1" xfId="0" applyFont="1" applyFill="1" applyBorder="1" applyAlignment="1">
      <alignment horizontal="center" vertical="center" wrapText="1"/>
    </xf>
    <xf numFmtId="0" fontId="0" fillId="6" borderId="50" xfId="0" applyFill="1" applyBorder="1"/>
    <xf numFmtId="0" fontId="0" fillId="6" borderId="0" xfId="0" applyFill="1" applyBorder="1"/>
    <xf numFmtId="165" fontId="0" fillId="6" borderId="41" xfId="0" applyNumberFormat="1" applyFill="1" applyBorder="1"/>
    <xf numFmtId="0" fontId="0" fillId="6" borderId="44" xfId="0" applyFill="1" applyBorder="1"/>
    <xf numFmtId="165" fontId="82" fillId="7" borderId="1" xfId="0" applyNumberFormat="1" applyFont="1" applyFill="1" applyBorder="1"/>
    <xf numFmtId="0" fontId="42" fillId="6" borderId="1" xfId="0" applyFont="1" applyFill="1" applyBorder="1"/>
    <xf numFmtId="6" fontId="42" fillId="6" borderId="1" xfId="0" applyNumberFormat="1" applyFont="1" applyFill="1" applyBorder="1"/>
    <xf numFmtId="0" fontId="0" fillId="6" borderId="1" xfId="0" applyFill="1" applyBorder="1"/>
    <xf numFmtId="165" fontId="82" fillId="6" borderId="0" xfId="0" applyNumberFormat="1" applyFont="1" applyFill="1"/>
    <xf numFmtId="0" fontId="11" fillId="0" borderId="0" xfId="11" applyFont="1" applyFill="1" applyBorder="1" applyAlignment="1">
      <alignment horizontal="center" vertical="center" wrapText="1"/>
    </xf>
    <xf numFmtId="0" fontId="9" fillId="0" borderId="0" xfId="7" applyFill="1"/>
    <xf numFmtId="0" fontId="4" fillId="0" borderId="0" xfId="11" applyFont="1" applyFill="1" applyBorder="1" applyAlignment="1">
      <alignment horizontal="center" vertical="center" wrapText="1"/>
    </xf>
    <xf numFmtId="0" fontId="84" fillId="0" borderId="0" xfId="11" applyFont="1" applyFill="1" applyBorder="1" applyAlignment="1">
      <alignment vertical="center"/>
    </xf>
    <xf numFmtId="173" fontId="87" fillId="0" borderId="0" xfId="12" applyNumberFormat="1" applyFont="1" applyFill="1" applyBorder="1" applyAlignment="1" applyProtection="1">
      <alignment vertical="center"/>
    </xf>
    <xf numFmtId="0" fontId="4" fillId="0" borderId="0" xfId="13" applyFont="1" applyFill="1"/>
    <xf numFmtId="49" fontId="11" fillId="0" borderId="1" xfId="12" applyNumberFormat="1" applyFont="1" applyFill="1" applyBorder="1" applyAlignment="1" applyProtection="1">
      <alignment horizontal="center" vertical="center" wrapText="1"/>
    </xf>
    <xf numFmtId="49" fontId="11" fillId="0" borderId="51" xfId="12" applyNumberFormat="1" applyFont="1" applyFill="1" applyBorder="1" applyAlignment="1" applyProtection="1">
      <alignment horizontal="center" vertical="center" wrapText="1"/>
    </xf>
    <xf numFmtId="49" fontId="4" fillId="0" borderId="3" xfId="12" applyNumberFormat="1" applyFont="1" applyFill="1" applyBorder="1" applyAlignment="1" applyProtection="1">
      <alignment horizontal="center" vertical="center" wrapText="1"/>
    </xf>
    <xf numFmtId="49" fontId="4" fillId="0" borderId="1" xfId="12" applyNumberFormat="1" applyFont="1" applyFill="1" applyBorder="1" applyAlignment="1" applyProtection="1">
      <alignment horizontal="center" vertical="center" wrapText="1"/>
    </xf>
    <xf numFmtId="0" fontId="46" fillId="0" borderId="1" xfId="11" applyFont="1" applyFill="1" applyBorder="1" applyAlignment="1">
      <alignment horizontal="center" vertical="center" wrapText="1"/>
    </xf>
    <xf numFmtId="0" fontId="88" fillId="0" borderId="1" xfId="13" applyFont="1" applyFill="1" applyBorder="1" applyAlignment="1">
      <alignment vertical="center" wrapText="1"/>
    </xf>
    <xf numFmtId="0" fontId="3" fillId="0" borderId="1" xfId="11" applyFont="1" applyFill="1" applyBorder="1" applyAlignment="1">
      <alignment horizontal="center" vertical="center" wrapText="1"/>
    </xf>
    <xf numFmtId="3" fontId="3" fillId="0" borderId="1" xfId="11" applyNumberFormat="1" applyFont="1" applyFill="1" applyBorder="1" applyAlignment="1">
      <alignment horizontal="center" vertical="center" wrapText="1"/>
    </xf>
    <xf numFmtId="3" fontId="3" fillId="0" borderId="51" xfId="11" applyNumberFormat="1" applyFont="1" applyFill="1" applyBorder="1" applyAlignment="1">
      <alignment horizontal="center" vertical="center" wrapText="1"/>
    </xf>
    <xf numFmtId="173" fontId="3" fillId="0" borderId="3" xfId="12" applyNumberFormat="1" applyFont="1" applyFill="1" applyBorder="1" applyAlignment="1" applyProtection="1">
      <alignment horizontal="center" vertical="center" wrapText="1"/>
    </xf>
    <xf numFmtId="173" fontId="3" fillId="0" borderId="1" xfId="12" applyNumberFormat="1" applyFont="1" applyFill="1" applyBorder="1" applyAlignment="1" applyProtection="1">
      <alignment horizontal="center" vertical="center" wrapText="1"/>
    </xf>
    <xf numFmtId="0" fontId="3" fillId="0" borderId="0" xfId="13" applyFont="1" applyFill="1"/>
    <xf numFmtId="0" fontId="88" fillId="0" borderId="1" xfId="13" applyFont="1" applyFill="1" applyBorder="1" applyAlignment="1">
      <alignment vertical="center"/>
    </xf>
    <xf numFmtId="0" fontId="3" fillId="0" borderId="0" xfId="13" applyFont="1" applyFill="1" applyBorder="1"/>
    <xf numFmtId="0" fontId="3" fillId="0" borderId="0" xfId="13" applyFont="1" applyFill="1" applyBorder="1" applyAlignment="1">
      <alignment wrapText="1"/>
    </xf>
    <xf numFmtId="0" fontId="3" fillId="0" borderId="1" xfId="13" applyFont="1" applyFill="1" applyBorder="1" applyAlignment="1">
      <alignment wrapText="1"/>
    </xf>
    <xf numFmtId="0" fontId="87" fillId="0" borderId="1" xfId="11" applyFont="1" applyFill="1" applyBorder="1" applyAlignment="1">
      <alignment horizontal="center" vertical="center"/>
    </xf>
    <xf numFmtId="3" fontId="4" fillId="0" borderId="1" xfId="12" applyNumberFormat="1" applyFont="1" applyFill="1" applyBorder="1" applyAlignment="1" applyProtection="1">
      <alignment horizontal="center" vertical="center"/>
    </xf>
    <xf numFmtId="3" fontId="4" fillId="0" borderId="51" xfId="12" applyNumberFormat="1" applyFont="1" applyFill="1" applyBorder="1" applyAlignment="1" applyProtection="1">
      <alignment horizontal="center" vertical="center"/>
    </xf>
    <xf numFmtId="3" fontId="4" fillId="0" borderId="3" xfId="12" applyNumberFormat="1" applyFont="1" applyFill="1" applyBorder="1" applyAlignment="1" applyProtection="1">
      <alignment horizontal="center" vertical="center"/>
    </xf>
    <xf numFmtId="0" fontId="4" fillId="0" borderId="0" xfId="13" applyFont="1" applyFill="1" applyBorder="1"/>
    <xf numFmtId="173" fontId="13" fillId="0" borderId="1" xfId="12" applyNumberFormat="1" applyFont="1" applyFill="1" applyBorder="1" applyAlignment="1" applyProtection="1">
      <alignment horizontal="center" vertical="center" wrapText="1"/>
    </xf>
    <xf numFmtId="173" fontId="3" fillId="0" borderId="51" xfId="12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/>
    </xf>
    <xf numFmtId="14" fontId="3" fillId="0" borderId="1" xfId="11" applyNumberFormat="1" applyFont="1" applyFill="1" applyBorder="1" applyAlignment="1">
      <alignment horizontal="center" vertical="center" wrapText="1"/>
    </xf>
    <xf numFmtId="14" fontId="4" fillId="0" borderId="4" xfId="11" applyNumberFormat="1" applyFont="1" applyFill="1" applyBorder="1" applyAlignment="1">
      <alignment horizontal="center" vertical="center" wrapText="1"/>
    </xf>
    <xf numFmtId="173" fontId="4" fillId="0" borderId="4" xfId="12" applyNumberFormat="1" applyFont="1" applyFill="1" applyBorder="1" applyAlignment="1" applyProtection="1">
      <alignment horizontal="center" vertical="center" wrapText="1"/>
    </xf>
    <xf numFmtId="173" fontId="4" fillId="0" borderId="53" xfId="12" applyNumberFormat="1" applyFont="1" applyFill="1" applyBorder="1" applyAlignment="1" applyProtection="1">
      <alignment horizontal="center" vertical="center" wrapText="1"/>
    </xf>
    <xf numFmtId="0" fontId="17" fillId="0" borderId="0" xfId="7" applyFont="1" applyFill="1"/>
    <xf numFmtId="14" fontId="4" fillId="0" borderId="0" xfId="11" applyNumberFormat="1" applyFont="1" applyFill="1" applyBorder="1" applyAlignment="1">
      <alignment horizontal="center" vertical="center" wrapText="1"/>
    </xf>
    <xf numFmtId="173" fontId="4" fillId="0" borderId="0" xfId="12" applyNumberFormat="1" applyFont="1" applyFill="1" applyBorder="1" applyAlignment="1" applyProtection="1">
      <alignment horizontal="center" vertical="center" wrapText="1"/>
    </xf>
    <xf numFmtId="173" fontId="9" fillId="0" borderId="0" xfId="7" applyNumberFormat="1" applyFill="1"/>
    <xf numFmtId="14" fontId="4" fillId="0" borderId="1" xfId="11" applyNumberFormat="1" applyFont="1" applyFill="1" applyBorder="1" applyAlignment="1">
      <alignment horizontal="center" vertical="center" wrapText="1"/>
    </xf>
    <xf numFmtId="173" fontId="4" fillId="0" borderId="1" xfId="12" applyNumberFormat="1" applyFont="1" applyFill="1" applyBorder="1" applyAlignment="1" applyProtection="1">
      <alignment horizontal="center" vertical="center" wrapText="1"/>
    </xf>
    <xf numFmtId="173" fontId="4" fillId="0" borderId="51" xfId="12" applyNumberFormat="1" applyFont="1" applyFill="1" applyBorder="1" applyAlignment="1" applyProtection="1">
      <alignment horizontal="center" vertical="center" wrapText="1"/>
    </xf>
    <xf numFmtId="173" fontId="17" fillId="0" borderId="0" xfId="7" applyNumberFormat="1" applyFont="1" applyFill="1"/>
    <xf numFmtId="0" fontId="3" fillId="0" borderId="0" xfId="11" applyFont="1" applyFill="1" applyBorder="1" applyAlignment="1">
      <alignment horizontal="center" vertical="center" wrapText="1"/>
    </xf>
    <xf numFmtId="0" fontId="88" fillId="0" borderId="0" xfId="13" applyFont="1" applyFill="1" applyBorder="1" applyAlignment="1">
      <alignment vertical="center" wrapText="1"/>
    </xf>
    <xf numFmtId="14" fontId="3" fillId="0" borderId="0" xfId="11" applyNumberFormat="1" applyFont="1" applyFill="1" applyBorder="1" applyAlignment="1">
      <alignment horizontal="center" vertical="center" wrapText="1"/>
    </xf>
    <xf numFmtId="173" fontId="3" fillId="0" borderId="0" xfId="12" applyNumberFormat="1" applyFont="1" applyFill="1" applyBorder="1" applyAlignment="1" applyProtection="1">
      <alignment horizontal="center" vertical="center" wrapText="1"/>
    </xf>
    <xf numFmtId="3" fontId="3" fillId="0" borderId="0" xfId="11" applyNumberFormat="1" applyFont="1" applyFill="1" applyBorder="1" applyAlignment="1">
      <alignment horizontal="center" vertical="center" wrapText="1"/>
    </xf>
    <xf numFmtId="173" fontId="13" fillId="0" borderId="0" xfId="12" applyNumberFormat="1" applyFont="1" applyFill="1" applyBorder="1" applyAlignment="1" applyProtection="1">
      <alignment horizontal="center" vertical="center" wrapText="1"/>
    </xf>
    <xf numFmtId="0" fontId="3" fillId="0" borderId="0" xfId="13" applyFont="1" applyFill="1" applyBorder="1" applyAlignment="1">
      <alignment horizontal="center"/>
    </xf>
    <xf numFmtId="0" fontId="89" fillId="9" borderId="0" xfId="7" applyFont="1" applyFill="1" applyBorder="1" applyAlignment="1">
      <alignment vertical="center" wrapText="1"/>
    </xf>
    <xf numFmtId="0" fontId="84" fillId="0" borderId="0" xfId="7" applyFont="1" applyAlignment="1">
      <alignment wrapText="1"/>
    </xf>
    <xf numFmtId="0" fontId="87" fillId="0" borderId="0" xfId="7" applyFont="1" applyAlignment="1">
      <alignment horizontal="center" vertical="center" wrapText="1"/>
    </xf>
    <xf numFmtId="0" fontId="84" fillId="0" borderId="48" xfId="7" applyFont="1" applyBorder="1" applyAlignment="1">
      <alignment wrapText="1"/>
    </xf>
    <xf numFmtId="0" fontId="11" fillId="0" borderId="4" xfId="7" applyFont="1" applyBorder="1" applyAlignment="1">
      <alignment horizontal="center" vertical="center" wrapText="1"/>
    </xf>
    <xf numFmtId="0" fontId="87" fillId="0" borderId="1" xfId="7" applyFont="1" applyBorder="1" applyAlignment="1">
      <alignment horizontal="center" vertical="center" wrapText="1"/>
    </xf>
    <xf numFmtId="0" fontId="87" fillId="0" borderId="9" xfId="7" applyFont="1" applyBorder="1" applyAlignment="1">
      <alignment horizontal="center" vertical="center" wrapText="1"/>
    </xf>
    <xf numFmtId="0" fontId="84" fillId="0" borderId="1" xfId="7" applyFont="1" applyBorder="1" applyAlignment="1">
      <alignment horizontal="center" vertical="center" wrapText="1"/>
    </xf>
    <xf numFmtId="0" fontId="91" fillId="9" borderId="1" xfId="7" applyFont="1" applyFill="1" applyBorder="1" applyAlignment="1">
      <alignment horizontal="left" vertical="center" wrapText="1"/>
    </xf>
    <xf numFmtId="0" fontId="92" fillId="9" borderId="1" xfId="7" applyFont="1" applyFill="1" applyBorder="1" applyAlignment="1">
      <alignment horizontal="left" vertical="center" wrapText="1"/>
    </xf>
    <xf numFmtId="3" fontId="3" fillId="0" borderId="1" xfId="7" applyNumberFormat="1" applyFont="1" applyBorder="1" applyAlignment="1">
      <alignment vertical="center" wrapText="1"/>
    </xf>
    <xf numFmtId="3" fontId="3" fillId="0" borderId="9" xfId="7" applyNumberFormat="1" applyFont="1" applyBorder="1" applyAlignment="1">
      <alignment vertical="center" wrapText="1"/>
    </xf>
    <xf numFmtId="0" fontId="91" fillId="9" borderId="1" xfId="7" applyFont="1" applyFill="1" applyBorder="1" applyAlignment="1">
      <alignment vertical="center" wrapText="1"/>
    </xf>
    <xf numFmtId="0" fontId="92" fillId="9" borderId="1" xfId="7" applyFont="1" applyFill="1" applyBorder="1" applyAlignment="1">
      <alignment vertical="center" wrapText="1"/>
    </xf>
    <xf numFmtId="0" fontId="3" fillId="9" borderId="1" xfId="7" applyFont="1" applyFill="1" applyBorder="1" applyAlignment="1">
      <alignment horizontal="left" vertical="center" wrapText="1"/>
    </xf>
    <xf numFmtId="0" fontId="4" fillId="9" borderId="1" xfId="7" applyFont="1" applyFill="1" applyBorder="1" applyAlignment="1">
      <alignment horizontal="left" vertical="center" wrapText="1"/>
    </xf>
    <xf numFmtId="3" fontId="4" fillId="0" borderId="1" xfId="7" applyNumberFormat="1" applyFont="1" applyBorder="1" applyAlignment="1">
      <alignment vertical="center" wrapText="1"/>
    </xf>
    <xf numFmtId="0" fontId="91" fillId="9" borderId="1" xfId="14" applyFont="1" applyFill="1" applyBorder="1" applyAlignment="1">
      <alignment horizontal="left" vertical="center" wrapText="1"/>
    </xf>
    <xf numFmtId="0" fontId="93" fillId="9" borderId="1" xfId="14" applyFont="1" applyFill="1" applyBorder="1" applyAlignment="1">
      <alignment horizontal="left" vertical="center" wrapText="1"/>
    </xf>
    <xf numFmtId="0" fontId="93" fillId="9" borderId="1" xfId="7" applyFont="1" applyFill="1" applyBorder="1" applyAlignment="1">
      <alignment horizontal="left" vertical="center" wrapText="1"/>
    </xf>
    <xf numFmtId="0" fontId="92" fillId="10" borderId="1" xfId="7" applyFont="1" applyFill="1" applyBorder="1" applyAlignment="1">
      <alignment horizontal="left" vertical="center" wrapText="1"/>
    </xf>
    <xf numFmtId="3" fontId="4" fillId="4" borderId="1" xfId="7" applyNumberFormat="1" applyFont="1" applyFill="1" applyBorder="1" applyAlignment="1">
      <alignment vertical="center" wrapText="1"/>
    </xf>
    <xf numFmtId="3" fontId="3" fillId="0" borderId="5" xfId="7" applyNumberFormat="1" applyFont="1" applyBorder="1" applyAlignment="1">
      <alignment vertical="center" wrapText="1"/>
    </xf>
    <xf numFmtId="0" fontId="92" fillId="4" borderId="1" xfId="7" applyFont="1" applyFill="1" applyBorder="1" applyAlignment="1">
      <alignment horizontal="left" vertical="center" wrapText="1"/>
    </xf>
    <xf numFmtId="3" fontId="3" fillId="0" borderId="0" xfId="7" applyNumberFormat="1" applyFont="1" applyAlignment="1">
      <alignment wrapText="1"/>
    </xf>
    <xf numFmtId="0" fontId="92" fillId="0" borderId="0" xfId="7" applyFont="1" applyFill="1" applyBorder="1" applyAlignment="1">
      <alignment horizontal="right" vertical="center"/>
    </xf>
    <xf numFmtId="3" fontId="4" fillId="0" borderId="0" xfId="7" applyNumberFormat="1" applyFont="1" applyAlignment="1">
      <alignment wrapText="1"/>
    </xf>
    <xf numFmtId="0" fontId="3" fillId="0" borderId="0" xfId="7" applyFont="1" applyAlignment="1">
      <alignment wrapText="1"/>
    </xf>
    <xf numFmtId="3" fontId="3" fillId="0" borderId="0" xfId="7" applyNumberFormat="1" applyFont="1" applyAlignment="1">
      <alignment vertical="center" wrapText="1"/>
    </xf>
    <xf numFmtId="0" fontId="92" fillId="0" borderId="0" xfId="7" applyFont="1" applyFill="1" applyBorder="1" applyAlignment="1">
      <alignment horizontal="right" vertical="center" wrapText="1"/>
    </xf>
    <xf numFmtId="3" fontId="4" fillId="0" borderId="0" xfId="7" applyNumberFormat="1" applyFont="1" applyAlignment="1">
      <alignment vertical="center" wrapText="1"/>
    </xf>
    <xf numFmtId="0" fontId="84" fillId="0" borderId="0" xfId="7" applyFont="1" applyAlignment="1">
      <alignment horizontal="center" wrapText="1"/>
    </xf>
    <xf numFmtId="0" fontId="95" fillId="0" borderId="0" xfId="15" applyFont="1" applyAlignment="1">
      <alignment vertical="center" wrapText="1"/>
    </xf>
    <xf numFmtId="0" fontId="96" fillId="0" borderId="0" xfId="15" applyFont="1" applyAlignment="1">
      <alignment vertical="center" wrapText="1"/>
    </xf>
    <xf numFmtId="0" fontId="95" fillId="0" borderId="1" xfId="15" applyFont="1" applyBorder="1" applyAlignment="1">
      <alignment horizontal="center" vertical="center" wrapText="1"/>
    </xf>
    <xf numFmtId="0" fontId="95" fillId="0" borderId="1" xfId="15" applyFont="1" applyBorder="1" applyAlignment="1">
      <alignment vertical="center" wrapText="1"/>
    </xf>
    <xf numFmtId="0" fontId="17" fillId="0" borderId="0" xfId="7" applyFont="1"/>
    <xf numFmtId="0" fontId="97" fillId="0" borderId="1" xfId="15" applyFont="1" applyFill="1" applyBorder="1" applyAlignment="1">
      <alignment vertical="center" wrapText="1"/>
    </xf>
    <xf numFmtId="3" fontId="97" fillId="0" borderId="1" xfId="15" applyNumberFormat="1" applyFont="1" applyFill="1" applyBorder="1" applyAlignment="1">
      <alignment vertical="center" wrapText="1"/>
    </xf>
    <xf numFmtId="3" fontId="95" fillId="0" borderId="1" xfId="15" applyNumberFormat="1" applyFont="1" applyFill="1" applyBorder="1" applyAlignment="1">
      <alignment vertical="center" wrapText="1"/>
    </xf>
    <xf numFmtId="0" fontId="9" fillId="4" borderId="0" xfId="7" applyFill="1"/>
    <xf numFmtId="0" fontId="95" fillId="0" borderId="1" xfId="15" applyFont="1" applyFill="1" applyBorder="1" applyAlignment="1">
      <alignment vertical="center" wrapText="1"/>
    </xf>
    <xf numFmtId="0" fontId="97" fillId="0" borderId="1" xfId="15" applyFont="1" applyBorder="1" applyAlignment="1">
      <alignment vertical="center" wrapText="1"/>
    </xf>
    <xf numFmtId="3" fontId="95" fillId="0" borderId="1" xfId="15" applyNumberFormat="1" applyFont="1" applyBorder="1" applyAlignment="1">
      <alignment vertical="center" wrapText="1"/>
    </xf>
    <xf numFmtId="3" fontId="9" fillId="0" borderId="0" xfId="7" applyNumberFormat="1"/>
    <xf numFmtId="3" fontId="97" fillId="0" borderId="1" xfId="15" applyNumberFormat="1" applyFont="1" applyBorder="1" applyAlignment="1">
      <alignment vertical="center" wrapText="1"/>
    </xf>
    <xf numFmtId="0" fontId="97" fillId="0" borderId="0" xfId="15" applyFont="1" applyAlignment="1">
      <alignment vertical="center" wrapText="1"/>
    </xf>
    <xf numFmtId="3" fontId="97" fillId="0" borderId="0" xfId="15" applyNumberFormat="1" applyFont="1" applyAlignment="1">
      <alignment vertical="center" wrapText="1"/>
    </xf>
    <xf numFmtId="3" fontId="95" fillId="0" borderId="0" xfId="15" applyNumberFormat="1" applyFont="1" applyAlignment="1">
      <alignment vertical="center" wrapText="1"/>
    </xf>
    <xf numFmtId="3" fontId="97" fillId="0" borderId="52" xfId="15" applyNumberFormat="1" applyFont="1" applyBorder="1" applyAlignment="1">
      <alignment vertical="center" wrapText="1"/>
    </xf>
    <xf numFmtId="3" fontId="97" fillId="0" borderId="0" xfId="15" applyNumberFormat="1" applyFont="1" applyBorder="1" applyAlignment="1">
      <alignment vertical="center" wrapText="1"/>
    </xf>
    <xf numFmtId="3" fontId="97" fillId="0" borderId="44" xfId="15" applyNumberFormat="1" applyFont="1" applyBorder="1" applyAlignment="1">
      <alignment vertical="center" wrapText="1"/>
    </xf>
    <xf numFmtId="3" fontId="95" fillId="0" borderId="0" xfId="15" applyNumberFormat="1" applyFont="1" applyBorder="1" applyAlignment="1">
      <alignment vertical="center" wrapText="1"/>
    </xf>
    <xf numFmtId="3" fontId="97" fillId="0" borderId="49" xfId="15" applyNumberFormat="1" applyFont="1" applyBorder="1" applyAlignment="1">
      <alignment vertical="center" wrapText="1"/>
    </xf>
    <xf numFmtId="3" fontId="97" fillId="0" borderId="54" xfId="15" applyNumberFormat="1" applyFont="1" applyBorder="1" applyAlignment="1">
      <alignment vertical="center" wrapText="1"/>
    </xf>
    <xf numFmtId="3" fontId="98" fillId="0" borderId="0" xfId="15" applyNumberFormat="1" applyFont="1" applyBorder="1" applyAlignment="1">
      <alignment vertical="center" wrapText="1"/>
    </xf>
    <xf numFmtId="3" fontId="97" fillId="0" borderId="24" xfId="15" applyNumberFormat="1" applyFont="1" applyBorder="1" applyAlignment="1">
      <alignment vertical="center" wrapText="1"/>
    </xf>
    <xf numFmtId="0" fontId="97" fillId="0" borderId="49" xfId="15" applyFont="1" applyBorder="1" applyAlignment="1">
      <alignment vertical="center" wrapText="1"/>
    </xf>
    <xf numFmtId="0" fontId="84" fillId="9" borderId="0" xfId="7" applyFont="1" applyFill="1"/>
    <xf numFmtId="0" fontId="99" fillId="9" borderId="55" xfId="16" applyFont="1" applyFill="1" applyBorder="1" applyAlignment="1"/>
    <xf numFmtId="0" fontId="99" fillId="9" borderId="0" xfId="16" applyFont="1" applyFill="1" applyBorder="1" applyAlignment="1"/>
    <xf numFmtId="0" fontId="84" fillId="9" borderId="0" xfId="16" applyFont="1" applyFill="1"/>
    <xf numFmtId="0" fontId="84" fillId="9" borderId="0" xfId="7" applyFont="1" applyFill="1" applyAlignment="1">
      <alignment horizontal="right"/>
    </xf>
    <xf numFmtId="0" fontId="100" fillId="9" borderId="56" xfId="16" applyFont="1" applyFill="1" applyBorder="1" applyAlignment="1">
      <alignment horizontal="center" vertical="center" textRotation="90"/>
    </xf>
    <xf numFmtId="0" fontId="100" fillId="9" borderId="59" xfId="16" applyFont="1" applyFill="1" applyBorder="1" applyAlignment="1">
      <alignment horizontal="center" vertical="center" wrapText="1"/>
    </xf>
    <xf numFmtId="0" fontId="100" fillId="9" borderId="60" xfId="16" applyFont="1" applyFill="1" applyBorder="1" applyAlignment="1">
      <alignment horizontal="center" vertical="center" wrapText="1"/>
    </xf>
    <xf numFmtId="0" fontId="100" fillId="9" borderId="1" xfId="16" applyFont="1" applyFill="1" applyBorder="1" applyAlignment="1">
      <alignment horizontal="center" vertical="center" wrapText="1"/>
    </xf>
    <xf numFmtId="173" fontId="99" fillId="9" borderId="65" xfId="16" applyNumberFormat="1" applyFont="1" applyFill="1" applyBorder="1" applyAlignment="1">
      <alignment horizontal="left"/>
    </xf>
    <xf numFmtId="173" fontId="99" fillId="9" borderId="66" xfId="16" applyNumberFormat="1" applyFont="1" applyFill="1" applyBorder="1" applyAlignment="1">
      <alignment horizontal="left"/>
    </xf>
    <xf numFmtId="173" fontId="99" fillId="9" borderId="67" xfId="16" applyNumberFormat="1" applyFont="1" applyFill="1" applyBorder="1" applyAlignment="1">
      <alignment horizontal="left"/>
    </xf>
    <xf numFmtId="0" fontId="100" fillId="9" borderId="68" xfId="16" applyFont="1" applyFill="1" applyBorder="1" applyAlignment="1">
      <alignment horizontal="center"/>
    </xf>
    <xf numFmtId="0" fontId="100" fillId="9" borderId="68" xfId="16" applyFont="1" applyFill="1" applyBorder="1" applyAlignment="1">
      <alignment horizontal="left"/>
    </xf>
    <xf numFmtId="173" fontId="100" fillId="9" borderId="0" xfId="16" applyNumberFormat="1" applyFont="1" applyFill="1" applyBorder="1" applyAlignment="1">
      <alignment horizontal="left"/>
    </xf>
    <xf numFmtId="0" fontId="100" fillId="9" borderId="0" xfId="16" applyFont="1" applyFill="1" applyBorder="1" applyAlignment="1"/>
    <xf numFmtId="0" fontId="99" fillId="9" borderId="69" xfId="16" applyFont="1" applyFill="1" applyBorder="1" applyAlignment="1"/>
    <xf numFmtId="0" fontId="100" fillId="9" borderId="0" xfId="16" applyFont="1" applyFill="1" applyBorder="1" applyAlignment="1">
      <alignment horizontal="left"/>
    </xf>
    <xf numFmtId="0" fontId="100" fillId="9" borderId="1" xfId="16" applyFont="1" applyFill="1" applyBorder="1" applyAlignment="1">
      <alignment horizontal="center" vertical="center" textRotation="90"/>
    </xf>
    <xf numFmtId="0" fontId="84" fillId="9" borderId="4" xfId="7" applyFont="1" applyFill="1" applyBorder="1"/>
    <xf numFmtId="0" fontId="100" fillId="9" borderId="1" xfId="16" applyFont="1" applyFill="1" applyBorder="1" applyAlignment="1">
      <alignment horizontal="center" wrapText="1"/>
    </xf>
    <xf numFmtId="173" fontId="87" fillId="9" borderId="5" xfId="17" applyNumberFormat="1" applyFont="1" applyFill="1" applyBorder="1" applyAlignment="1">
      <alignment horizontal="right"/>
    </xf>
    <xf numFmtId="173" fontId="87" fillId="9" borderId="1" xfId="17" applyNumberFormat="1" applyFont="1" applyFill="1" applyBorder="1" applyAlignment="1">
      <alignment horizontal="right"/>
    </xf>
    <xf numFmtId="173" fontId="87" fillId="0" borderId="1" xfId="17" applyNumberFormat="1" applyFont="1" applyFill="1" applyBorder="1" applyAlignment="1">
      <alignment horizontal="right"/>
    </xf>
    <xf numFmtId="0" fontId="84" fillId="9" borderId="72" xfId="18" applyFont="1" applyFill="1" applyBorder="1" applyAlignment="1">
      <alignment horizontal="center" vertical="center"/>
    </xf>
    <xf numFmtId="173" fontId="102" fillId="9" borderId="70" xfId="17" applyNumberFormat="1" applyFont="1" applyFill="1" applyBorder="1" applyAlignment="1" applyProtection="1">
      <alignment vertical="center"/>
    </xf>
    <xf numFmtId="0" fontId="84" fillId="9" borderId="71" xfId="18" applyFont="1" applyFill="1" applyBorder="1" applyAlignment="1">
      <alignment horizontal="center" vertical="center"/>
    </xf>
    <xf numFmtId="173" fontId="102" fillId="9" borderId="71" xfId="17" applyNumberFormat="1" applyFont="1" applyFill="1" applyBorder="1" applyAlignment="1" applyProtection="1">
      <alignment vertical="center"/>
    </xf>
    <xf numFmtId="173" fontId="84" fillId="9" borderId="71" xfId="17" applyNumberFormat="1" applyFont="1" applyFill="1" applyBorder="1" applyAlignment="1" applyProtection="1">
      <alignment vertical="center"/>
    </xf>
    <xf numFmtId="173" fontId="101" fillId="9" borderId="1" xfId="17" applyNumberFormat="1" applyFont="1" applyFill="1" applyBorder="1" applyAlignment="1" applyProtection="1">
      <alignment vertical="center"/>
    </xf>
    <xf numFmtId="173" fontId="87" fillId="9" borderId="1" xfId="17" applyNumberFormat="1" applyFont="1" applyFill="1" applyBorder="1" applyAlignment="1" applyProtection="1">
      <alignment vertical="center"/>
    </xf>
    <xf numFmtId="0" fontId="100" fillId="9" borderId="0" xfId="16" applyFont="1" applyFill="1" applyBorder="1" applyAlignment="1">
      <alignment horizontal="left" vertical="center" wrapText="1"/>
    </xf>
    <xf numFmtId="0" fontId="84" fillId="0" borderId="24" xfId="7" applyFont="1" applyBorder="1" applyAlignment="1">
      <alignment wrapText="1"/>
    </xf>
    <xf numFmtId="0" fontId="84" fillId="0" borderId="0" xfId="7" applyFont="1" applyBorder="1" applyAlignment="1">
      <alignment wrapText="1"/>
    </xf>
    <xf numFmtId="0" fontId="84" fillId="0" borderId="0" xfId="7" applyFont="1" applyBorder="1" applyAlignment="1">
      <alignment horizontal="right" wrapText="1"/>
    </xf>
    <xf numFmtId="3" fontId="3" fillId="0" borderId="1" xfId="7" applyNumberFormat="1" applyFont="1" applyBorder="1" applyAlignment="1">
      <alignment wrapText="1"/>
    </xf>
    <xf numFmtId="3" fontId="4" fillId="0" borderId="1" xfId="7" applyNumberFormat="1" applyFont="1" applyBorder="1" applyAlignment="1">
      <alignment wrapText="1"/>
    </xf>
    <xf numFmtId="0" fontId="94" fillId="0" borderId="0" xfId="7" applyFont="1" applyAlignment="1">
      <alignment horizontal="center" vertical="center" wrapText="1"/>
    </xf>
    <xf numFmtId="0" fontId="94" fillId="0" borderId="0" xfId="7" applyFont="1" applyAlignment="1">
      <alignment horizontal="center" wrapText="1"/>
    </xf>
    <xf numFmtId="3" fontId="3" fillId="0" borderId="0" xfId="7" applyNumberFormat="1" applyFont="1" applyFill="1" applyAlignment="1">
      <alignment wrapText="1"/>
    </xf>
    <xf numFmtId="3" fontId="4" fillId="0" borderId="0" xfId="7" applyNumberFormat="1" applyFont="1" applyFill="1" applyAlignment="1">
      <alignment wrapText="1"/>
    </xf>
    <xf numFmtId="0" fontId="3" fillId="0" borderId="0" xfId="7" applyFont="1" applyFill="1" applyAlignment="1">
      <alignment wrapText="1"/>
    </xf>
    <xf numFmtId="3" fontId="84" fillId="0" borderId="0" xfId="7" applyNumberFormat="1" applyFont="1" applyAlignment="1">
      <alignment wrapText="1"/>
    </xf>
    <xf numFmtId="3" fontId="3" fillId="0" borderId="0" xfId="7" applyNumberFormat="1" applyFont="1" applyFill="1" applyAlignment="1">
      <alignment vertical="center" wrapText="1"/>
    </xf>
    <xf numFmtId="3" fontId="4" fillId="0" borderId="0" xfId="7" applyNumberFormat="1" applyFont="1" applyFill="1" applyAlignment="1">
      <alignment vertical="center" wrapText="1"/>
    </xf>
    <xf numFmtId="3" fontId="3" fillId="0" borderId="51" xfId="13" applyNumberFormat="1" applyFont="1" applyFill="1" applyBorder="1" applyAlignment="1">
      <alignment horizontal="center" vertical="center" wrapText="1"/>
    </xf>
    <xf numFmtId="3" fontId="3" fillId="0" borderId="3" xfId="13" applyNumberFormat="1" applyFont="1" applyFill="1" applyBorder="1" applyAlignment="1">
      <alignment wrapText="1"/>
    </xf>
    <xf numFmtId="3" fontId="3" fillId="0" borderId="1" xfId="13" applyNumberFormat="1" applyFont="1" applyFill="1" applyBorder="1" applyAlignment="1">
      <alignment horizontal="center" vertical="center" wrapText="1"/>
    </xf>
    <xf numFmtId="3" fontId="3" fillId="0" borderId="1" xfId="13" applyNumberFormat="1" applyFont="1" applyFill="1" applyBorder="1" applyAlignment="1">
      <alignment wrapText="1"/>
    </xf>
    <xf numFmtId="14" fontId="3" fillId="0" borderId="1" xfId="11" applyNumberFormat="1" applyFont="1" applyFill="1" applyBorder="1" applyAlignment="1">
      <alignment horizontal="center" vertical="center"/>
    </xf>
    <xf numFmtId="0" fontId="4" fillId="0" borderId="75" xfId="11" applyFont="1" applyFill="1" applyBorder="1" applyAlignment="1">
      <alignment horizontal="center" vertical="center" wrapText="1"/>
    </xf>
    <xf numFmtId="14" fontId="4" fillId="0" borderId="75" xfId="11" applyNumberFormat="1" applyFont="1" applyFill="1" applyBorder="1" applyAlignment="1">
      <alignment horizontal="center" vertical="center" wrapText="1"/>
    </xf>
    <xf numFmtId="173" fontId="4" fillId="0" borderId="75" xfId="12" applyNumberFormat="1" applyFont="1" applyFill="1" applyBorder="1" applyAlignment="1" applyProtection="1">
      <alignment horizontal="center" vertical="center" wrapText="1"/>
    </xf>
    <xf numFmtId="14" fontId="3" fillId="0" borderId="24" xfId="11" applyNumberFormat="1" applyFont="1" applyFill="1" applyBorder="1" applyAlignment="1">
      <alignment horizontal="center" vertical="center" wrapText="1"/>
    </xf>
    <xf numFmtId="173" fontId="3" fillId="0" borderId="24" xfId="12" applyNumberFormat="1" applyFont="1" applyFill="1" applyBorder="1" applyAlignment="1" applyProtection="1">
      <alignment horizontal="center" vertical="center" wrapText="1"/>
    </xf>
    <xf numFmtId="3" fontId="3" fillId="0" borderId="24" xfId="11" applyNumberFormat="1" applyFont="1" applyFill="1" applyBorder="1" applyAlignment="1">
      <alignment horizontal="center" vertical="center" wrapText="1"/>
    </xf>
    <xf numFmtId="173" fontId="13" fillId="0" borderId="24" xfId="12" applyNumberFormat="1" applyFont="1" applyFill="1" applyBorder="1" applyAlignment="1" applyProtection="1">
      <alignment horizontal="center" vertical="center" wrapText="1"/>
    </xf>
    <xf numFmtId="0" fontId="3" fillId="0" borderId="75" xfId="11" applyFont="1" applyFill="1" applyBorder="1" applyAlignment="1">
      <alignment horizontal="center" vertical="center" wrapText="1"/>
    </xf>
    <xf numFmtId="0" fontId="88" fillId="0" borderId="75" xfId="13" applyFont="1" applyFill="1" applyBorder="1" applyAlignment="1">
      <alignment vertical="center" wrapText="1"/>
    </xf>
    <xf numFmtId="14" fontId="3" fillId="0" borderId="75" xfId="11" applyNumberFormat="1" applyFont="1" applyFill="1" applyBorder="1" applyAlignment="1">
      <alignment horizontal="center" vertical="center" wrapText="1"/>
    </xf>
    <xf numFmtId="173" fontId="3" fillId="0" borderId="75" xfId="12" applyNumberFormat="1" applyFont="1" applyFill="1" applyBorder="1" applyAlignment="1" applyProtection="1">
      <alignment horizontal="center" vertical="center" wrapText="1"/>
    </xf>
    <xf numFmtId="3" fontId="3" fillId="0" borderId="75" xfId="11" applyNumberFormat="1" applyFont="1" applyFill="1" applyBorder="1" applyAlignment="1">
      <alignment horizontal="center" vertical="center" wrapText="1"/>
    </xf>
    <xf numFmtId="173" fontId="13" fillId="0" borderId="75" xfId="12" applyNumberFormat="1" applyFont="1" applyFill="1" applyBorder="1" applyAlignment="1" applyProtection="1">
      <alignment horizontal="center" vertical="center" wrapText="1"/>
    </xf>
    <xf numFmtId="3" fontId="97" fillId="6" borderId="1" xfId="15" applyNumberFormat="1" applyFont="1" applyFill="1" applyBorder="1" applyAlignment="1">
      <alignment vertical="center" wrapText="1"/>
    </xf>
    <xf numFmtId="3" fontId="97" fillId="0" borderId="75" xfId="15" applyNumberFormat="1" applyFont="1" applyBorder="1" applyAlignment="1">
      <alignment vertical="center" wrapText="1"/>
    </xf>
    <xf numFmtId="0" fontId="97" fillId="0" borderId="73" xfId="15" applyFont="1" applyBorder="1" applyAlignment="1">
      <alignment vertical="center" wrapText="1"/>
    </xf>
    <xf numFmtId="3" fontId="97" fillId="0" borderId="73" xfId="15" applyNumberFormat="1" applyFont="1" applyBorder="1" applyAlignment="1">
      <alignment vertical="center" wrapText="1"/>
    </xf>
    <xf numFmtId="3" fontId="97" fillId="0" borderId="74" xfId="15" applyNumberFormat="1" applyFont="1" applyBorder="1" applyAlignment="1">
      <alignment vertical="center" wrapText="1"/>
    </xf>
    <xf numFmtId="0" fontId="97" fillId="0" borderId="74" xfId="15" applyFont="1" applyBorder="1" applyAlignment="1">
      <alignment vertical="center" wrapText="1"/>
    </xf>
    <xf numFmtId="0" fontId="95" fillId="0" borderId="74" xfId="15" applyFont="1" applyBorder="1" applyAlignment="1">
      <alignment vertical="center" wrapText="1"/>
    </xf>
    <xf numFmtId="0" fontId="98" fillId="0" borderId="0" xfId="15" applyFont="1" applyAlignment="1">
      <alignment vertical="center" wrapText="1"/>
    </xf>
    <xf numFmtId="3" fontId="98" fillId="4" borderId="54" xfId="15" applyNumberFormat="1" applyFont="1" applyFill="1" applyBorder="1" applyAlignment="1">
      <alignment vertical="center" wrapText="1"/>
    </xf>
    <xf numFmtId="0" fontId="100" fillId="9" borderId="76" xfId="16" applyFont="1" applyFill="1" applyBorder="1" applyAlignment="1">
      <alignment horizontal="center" vertical="center" textRotation="90"/>
    </xf>
    <xf numFmtId="0" fontId="100" fillId="9" borderId="77" xfId="16" applyFont="1" applyFill="1" applyBorder="1" applyAlignment="1">
      <alignment horizontal="center" vertical="center" wrapText="1"/>
    </xf>
    <xf numFmtId="0" fontId="100" fillId="9" borderId="78" xfId="16" applyFont="1" applyFill="1" applyBorder="1" applyAlignment="1">
      <alignment horizontal="center" vertical="center"/>
    </xf>
    <xf numFmtId="173" fontId="101" fillId="9" borderId="79" xfId="17" applyNumberFormat="1" applyFont="1" applyFill="1" applyBorder="1" applyAlignment="1" applyProtection="1">
      <alignment vertical="center"/>
    </xf>
    <xf numFmtId="173" fontId="101" fillId="9" borderId="37" xfId="17" applyNumberFormat="1" applyFont="1" applyFill="1" applyBorder="1" applyAlignment="1" applyProtection="1">
      <alignment vertical="center"/>
    </xf>
    <xf numFmtId="173" fontId="84" fillId="9" borderId="37" xfId="17" applyNumberFormat="1" applyFont="1" applyFill="1" applyBorder="1" applyAlignment="1" applyProtection="1">
      <alignment vertical="center"/>
    </xf>
    <xf numFmtId="173" fontId="101" fillId="9" borderId="80" xfId="17" applyNumberFormat="1" applyFont="1" applyFill="1" applyBorder="1" applyAlignment="1" applyProtection="1">
      <alignment vertical="center"/>
    </xf>
    <xf numFmtId="173" fontId="101" fillId="9" borderId="81" xfId="17" applyNumberFormat="1" applyFont="1" applyFill="1" applyBorder="1" applyAlignment="1" applyProtection="1">
      <alignment vertical="center"/>
    </xf>
    <xf numFmtId="0" fontId="100" fillId="9" borderId="82" xfId="16" applyFont="1" applyFill="1" applyBorder="1" applyAlignment="1">
      <alignment horizontal="center" vertical="center"/>
    </xf>
    <xf numFmtId="173" fontId="101" fillId="9" borderId="83" xfId="17" applyNumberFormat="1" applyFont="1" applyFill="1" applyBorder="1" applyAlignment="1" applyProtection="1">
      <alignment vertical="center"/>
    </xf>
    <xf numFmtId="173" fontId="101" fillId="9" borderId="28" xfId="17" applyNumberFormat="1" applyFont="1" applyFill="1" applyBorder="1" applyAlignment="1" applyProtection="1">
      <alignment vertical="center"/>
    </xf>
    <xf numFmtId="173" fontId="84" fillId="9" borderId="28" xfId="17" applyNumberFormat="1" applyFont="1" applyFill="1" applyBorder="1" applyAlignment="1" applyProtection="1">
      <alignment vertical="center"/>
    </xf>
    <xf numFmtId="173" fontId="101" fillId="9" borderId="84" xfId="17" applyNumberFormat="1" applyFont="1" applyFill="1" applyBorder="1" applyAlignment="1" applyProtection="1">
      <alignment vertical="center"/>
    </xf>
    <xf numFmtId="173" fontId="101" fillId="9" borderId="85" xfId="17" applyNumberFormat="1" applyFont="1" applyFill="1" applyBorder="1" applyAlignment="1" applyProtection="1">
      <alignment vertical="center"/>
    </xf>
    <xf numFmtId="0" fontId="100" fillId="9" borderId="86" xfId="16" applyFont="1" applyFill="1" applyBorder="1" applyAlignment="1">
      <alignment horizontal="center" vertical="center"/>
    </xf>
    <xf numFmtId="173" fontId="101" fillId="9" borderId="87" xfId="17" applyNumberFormat="1" applyFont="1" applyFill="1" applyBorder="1" applyAlignment="1" applyProtection="1">
      <alignment vertical="center"/>
    </xf>
    <xf numFmtId="173" fontId="101" fillId="9" borderId="34" xfId="17" applyNumberFormat="1" applyFont="1" applyFill="1" applyBorder="1" applyAlignment="1" applyProtection="1">
      <alignment vertical="center"/>
    </xf>
    <xf numFmtId="173" fontId="84" fillId="9" borderId="34" xfId="17" applyNumberFormat="1" applyFont="1" applyFill="1" applyBorder="1" applyAlignment="1" applyProtection="1">
      <alignment vertical="center"/>
    </xf>
    <xf numFmtId="173" fontId="101" fillId="9" borderId="88" xfId="17" applyNumberFormat="1" applyFont="1" applyFill="1" applyBorder="1" applyAlignment="1" applyProtection="1">
      <alignment vertical="center"/>
    </xf>
    <xf numFmtId="173" fontId="101" fillId="9" borderId="89" xfId="17" applyNumberFormat="1" applyFont="1" applyFill="1" applyBorder="1" applyAlignment="1" applyProtection="1">
      <alignment vertical="center"/>
    </xf>
    <xf numFmtId="0" fontId="100" fillId="9" borderId="25" xfId="16" applyFont="1" applyFill="1" applyBorder="1" applyAlignment="1">
      <alignment horizontal="center" vertical="center"/>
    </xf>
    <xf numFmtId="173" fontId="101" fillId="9" borderId="25" xfId="17" applyNumberFormat="1" applyFont="1" applyFill="1" applyBorder="1" applyAlignment="1" applyProtection="1">
      <alignment vertical="center"/>
    </xf>
    <xf numFmtId="173" fontId="101" fillId="9" borderId="26" xfId="17" applyNumberFormat="1" applyFont="1" applyFill="1" applyBorder="1" applyAlignment="1" applyProtection="1">
      <alignment vertical="center"/>
    </xf>
    <xf numFmtId="173" fontId="84" fillId="0" borderId="26" xfId="17" applyNumberFormat="1" applyFont="1" applyFill="1" applyBorder="1" applyAlignment="1">
      <alignment horizontal="right"/>
    </xf>
    <xf numFmtId="173" fontId="101" fillId="9" borderId="31" xfId="17" applyNumberFormat="1" applyFont="1" applyFill="1" applyBorder="1" applyAlignment="1" applyProtection="1">
      <alignment vertical="center"/>
    </xf>
    <xf numFmtId="0" fontId="100" fillId="9" borderId="27" xfId="16" applyFont="1" applyFill="1" applyBorder="1" applyAlignment="1">
      <alignment horizontal="center" vertical="center"/>
    </xf>
    <xf numFmtId="173" fontId="101" fillId="9" borderId="27" xfId="17" applyNumberFormat="1" applyFont="1" applyFill="1" applyBorder="1" applyAlignment="1" applyProtection="1">
      <alignment vertical="center"/>
    </xf>
    <xf numFmtId="173" fontId="84" fillId="0" borderId="28" xfId="17" applyNumberFormat="1" applyFont="1" applyFill="1" applyBorder="1" applyAlignment="1">
      <alignment horizontal="right"/>
    </xf>
    <xf numFmtId="173" fontId="101" fillId="9" borderId="32" xfId="17" applyNumberFormat="1" applyFont="1" applyFill="1" applyBorder="1" applyAlignment="1" applyProtection="1">
      <alignment vertical="center"/>
    </xf>
    <xf numFmtId="0" fontId="100" fillId="9" borderId="33" xfId="16" applyFont="1" applyFill="1" applyBorder="1" applyAlignment="1">
      <alignment horizontal="center" vertical="center"/>
    </xf>
    <xf numFmtId="173" fontId="101" fillId="9" borderId="33" xfId="17" applyNumberFormat="1" applyFont="1" applyFill="1" applyBorder="1" applyAlignment="1" applyProtection="1">
      <alignment vertical="center"/>
    </xf>
    <xf numFmtId="173" fontId="84" fillId="0" borderId="34" xfId="17" applyNumberFormat="1" applyFont="1" applyFill="1" applyBorder="1" applyAlignment="1">
      <alignment horizontal="right"/>
    </xf>
    <xf numFmtId="173" fontId="101" fillId="9" borderId="35" xfId="17" applyNumberFormat="1" applyFont="1" applyFill="1" applyBorder="1" applyAlignment="1" applyProtection="1">
      <alignment vertical="center"/>
    </xf>
    <xf numFmtId="173" fontId="102" fillId="9" borderId="4" xfId="17" applyNumberFormat="1" applyFont="1" applyFill="1" applyBorder="1" applyAlignment="1" applyProtection="1">
      <alignment vertical="center"/>
    </xf>
    <xf numFmtId="173" fontId="84" fillId="9" borderId="4" xfId="17" applyNumberFormat="1" applyFont="1" applyFill="1" applyBorder="1" applyAlignment="1" applyProtection="1">
      <alignment vertical="center"/>
    </xf>
    <xf numFmtId="0" fontId="84" fillId="9" borderId="0" xfId="18" applyFont="1" applyFill="1" applyBorder="1" applyAlignment="1">
      <alignment horizontal="center"/>
    </xf>
    <xf numFmtId="0" fontId="87" fillId="9" borderId="0" xfId="18" applyFont="1" applyFill="1" applyBorder="1"/>
    <xf numFmtId="173" fontId="84" fillId="9" borderId="0" xfId="17" applyNumberFormat="1" applyFont="1" applyFill="1" applyBorder="1" applyAlignment="1" applyProtection="1"/>
    <xf numFmtId="0" fontId="84" fillId="9" borderId="1" xfId="7" applyFont="1" applyFill="1" applyBorder="1" applyAlignment="1">
      <alignment horizontal="center" vertical="center" wrapText="1"/>
    </xf>
    <xf numFmtId="3" fontId="84" fillId="0" borderId="0" xfId="7" applyNumberFormat="1" applyFont="1" applyAlignment="1">
      <alignment horizontal="center" wrapText="1"/>
    </xf>
    <xf numFmtId="173" fontId="84" fillId="9" borderId="26" xfId="17" applyNumberFormat="1" applyFont="1" applyFill="1" applyBorder="1" applyAlignment="1" applyProtection="1">
      <alignment vertical="center"/>
    </xf>
    <xf numFmtId="0" fontId="105" fillId="0" borderId="0" xfId="0" applyFont="1" applyAlignment="1">
      <alignment horizontal="left" indent="2"/>
    </xf>
    <xf numFmtId="0" fontId="105" fillId="0" borderId="0" xfId="0" applyFont="1"/>
    <xf numFmtId="0" fontId="103" fillId="0" borderId="92" xfId="0" applyFont="1" applyBorder="1" applyAlignment="1">
      <alignment horizontal="center" vertical="center" wrapText="1"/>
    </xf>
    <xf numFmtId="0" fontId="103" fillId="0" borderId="93" xfId="0" applyFont="1" applyBorder="1" applyAlignment="1">
      <alignment horizontal="center" vertical="center" wrapText="1"/>
    </xf>
    <xf numFmtId="42" fontId="0" fillId="0" borderId="96" xfId="0" applyNumberFormat="1" applyBorder="1" applyAlignment="1">
      <alignment horizontal="center" vertical="center"/>
    </xf>
    <xf numFmtId="42" fontId="0" fillId="0" borderId="97" xfId="0" applyNumberFormat="1" applyBorder="1" applyAlignment="1">
      <alignment horizontal="center" vertical="center"/>
    </xf>
    <xf numFmtId="0" fontId="103" fillId="0" borderId="92" xfId="0" applyFont="1" applyBorder="1" applyAlignment="1">
      <alignment horizontal="right" vertical="center" wrapText="1"/>
    </xf>
    <xf numFmtId="0" fontId="0" fillId="0" borderId="99" xfId="0" applyBorder="1"/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/>
    <xf numFmtId="42" fontId="0" fillId="0" borderId="10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2" fontId="67" fillId="0" borderId="1" xfId="0" applyNumberFormat="1" applyFon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101" xfId="0" applyNumberFormat="1" applyBorder="1" applyAlignment="1">
      <alignment horizontal="center" vertical="center"/>
    </xf>
    <xf numFmtId="42" fontId="103" fillId="0" borderId="104" xfId="0" applyNumberFormat="1" applyFont="1" applyBorder="1" applyAlignment="1">
      <alignment horizontal="center" vertical="center"/>
    </xf>
    <xf numFmtId="42" fontId="103" fillId="0" borderId="105" xfId="0" applyNumberFormat="1" applyFont="1" applyBorder="1" applyAlignment="1">
      <alignment horizontal="center" vertical="center"/>
    </xf>
    <xf numFmtId="42" fontId="0" fillId="0" borderId="0" xfId="0" applyNumberFormat="1"/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42" fontId="0" fillId="0" borderId="107" xfId="0" applyNumberFormat="1" applyBorder="1" applyAlignment="1">
      <alignment horizontal="center" vertical="center"/>
    </xf>
    <xf numFmtId="0" fontId="103" fillId="0" borderId="108" xfId="0" applyFont="1" applyBorder="1" applyAlignment="1">
      <alignment horizontal="center" vertical="center" wrapText="1"/>
    </xf>
    <xf numFmtId="42" fontId="0" fillId="0" borderId="2" xfId="0" applyNumberFormat="1" applyBorder="1" applyAlignment="1">
      <alignment horizontal="center" vertical="center"/>
    </xf>
    <xf numFmtId="169" fontId="103" fillId="0" borderId="96" xfId="0" applyNumberFormat="1" applyFont="1" applyBorder="1" applyAlignment="1">
      <alignment horizontal="center" vertical="center"/>
    </xf>
    <xf numFmtId="169" fontId="0" fillId="0" borderId="0" xfId="0" applyNumberFormat="1"/>
    <xf numFmtId="0" fontId="105" fillId="0" borderId="0" xfId="0" applyFont="1" applyAlignment="1"/>
    <xf numFmtId="0" fontId="107" fillId="0" borderId="0" xfId="0" applyFont="1" applyFill="1" applyAlignment="1"/>
    <xf numFmtId="0" fontId="4" fillId="0" borderId="0" xfId="19" applyFont="1" applyBorder="1" applyAlignment="1">
      <alignment vertical="center" wrapText="1"/>
    </xf>
    <xf numFmtId="0" fontId="108" fillId="0" borderId="0" xfId="20" applyFont="1"/>
    <xf numFmtId="0" fontId="3" fillId="0" borderId="0" xfId="21" applyFont="1" applyAlignment="1"/>
    <xf numFmtId="0" fontId="4" fillId="0" borderId="0" xfId="19" applyFont="1" applyFill="1" applyBorder="1" applyAlignment="1">
      <alignment horizontal="center" wrapText="1"/>
    </xf>
    <xf numFmtId="0" fontId="3" fillId="0" borderId="0" xfId="21" applyFont="1"/>
    <xf numFmtId="0" fontId="49" fillId="0" borderId="0" xfId="21"/>
    <xf numFmtId="0" fontId="7" fillId="0" borderId="0" xfId="21" applyFont="1" applyAlignment="1"/>
    <xf numFmtId="14" fontId="103" fillId="0" borderId="1" xfId="0" applyNumberFormat="1" applyFont="1" applyBorder="1"/>
    <xf numFmtId="0" fontId="109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94" fillId="0" borderId="0" xfId="19" applyFont="1" applyBorder="1" applyAlignment="1">
      <alignment vertical="center" wrapText="1"/>
    </xf>
    <xf numFmtId="0" fontId="49" fillId="0" borderId="0" xfId="22"/>
    <xf numFmtId="0" fontId="110" fillId="0" borderId="0" xfId="22" applyFont="1" applyAlignment="1"/>
    <xf numFmtId="0" fontId="111" fillId="0" borderId="0" xfId="22" applyFont="1" applyAlignment="1"/>
    <xf numFmtId="0" fontId="3" fillId="0" borderId="0" xfId="22" applyFont="1" applyAlignment="1"/>
    <xf numFmtId="0" fontId="49" fillId="0" borderId="0" xfId="22" applyFont="1"/>
    <xf numFmtId="14" fontId="103" fillId="0" borderId="1" xfId="0" applyNumberFormat="1" applyFont="1" applyBorder="1" applyAlignment="1">
      <alignment horizontal="right"/>
    </xf>
    <xf numFmtId="14" fontId="103" fillId="0" borderId="1" xfId="0" applyNumberFormat="1" applyFont="1" applyFill="1" applyBorder="1" applyAlignment="1">
      <alignment horizontal="right"/>
    </xf>
    <xf numFmtId="174" fontId="0" fillId="0" borderId="1" xfId="0" applyNumberFormat="1" applyBorder="1"/>
    <xf numFmtId="2" fontId="0" fillId="0" borderId="1" xfId="0" applyNumberFormat="1" applyBorder="1"/>
    <xf numFmtId="0" fontId="49" fillId="0" borderId="0" xfId="23"/>
    <xf numFmtId="0" fontId="49" fillId="0" borderId="0" xfId="24"/>
    <xf numFmtId="0" fontId="3" fillId="0" borderId="0" xfId="24" applyFont="1" applyAlignment="1"/>
    <xf numFmtId="0" fontId="7" fillId="0" borderId="0" xfId="24" applyFont="1" applyAlignment="1"/>
    <xf numFmtId="0" fontId="112" fillId="11" borderId="1" xfId="0" applyFont="1" applyFill="1" applyBorder="1" applyAlignment="1">
      <alignment horizontal="center" vertical="center" wrapText="1"/>
    </xf>
    <xf numFmtId="0" fontId="113" fillId="0" borderId="0" xfId="0" applyFont="1"/>
    <xf numFmtId="0" fontId="114" fillId="11" borderId="1" xfId="0" applyFont="1" applyFill="1" applyBorder="1" applyAlignment="1">
      <alignment horizontal="center" vertical="center" wrapText="1"/>
    </xf>
    <xf numFmtId="0" fontId="113" fillId="0" borderId="1" xfId="0" applyFont="1" applyBorder="1" applyAlignment="1">
      <alignment horizontal="left" vertical="center" wrapText="1"/>
    </xf>
    <xf numFmtId="0" fontId="113" fillId="0" borderId="1" xfId="0" applyFont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 wrapText="1"/>
    </xf>
    <xf numFmtId="0" fontId="113" fillId="11" borderId="1" xfId="0" applyFont="1" applyFill="1" applyBorder="1" applyAlignment="1">
      <alignment horizontal="center" vertical="center" wrapText="1"/>
    </xf>
    <xf numFmtId="0" fontId="114" fillId="12" borderId="1" xfId="0" applyFont="1" applyFill="1" applyBorder="1" applyAlignment="1">
      <alignment horizontal="center" vertical="center" wrapText="1"/>
    </xf>
    <xf numFmtId="0" fontId="113" fillId="12" borderId="1" xfId="0" applyFont="1" applyFill="1" applyBorder="1" applyAlignment="1">
      <alignment horizontal="center" vertical="center" wrapText="1"/>
    </xf>
    <xf numFmtId="0" fontId="42" fillId="0" borderId="0" xfId="0" applyFont="1"/>
    <xf numFmtId="42" fontId="103" fillId="0" borderId="111" xfId="0" applyNumberFormat="1" applyFont="1" applyBorder="1" applyAlignment="1">
      <alignment horizontal="center" vertical="center"/>
    </xf>
    <xf numFmtId="0" fontId="103" fillId="0" borderId="111" xfId="0" applyFont="1" applyBorder="1"/>
    <xf numFmtId="42" fontId="103" fillId="0" borderId="112" xfId="0" applyNumberFormat="1" applyFont="1" applyBorder="1" applyAlignment="1">
      <alignment horizontal="center" vertical="center"/>
    </xf>
    <xf numFmtId="0" fontId="0" fillId="0" borderId="113" xfId="0" applyBorder="1"/>
    <xf numFmtId="0" fontId="0" fillId="0" borderId="96" xfId="0" applyBorder="1" applyAlignment="1">
      <alignment horizontal="center" vertical="center"/>
    </xf>
    <xf numFmtId="0" fontId="0" fillId="0" borderId="96" xfId="0" applyBorder="1"/>
    <xf numFmtId="0" fontId="9" fillId="0" borderId="0" xfId="7"/>
    <xf numFmtId="0" fontId="42" fillId="6" borderId="74" xfId="0" applyFont="1" applyFill="1" applyBorder="1"/>
    <xf numFmtId="0" fontId="0" fillId="0" borderId="0" xfId="0" applyAlignment="1">
      <alignment horizontal="center" vertical="center"/>
    </xf>
    <xf numFmtId="0" fontId="115" fillId="5" borderId="114" xfId="7" applyFont="1" applyFill="1" applyBorder="1" applyAlignment="1">
      <alignment horizontal="center" vertical="center" wrapText="1"/>
    </xf>
    <xf numFmtId="0" fontId="115" fillId="5" borderId="115" xfId="7" applyFont="1" applyFill="1" applyBorder="1" applyAlignment="1">
      <alignment horizontal="center" vertical="center" wrapText="1"/>
    </xf>
    <xf numFmtId="0" fontId="115" fillId="5" borderId="116" xfId="7" applyFont="1" applyFill="1" applyBorder="1" applyAlignment="1">
      <alignment horizontal="center" vertical="center" wrapText="1"/>
    </xf>
    <xf numFmtId="0" fontId="2" fillId="5" borderId="117" xfId="7" applyFont="1" applyFill="1" applyBorder="1" applyAlignment="1">
      <alignment horizontal="center" vertical="top" wrapText="1"/>
    </xf>
    <xf numFmtId="0" fontId="2" fillId="5" borderId="118" xfId="7" applyFont="1" applyFill="1" applyBorder="1" applyAlignment="1">
      <alignment horizontal="center" vertical="top" wrapText="1"/>
    </xf>
    <xf numFmtId="0" fontId="2" fillId="5" borderId="119" xfId="7" applyFont="1" applyFill="1" applyBorder="1" applyAlignment="1">
      <alignment horizontal="center" vertical="top" wrapText="1"/>
    </xf>
    <xf numFmtId="0" fontId="49" fillId="0" borderId="36" xfId="7" applyFont="1" applyBorder="1" applyAlignment="1">
      <alignment horizontal="center" vertical="top" wrapText="1"/>
    </xf>
    <xf numFmtId="0" fontId="49" fillId="0" borderId="37" xfId="7" applyFont="1" applyBorder="1" applyAlignment="1">
      <alignment horizontal="left" vertical="top" wrapText="1"/>
    </xf>
    <xf numFmtId="3" fontId="49" fillId="0" borderId="37" xfId="7" applyNumberFormat="1" applyFont="1" applyBorder="1" applyAlignment="1">
      <alignment horizontal="right" vertical="top" wrapText="1"/>
    </xf>
    <xf numFmtId="3" fontId="49" fillId="0" borderId="120" xfId="7" applyNumberFormat="1" applyFont="1" applyBorder="1" applyAlignment="1">
      <alignment horizontal="right" vertical="top" wrapText="1"/>
    </xf>
    <xf numFmtId="0" fontId="49" fillId="0" borderId="114" xfId="7" applyFont="1" applyBorder="1" applyAlignment="1">
      <alignment horizontal="center" vertical="top" wrapText="1"/>
    </xf>
    <xf numFmtId="0" fontId="49" fillId="0" borderId="115" xfId="7" applyFont="1" applyBorder="1" applyAlignment="1">
      <alignment horizontal="left" vertical="top" wrapText="1"/>
    </xf>
    <xf numFmtId="3" fontId="49" fillId="0" borderId="115" xfId="7" applyNumberFormat="1" applyFont="1" applyBorder="1" applyAlignment="1">
      <alignment horizontal="right" vertical="top" wrapText="1"/>
    </xf>
    <xf numFmtId="3" fontId="49" fillId="0" borderId="116" xfId="7" applyNumberFormat="1" applyFont="1" applyBorder="1" applyAlignment="1">
      <alignment horizontal="right" vertical="top" wrapText="1"/>
    </xf>
    <xf numFmtId="0" fontId="50" fillId="0" borderId="114" xfId="7" applyFont="1" applyBorder="1" applyAlignment="1">
      <alignment horizontal="center" vertical="top" wrapText="1"/>
    </xf>
    <xf numFmtId="0" fontId="50" fillId="0" borderId="115" xfId="7" applyFont="1" applyBorder="1" applyAlignment="1">
      <alignment horizontal="left" vertical="top" wrapText="1"/>
    </xf>
    <xf numFmtId="3" fontId="50" fillId="0" borderId="115" xfId="7" applyNumberFormat="1" applyFont="1" applyBorder="1" applyAlignment="1">
      <alignment horizontal="right" vertical="top" wrapText="1"/>
    </xf>
    <xf numFmtId="3" fontId="50" fillId="0" borderId="116" xfId="7" applyNumberFormat="1" applyFont="1" applyBorder="1" applyAlignment="1">
      <alignment horizontal="right" vertical="top" wrapText="1"/>
    </xf>
    <xf numFmtId="0" fontId="50" fillId="0" borderId="117" xfId="7" applyFont="1" applyBorder="1" applyAlignment="1">
      <alignment horizontal="center" vertical="top" wrapText="1"/>
    </xf>
    <xf numFmtId="0" fontId="50" fillId="0" borderId="118" xfId="7" applyFont="1" applyBorder="1" applyAlignment="1">
      <alignment horizontal="left" vertical="top" wrapText="1"/>
    </xf>
    <xf numFmtId="3" fontId="50" fillId="0" borderId="118" xfId="7" applyNumberFormat="1" applyFont="1" applyBorder="1" applyAlignment="1">
      <alignment horizontal="right" vertical="top" wrapText="1"/>
    </xf>
    <xf numFmtId="3" fontId="50" fillId="0" borderId="119" xfId="7" applyNumberFormat="1" applyFont="1" applyBorder="1" applyAlignment="1">
      <alignment horizontal="right" vertical="top" wrapText="1"/>
    </xf>
    <xf numFmtId="0" fontId="9" fillId="0" borderId="0" xfId="7" applyAlignment="1">
      <alignment vertical="center"/>
    </xf>
    <xf numFmtId="0" fontId="2" fillId="5" borderId="25" xfId="7" applyFont="1" applyFill="1" applyBorder="1" applyAlignment="1">
      <alignment horizontal="center" vertical="center" wrapText="1"/>
    </xf>
    <xf numFmtId="0" fontId="2" fillId="5" borderId="26" xfId="7" applyFont="1" applyFill="1" applyBorder="1" applyAlignment="1">
      <alignment horizontal="center" vertical="center" wrapText="1"/>
    </xf>
    <xf numFmtId="0" fontId="2" fillId="5" borderId="31" xfId="7" applyFont="1" applyFill="1" applyBorder="1" applyAlignment="1">
      <alignment horizontal="center" vertical="center" wrapText="1"/>
    </xf>
    <xf numFmtId="0" fontId="2" fillId="5" borderId="117" xfId="7" applyFont="1" applyFill="1" applyBorder="1" applyAlignment="1">
      <alignment horizontal="center" vertical="center" wrapText="1"/>
    </xf>
    <xf numFmtId="0" fontId="2" fillId="5" borderId="118" xfId="7" applyFont="1" applyFill="1" applyBorder="1" applyAlignment="1">
      <alignment horizontal="center" vertical="center" wrapText="1"/>
    </xf>
    <xf numFmtId="0" fontId="2" fillId="5" borderId="119" xfId="7" applyFont="1" applyFill="1" applyBorder="1" applyAlignment="1">
      <alignment horizontal="center" vertical="center" wrapText="1"/>
    </xf>
    <xf numFmtId="0" fontId="99" fillId="9" borderId="121" xfId="16" applyFont="1" applyFill="1" applyBorder="1" applyAlignment="1"/>
    <xf numFmtId="164" fontId="46" fillId="0" borderId="1" xfId="10" applyNumberFormat="1" applyFont="1" applyFill="1" applyBorder="1" applyAlignment="1">
      <alignment horizontal="center" vertical="center" wrapText="1"/>
    </xf>
    <xf numFmtId="164" fontId="85" fillId="0" borderId="1" xfId="10" applyNumberFormat="1" applyFont="1" applyFill="1" applyBorder="1" applyAlignment="1">
      <alignment vertical="center" wrapText="1"/>
    </xf>
    <xf numFmtId="164" fontId="46" fillId="0" borderId="1" xfId="10" applyNumberFormat="1" applyFont="1" applyFill="1" applyBorder="1" applyAlignment="1">
      <alignment vertical="center" wrapText="1"/>
    </xf>
    <xf numFmtId="164" fontId="67" fillId="0" borderId="0" xfId="0" applyNumberFormat="1" applyFont="1" applyFill="1"/>
    <xf numFmtId="0" fontId="41" fillId="0" borderId="1" xfId="0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center" vertical="center"/>
    </xf>
    <xf numFmtId="6" fontId="0" fillId="6" borderId="0" xfId="0" applyNumberFormat="1" applyFill="1"/>
    <xf numFmtId="0" fontId="0" fillId="0" borderId="0" xfId="0" applyAlignment="1">
      <alignment horizontal="center" wrapText="1"/>
    </xf>
    <xf numFmtId="0" fontId="53" fillId="6" borderId="27" xfId="0" applyFont="1" applyFill="1" applyBorder="1" applyAlignment="1">
      <alignment horizontal="center" vertical="center" wrapText="1"/>
    </xf>
    <xf numFmtId="0" fontId="53" fillId="6" borderId="28" xfId="0" applyFont="1" applyFill="1" applyBorder="1" applyAlignment="1">
      <alignment horizontal="center" vertical="center" wrapText="1"/>
    </xf>
    <xf numFmtId="0" fontId="63" fillId="6" borderId="27" xfId="0" applyFont="1" applyFill="1" applyBorder="1" applyAlignment="1">
      <alignment horizontal="center" vertical="center" wrapText="1"/>
    </xf>
    <xf numFmtId="0" fontId="63" fillId="6" borderId="28" xfId="0" applyFont="1" applyFill="1" applyBorder="1" applyAlignment="1">
      <alignment horizontal="center" vertical="center" wrapText="1"/>
    </xf>
    <xf numFmtId="0" fontId="54" fillId="6" borderId="27" xfId="0" applyFont="1" applyFill="1" applyBorder="1" applyAlignment="1">
      <alignment horizontal="center" vertical="center" wrapText="1"/>
    </xf>
    <xf numFmtId="0" fontId="54" fillId="6" borderId="28" xfId="0" applyFont="1" applyFill="1" applyBorder="1" applyAlignment="1">
      <alignment horizontal="center" vertical="center" wrapText="1"/>
    </xf>
    <xf numFmtId="0" fontId="56" fillId="6" borderId="27" xfId="0" applyFont="1" applyFill="1" applyBorder="1" applyAlignment="1">
      <alignment horizontal="center" vertical="center" wrapText="1"/>
    </xf>
    <xf numFmtId="0" fontId="56" fillId="6" borderId="28" xfId="0" applyFont="1" applyFill="1" applyBorder="1" applyAlignment="1">
      <alignment horizontal="center" vertical="center" wrapText="1"/>
    </xf>
    <xf numFmtId="0" fontId="51" fillId="6" borderId="0" xfId="0" applyFont="1" applyFill="1" applyAlignment="1">
      <alignment horizontal="center"/>
    </xf>
    <xf numFmtId="0" fontId="52" fillId="6" borderId="1" xfId="0" applyFont="1" applyFill="1" applyBorder="1" applyAlignment="1">
      <alignment horizontal="center" vertical="center" wrapText="1"/>
    </xf>
    <xf numFmtId="0" fontId="53" fillId="6" borderId="25" xfId="0" applyFont="1" applyFill="1" applyBorder="1" applyAlignment="1">
      <alignment horizontal="center" vertical="center" wrapText="1"/>
    </xf>
    <xf numFmtId="0" fontId="53" fillId="6" borderId="26" xfId="0" applyFont="1" applyFill="1" applyBorder="1" applyAlignment="1">
      <alignment horizontal="center" vertical="center" wrapText="1"/>
    </xf>
    <xf numFmtId="0" fontId="55" fillId="6" borderId="31" xfId="0" applyFont="1" applyFill="1" applyBorder="1" applyAlignment="1">
      <alignment horizontal="center" vertical="center"/>
    </xf>
    <xf numFmtId="0" fontId="55" fillId="6" borderId="32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 wrapText="1"/>
    </xf>
    <xf numFmtId="0" fontId="58" fillId="6" borderId="28" xfId="0" applyFont="1" applyFill="1" applyBorder="1" applyAlignment="1">
      <alignment horizontal="center" vertical="center" wrapText="1"/>
    </xf>
    <xf numFmtId="0" fontId="57" fillId="6" borderId="4" xfId="0" applyFont="1" applyFill="1" applyBorder="1" applyAlignment="1">
      <alignment horizontal="center"/>
    </xf>
    <xf numFmtId="0" fontId="57" fillId="6" borderId="5" xfId="0" applyFont="1" applyFill="1" applyBorder="1" applyAlignment="1">
      <alignment horizontal="center"/>
    </xf>
    <xf numFmtId="0" fontId="59" fillId="6" borderId="42" xfId="0" applyFont="1" applyFill="1" applyBorder="1" applyAlignment="1">
      <alignment horizontal="left" vertical="center" wrapText="1"/>
    </xf>
    <xf numFmtId="0" fontId="59" fillId="6" borderId="43" xfId="0" applyFont="1" applyFill="1" applyBorder="1" applyAlignment="1">
      <alignment horizontal="left" vertical="center" wrapText="1"/>
    </xf>
    <xf numFmtId="0" fontId="65" fillId="6" borderId="27" xfId="0" applyFont="1" applyFill="1" applyBorder="1" applyAlignment="1">
      <alignment horizontal="center" vertical="center" wrapText="1"/>
    </xf>
    <xf numFmtId="0" fontId="65" fillId="6" borderId="28" xfId="0" applyFont="1" applyFill="1" applyBorder="1" applyAlignment="1">
      <alignment horizontal="center" vertical="center" wrapText="1"/>
    </xf>
    <xf numFmtId="0" fontId="53" fillId="6" borderId="42" xfId="0" applyFont="1" applyFill="1" applyBorder="1" applyAlignment="1">
      <alignment horizontal="center" vertical="center" wrapText="1"/>
    </xf>
    <xf numFmtId="0" fontId="53" fillId="6" borderId="43" xfId="0" applyFont="1" applyFill="1" applyBorder="1" applyAlignment="1">
      <alignment horizontal="center" vertical="center" wrapText="1"/>
    </xf>
    <xf numFmtId="0" fontId="69" fillId="6" borderId="0" xfId="0" applyFont="1" applyFill="1" applyAlignment="1">
      <alignment horizontal="center"/>
    </xf>
    <xf numFmtId="0" fontId="56" fillId="6" borderId="25" xfId="0" applyFont="1" applyFill="1" applyBorder="1" applyAlignment="1">
      <alignment horizontal="center" vertical="center" wrapText="1"/>
    </xf>
    <xf numFmtId="0" fontId="53" fillId="6" borderId="26" xfId="0" applyFont="1" applyFill="1" applyBorder="1" applyAlignment="1">
      <alignment horizontal="center" vertical="center"/>
    </xf>
    <xf numFmtId="0" fontId="53" fillId="6" borderId="28" xfId="0" applyFont="1" applyFill="1" applyBorder="1" applyAlignment="1">
      <alignment horizontal="center" vertical="center"/>
    </xf>
    <xf numFmtId="0" fontId="53" fillId="6" borderId="31" xfId="0" applyFont="1" applyFill="1" applyBorder="1" applyAlignment="1">
      <alignment horizontal="center" vertical="center" wrapText="1"/>
    </xf>
    <xf numFmtId="0" fontId="53" fillId="6" borderId="32" xfId="0" applyFont="1" applyFill="1" applyBorder="1" applyAlignment="1">
      <alignment horizontal="center" vertical="center" wrapText="1"/>
    </xf>
    <xf numFmtId="0" fontId="59" fillId="6" borderId="28" xfId="0" applyFont="1" applyFill="1" applyBorder="1" applyAlignment="1">
      <alignment horizontal="left" vertical="center" wrapText="1"/>
    </xf>
    <xf numFmtId="0" fontId="53" fillId="4" borderId="28" xfId="0" applyFont="1" applyFill="1" applyBorder="1" applyAlignment="1">
      <alignment horizontal="center" vertical="center" wrapText="1"/>
    </xf>
    <xf numFmtId="0" fontId="56" fillId="6" borderId="39" xfId="0" applyFont="1" applyFill="1" applyBorder="1" applyAlignment="1">
      <alignment horizontal="left" vertical="center" wrapText="1"/>
    </xf>
    <xf numFmtId="0" fontId="56" fillId="6" borderId="43" xfId="0" applyFont="1" applyFill="1" applyBorder="1" applyAlignment="1">
      <alignment horizontal="left" vertical="center" wrapText="1"/>
    </xf>
    <xf numFmtId="0" fontId="73" fillId="6" borderId="28" xfId="0" applyFont="1" applyFill="1" applyBorder="1" applyAlignment="1">
      <alignment horizontal="center" vertical="center" wrapText="1"/>
    </xf>
    <xf numFmtId="0" fontId="56" fillId="6" borderId="28" xfId="0" applyFont="1" applyFill="1" applyBorder="1" applyAlignment="1">
      <alignment horizontal="left" vertical="center" wrapText="1"/>
    </xf>
    <xf numFmtId="0" fontId="59" fillId="6" borderId="34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textRotation="90" wrapText="1"/>
    </xf>
    <xf numFmtId="0" fontId="73" fillId="0" borderId="1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3" fillId="0" borderId="4" xfId="0" applyFont="1" applyFill="1" applyBorder="1" applyAlignment="1">
      <alignment horizontal="center" vertical="center" textRotation="90"/>
    </xf>
    <xf numFmtId="0" fontId="73" fillId="0" borderId="45" xfId="0" applyFont="1" applyFill="1" applyBorder="1" applyAlignment="1">
      <alignment horizontal="center" vertical="center" textRotation="90"/>
    </xf>
    <xf numFmtId="165" fontId="68" fillId="0" borderId="4" xfId="1" applyNumberFormat="1" applyFont="1" applyFill="1" applyBorder="1" applyAlignment="1">
      <alignment horizontal="center" vertical="center" wrapText="1"/>
    </xf>
    <xf numFmtId="165" fontId="68" fillId="0" borderId="45" xfId="1" applyNumberFormat="1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77" fillId="0" borderId="4" xfId="0" applyFont="1" applyFill="1" applyBorder="1" applyAlignment="1">
      <alignment horizontal="center" vertical="center" textRotation="90"/>
    </xf>
    <xf numFmtId="0" fontId="77" fillId="0" borderId="45" xfId="0" applyFont="1" applyFill="1" applyBorder="1" applyAlignment="1">
      <alignment horizontal="center" vertical="center" textRotation="90"/>
    </xf>
    <xf numFmtId="0" fontId="77" fillId="0" borderId="5" xfId="0" applyFont="1" applyFill="1" applyBorder="1" applyAlignment="1">
      <alignment horizontal="center" vertical="center" textRotation="90"/>
    </xf>
    <xf numFmtId="165" fontId="73" fillId="0" borderId="1" xfId="1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textRotation="90"/>
    </xf>
    <xf numFmtId="0" fontId="73" fillId="0" borderId="4" xfId="0" applyFont="1" applyFill="1" applyBorder="1" applyAlignment="1">
      <alignment horizontal="left" vertical="center"/>
    </xf>
    <xf numFmtId="0" fontId="73" fillId="0" borderId="45" xfId="0" applyFont="1" applyFill="1" applyBorder="1" applyAlignment="1">
      <alignment horizontal="left" vertical="center"/>
    </xf>
    <xf numFmtId="0" fontId="73" fillId="0" borderId="5" xfId="0" applyFont="1" applyFill="1" applyBorder="1" applyAlignment="1">
      <alignment horizontal="left" vertical="center"/>
    </xf>
    <xf numFmtId="169" fontId="68" fillId="0" borderId="4" xfId="0" applyNumberFormat="1" applyFont="1" applyFill="1" applyBorder="1" applyAlignment="1">
      <alignment horizontal="right" vertical="center" wrapText="1"/>
    </xf>
    <xf numFmtId="169" fontId="68" fillId="0" borderId="45" xfId="0" applyNumberFormat="1" applyFont="1" applyFill="1" applyBorder="1" applyAlignment="1">
      <alignment horizontal="right" vertical="center" wrapText="1"/>
    </xf>
    <xf numFmtId="169" fontId="68" fillId="0" borderId="5" xfId="0" applyNumberFormat="1" applyFont="1" applyFill="1" applyBorder="1" applyAlignment="1">
      <alignment horizontal="right" vertical="center" wrapText="1"/>
    </xf>
    <xf numFmtId="171" fontId="68" fillId="0" borderId="1" xfId="1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/>
    </xf>
    <xf numFmtId="0" fontId="72" fillId="0" borderId="3" xfId="0" applyFont="1" applyFill="1" applyBorder="1" applyAlignment="1">
      <alignment horizontal="center"/>
    </xf>
    <xf numFmtId="0" fontId="73" fillId="0" borderId="9" xfId="0" applyFont="1" applyFill="1" applyBorder="1" applyAlignment="1">
      <alignment horizontal="center" vertical="center" textRotation="90"/>
    </xf>
    <xf numFmtId="0" fontId="72" fillId="6" borderId="0" xfId="0" applyFont="1" applyFill="1" applyAlignment="1">
      <alignment horizontal="center"/>
    </xf>
    <xf numFmtId="0" fontId="80" fillId="6" borderId="0" xfId="0" applyFont="1" applyFill="1" applyAlignment="1">
      <alignment horizontal="left"/>
    </xf>
    <xf numFmtId="0" fontId="42" fillId="6" borderId="4" xfId="0" applyFont="1" applyFill="1" applyBorder="1" applyAlignment="1">
      <alignment horizontal="center" vertical="center" textRotation="90"/>
    </xf>
    <xf numFmtId="0" fontId="42" fillId="6" borderId="9" xfId="0" applyFont="1" applyFill="1" applyBorder="1" applyAlignment="1">
      <alignment horizontal="center" vertical="center" textRotation="90"/>
    </xf>
    <xf numFmtId="0" fontId="42" fillId="6" borderId="5" xfId="0" applyFont="1" applyFill="1" applyBorder="1" applyAlignment="1">
      <alignment horizontal="center" vertical="center" textRotation="90"/>
    </xf>
    <xf numFmtId="0" fontId="42" fillId="6" borderId="1" xfId="0" applyFont="1" applyFill="1" applyBorder="1" applyAlignment="1">
      <alignment horizontal="center" vertical="center" wrapText="1"/>
    </xf>
    <xf numFmtId="0" fontId="72" fillId="6" borderId="50" xfId="0" applyFont="1" applyFill="1" applyBorder="1" applyAlignment="1">
      <alignment horizontal="center"/>
    </xf>
    <xf numFmtId="0" fontId="72" fillId="6" borderId="0" xfId="0" applyFont="1" applyFill="1" applyBorder="1" applyAlignment="1">
      <alignment horizontal="center"/>
    </xf>
    <xf numFmtId="0" fontId="72" fillId="6" borderId="44" xfId="0" applyFont="1" applyFill="1" applyBorder="1" applyAlignment="1">
      <alignment horizontal="center"/>
    </xf>
    <xf numFmtId="0" fontId="81" fillId="7" borderId="1" xfId="0" applyFont="1" applyFill="1" applyBorder="1" applyAlignment="1">
      <alignment horizontal="left" wrapText="1"/>
    </xf>
    <xf numFmtId="0" fontId="83" fillId="7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81" fillId="7" borderId="1" xfId="0" applyFont="1" applyFill="1" applyBorder="1" applyAlignment="1">
      <alignment horizontal="center" wrapText="1"/>
    </xf>
    <xf numFmtId="0" fontId="80" fillId="6" borderId="0" xfId="0" applyFont="1" applyFill="1" applyAlignment="1">
      <alignment horizontal="left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4" fillId="0" borderId="1" xfId="4" applyFont="1" applyBorder="1" applyAlignment="1">
      <alignment horizontal="center" vertical="center" textRotation="90"/>
    </xf>
    <xf numFmtId="0" fontId="3" fillId="0" borderId="1" xfId="4" applyFont="1" applyBorder="1" applyAlignment="1">
      <alignment horizontal="center" vertical="center" textRotation="90"/>
    </xf>
    <xf numFmtId="0" fontId="4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14" fontId="4" fillId="0" borderId="1" xfId="3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4" fontId="48" fillId="0" borderId="1" xfId="10" applyNumberFormat="1" applyFont="1" applyFill="1" applyBorder="1" applyAlignment="1">
      <alignment horizontal="center" vertical="center" wrapText="1"/>
    </xf>
    <xf numFmtId="164" fontId="47" fillId="0" borderId="1" xfId="10" applyNumberFormat="1" applyFont="1" applyFill="1" applyBorder="1" applyAlignment="1">
      <alignment horizontal="center" vertical="center" wrapText="1"/>
    </xf>
    <xf numFmtId="164" fontId="84" fillId="0" borderId="1" xfId="10" applyNumberFormat="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left" vertical="center" wrapText="1"/>
    </xf>
    <xf numFmtId="0" fontId="85" fillId="0" borderId="1" xfId="11" applyFont="1" applyFill="1" applyBorder="1" applyAlignment="1">
      <alignment horizontal="center" vertical="center" textRotation="90" wrapText="1"/>
    </xf>
    <xf numFmtId="0" fontId="4" fillId="0" borderId="1" xfId="11" applyFont="1" applyFill="1" applyBorder="1" applyAlignment="1">
      <alignment horizontal="center" vertical="center" wrapText="1"/>
    </xf>
    <xf numFmtId="173" fontId="87" fillId="0" borderId="1" xfId="12" applyNumberFormat="1" applyFont="1" applyFill="1" applyBorder="1" applyAlignment="1" applyProtection="1">
      <alignment horizontal="center" vertical="center"/>
    </xf>
    <xf numFmtId="0" fontId="4" fillId="0" borderId="51" xfId="1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 wrapText="1"/>
    </xf>
    <xf numFmtId="0" fontId="85" fillId="0" borderId="1" xfId="11" applyFont="1" applyFill="1" applyBorder="1" applyAlignment="1">
      <alignment horizontal="center" vertical="center" wrapText="1"/>
    </xf>
    <xf numFmtId="173" fontId="87" fillId="0" borderId="2" xfId="12" applyNumberFormat="1" applyFont="1" applyFill="1" applyBorder="1" applyAlignment="1" applyProtection="1">
      <alignment horizontal="center" vertical="center"/>
    </xf>
    <xf numFmtId="173" fontId="87" fillId="0" borderId="46" xfId="12" applyNumberFormat="1" applyFont="1" applyFill="1" applyBorder="1" applyAlignment="1" applyProtection="1">
      <alignment horizontal="center" vertical="center"/>
    </xf>
    <xf numFmtId="173" fontId="87" fillId="0" borderId="3" xfId="12" applyNumberFormat="1" applyFont="1" applyFill="1" applyBorder="1" applyAlignment="1" applyProtection="1">
      <alignment horizontal="center" vertical="center"/>
    </xf>
    <xf numFmtId="0" fontId="85" fillId="0" borderId="1" xfId="13" applyFont="1" applyFill="1" applyBorder="1" applyAlignment="1">
      <alignment horizontal="center" vertical="center" wrapText="1"/>
    </xf>
    <xf numFmtId="0" fontId="4" fillId="0" borderId="52" xfId="11" applyFont="1" applyFill="1" applyBorder="1" applyAlignment="1">
      <alignment horizontal="center" vertical="center" wrapText="1"/>
    </xf>
    <xf numFmtId="0" fontId="4" fillId="0" borderId="73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 wrapText="1"/>
    </xf>
    <xf numFmtId="0" fontId="85" fillId="0" borderId="5" xfId="13" applyFont="1" applyFill="1" applyBorder="1" applyAlignment="1">
      <alignment horizontal="center" vertical="center" wrapText="1"/>
    </xf>
    <xf numFmtId="173" fontId="87" fillId="0" borderId="5" xfId="12" applyNumberFormat="1" applyFont="1" applyFill="1" applyBorder="1" applyAlignment="1" applyProtection="1">
      <alignment horizontal="center" vertical="center"/>
    </xf>
    <xf numFmtId="0" fontId="11" fillId="0" borderId="2" xfId="13" applyFont="1" applyFill="1" applyBorder="1" applyAlignment="1">
      <alignment horizontal="left" vertical="center" wrapText="1"/>
    </xf>
    <xf numFmtId="0" fontId="11" fillId="0" borderId="46" xfId="13" applyFont="1" applyFill="1" applyBorder="1" applyAlignment="1">
      <alignment horizontal="left" vertical="center" wrapText="1"/>
    </xf>
    <xf numFmtId="0" fontId="11" fillId="0" borderId="3" xfId="13" applyFont="1" applyFill="1" applyBorder="1" applyAlignment="1">
      <alignment horizontal="left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left" wrapText="1"/>
    </xf>
    <xf numFmtId="0" fontId="15" fillId="0" borderId="0" xfId="7" applyFont="1" applyFill="1" applyBorder="1" applyAlignment="1">
      <alignment horizontal="right"/>
    </xf>
    <xf numFmtId="0" fontId="14" fillId="0" borderId="0" xfId="7" applyFont="1" applyFill="1" applyBorder="1" applyAlignment="1">
      <alignment horizontal="center" wrapText="1"/>
    </xf>
    <xf numFmtId="0" fontId="14" fillId="0" borderId="0" xfId="7" applyFont="1" applyFill="1" applyBorder="1" applyAlignment="1">
      <alignment horizontal="center"/>
    </xf>
    <xf numFmtId="3" fontId="18" fillId="0" borderId="1" xfId="7" applyNumberFormat="1" applyFont="1" applyFill="1" applyBorder="1" applyAlignment="1">
      <alignment horizontal="center" vertical="center"/>
    </xf>
    <xf numFmtId="3" fontId="16" fillId="0" borderId="1" xfId="7" applyNumberFormat="1" applyFont="1" applyFill="1" applyBorder="1" applyAlignment="1">
      <alignment horizontal="center" vertical="center"/>
    </xf>
    <xf numFmtId="3" fontId="19" fillId="0" borderId="4" xfId="7" applyNumberFormat="1" applyFont="1" applyFill="1" applyBorder="1" applyAlignment="1">
      <alignment horizontal="center" vertical="center" wrapText="1"/>
    </xf>
    <xf numFmtId="3" fontId="19" fillId="0" borderId="9" xfId="7" applyNumberFormat="1" applyFont="1" applyFill="1" applyBorder="1" applyAlignment="1">
      <alignment horizontal="center" vertical="center" wrapText="1"/>
    </xf>
    <xf numFmtId="3" fontId="19" fillId="0" borderId="5" xfId="7" applyNumberFormat="1" applyFont="1" applyFill="1" applyBorder="1" applyAlignment="1">
      <alignment horizontal="center" vertical="center" wrapText="1"/>
    </xf>
    <xf numFmtId="0" fontId="29" fillId="0" borderId="0" xfId="8" applyFont="1" applyFill="1" applyAlignment="1" applyProtection="1">
      <alignment horizontal="center" vertical="center" wrapText="1"/>
      <protection locked="0"/>
    </xf>
    <xf numFmtId="0" fontId="27" fillId="0" borderId="24" xfId="8" applyFill="1" applyBorder="1" applyAlignment="1">
      <alignment horizontal="center"/>
    </xf>
    <xf numFmtId="0" fontId="40" fillId="0" borderId="41" xfId="8" applyFont="1" applyFill="1" applyBorder="1" applyAlignment="1">
      <alignment horizontal="right" wrapText="1"/>
    </xf>
    <xf numFmtId="0" fontId="2" fillId="5" borderId="25" xfId="7" applyFont="1" applyFill="1" applyBorder="1" applyAlignment="1">
      <alignment horizontal="center" vertical="top" wrapText="1"/>
    </xf>
    <xf numFmtId="0" fontId="9" fillId="0" borderId="26" xfId="7" applyBorder="1"/>
    <xf numFmtId="0" fontId="9" fillId="0" borderId="31" xfId="7" applyBorder="1"/>
    <xf numFmtId="0" fontId="2" fillId="5" borderId="0" xfId="7" applyFont="1" applyFill="1" applyAlignment="1">
      <alignment horizontal="center" vertical="center" wrapText="1"/>
    </xf>
    <xf numFmtId="0" fontId="9" fillId="0" borderId="0" xfId="7" applyAlignment="1">
      <alignment vertical="center"/>
    </xf>
    <xf numFmtId="0" fontId="92" fillId="0" borderId="0" xfId="7" applyFont="1" applyFill="1" applyBorder="1" applyAlignment="1">
      <alignment horizontal="right" vertical="center"/>
    </xf>
    <xf numFmtId="0" fontId="82" fillId="9" borderId="0" xfId="7" applyFont="1" applyFill="1" applyBorder="1" applyAlignment="1">
      <alignment horizontal="center" vertical="center" wrapText="1"/>
    </xf>
    <xf numFmtId="0" fontId="90" fillId="0" borderId="1" xfId="7" applyFont="1" applyBorder="1" applyAlignment="1">
      <alignment horizontal="center" vertical="center" wrapText="1"/>
    </xf>
    <xf numFmtId="0" fontId="92" fillId="0" borderId="0" xfId="7" applyFont="1" applyFill="1" applyBorder="1" applyAlignment="1">
      <alignment horizontal="right" vertical="center" wrapText="1"/>
    </xf>
    <xf numFmtId="0" fontId="11" fillId="0" borderId="52" xfId="7" applyFont="1" applyBorder="1" applyAlignment="1">
      <alignment horizontal="center" vertical="center" wrapText="1"/>
    </xf>
    <xf numFmtId="0" fontId="11" fillId="0" borderId="75" xfId="7" applyFont="1" applyBorder="1" applyAlignment="1">
      <alignment horizontal="center" vertical="center" wrapText="1"/>
    </xf>
    <xf numFmtId="0" fontId="11" fillId="0" borderId="73" xfId="7" applyFont="1" applyBorder="1" applyAlignment="1">
      <alignment horizontal="center" vertical="center" wrapText="1"/>
    </xf>
    <xf numFmtId="0" fontId="11" fillId="0" borderId="74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95" fillId="0" borderId="24" xfId="15" applyFont="1" applyBorder="1" applyAlignment="1">
      <alignment horizontal="center" vertical="center" wrapText="1"/>
    </xf>
    <xf numFmtId="0" fontId="97" fillId="0" borderId="52" xfId="15" applyFont="1" applyBorder="1" applyAlignment="1">
      <alignment horizontal="center" vertical="center" wrapText="1"/>
    </xf>
    <xf numFmtId="0" fontId="97" fillId="0" borderId="74" xfId="15" applyFont="1" applyBorder="1" applyAlignment="1">
      <alignment horizontal="center" vertical="center" wrapText="1"/>
    </xf>
    <xf numFmtId="3" fontId="97" fillId="0" borderId="52" xfId="15" applyNumberFormat="1" applyFont="1" applyBorder="1" applyAlignment="1">
      <alignment horizontal="center" vertical="center" wrapText="1"/>
    </xf>
    <xf numFmtId="3" fontId="97" fillId="0" borderId="74" xfId="15" applyNumberFormat="1" applyFont="1" applyBorder="1" applyAlignment="1">
      <alignment horizontal="center" vertical="center" wrapText="1"/>
    </xf>
    <xf numFmtId="0" fontId="100" fillId="9" borderId="72" xfId="16" applyFont="1" applyFill="1" applyBorder="1" applyAlignment="1">
      <alignment horizontal="left" vertical="center"/>
    </xf>
    <xf numFmtId="0" fontId="100" fillId="9" borderId="71" xfId="16" applyFont="1" applyFill="1" applyBorder="1" applyAlignment="1">
      <alignment horizontal="left" vertical="center" wrapText="1"/>
    </xf>
    <xf numFmtId="0" fontId="87" fillId="9" borderId="1" xfId="18" applyFont="1" applyFill="1" applyBorder="1" applyAlignment="1">
      <alignment horizontal="center" vertical="center"/>
    </xf>
    <xf numFmtId="0" fontId="100" fillId="9" borderId="28" xfId="16" applyFont="1" applyFill="1" applyBorder="1" applyAlignment="1">
      <alignment horizontal="left"/>
    </xf>
    <xf numFmtId="0" fontId="100" fillId="9" borderId="32" xfId="16" applyFont="1" applyFill="1" applyBorder="1" applyAlignment="1">
      <alignment horizontal="left"/>
    </xf>
    <xf numFmtId="0" fontId="100" fillId="9" borderId="34" xfId="16" applyFont="1" applyFill="1" applyBorder="1" applyAlignment="1">
      <alignment horizontal="left"/>
    </xf>
    <xf numFmtId="0" fontId="100" fillId="9" borderId="35" xfId="16" applyFont="1" applyFill="1" applyBorder="1" applyAlignment="1">
      <alignment horizontal="left"/>
    </xf>
    <xf numFmtId="0" fontId="99" fillId="9" borderId="2" xfId="16" applyFont="1" applyFill="1" applyBorder="1" applyAlignment="1">
      <alignment horizontal="center"/>
    </xf>
    <xf numFmtId="0" fontId="99" fillId="9" borderId="46" xfId="16" applyFont="1" applyFill="1" applyBorder="1" applyAlignment="1">
      <alignment horizontal="center"/>
    </xf>
    <xf numFmtId="0" fontId="99" fillId="9" borderId="3" xfId="16" applyFont="1" applyFill="1" applyBorder="1" applyAlignment="1">
      <alignment horizontal="center"/>
    </xf>
    <xf numFmtId="0" fontId="99" fillId="9" borderId="0" xfId="16" applyFont="1" applyFill="1" applyBorder="1" applyAlignment="1">
      <alignment horizontal="left"/>
    </xf>
    <xf numFmtId="0" fontId="100" fillId="9" borderId="57" xfId="16" applyFont="1" applyFill="1" applyBorder="1" applyAlignment="1">
      <alignment horizontal="center" vertical="center"/>
    </xf>
    <xf numFmtId="0" fontId="100" fillId="9" borderId="58" xfId="16" applyFont="1" applyFill="1" applyBorder="1" applyAlignment="1">
      <alignment horizontal="center" vertical="center"/>
    </xf>
    <xf numFmtId="0" fontId="87" fillId="9" borderId="0" xfId="7" applyFont="1" applyFill="1" applyAlignment="1">
      <alignment horizontal="center" wrapText="1"/>
    </xf>
    <xf numFmtId="0" fontId="100" fillId="9" borderId="61" xfId="16" applyFont="1" applyFill="1" applyBorder="1" applyAlignment="1">
      <alignment horizontal="left"/>
    </xf>
    <xf numFmtId="0" fontId="100" fillId="9" borderId="62" xfId="16" applyFont="1" applyFill="1" applyBorder="1" applyAlignment="1">
      <alignment horizontal="left"/>
    </xf>
    <xf numFmtId="0" fontId="100" fillId="9" borderId="14" xfId="16" applyFont="1" applyFill="1" applyBorder="1" applyAlignment="1">
      <alignment horizontal="left"/>
    </xf>
    <xf numFmtId="0" fontId="100" fillId="9" borderId="16" xfId="16" applyFont="1" applyFill="1" applyBorder="1" applyAlignment="1">
      <alignment horizontal="left"/>
    </xf>
    <xf numFmtId="0" fontId="100" fillId="9" borderId="63" xfId="16" applyFont="1" applyFill="1" applyBorder="1" applyAlignment="1">
      <alignment horizontal="left"/>
    </xf>
    <xf numFmtId="0" fontId="100" fillId="9" borderId="64" xfId="16" applyFont="1" applyFill="1" applyBorder="1" applyAlignment="1">
      <alignment horizontal="left"/>
    </xf>
    <xf numFmtId="0" fontId="99" fillId="9" borderId="59" xfId="16" applyFont="1" applyFill="1" applyBorder="1" applyAlignment="1">
      <alignment horizontal="center"/>
    </xf>
    <xf numFmtId="0" fontId="99" fillId="9" borderId="57" xfId="16" applyFont="1" applyFill="1" applyBorder="1" applyAlignment="1">
      <alignment horizontal="center"/>
    </xf>
    <xf numFmtId="0" fontId="99" fillId="9" borderId="58" xfId="16" applyFont="1" applyFill="1" applyBorder="1" applyAlignment="1">
      <alignment horizontal="center"/>
    </xf>
    <xf numFmtId="0" fontId="100" fillId="9" borderId="1" xfId="16" applyFont="1" applyFill="1" applyBorder="1" applyAlignment="1">
      <alignment horizontal="center" vertical="center"/>
    </xf>
    <xf numFmtId="0" fontId="100" fillId="9" borderId="1" xfId="16" applyFont="1" applyFill="1" applyBorder="1" applyAlignment="1">
      <alignment horizontal="center"/>
    </xf>
    <xf numFmtId="0" fontId="100" fillId="9" borderId="26" xfId="16" applyFont="1" applyFill="1" applyBorder="1" applyAlignment="1">
      <alignment horizontal="left"/>
    </xf>
    <xf numFmtId="0" fontId="100" fillId="9" borderId="31" xfId="16" applyFont="1" applyFill="1" applyBorder="1" applyAlignment="1">
      <alignment horizontal="left"/>
    </xf>
    <xf numFmtId="0" fontId="103" fillId="0" borderId="109" xfId="0" applyFont="1" applyBorder="1" applyAlignment="1">
      <alignment horizontal="center" vertical="center"/>
    </xf>
    <xf numFmtId="0" fontId="103" fillId="0" borderId="110" xfId="0" applyFont="1" applyBorder="1" applyAlignment="1">
      <alignment horizontal="center" vertical="center"/>
    </xf>
    <xf numFmtId="0" fontId="104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3" fillId="0" borderId="90" xfId="0" applyFont="1" applyBorder="1" applyAlignment="1">
      <alignment horizontal="center" vertical="center"/>
    </xf>
    <xf numFmtId="0" fontId="103" fillId="0" borderId="91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03" fillId="0" borderId="98" xfId="0" applyFont="1" applyBorder="1" applyAlignment="1">
      <alignment horizontal="center" vertical="center"/>
    </xf>
    <xf numFmtId="0" fontId="103" fillId="0" borderId="92" xfId="0" applyFont="1" applyBorder="1" applyAlignment="1">
      <alignment horizontal="center" vertical="center"/>
    </xf>
    <xf numFmtId="0" fontId="103" fillId="0" borderId="94" xfId="0" applyFont="1" applyBorder="1" applyAlignment="1">
      <alignment horizontal="center" vertical="center"/>
    </xf>
    <xf numFmtId="0" fontId="103" fillId="0" borderId="95" xfId="0" applyFont="1" applyBorder="1" applyAlignment="1">
      <alignment horizontal="center" vertical="center"/>
    </xf>
    <xf numFmtId="0" fontId="103" fillId="0" borderId="102" xfId="0" applyFont="1" applyBorder="1" applyAlignment="1">
      <alignment horizontal="center" vertical="center"/>
    </xf>
    <xf numFmtId="0" fontId="103" fillId="0" borderId="10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 wrapText="1"/>
    </xf>
    <xf numFmtId="0" fontId="107" fillId="0" borderId="0" xfId="0" applyFont="1" applyFill="1" applyAlignment="1">
      <alignment horizontal="center"/>
    </xf>
    <xf numFmtId="0" fontId="4" fillId="0" borderId="0" xfId="19" applyFont="1" applyFill="1" applyBorder="1" applyAlignment="1">
      <alignment horizontal="left" wrapText="1"/>
    </xf>
    <xf numFmtId="0" fontId="112" fillId="0" borderId="1" xfId="0" applyFont="1" applyBorder="1" applyAlignment="1">
      <alignment horizontal="center" vertical="center" wrapText="1"/>
    </xf>
    <xf numFmtId="0" fontId="11" fillId="0" borderId="0" xfId="19" applyFont="1" applyBorder="1" applyAlignment="1">
      <alignment horizontal="center" vertical="center" wrapText="1"/>
    </xf>
    <xf numFmtId="0" fontId="3" fillId="0" borderId="0" xfId="24" applyFont="1" applyAlignment="1">
      <alignment horizontal="left" wrapText="1"/>
    </xf>
    <xf numFmtId="0" fontId="94" fillId="0" borderId="0" xfId="24" applyFont="1" applyBorder="1" applyAlignment="1">
      <alignment horizontal="center"/>
    </xf>
    <xf numFmtId="0" fontId="112" fillId="11" borderId="1" xfId="0" applyFont="1" applyFill="1" applyBorder="1" applyAlignment="1">
      <alignment horizontal="center" vertical="center" wrapText="1"/>
    </xf>
  </cellXfs>
  <cellStyles count="25">
    <cellStyle name="Ezres" xfId="10" builtinId="3"/>
    <cellStyle name="Ezres 2" xfId="3"/>
    <cellStyle name="Ezres 2 2" xfId="17"/>
    <cellStyle name="Ezres 4" xfId="9"/>
    <cellStyle name="Ezres 6" xfId="12"/>
    <cellStyle name="Normál" xfId="0" builtinId="0"/>
    <cellStyle name="Normál 2" xfId="7"/>
    <cellStyle name="Normál 4" xfId="16"/>
    <cellStyle name="Normál 5" xfId="15"/>
    <cellStyle name="Normál 5 2" xfId="13"/>
    <cellStyle name="Normál 7 2" xfId="14"/>
    <cellStyle name="Normál_1.napirendi pont melléklete - 2004. évi zárszámadási rendelet mell végl" xfId="11"/>
    <cellStyle name="Normál_2005.2.a-2.etábl. terv" xfId="18"/>
    <cellStyle name="Normál_2012 Költségvetés pályázatok" xfId="19"/>
    <cellStyle name="Normál_5 utca indikátor" xfId="21"/>
    <cellStyle name="Normál_Hunyadi indikátor" xfId="22"/>
    <cellStyle name="Normál_Indikatorok_2012_130411" xfId="20"/>
    <cellStyle name="Normál_Másolat eredetijeZARSZREND11" xfId="8"/>
    <cellStyle name="Normál_Mese indikátor" xfId="24"/>
    <cellStyle name="Normál_Részesedések a mérlegalátámasztás 2.sz. melléklete" xfId="2"/>
    <cellStyle name="Normál_Támop indikátor" xfId="23"/>
    <cellStyle name="Normál_vagyon, egyszerűsített mérleg 2007. dec 31." xfId="4"/>
    <cellStyle name="Pénznem" xfId="1" builtinId="4"/>
    <cellStyle name="Pénznem 2" xfId="5"/>
    <cellStyle name="Százalék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16/2016.%20z&#225;rsz&#225;mad&#225;s/Besz&#225;mol&#243;%20v&#233;gleges/Maradv&#225;ny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&#252;leti/2014.%20z&#225;rsz&#225;mad&#225;s%20otthon/P&#233;nzmaradv&#225;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16/2016.%20z&#225;rsz&#225;mad&#225;s/Besz&#225;mol&#243;%20v&#233;gleges/Maradv&#225;ny%20mell&#233;kletek%20j&#24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K&#201;PVISEL&#336;-TEST&#220;LET%20IRATAI/EL&#336;TERJESZT&#201;SEK/2018/2018.%2002.%2026/1.%20napirendi%20pont%20mell&#233;kletej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a.sz.m.Maradvány - int"/>
      <sheetName val="13.b.sz.m.Maradványkim.-Önk"/>
      <sheetName val="13.c.sz.m.Kötött maradvány"/>
      <sheetName val="13.d.sz.m.Szabad maradvány"/>
    </sheetNames>
    <sheetDataSet>
      <sheetData sheetId="0">
        <row r="5">
          <cell r="K5">
            <v>221601436</v>
          </cell>
        </row>
        <row r="18">
          <cell r="K18">
            <v>0</v>
          </cell>
        </row>
      </sheetData>
      <sheetData sheetId="1"/>
      <sheetData sheetId="2">
        <row r="90">
          <cell r="C90">
            <v>6134100</v>
          </cell>
        </row>
      </sheetData>
      <sheetData sheetId="3">
        <row r="14">
          <cell r="F14">
            <v>179000000</v>
          </cell>
        </row>
        <row r="74">
          <cell r="D74">
            <v>3756000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ézmények"/>
      <sheetName val="Önkormányzat"/>
      <sheetName val="Kötött maradvány"/>
      <sheetName val="Szabad maradvány"/>
    </sheetNames>
    <sheetDataSet>
      <sheetData sheetId="0">
        <row r="3">
          <cell r="K3">
            <v>240744425</v>
          </cell>
        </row>
      </sheetData>
      <sheetData sheetId="1">
        <row r="13">
          <cell r="F13">
            <v>41881489</v>
          </cell>
        </row>
        <row r="17">
          <cell r="F17">
            <v>74838106</v>
          </cell>
        </row>
        <row r="20">
          <cell r="F20">
            <v>14585521</v>
          </cell>
        </row>
      </sheetData>
      <sheetData sheetId="2">
        <row r="23">
          <cell r="D23">
            <v>20966606</v>
          </cell>
        </row>
      </sheetData>
      <sheetData sheetId="3">
        <row r="12">
          <cell r="E12">
            <v>461549155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a.sz.m.Maradvány - int"/>
      <sheetName val="13.b.sz.m.Maradványkim.-Önk"/>
      <sheetName val="13.c.sz.m.Kötött maradvány"/>
      <sheetName val="13.d.sz.m.Szabad maradvány"/>
    </sheetNames>
    <sheetDataSet>
      <sheetData sheetId="0" refreshError="1"/>
      <sheetData sheetId="1">
        <row r="29">
          <cell r="F29">
            <v>898334622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7. "/>
      <sheetName val="1.sz.Önkormányzat 2017.B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Normatíva"/>
      <sheetName val="12.sz.mell. Létszámtábla"/>
      <sheetName val="1.sz.tájék.tábla Közvetett tám"/>
      <sheetName val="2.sz.tájék.tábla Mérlegszerű"/>
      <sheetName val="3.sz.tájék.tábla Gördülő"/>
      <sheetName val="4.sz.tájék.tábla Többéves"/>
      <sheetName val="5.sz.tájék.táb Adósságszolgálat"/>
      <sheetName val="6.sz.tájék.tábla Hitelképesség"/>
      <sheetName val="7.sz.tájék.táb.Likviditási terv"/>
      <sheetName val="8.sz.tájék.tábla Ütemterv"/>
      <sheetName val="1.sz.függ.Önkormány bev-kiad"/>
      <sheetName val="2.sz.függ.PMH bev-kiad"/>
      <sheetName val="3.sz.függ.Ter.Gond. "/>
      <sheetName val="4.sz.függ.Könyvtár "/>
      <sheetName val="5.sz.függ.Hétszínvirág Ó. "/>
      <sheetName val="6.sz.függ.Mese Ó.  "/>
      <sheetName val="7.sz.függ.Bölcsőde"/>
      <sheetName val="8.sz.függ.Gyermekjóléti  "/>
      <sheetName val="9.sz.függ.Szivárvány Ó."/>
      <sheetName val="10.sz.függ.József A.Műv.Ház"/>
      <sheetName val="11.sz.függ.Mindössze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J8">
            <v>1166946643</v>
          </cell>
          <cell r="K8">
            <v>1246748230</v>
          </cell>
        </row>
        <row r="9">
          <cell r="J9">
            <v>291780540</v>
          </cell>
          <cell r="K9">
            <v>311065260</v>
          </cell>
        </row>
        <row r="10">
          <cell r="J10">
            <v>1604933989</v>
          </cell>
          <cell r="K10">
            <v>2022044559</v>
          </cell>
        </row>
        <row r="11">
          <cell r="J11">
            <v>24954500</v>
          </cell>
          <cell r="K11">
            <v>50035500</v>
          </cell>
        </row>
        <row r="12">
          <cell r="J12">
            <v>693320744</v>
          </cell>
          <cell r="K12">
            <v>1319949267</v>
          </cell>
        </row>
        <row r="16">
          <cell r="J16">
            <v>216291470</v>
          </cell>
          <cell r="K16">
            <v>884853785</v>
          </cell>
        </row>
        <row r="17">
          <cell r="J17">
            <v>86919478</v>
          </cell>
          <cell r="K17">
            <v>411522809</v>
          </cell>
        </row>
        <row r="18">
          <cell r="J18">
            <v>408381180</v>
          </cell>
          <cell r="K18">
            <v>507483080</v>
          </cell>
        </row>
        <row r="20">
          <cell r="K20">
            <v>6753702490</v>
          </cell>
        </row>
        <row r="21">
          <cell r="J21">
            <v>1935466153</v>
          </cell>
          <cell r="K21">
            <v>2096110941</v>
          </cell>
        </row>
        <row r="22">
          <cell r="J22">
            <v>22210720</v>
          </cell>
          <cell r="K22">
            <v>109895689</v>
          </cell>
        </row>
        <row r="23">
          <cell r="J23">
            <v>1893681715</v>
          </cell>
          <cell r="K23">
            <v>1952514336</v>
          </cell>
        </row>
        <row r="24">
          <cell r="J24">
            <v>16043820</v>
          </cell>
          <cell r="K24">
            <v>30171018</v>
          </cell>
        </row>
        <row r="25">
          <cell r="J25">
            <v>3529898</v>
          </cell>
          <cell r="K25">
            <v>3529898</v>
          </cell>
        </row>
        <row r="26">
          <cell r="J26">
            <v>5697828851</v>
          </cell>
          <cell r="K26">
            <v>7012252841</v>
          </cell>
        </row>
        <row r="27">
          <cell r="J27">
            <v>731165846</v>
          </cell>
          <cell r="K27">
            <v>1837560590</v>
          </cell>
        </row>
        <row r="28">
          <cell r="J28">
            <v>6428994697</v>
          </cell>
          <cell r="K28">
            <v>8849813431</v>
          </cell>
        </row>
        <row r="29">
          <cell r="J29">
            <v>791148457</v>
          </cell>
          <cell r="K29">
            <v>1044012022</v>
          </cell>
        </row>
        <row r="30">
          <cell r="J30">
            <v>0</v>
          </cell>
          <cell r="K30">
            <v>562791189</v>
          </cell>
        </row>
        <row r="31">
          <cell r="J31">
            <v>2983238155</v>
          </cell>
          <cell r="K31">
            <v>3540987551</v>
          </cell>
        </row>
        <row r="32">
          <cell r="J32">
            <v>394755231</v>
          </cell>
          <cell r="K32">
            <v>489403823</v>
          </cell>
        </row>
        <row r="33">
          <cell r="J33">
            <v>181626200</v>
          </cell>
          <cell r="K33">
            <v>48850806</v>
          </cell>
        </row>
        <row r="34">
          <cell r="J34">
            <v>45000000</v>
          </cell>
          <cell r="K34">
            <v>45100000</v>
          </cell>
        </row>
        <row r="35">
          <cell r="J35">
            <v>3694700</v>
          </cell>
          <cell r="K35">
            <v>12994347</v>
          </cell>
        </row>
        <row r="36">
          <cell r="K36">
            <v>5744139738</v>
          </cell>
        </row>
        <row r="37">
          <cell r="J37">
            <v>2029531954</v>
          </cell>
          <cell r="K37">
            <v>3105673693</v>
          </cell>
        </row>
        <row r="39">
          <cell r="J39">
            <v>49192079</v>
          </cell>
          <cell r="K39">
            <v>783905109</v>
          </cell>
        </row>
        <row r="40">
          <cell r="J40">
            <v>70614340</v>
          </cell>
          <cell r="K40">
            <v>234614340</v>
          </cell>
        </row>
        <row r="41">
          <cell r="J41">
            <v>1893681715</v>
          </cell>
          <cell r="K41">
            <v>1952514336</v>
          </cell>
        </row>
        <row r="42">
          <cell r="J42">
            <v>16043820</v>
          </cell>
          <cell r="K42">
            <v>30171018</v>
          </cell>
        </row>
        <row r="43">
          <cell r="J43">
            <v>0</v>
          </cell>
          <cell r="K43">
            <v>0</v>
          </cell>
        </row>
        <row r="44">
          <cell r="J44">
            <v>6157015637</v>
          </cell>
          <cell r="K44">
            <v>7960391731</v>
          </cell>
        </row>
        <row r="45">
          <cell r="J45">
            <v>271979060</v>
          </cell>
          <cell r="K45">
            <v>889421700</v>
          </cell>
        </row>
        <row r="46">
          <cell r="J46">
            <v>6428994697</v>
          </cell>
          <cell r="K46">
            <v>8849813431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23"/>
  <sheetViews>
    <sheetView view="pageLayout" zoomScaleNormal="100" workbookViewId="0">
      <selection activeCell="G11" sqref="G11"/>
    </sheetView>
  </sheetViews>
  <sheetFormatPr defaultRowHeight="15" x14ac:dyDescent="0.25"/>
  <cols>
    <col min="2" max="4" width="16.7109375" customWidth="1"/>
  </cols>
  <sheetData>
    <row r="11" spans="2:4" ht="57.75" customHeight="1" x14ac:dyDescent="0.25">
      <c r="B11" s="692" t="s">
        <v>1503</v>
      </c>
      <c r="C11" s="692"/>
      <c r="D11" s="692"/>
    </row>
    <row r="12" spans="2:4" hidden="1" x14ac:dyDescent="0.25">
      <c r="B12" s="692"/>
      <c r="C12" s="692"/>
      <c r="D12" s="692"/>
    </row>
    <row r="17" spans="2:4" x14ac:dyDescent="0.25">
      <c r="C17" s="654" t="s">
        <v>1501</v>
      </c>
    </row>
    <row r="20" spans="2:4" ht="24.75" customHeight="1" x14ac:dyDescent="0.25"/>
    <row r="22" spans="2:4" x14ac:dyDescent="0.25">
      <c r="B22" s="692" t="s">
        <v>1502</v>
      </c>
      <c r="C22" s="692"/>
      <c r="D22" s="692"/>
    </row>
    <row r="23" spans="2:4" x14ac:dyDescent="0.25">
      <c r="B23" s="692"/>
      <c r="C23" s="692"/>
      <c r="D23" s="692"/>
    </row>
  </sheetData>
  <mergeCells count="2">
    <mergeCell ref="B11:D12"/>
    <mergeCell ref="B22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9"/>
  <sheetViews>
    <sheetView view="pageBreakPreview" topLeftCell="A10" zoomScaleNormal="100" zoomScaleSheetLayoutView="100" workbookViewId="0">
      <selection activeCell="K12" sqref="K12"/>
    </sheetView>
  </sheetViews>
  <sheetFormatPr defaultColWidth="8" defaultRowHeight="12.75" x14ac:dyDescent="0.2"/>
  <cols>
    <col min="1" max="1" width="3.42578125" style="126" customWidth="1"/>
    <col min="2" max="2" width="32.7109375" style="126" customWidth="1"/>
    <col min="3" max="3" width="16.140625" style="126" bestFit="1" customWidth="1"/>
    <col min="4" max="7" width="14" style="126" bestFit="1" customWidth="1"/>
    <col min="8" max="11" width="13.42578125" style="126" customWidth="1"/>
    <col min="12" max="12" width="14" style="126" bestFit="1" customWidth="1"/>
    <col min="13" max="13" width="14.140625" style="126" bestFit="1" customWidth="1"/>
    <col min="14" max="14" width="9.140625" style="126" customWidth="1"/>
    <col min="15" max="15" width="11.42578125" style="126" customWidth="1"/>
    <col min="16" max="16384" width="8" style="126"/>
  </cols>
  <sheetData>
    <row r="1" spans="1:18" ht="15" x14ac:dyDescent="0.25">
      <c r="C1" s="127"/>
    </row>
    <row r="2" spans="1:18" ht="15" x14ac:dyDescent="0.25">
      <c r="C2" s="127"/>
    </row>
    <row r="3" spans="1:18" ht="24.75" customHeight="1" x14ac:dyDescent="0.2">
      <c r="A3" s="825" t="s">
        <v>745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128"/>
      <c r="N3" s="129"/>
    </row>
    <row r="4" spans="1:18" ht="18" customHeight="1" x14ac:dyDescent="0.2">
      <c r="A4" s="129"/>
      <c r="B4" s="129"/>
      <c r="C4" s="129"/>
      <c r="J4" s="826" t="s">
        <v>74</v>
      </c>
      <c r="K4" s="826"/>
      <c r="L4" s="826"/>
      <c r="M4" s="130"/>
      <c r="N4" s="130"/>
    </row>
    <row r="5" spans="1:18" s="137" customFormat="1" ht="71.25" customHeight="1" x14ac:dyDescent="0.2">
      <c r="A5" s="131" t="s">
        <v>1</v>
      </c>
      <c r="B5" s="132" t="s">
        <v>32</v>
      </c>
      <c r="C5" s="133" t="s">
        <v>75</v>
      </c>
      <c r="D5" s="134" t="s">
        <v>76</v>
      </c>
      <c r="E5" s="134" t="s">
        <v>77</v>
      </c>
      <c r="F5" s="134" t="s">
        <v>78</v>
      </c>
      <c r="G5" s="134" t="s">
        <v>79</v>
      </c>
      <c r="H5" s="134" t="s">
        <v>744</v>
      </c>
      <c r="I5" s="134" t="s">
        <v>746</v>
      </c>
      <c r="J5" s="134" t="s">
        <v>80</v>
      </c>
      <c r="K5" s="134" t="s">
        <v>748</v>
      </c>
      <c r="L5" s="134" t="s">
        <v>81</v>
      </c>
      <c r="M5" s="135"/>
      <c r="N5" s="136"/>
    </row>
    <row r="6" spans="1:18" ht="51" customHeight="1" x14ac:dyDescent="0.2">
      <c r="A6" s="138" t="s">
        <v>12</v>
      </c>
      <c r="B6" s="139" t="s">
        <v>749</v>
      </c>
      <c r="C6" s="140">
        <f t="shared" ref="C6:L6" si="0">+C7+C8</f>
        <v>893336017</v>
      </c>
      <c r="D6" s="140">
        <f t="shared" si="0"/>
        <v>13335119</v>
      </c>
      <c r="E6" s="140">
        <f t="shared" si="0"/>
        <v>5368981</v>
      </c>
      <c r="F6" s="140">
        <f t="shared" si="0"/>
        <v>42487992</v>
      </c>
      <c r="G6" s="140">
        <f t="shared" si="0"/>
        <v>6612891</v>
      </c>
      <c r="H6" s="140">
        <f t="shared" si="0"/>
        <v>3931570</v>
      </c>
      <c r="I6" s="140">
        <f t="shared" si="0"/>
        <v>0</v>
      </c>
      <c r="J6" s="140">
        <f t="shared" si="0"/>
        <v>2945972</v>
      </c>
      <c r="K6" s="140"/>
      <c r="L6" s="140">
        <f t="shared" si="0"/>
        <v>11204424</v>
      </c>
      <c r="N6" s="141"/>
      <c r="O6" s="142"/>
    </row>
    <row r="7" spans="1:18" ht="31.5" customHeight="1" x14ac:dyDescent="0.2">
      <c r="A7" s="138" t="s">
        <v>17</v>
      </c>
      <c r="B7" s="143" t="s">
        <v>82</v>
      </c>
      <c r="C7" s="144">
        <f>893336017-C8</f>
        <v>893092518</v>
      </c>
      <c r="D7" s="145">
        <v>13206082</v>
      </c>
      <c r="E7" s="145">
        <f>3374451+1969811</f>
        <v>5344262</v>
      </c>
      <c r="F7" s="145">
        <v>42333795</v>
      </c>
      <c r="G7" s="145">
        <v>6612891</v>
      </c>
      <c r="H7" s="145">
        <v>3701558</v>
      </c>
      <c r="I7" s="145"/>
      <c r="J7" s="145">
        <v>2825402</v>
      </c>
      <c r="K7" s="145"/>
      <c r="L7" s="145">
        <v>11102942</v>
      </c>
      <c r="N7" s="146"/>
      <c r="O7" s="142"/>
    </row>
    <row r="8" spans="1:18" ht="35.25" customHeight="1" x14ac:dyDescent="0.2">
      <c r="A8" s="147" t="s">
        <v>20</v>
      </c>
      <c r="B8" s="148" t="s">
        <v>83</v>
      </c>
      <c r="C8" s="149">
        <v>243499</v>
      </c>
      <c r="D8" s="150">
        <v>129037</v>
      </c>
      <c r="E8" s="150">
        <v>24719</v>
      </c>
      <c r="F8" s="150">
        <v>154197</v>
      </c>
      <c r="G8" s="150"/>
      <c r="H8" s="150">
        <v>230012</v>
      </c>
      <c r="I8" s="150"/>
      <c r="J8" s="150">
        <v>120570</v>
      </c>
      <c r="K8" s="150"/>
      <c r="L8" s="150">
        <v>101482</v>
      </c>
      <c r="N8" s="146"/>
      <c r="O8" s="142"/>
    </row>
    <row r="9" spans="1:18" ht="33.75" customHeight="1" x14ac:dyDescent="0.2">
      <c r="A9" s="151" t="s">
        <v>22</v>
      </c>
      <c r="B9" s="152" t="s">
        <v>84</v>
      </c>
      <c r="C9" s="153">
        <v>11343626402</v>
      </c>
      <c r="D9" s="154">
        <v>489509207</v>
      </c>
      <c r="E9" s="154">
        <v>142003667</v>
      </c>
      <c r="F9" s="154">
        <v>622537788</v>
      </c>
      <c r="G9" s="154">
        <v>345114828</v>
      </c>
      <c r="H9" s="154">
        <v>61994880</v>
      </c>
      <c r="I9" s="154">
        <v>32890073</v>
      </c>
      <c r="J9" s="154">
        <v>55918410</v>
      </c>
      <c r="K9" s="188">
        <v>81536442</v>
      </c>
      <c r="L9" s="155">
        <v>333580584</v>
      </c>
      <c r="N9" s="156"/>
      <c r="O9" s="142"/>
    </row>
    <row r="10" spans="1:18" ht="33.75" customHeight="1" x14ac:dyDescent="0.2">
      <c r="A10" s="138" t="s">
        <v>24</v>
      </c>
      <c r="B10" s="157" t="s">
        <v>85</v>
      </c>
      <c r="C10" s="144">
        <f>9693638433+932258850</f>
        <v>10625897283</v>
      </c>
      <c r="D10" s="145">
        <f>459681320+13341349</f>
        <v>473022669</v>
      </c>
      <c r="E10" s="145">
        <f>137966151+5369995</f>
        <v>143336146</v>
      </c>
      <c r="F10" s="145">
        <f>563726521+42433585</f>
        <v>606160106</v>
      </c>
      <c r="G10" s="145">
        <f>339062953+6612891</f>
        <v>345675844</v>
      </c>
      <c r="H10" s="145">
        <f>59407385+4352383</f>
        <v>63759768</v>
      </c>
      <c r="I10" s="145">
        <v>31411973</v>
      </c>
      <c r="J10" s="145">
        <f>53696969+2945972</f>
        <v>56642941</v>
      </c>
      <c r="K10" s="189">
        <v>74870386</v>
      </c>
      <c r="L10" s="158">
        <f>326464537+11204424</f>
        <v>337668961</v>
      </c>
      <c r="N10" s="156"/>
      <c r="O10" s="142"/>
    </row>
    <row r="11" spans="1:18" ht="33.75" customHeight="1" x14ac:dyDescent="0.2">
      <c r="A11" s="159" t="s">
        <v>86</v>
      </c>
      <c r="B11" s="160" t="s">
        <v>87</v>
      </c>
      <c r="C11" s="161">
        <v>-43950280</v>
      </c>
      <c r="D11" s="162">
        <v>759203</v>
      </c>
      <c r="E11" s="162">
        <v>74727</v>
      </c>
      <c r="F11" s="162">
        <v>211540</v>
      </c>
      <c r="G11" s="162">
        <v>274957</v>
      </c>
      <c r="H11" s="162">
        <v>307344</v>
      </c>
      <c r="I11" s="162"/>
      <c r="J11" s="162"/>
      <c r="K11" s="190">
        <v>80169</v>
      </c>
      <c r="L11" s="163">
        <v>262267</v>
      </c>
      <c r="N11" s="156"/>
      <c r="O11" s="142"/>
    </row>
    <row r="12" spans="1:18" ht="51" customHeight="1" x14ac:dyDescent="0.2">
      <c r="A12" s="164" t="s">
        <v>88</v>
      </c>
      <c r="B12" s="165" t="s">
        <v>750</v>
      </c>
      <c r="C12" s="166">
        <f t="shared" ref="C12:L12" si="1">+C6+C9-C10-C11</f>
        <v>1655015416</v>
      </c>
      <c r="D12" s="166">
        <f t="shared" si="1"/>
        <v>29062454</v>
      </c>
      <c r="E12" s="166">
        <f t="shared" si="1"/>
        <v>3961775</v>
      </c>
      <c r="F12" s="166">
        <f t="shared" si="1"/>
        <v>58654134</v>
      </c>
      <c r="G12" s="166">
        <f t="shared" si="1"/>
        <v>5776918</v>
      </c>
      <c r="H12" s="166">
        <v>1856338</v>
      </c>
      <c r="I12" s="166">
        <f t="shared" si="1"/>
        <v>1478100</v>
      </c>
      <c r="J12" s="166">
        <f t="shared" si="1"/>
        <v>2221441</v>
      </c>
      <c r="K12" s="166">
        <f t="shared" si="1"/>
        <v>6585887</v>
      </c>
      <c r="L12" s="166">
        <f t="shared" si="1"/>
        <v>6853780</v>
      </c>
      <c r="M12" s="187"/>
      <c r="N12" s="167"/>
      <c r="O12" s="142"/>
    </row>
    <row r="13" spans="1:18" ht="31.5" customHeight="1" x14ac:dyDescent="0.2">
      <c r="A13" s="138" t="s">
        <v>89</v>
      </c>
      <c r="B13" s="143" t="s">
        <v>82</v>
      </c>
      <c r="C13" s="168">
        <f t="shared" ref="C13:L13" si="2">+C12-C14</f>
        <v>1654860746</v>
      </c>
      <c r="D13" s="168">
        <f t="shared" si="2"/>
        <v>28893250</v>
      </c>
      <c r="E13" s="168">
        <f t="shared" si="2"/>
        <v>3875010</v>
      </c>
      <c r="F13" s="168">
        <f t="shared" si="2"/>
        <v>58578244</v>
      </c>
      <c r="G13" s="168">
        <f t="shared" si="2"/>
        <v>5776918</v>
      </c>
      <c r="H13" s="168">
        <f t="shared" si="2"/>
        <v>1822335</v>
      </c>
      <c r="I13" s="168">
        <f t="shared" si="2"/>
        <v>1384214</v>
      </c>
      <c r="J13" s="168">
        <f t="shared" si="2"/>
        <v>2117090</v>
      </c>
      <c r="K13" s="168">
        <f t="shared" si="2"/>
        <v>6569116</v>
      </c>
      <c r="L13" s="168">
        <f t="shared" si="2"/>
        <v>6782180</v>
      </c>
      <c r="N13" s="156"/>
      <c r="O13" s="142"/>
      <c r="R13" s="143"/>
    </row>
    <row r="14" spans="1:18" ht="43.5" customHeight="1" x14ac:dyDescent="0.2">
      <c r="A14" s="159" t="s">
        <v>90</v>
      </c>
      <c r="B14" s="169" t="s">
        <v>747</v>
      </c>
      <c r="C14" s="170">
        <v>154670</v>
      </c>
      <c r="D14" s="170">
        <v>169204</v>
      </c>
      <c r="E14" s="170">
        <v>86765</v>
      </c>
      <c r="F14" s="170">
        <v>75890</v>
      </c>
      <c r="G14" s="170"/>
      <c r="H14" s="170">
        <v>34003</v>
      </c>
      <c r="I14" s="170">
        <v>93886</v>
      </c>
      <c r="J14" s="170">
        <v>104351</v>
      </c>
      <c r="K14" s="170">
        <v>16771</v>
      </c>
      <c r="L14" s="170">
        <v>71600</v>
      </c>
      <c r="N14" s="156"/>
      <c r="O14" s="142"/>
    </row>
    <row r="15" spans="1:18" ht="31.5" customHeight="1" x14ac:dyDescent="0.2">
      <c r="A15" s="827" t="s">
        <v>743</v>
      </c>
      <c r="B15" s="827"/>
      <c r="C15" s="171">
        <v>1603330</v>
      </c>
      <c r="D15" s="172"/>
      <c r="E15" s="172"/>
      <c r="F15" s="172"/>
      <c r="G15" s="172"/>
      <c r="H15" s="172"/>
      <c r="I15" s="172"/>
      <c r="J15" s="172"/>
      <c r="K15" s="172"/>
      <c r="L15" s="172"/>
    </row>
    <row r="16" spans="1:18" x14ac:dyDescent="0.2">
      <c r="C16" s="187">
        <f>1655015416-C12</f>
        <v>0</v>
      </c>
    </row>
    <row r="18" spans="3:14" x14ac:dyDescent="0.2">
      <c r="C18" s="173">
        <f t="shared" ref="C18:L18" si="3">+C6</f>
        <v>893336017</v>
      </c>
      <c r="D18" s="173">
        <f t="shared" si="3"/>
        <v>13335119</v>
      </c>
      <c r="E18" s="173">
        <f t="shared" si="3"/>
        <v>5368981</v>
      </c>
      <c r="F18" s="173">
        <f t="shared" si="3"/>
        <v>42487992</v>
      </c>
      <c r="G18" s="173">
        <f t="shared" si="3"/>
        <v>6612891</v>
      </c>
      <c r="H18" s="173">
        <f t="shared" si="3"/>
        <v>3931570</v>
      </c>
      <c r="I18" s="173"/>
      <c r="J18" s="173">
        <f t="shared" si="3"/>
        <v>2945972</v>
      </c>
      <c r="K18" s="173"/>
      <c r="L18" s="173">
        <f t="shared" si="3"/>
        <v>11204424</v>
      </c>
      <c r="M18" s="173"/>
      <c r="N18" s="173"/>
    </row>
    <row r="19" spans="3:14" ht="7.5" customHeight="1" x14ac:dyDescent="0.2"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</row>
    <row r="20" spans="3:14" x14ac:dyDescent="0.2">
      <c r="C20" s="173">
        <f>+C9-C10+C11</f>
        <v>673778839</v>
      </c>
      <c r="D20" s="173">
        <f t="shared" ref="D20:L20" si="4">+D9-D10+D11</f>
        <v>17245741</v>
      </c>
      <c r="E20" s="173">
        <f t="shared" si="4"/>
        <v>-1257752</v>
      </c>
      <c r="F20" s="173">
        <f t="shared" si="4"/>
        <v>16589222</v>
      </c>
      <c r="G20" s="173">
        <f t="shared" si="4"/>
        <v>-286059</v>
      </c>
      <c r="H20" s="173">
        <f t="shared" si="4"/>
        <v>-1457544</v>
      </c>
      <c r="I20" s="173"/>
      <c r="J20" s="173">
        <f t="shared" si="4"/>
        <v>-724531</v>
      </c>
      <c r="K20" s="173"/>
      <c r="L20" s="173">
        <f t="shared" si="4"/>
        <v>-3826110</v>
      </c>
      <c r="M20" s="173"/>
      <c r="N20" s="173"/>
    </row>
    <row r="22" spans="3:14" x14ac:dyDescent="0.2">
      <c r="C22" s="173">
        <f>+C18+C20</f>
        <v>1567114856</v>
      </c>
      <c r="D22" s="173">
        <f>+D18+D20</f>
        <v>30580860</v>
      </c>
      <c r="E22" s="173">
        <f>+E18+E20</f>
        <v>4111229</v>
      </c>
      <c r="F22" s="173">
        <f t="shared" ref="F22:L22" si="5">+F18+F20</f>
        <v>59077214</v>
      </c>
      <c r="G22" s="173">
        <f t="shared" si="5"/>
        <v>6326832</v>
      </c>
      <c r="H22" s="173">
        <f t="shared" si="5"/>
        <v>2474026</v>
      </c>
      <c r="I22" s="173"/>
      <c r="J22" s="173">
        <f t="shared" si="5"/>
        <v>2221441</v>
      </c>
      <c r="K22" s="173"/>
      <c r="L22" s="173">
        <f t="shared" si="5"/>
        <v>7378314</v>
      </c>
    </row>
    <row r="24" spans="3:14" x14ac:dyDescent="0.2">
      <c r="C24" s="174">
        <f t="shared" ref="C24:L24" si="6">+C22-C12</f>
        <v>-87900560</v>
      </c>
      <c r="D24" s="174">
        <f t="shared" si="6"/>
        <v>1518406</v>
      </c>
      <c r="E24" s="174">
        <f t="shared" si="6"/>
        <v>149454</v>
      </c>
      <c r="F24" s="174">
        <f t="shared" si="6"/>
        <v>423080</v>
      </c>
      <c r="G24" s="174">
        <f t="shared" si="6"/>
        <v>549914</v>
      </c>
      <c r="H24" s="174">
        <f t="shared" si="6"/>
        <v>617688</v>
      </c>
      <c r="I24" s="174"/>
      <c r="J24" s="174">
        <f t="shared" si="6"/>
        <v>0</v>
      </c>
      <c r="K24" s="174"/>
      <c r="L24" s="174">
        <f t="shared" si="6"/>
        <v>524534</v>
      </c>
    </row>
    <row r="25" spans="3:14" x14ac:dyDescent="0.2">
      <c r="C25" s="175">
        <f>+C13+C14</f>
        <v>1655015416</v>
      </c>
    </row>
    <row r="27" spans="3:14" x14ac:dyDescent="0.2">
      <c r="C27" s="175"/>
    </row>
    <row r="29" spans="3:14" x14ac:dyDescent="0.2">
      <c r="C29" s="187">
        <f>+C9-C10</f>
        <v>717729119</v>
      </c>
    </row>
  </sheetData>
  <mergeCells count="3">
    <mergeCell ref="A3:L3"/>
    <mergeCell ref="J4:L4"/>
    <mergeCell ref="A15:B15"/>
  </mergeCells>
  <printOptions horizontalCentered="1"/>
  <pageMargins left="0.17" right="0.17" top="0.65" bottom="0.73" header="0.43" footer="0.47"/>
  <pageSetup paperSize="9" scale="82" orientation="landscape" r:id="rId1"/>
  <headerFooter alignWithMargins="0">
    <oddHeader>&amp;CDunaharaszti Város Önkormányzat 2017. évi zárszámadás&amp;R&amp;A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view="pageBreakPreview" topLeftCell="A247" zoomScale="60" zoomScaleNormal="100" workbookViewId="0">
      <selection activeCell="D22" sqref="D22"/>
    </sheetView>
  </sheetViews>
  <sheetFormatPr defaultRowHeight="12.75" x14ac:dyDescent="0.2"/>
  <cols>
    <col min="1" max="1" width="9.42578125" style="652" customWidth="1"/>
    <col min="2" max="2" width="41" style="652" customWidth="1"/>
    <col min="3" max="5" width="32.85546875" style="652" customWidth="1"/>
    <col min="6" max="256" width="9.140625" style="652"/>
    <col min="257" max="257" width="8.140625" style="652" customWidth="1"/>
    <col min="258" max="258" width="41" style="652" customWidth="1"/>
    <col min="259" max="261" width="32.85546875" style="652" customWidth="1"/>
    <col min="262" max="512" width="9.140625" style="652"/>
    <col min="513" max="513" width="8.140625" style="652" customWidth="1"/>
    <col min="514" max="514" width="41" style="652" customWidth="1"/>
    <col min="515" max="517" width="32.85546875" style="652" customWidth="1"/>
    <col min="518" max="768" width="9.140625" style="652"/>
    <col min="769" max="769" width="8.140625" style="652" customWidth="1"/>
    <col min="770" max="770" width="41" style="652" customWidth="1"/>
    <col min="771" max="773" width="32.85546875" style="652" customWidth="1"/>
    <col min="774" max="1024" width="9.140625" style="652"/>
    <col min="1025" max="1025" width="8.140625" style="652" customWidth="1"/>
    <col min="1026" max="1026" width="41" style="652" customWidth="1"/>
    <col min="1027" max="1029" width="32.85546875" style="652" customWidth="1"/>
    <col min="1030" max="1280" width="9.140625" style="652"/>
    <col min="1281" max="1281" width="8.140625" style="652" customWidth="1"/>
    <col min="1282" max="1282" width="41" style="652" customWidth="1"/>
    <col min="1283" max="1285" width="32.85546875" style="652" customWidth="1"/>
    <col min="1286" max="1536" width="9.140625" style="652"/>
    <col min="1537" max="1537" width="8.140625" style="652" customWidth="1"/>
    <col min="1538" max="1538" width="41" style="652" customWidth="1"/>
    <col min="1539" max="1541" width="32.85546875" style="652" customWidth="1"/>
    <col min="1542" max="1792" width="9.140625" style="652"/>
    <col min="1793" max="1793" width="8.140625" style="652" customWidth="1"/>
    <col min="1794" max="1794" width="41" style="652" customWidth="1"/>
    <col min="1795" max="1797" width="32.85546875" style="652" customWidth="1"/>
    <col min="1798" max="2048" width="9.140625" style="652"/>
    <col min="2049" max="2049" width="8.140625" style="652" customWidth="1"/>
    <col min="2050" max="2050" width="41" style="652" customWidth="1"/>
    <col min="2051" max="2053" width="32.85546875" style="652" customWidth="1"/>
    <col min="2054" max="2304" width="9.140625" style="652"/>
    <col min="2305" max="2305" width="8.140625" style="652" customWidth="1"/>
    <col min="2306" max="2306" width="41" style="652" customWidth="1"/>
    <col min="2307" max="2309" width="32.85546875" style="652" customWidth="1"/>
    <col min="2310" max="2560" width="9.140625" style="652"/>
    <col min="2561" max="2561" width="8.140625" style="652" customWidth="1"/>
    <col min="2562" max="2562" width="41" style="652" customWidth="1"/>
    <col min="2563" max="2565" width="32.85546875" style="652" customWidth="1"/>
    <col min="2566" max="2816" width="9.140625" style="652"/>
    <col min="2817" max="2817" width="8.140625" style="652" customWidth="1"/>
    <col min="2818" max="2818" width="41" style="652" customWidth="1"/>
    <col min="2819" max="2821" width="32.85546875" style="652" customWidth="1"/>
    <col min="2822" max="3072" width="9.140625" style="652"/>
    <col min="3073" max="3073" width="8.140625" style="652" customWidth="1"/>
    <col min="3074" max="3074" width="41" style="652" customWidth="1"/>
    <col min="3075" max="3077" width="32.85546875" style="652" customWidth="1"/>
    <col min="3078" max="3328" width="9.140625" style="652"/>
    <col min="3329" max="3329" width="8.140625" style="652" customWidth="1"/>
    <col min="3330" max="3330" width="41" style="652" customWidth="1"/>
    <col min="3331" max="3333" width="32.85546875" style="652" customWidth="1"/>
    <col min="3334" max="3584" width="9.140625" style="652"/>
    <col min="3585" max="3585" width="8.140625" style="652" customWidth="1"/>
    <col min="3586" max="3586" width="41" style="652" customWidth="1"/>
    <col min="3587" max="3589" width="32.85546875" style="652" customWidth="1"/>
    <col min="3590" max="3840" width="9.140625" style="652"/>
    <col min="3841" max="3841" width="8.140625" style="652" customWidth="1"/>
    <col min="3842" max="3842" width="41" style="652" customWidth="1"/>
    <col min="3843" max="3845" width="32.85546875" style="652" customWidth="1"/>
    <col min="3846" max="4096" width="9.140625" style="652"/>
    <col min="4097" max="4097" width="8.140625" style="652" customWidth="1"/>
    <col min="4098" max="4098" width="41" style="652" customWidth="1"/>
    <col min="4099" max="4101" width="32.85546875" style="652" customWidth="1"/>
    <col min="4102" max="4352" width="9.140625" style="652"/>
    <col min="4353" max="4353" width="8.140625" style="652" customWidth="1"/>
    <col min="4354" max="4354" width="41" style="652" customWidth="1"/>
    <col min="4355" max="4357" width="32.85546875" style="652" customWidth="1"/>
    <col min="4358" max="4608" width="9.140625" style="652"/>
    <col min="4609" max="4609" width="8.140625" style="652" customWidth="1"/>
    <col min="4610" max="4610" width="41" style="652" customWidth="1"/>
    <col min="4611" max="4613" width="32.85546875" style="652" customWidth="1"/>
    <col min="4614" max="4864" width="9.140625" style="652"/>
    <col min="4865" max="4865" width="8.140625" style="652" customWidth="1"/>
    <col min="4866" max="4866" width="41" style="652" customWidth="1"/>
    <col min="4867" max="4869" width="32.85546875" style="652" customWidth="1"/>
    <col min="4870" max="5120" width="9.140625" style="652"/>
    <col min="5121" max="5121" width="8.140625" style="652" customWidth="1"/>
    <col min="5122" max="5122" width="41" style="652" customWidth="1"/>
    <col min="5123" max="5125" width="32.85546875" style="652" customWidth="1"/>
    <col min="5126" max="5376" width="9.140625" style="652"/>
    <col min="5377" max="5377" width="8.140625" style="652" customWidth="1"/>
    <col min="5378" max="5378" width="41" style="652" customWidth="1"/>
    <col min="5379" max="5381" width="32.85546875" style="652" customWidth="1"/>
    <col min="5382" max="5632" width="9.140625" style="652"/>
    <col min="5633" max="5633" width="8.140625" style="652" customWidth="1"/>
    <col min="5634" max="5634" width="41" style="652" customWidth="1"/>
    <col min="5635" max="5637" width="32.85546875" style="652" customWidth="1"/>
    <col min="5638" max="5888" width="9.140625" style="652"/>
    <col min="5889" max="5889" width="8.140625" style="652" customWidth="1"/>
    <col min="5890" max="5890" width="41" style="652" customWidth="1"/>
    <col min="5891" max="5893" width="32.85546875" style="652" customWidth="1"/>
    <col min="5894" max="6144" width="9.140625" style="652"/>
    <col min="6145" max="6145" width="8.140625" style="652" customWidth="1"/>
    <col min="6146" max="6146" width="41" style="652" customWidth="1"/>
    <col min="6147" max="6149" width="32.85546875" style="652" customWidth="1"/>
    <col min="6150" max="6400" width="9.140625" style="652"/>
    <col min="6401" max="6401" width="8.140625" style="652" customWidth="1"/>
    <col min="6402" max="6402" width="41" style="652" customWidth="1"/>
    <col min="6403" max="6405" width="32.85546875" style="652" customWidth="1"/>
    <col min="6406" max="6656" width="9.140625" style="652"/>
    <col min="6657" max="6657" width="8.140625" style="652" customWidth="1"/>
    <col min="6658" max="6658" width="41" style="652" customWidth="1"/>
    <col min="6659" max="6661" width="32.85546875" style="652" customWidth="1"/>
    <col min="6662" max="6912" width="9.140625" style="652"/>
    <col min="6913" max="6913" width="8.140625" style="652" customWidth="1"/>
    <col min="6914" max="6914" width="41" style="652" customWidth="1"/>
    <col min="6915" max="6917" width="32.85546875" style="652" customWidth="1"/>
    <col min="6918" max="7168" width="9.140625" style="652"/>
    <col min="7169" max="7169" width="8.140625" style="652" customWidth="1"/>
    <col min="7170" max="7170" width="41" style="652" customWidth="1"/>
    <col min="7171" max="7173" width="32.85546875" style="652" customWidth="1"/>
    <col min="7174" max="7424" width="9.140625" style="652"/>
    <col min="7425" max="7425" width="8.140625" style="652" customWidth="1"/>
    <col min="7426" max="7426" width="41" style="652" customWidth="1"/>
    <col min="7427" max="7429" width="32.85546875" style="652" customWidth="1"/>
    <col min="7430" max="7680" width="9.140625" style="652"/>
    <col min="7681" max="7681" width="8.140625" style="652" customWidth="1"/>
    <col min="7682" max="7682" width="41" style="652" customWidth="1"/>
    <col min="7683" max="7685" width="32.85546875" style="652" customWidth="1"/>
    <col min="7686" max="7936" width="9.140625" style="652"/>
    <col min="7937" max="7937" width="8.140625" style="652" customWidth="1"/>
    <col min="7938" max="7938" width="41" style="652" customWidth="1"/>
    <col min="7939" max="7941" width="32.85546875" style="652" customWidth="1"/>
    <col min="7942" max="8192" width="9.140625" style="652"/>
    <col min="8193" max="8193" width="8.140625" style="652" customWidth="1"/>
    <col min="8194" max="8194" width="41" style="652" customWidth="1"/>
    <col min="8195" max="8197" width="32.85546875" style="652" customWidth="1"/>
    <col min="8198" max="8448" width="9.140625" style="652"/>
    <col min="8449" max="8449" width="8.140625" style="652" customWidth="1"/>
    <col min="8450" max="8450" width="41" style="652" customWidth="1"/>
    <col min="8451" max="8453" width="32.85546875" style="652" customWidth="1"/>
    <col min="8454" max="8704" width="9.140625" style="652"/>
    <col min="8705" max="8705" width="8.140625" style="652" customWidth="1"/>
    <col min="8706" max="8706" width="41" style="652" customWidth="1"/>
    <col min="8707" max="8709" width="32.85546875" style="652" customWidth="1"/>
    <col min="8710" max="8960" width="9.140625" style="652"/>
    <col min="8961" max="8961" width="8.140625" style="652" customWidth="1"/>
    <col min="8962" max="8962" width="41" style="652" customWidth="1"/>
    <col min="8963" max="8965" width="32.85546875" style="652" customWidth="1"/>
    <col min="8966" max="9216" width="9.140625" style="652"/>
    <col min="9217" max="9217" width="8.140625" style="652" customWidth="1"/>
    <col min="9218" max="9218" width="41" style="652" customWidth="1"/>
    <col min="9219" max="9221" width="32.85546875" style="652" customWidth="1"/>
    <col min="9222" max="9472" width="9.140625" style="652"/>
    <col min="9473" max="9473" width="8.140625" style="652" customWidth="1"/>
    <col min="9474" max="9474" width="41" style="652" customWidth="1"/>
    <col min="9475" max="9477" width="32.85546875" style="652" customWidth="1"/>
    <col min="9478" max="9728" width="9.140625" style="652"/>
    <col min="9729" max="9729" width="8.140625" style="652" customWidth="1"/>
    <col min="9730" max="9730" width="41" style="652" customWidth="1"/>
    <col min="9731" max="9733" width="32.85546875" style="652" customWidth="1"/>
    <col min="9734" max="9984" width="9.140625" style="652"/>
    <col min="9985" max="9985" width="8.140625" style="652" customWidth="1"/>
    <col min="9986" max="9986" width="41" style="652" customWidth="1"/>
    <col min="9987" max="9989" width="32.85546875" style="652" customWidth="1"/>
    <col min="9990" max="10240" width="9.140625" style="652"/>
    <col min="10241" max="10241" width="8.140625" style="652" customWidth="1"/>
    <col min="10242" max="10242" width="41" style="652" customWidth="1"/>
    <col min="10243" max="10245" width="32.85546875" style="652" customWidth="1"/>
    <col min="10246" max="10496" width="9.140625" style="652"/>
    <col min="10497" max="10497" width="8.140625" style="652" customWidth="1"/>
    <col min="10498" max="10498" width="41" style="652" customWidth="1"/>
    <col min="10499" max="10501" width="32.85546875" style="652" customWidth="1"/>
    <col min="10502" max="10752" width="9.140625" style="652"/>
    <col min="10753" max="10753" width="8.140625" style="652" customWidth="1"/>
    <col min="10754" max="10754" width="41" style="652" customWidth="1"/>
    <col min="10755" max="10757" width="32.85546875" style="652" customWidth="1"/>
    <col min="10758" max="11008" width="9.140625" style="652"/>
    <col min="11009" max="11009" width="8.140625" style="652" customWidth="1"/>
    <col min="11010" max="11010" width="41" style="652" customWidth="1"/>
    <col min="11011" max="11013" width="32.85546875" style="652" customWidth="1"/>
    <col min="11014" max="11264" width="9.140625" style="652"/>
    <col min="11265" max="11265" width="8.140625" style="652" customWidth="1"/>
    <col min="11266" max="11266" width="41" style="652" customWidth="1"/>
    <col min="11267" max="11269" width="32.85546875" style="652" customWidth="1"/>
    <col min="11270" max="11520" width="9.140625" style="652"/>
    <col min="11521" max="11521" width="8.140625" style="652" customWidth="1"/>
    <col min="11522" max="11522" width="41" style="652" customWidth="1"/>
    <col min="11523" max="11525" width="32.85546875" style="652" customWidth="1"/>
    <col min="11526" max="11776" width="9.140625" style="652"/>
    <col min="11777" max="11777" width="8.140625" style="652" customWidth="1"/>
    <col min="11778" max="11778" width="41" style="652" customWidth="1"/>
    <col min="11779" max="11781" width="32.85546875" style="652" customWidth="1"/>
    <col min="11782" max="12032" width="9.140625" style="652"/>
    <col min="12033" max="12033" width="8.140625" style="652" customWidth="1"/>
    <col min="12034" max="12034" width="41" style="652" customWidth="1"/>
    <col min="12035" max="12037" width="32.85546875" style="652" customWidth="1"/>
    <col min="12038" max="12288" width="9.140625" style="652"/>
    <col min="12289" max="12289" width="8.140625" style="652" customWidth="1"/>
    <col min="12290" max="12290" width="41" style="652" customWidth="1"/>
    <col min="12291" max="12293" width="32.85546875" style="652" customWidth="1"/>
    <col min="12294" max="12544" width="9.140625" style="652"/>
    <col min="12545" max="12545" width="8.140625" style="652" customWidth="1"/>
    <col min="12546" max="12546" width="41" style="652" customWidth="1"/>
    <col min="12547" max="12549" width="32.85546875" style="652" customWidth="1"/>
    <col min="12550" max="12800" width="9.140625" style="652"/>
    <col min="12801" max="12801" width="8.140625" style="652" customWidth="1"/>
    <col min="12802" max="12802" width="41" style="652" customWidth="1"/>
    <col min="12803" max="12805" width="32.85546875" style="652" customWidth="1"/>
    <col min="12806" max="13056" width="9.140625" style="652"/>
    <col min="13057" max="13057" width="8.140625" style="652" customWidth="1"/>
    <col min="13058" max="13058" width="41" style="652" customWidth="1"/>
    <col min="13059" max="13061" width="32.85546875" style="652" customWidth="1"/>
    <col min="13062" max="13312" width="9.140625" style="652"/>
    <col min="13313" max="13313" width="8.140625" style="652" customWidth="1"/>
    <col min="13314" max="13314" width="41" style="652" customWidth="1"/>
    <col min="13315" max="13317" width="32.85546875" style="652" customWidth="1"/>
    <col min="13318" max="13568" width="9.140625" style="652"/>
    <col min="13569" max="13569" width="8.140625" style="652" customWidth="1"/>
    <col min="13570" max="13570" width="41" style="652" customWidth="1"/>
    <col min="13571" max="13573" width="32.85546875" style="652" customWidth="1"/>
    <col min="13574" max="13824" width="9.140625" style="652"/>
    <col min="13825" max="13825" width="8.140625" style="652" customWidth="1"/>
    <col min="13826" max="13826" width="41" style="652" customWidth="1"/>
    <col min="13827" max="13829" width="32.85546875" style="652" customWidth="1"/>
    <col min="13830" max="14080" width="9.140625" style="652"/>
    <col min="14081" max="14081" width="8.140625" style="652" customWidth="1"/>
    <col min="14082" max="14082" width="41" style="652" customWidth="1"/>
    <col min="14083" max="14085" width="32.85546875" style="652" customWidth="1"/>
    <col min="14086" max="14336" width="9.140625" style="652"/>
    <col min="14337" max="14337" width="8.140625" style="652" customWidth="1"/>
    <col min="14338" max="14338" width="41" style="652" customWidth="1"/>
    <col min="14339" max="14341" width="32.85546875" style="652" customWidth="1"/>
    <col min="14342" max="14592" width="9.140625" style="652"/>
    <col min="14593" max="14593" width="8.140625" style="652" customWidth="1"/>
    <col min="14594" max="14594" width="41" style="652" customWidth="1"/>
    <col min="14595" max="14597" width="32.85546875" style="652" customWidth="1"/>
    <col min="14598" max="14848" width="9.140625" style="652"/>
    <col min="14849" max="14849" width="8.140625" style="652" customWidth="1"/>
    <col min="14850" max="14850" width="41" style="652" customWidth="1"/>
    <col min="14851" max="14853" width="32.85546875" style="652" customWidth="1"/>
    <col min="14854" max="15104" width="9.140625" style="652"/>
    <col min="15105" max="15105" width="8.140625" style="652" customWidth="1"/>
    <col min="15106" max="15106" width="41" style="652" customWidth="1"/>
    <col min="15107" max="15109" width="32.85546875" style="652" customWidth="1"/>
    <col min="15110" max="15360" width="9.140625" style="652"/>
    <col min="15361" max="15361" width="8.140625" style="652" customWidth="1"/>
    <col min="15362" max="15362" width="41" style="652" customWidth="1"/>
    <col min="15363" max="15365" width="32.85546875" style="652" customWidth="1"/>
    <col min="15366" max="15616" width="9.140625" style="652"/>
    <col min="15617" max="15617" width="8.140625" style="652" customWidth="1"/>
    <col min="15618" max="15618" width="41" style="652" customWidth="1"/>
    <col min="15619" max="15621" width="32.85546875" style="652" customWidth="1"/>
    <col min="15622" max="15872" width="9.140625" style="652"/>
    <col min="15873" max="15873" width="8.140625" style="652" customWidth="1"/>
    <col min="15874" max="15874" width="41" style="652" customWidth="1"/>
    <col min="15875" max="15877" width="32.85546875" style="652" customWidth="1"/>
    <col min="15878" max="16128" width="9.140625" style="652"/>
    <col min="16129" max="16129" width="8.140625" style="652" customWidth="1"/>
    <col min="16130" max="16130" width="41" style="652" customWidth="1"/>
    <col min="16131" max="16133" width="32.85546875" style="652" customWidth="1"/>
    <col min="16134" max="16384" width="9.140625" style="652"/>
  </cols>
  <sheetData>
    <row r="1" spans="1:5" ht="27" customHeight="1" x14ac:dyDescent="0.2">
      <c r="A1" s="828" t="s">
        <v>186</v>
      </c>
      <c r="B1" s="829"/>
      <c r="C1" s="829"/>
      <c r="D1" s="829"/>
      <c r="E1" s="830"/>
    </row>
    <row r="2" spans="1:5" ht="28.5" x14ac:dyDescent="0.2">
      <c r="A2" s="655" t="s">
        <v>1</v>
      </c>
      <c r="B2" s="656" t="s">
        <v>32</v>
      </c>
      <c r="C2" s="656" t="s">
        <v>187</v>
      </c>
      <c r="D2" s="656" t="s">
        <v>188</v>
      </c>
      <c r="E2" s="657" t="s">
        <v>189</v>
      </c>
    </row>
    <row r="3" spans="1:5" ht="15" x14ac:dyDescent="0.2">
      <c r="A3" s="658">
        <v>1</v>
      </c>
      <c r="B3" s="659">
        <v>2</v>
      </c>
      <c r="C3" s="659">
        <v>3</v>
      </c>
      <c r="D3" s="659">
        <v>4</v>
      </c>
      <c r="E3" s="660">
        <v>5</v>
      </c>
    </row>
    <row r="4" spans="1:5" x14ac:dyDescent="0.2">
      <c r="A4" s="661" t="s">
        <v>190</v>
      </c>
      <c r="B4" s="662" t="s">
        <v>191</v>
      </c>
      <c r="C4" s="663">
        <v>17347082</v>
      </c>
      <c r="D4" s="663">
        <v>0</v>
      </c>
      <c r="E4" s="664">
        <v>12299382</v>
      </c>
    </row>
    <row r="5" spans="1:5" x14ac:dyDescent="0.2">
      <c r="A5" s="665" t="s">
        <v>192</v>
      </c>
      <c r="B5" s="666" t="s">
        <v>193</v>
      </c>
      <c r="C5" s="667">
        <v>7801435</v>
      </c>
      <c r="D5" s="667">
        <v>0</v>
      </c>
      <c r="E5" s="668">
        <v>3294743</v>
      </c>
    </row>
    <row r="6" spans="1:5" x14ac:dyDescent="0.2">
      <c r="A6" s="665" t="s">
        <v>194</v>
      </c>
      <c r="B6" s="666" t="s">
        <v>195</v>
      </c>
      <c r="C6" s="667">
        <v>0</v>
      </c>
      <c r="D6" s="667">
        <v>0</v>
      </c>
      <c r="E6" s="668">
        <v>0</v>
      </c>
    </row>
    <row r="7" spans="1:5" x14ac:dyDescent="0.2">
      <c r="A7" s="669" t="s">
        <v>196</v>
      </c>
      <c r="B7" s="670" t="s">
        <v>197</v>
      </c>
      <c r="C7" s="671">
        <v>25148517</v>
      </c>
      <c r="D7" s="671">
        <v>0</v>
      </c>
      <c r="E7" s="672">
        <v>15594125</v>
      </c>
    </row>
    <row r="8" spans="1:5" ht="25.5" x14ac:dyDescent="0.2">
      <c r="A8" s="665" t="s">
        <v>198</v>
      </c>
      <c r="B8" s="666" t="s">
        <v>199</v>
      </c>
      <c r="C8" s="667">
        <v>20172944163</v>
      </c>
      <c r="D8" s="667">
        <v>0</v>
      </c>
      <c r="E8" s="668">
        <v>18954536096</v>
      </c>
    </row>
    <row r="9" spans="1:5" ht="25.5" x14ac:dyDescent="0.2">
      <c r="A9" s="665" t="s">
        <v>200</v>
      </c>
      <c r="B9" s="666" t="s">
        <v>201</v>
      </c>
      <c r="C9" s="667">
        <v>307530578</v>
      </c>
      <c r="D9" s="667">
        <v>0</v>
      </c>
      <c r="E9" s="668">
        <v>302979284</v>
      </c>
    </row>
    <row r="10" spans="1:5" x14ac:dyDescent="0.2">
      <c r="A10" s="665" t="s">
        <v>202</v>
      </c>
      <c r="B10" s="666" t="s">
        <v>203</v>
      </c>
      <c r="C10" s="667">
        <v>0</v>
      </c>
      <c r="D10" s="667">
        <v>0</v>
      </c>
      <c r="E10" s="668">
        <v>0</v>
      </c>
    </row>
    <row r="11" spans="1:5" x14ac:dyDescent="0.2">
      <c r="A11" s="665" t="s">
        <v>204</v>
      </c>
      <c r="B11" s="666" t="s">
        <v>205</v>
      </c>
      <c r="C11" s="667">
        <v>107242190</v>
      </c>
      <c r="D11" s="667">
        <v>0</v>
      </c>
      <c r="E11" s="668">
        <v>296192352</v>
      </c>
    </row>
    <row r="12" spans="1:5" x14ac:dyDescent="0.2">
      <c r="A12" s="665" t="s">
        <v>206</v>
      </c>
      <c r="B12" s="666" t="s">
        <v>207</v>
      </c>
      <c r="C12" s="667">
        <v>584522737</v>
      </c>
      <c r="D12" s="667">
        <v>0</v>
      </c>
      <c r="E12" s="668">
        <v>584522737</v>
      </c>
    </row>
    <row r="13" spans="1:5" x14ac:dyDescent="0.2">
      <c r="A13" s="669" t="s">
        <v>208</v>
      </c>
      <c r="B13" s="670" t="s">
        <v>209</v>
      </c>
      <c r="C13" s="671">
        <v>21172239668</v>
      </c>
      <c r="D13" s="671">
        <v>0</v>
      </c>
      <c r="E13" s="672">
        <v>20138230469</v>
      </c>
    </row>
    <row r="14" spans="1:5" ht="25.5" x14ac:dyDescent="0.2">
      <c r="A14" s="665" t="s">
        <v>210</v>
      </c>
      <c r="B14" s="666" t="s">
        <v>211</v>
      </c>
      <c r="C14" s="667">
        <v>274733200</v>
      </c>
      <c r="D14" s="667">
        <v>0</v>
      </c>
      <c r="E14" s="668">
        <v>256613200</v>
      </c>
    </row>
    <row r="15" spans="1:5" ht="25.5" x14ac:dyDescent="0.2">
      <c r="A15" s="665" t="s">
        <v>212</v>
      </c>
      <c r="B15" s="666" t="s">
        <v>213</v>
      </c>
      <c r="C15" s="667">
        <v>0</v>
      </c>
      <c r="D15" s="667">
        <v>0</v>
      </c>
      <c r="E15" s="668">
        <v>0</v>
      </c>
    </row>
    <row r="16" spans="1:5" ht="25.5" x14ac:dyDescent="0.2">
      <c r="A16" s="665" t="s">
        <v>214</v>
      </c>
      <c r="B16" s="666" t="s">
        <v>215</v>
      </c>
      <c r="C16" s="667">
        <v>271733200</v>
      </c>
      <c r="D16" s="667">
        <v>0</v>
      </c>
      <c r="E16" s="668">
        <v>256613200</v>
      </c>
    </row>
    <row r="17" spans="1:5" ht="25.5" x14ac:dyDescent="0.2">
      <c r="A17" s="665" t="s">
        <v>216</v>
      </c>
      <c r="B17" s="666" t="s">
        <v>217</v>
      </c>
      <c r="C17" s="667">
        <v>0</v>
      </c>
      <c r="D17" s="667">
        <v>0</v>
      </c>
      <c r="E17" s="668">
        <v>0</v>
      </c>
    </row>
    <row r="18" spans="1:5" ht="25.5" x14ac:dyDescent="0.2">
      <c r="A18" s="665" t="s">
        <v>218</v>
      </c>
      <c r="B18" s="666" t="s">
        <v>219</v>
      </c>
      <c r="C18" s="667">
        <v>0</v>
      </c>
      <c r="D18" s="667">
        <v>0</v>
      </c>
      <c r="E18" s="668">
        <v>0</v>
      </c>
    </row>
    <row r="19" spans="1:5" x14ac:dyDescent="0.2">
      <c r="A19" s="665" t="s">
        <v>220</v>
      </c>
      <c r="B19" s="666" t="s">
        <v>221</v>
      </c>
      <c r="C19" s="667">
        <v>3000000</v>
      </c>
      <c r="D19" s="667">
        <v>0</v>
      </c>
      <c r="E19" s="668">
        <v>0</v>
      </c>
    </row>
    <row r="20" spans="1:5" ht="25.5" x14ac:dyDescent="0.2">
      <c r="A20" s="665" t="s">
        <v>222</v>
      </c>
      <c r="B20" s="666" t="s">
        <v>223</v>
      </c>
      <c r="C20" s="667">
        <v>0</v>
      </c>
      <c r="D20" s="667">
        <v>0</v>
      </c>
      <c r="E20" s="668">
        <v>0</v>
      </c>
    </row>
    <row r="21" spans="1:5" x14ac:dyDescent="0.2">
      <c r="A21" s="665" t="s">
        <v>224</v>
      </c>
      <c r="B21" s="666" t="s">
        <v>225</v>
      </c>
      <c r="C21" s="667">
        <v>0</v>
      </c>
      <c r="D21" s="667">
        <v>0</v>
      </c>
      <c r="E21" s="668">
        <v>0</v>
      </c>
    </row>
    <row r="22" spans="1:5" ht="25.5" x14ac:dyDescent="0.2">
      <c r="A22" s="665" t="s">
        <v>226</v>
      </c>
      <c r="B22" s="666" t="s">
        <v>227</v>
      </c>
      <c r="C22" s="667">
        <v>0</v>
      </c>
      <c r="D22" s="667">
        <v>0</v>
      </c>
      <c r="E22" s="668">
        <v>0</v>
      </c>
    </row>
    <row r="23" spans="1:5" ht="25.5" x14ac:dyDescent="0.2">
      <c r="A23" s="665" t="s">
        <v>228</v>
      </c>
      <c r="B23" s="666" t="s">
        <v>229</v>
      </c>
      <c r="C23" s="667">
        <v>0</v>
      </c>
      <c r="D23" s="667">
        <v>0</v>
      </c>
      <c r="E23" s="668">
        <v>0</v>
      </c>
    </row>
    <row r="24" spans="1:5" ht="25.5" x14ac:dyDescent="0.2">
      <c r="A24" s="669" t="s">
        <v>230</v>
      </c>
      <c r="B24" s="670" t="s">
        <v>231</v>
      </c>
      <c r="C24" s="671">
        <v>274733200</v>
      </c>
      <c r="D24" s="671">
        <v>0</v>
      </c>
      <c r="E24" s="672">
        <v>256613200</v>
      </c>
    </row>
    <row r="25" spans="1:5" ht="25.5" x14ac:dyDescent="0.2">
      <c r="A25" s="665" t="s">
        <v>232</v>
      </c>
      <c r="B25" s="666" t="s">
        <v>233</v>
      </c>
      <c r="C25" s="667">
        <v>405703340</v>
      </c>
      <c r="D25" s="667">
        <v>0</v>
      </c>
      <c r="E25" s="668">
        <v>383001772</v>
      </c>
    </row>
    <row r="26" spans="1:5" x14ac:dyDescent="0.2">
      <c r="A26" s="665" t="s">
        <v>234</v>
      </c>
      <c r="B26" s="666" t="s">
        <v>235</v>
      </c>
      <c r="C26" s="667">
        <v>0</v>
      </c>
      <c r="D26" s="667">
        <v>0</v>
      </c>
      <c r="E26" s="668">
        <v>0</v>
      </c>
    </row>
    <row r="27" spans="1:5" x14ac:dyDescent="0.2">
      <c r="A27" s="665" t="s">
        <v>236</v>
      </c>
      <c r="B27" s="666" t="s">
        <v>237</v>
      </c>
      <c r="C27" s="667">
        <v>405703340</v>
      </c>
      <c r="D27" s="667">
        <v>0</v>
      </c>
      <c r="E27" s="668">
        <v>383001772</v>
      </c>
    </row>
    <row r="28" spans="1:5" ht="25.5" x14ac:dyDescent="0.2">
      <c r="A28" s="665" t="s">
        <v>238</v>
      </c>
      <c r="B28" s="666" t="s">
        <v>239</v>
      </c>
      <c r="C28" s="667">
        <v>0</v>
      </c>
      <c r="D28" s="667">
        <v>0</v>
      </c>
      <c r="E28" s="668">
        <v>0</v>
      </c>
    </row>
    <row r="29" spans="1:5" ht="25.5" x14ac:dyDescent="0.2">
      <c r="A29" s="665" t="s">
        <v>240</v>
      </c>
      <c r="B29" s="666" t="s">
        <v>241</v>
      </c>
      <c r="C29" s="667">
        <v>0</v>
      </c>
      <c r="D29" s="667">
        <v>0</v>
      </c>
      <c r="E29" s="668">
        <v>0</v>
      </c>
    </row>
    <row r="30" spans="1:5" ht="25.5" x14ac:dyDescent="0.2">
      <c r="A30" s="669" t="s">
        <v>242</v>
      </c>
      <c r="B30" s="670" t="s">
        <v>243</v>
      </c>
      <c r="C30" s="671">
        <v>405703340</v>
      </c>
      <c r="D30" s="671">
        <v>0</v>
      </c>
      <c r="E30" s="672">
        <v>383001772</v>
      </c>
    </row>
    <row r="31" spans="1:5" ht="38.25" x14ac:dyDescent="0.2">
      <c r="A31" s="669" t="s">
        <v>244</v>
      </c>
      <c r="B31" s="670" t="s">
        <v>245</v>
      </c>
      <c r="C31" s="671">
        <v>21877824725</v>
      </c>
      <c r="D31" s="671">
        <v>0</v>
      </c>
      <c r="E31" s="672">
        <v>20793439566</v>
      </c>
    </row>
    <row r="32" spans="1:5" x14ac:dyDescent="0.2">
      <c r="A32" s="665" t="s">
        <v>246</v>
      </c>
      <c r="B32" s="666" t="s">
        <v>247</v>
      </c>
      <c r="C32" s="667">
        <v>2584354</v>
      </c>
      <c r="D32" s="667">
        <v>0</v>
      </c>
      <c r="E32" s="668">
        <v>2864257</v>
      </c>
    </row>
    <row r="33" spans="1:5" ht="25.5" x14ac:dyDescent="0.2">
      <c r="A33" s="665" t="s">
        <v>248</v>
      </c>
      <c r="B33" s="666" t="s">
        <v>249</v>
      </c>
      <c r="C33" s="667">
        <v>0</v>
      </c>
      <c r="D33" s="667">
        <v>0</v>
      </c>
      <c r="E33" s="668">
        <v>0</v>
      </c>
    </row>
    <row r="34" spans="1:5" x14ac:dyDescent="0.2">
      <c r="A34" s="665" t="s">
        <v>250</v>
      </c>
      <c r="B34" s="666" t="s">
        <v>251</v>
      </c>
      <c r="C34" s="667">
        <v>0</v>
      </c>
      <c r="D34" s="667">
        <v>0</v>
      </c>
      <c r="E34" s="668">
        <v>0</v>
      </c>
    </row>
    <row r="35" spans="1:5" ht="25.5" x14ac:dyDescent="0.2">
      <c r="A35" s="665" t="s">
        <v>252</v>
      </c>
      <c r="B35" s="666" t="s">
        <v>253</v>
      </c>
      <c r="C35" s="667">
        <v>0</v>
      </c>
      <c r="D35" s="667">
        <v>0</v>
      </c>
      <c r="E35" s="668">
        <v>0</v>
      </c>
    </row>
    <row r="36" spans="1:5" x14ac:dyDescent="0.2">
      <c r="A36" s="665" t="s">
        <v>254</v>
      </c>
      <c r="B36" s="666" t="s">
        <v>255</v>
      </c>
      <c r="C36" s="667">
        <v>0</v>
      </c>
      <c r="D36" s="667">
        <v>0</v>
      </c>
      <c r="E36" s="668">
        <v>0</v>
      </c>
    </row>
    <row r="37" spans="1:5" x14ac:dyDescent="0.2">
      <c r="A37" s="669" t="s">
        <v>256</v>
      </c>
      <c r="B37" s="670" t="s">
        <v>257</v>
      </c>
      <c r="C37" s="671">
        <v>2584354</v>
      </c>
      <c r="D37" s="671">
        <v>0</v>
      </c>
      <c r="E37" s="672">
        <v>2864257</v>
      </c>
    </row>
    <row r="38" spans="1:5" x14ac:dyDescent="0.2">
      <c r="A38" s="665" t="s">
        <v>258</v>
      </c>
      <c r="B38" s="666" t="s">
        <v>259</v>
      </c>
      <c r="C38" s="667">
        <v>0</v>
      </c>
      <c r="D38" s="667">
        <v>0</v>
      </c>
      <c r="E38" s="668">
        <v>0</v>
      </c>
    </row>
    <row r="39" spans="1:5" ht="25.5" x14ac:dyDescent="0.2">
      <c r="A39" s="665" t="s">
        <v>260</v>
      </c>
      <c r="B39" s="666" t="s">
        <v>261</v>
      </c>
      <c r="C39" s="667">
        <v>0</v>
      </c>
      <c r="D39" s="667">
        <v>0</v>
      </c>
      <c r="E39" s="668">
        <v>0</v>
      </c>
    </row>
    <row r="40" spans="1:5" x14ac:dyDescent="0.2">
      <c r="A40" s="665" t="s">
        <v>262</v>
      </c>
      <c r="B40" s="666" t="s">
        <v>263</v>
      </c>
      <c r="C40" s="667">
        <v>0</v>
      </c>
      <c r="D40" s="667">
        <v>0</v>
      </c>
      <c r="E40" s="668">
        <v>0</v>
      </c>
    </row>
    <row r="41" spans="1:5" x14ac:dyDescent="0.2">
      <c r="A41" s="665" t="s">
        <v>264</v>
      </c>
      <c r="B41" s="666" t="s">
        <v>265</v>
      </c>
      <c r="C41" s="667">
        <v>0</v>
      </c>
      <c r="D41" s="667">
        <v>0</v>
      </c>
      <c r="E41" s="668">
        <v>0</v>
      </c>
    </row>
    <row r="42" spans="1:5" x14ac:dyDescent="0.2">
      <c r="A42" s="665" t="s">
        <v>266</v>
      </c>
      <c r="B42" s="666" t="s">
        <v>267</v>
      </c>
      <c r="C42" s="667">
        <v>0</v>
      </c>
      <c r="D42" s="667">
        <v>0</v>
      </c>
      <c r="E42" s="668">
        <v>0</v>
      </c>
    </row>
    <row r="43" spans="1:5" x14ac:dyDescent="0.2">
      <c r="A43" s="665" t="s">
        <v>268</v>
      </c>
      <c r="B43" s="666" t="s">
        <v>269</v>
      </c>
      <c r="C43" s="667">
        <v>0</v>
      </c>
      <c r="D43" s="667">
        <v>0</v>
      </c>
      <c r="E43" s="668">
        <v>0</v>
      </c>
    </row>
    <row r="44" spans="1:5" x14ac:dyDescent="0.2">
      <c r="A44" s="665" t="s">
        <v>270</v>
      </c>
      <c r="B44" s="666" t="s">
        <v>271</v>
      </c>
      <c r="C44" s="667">
        <v>0</v>
      </c>
      <c r="D44" s="667">
        <v>0</v>
      </c>
      <c r="E44" s="668">
        <v>0</v>
      </c>
    </row>
    <row r="45" spans="1:5" x14ac:dyDescent="0.2">
      <c r="A45" s="669" t="s">
        <v>272</v>
      </c>
      <c r="B45" s="670" t="s">
        <v>273</v>
      </c>
      <c r="C45" s="671">
        <v>0</v>
      </c>
      <c r="D45" s="671">
        <v>0</v>
      </c>
      <c r="E45" s="672">
        <v>0</v>
      </c>
    </row>
    <row r="46" spans="1:5" ht="25.5" x14ac:dyDescent="0.2">
      <c r="A46" s="669" t="s">
        <v>274</v>
      </c>
      <c r="B46" s="670" t="s">
        <v>275</v>
      </c>
      <c r="C46" s="671">
        <v>2584354</v>
      </c>
      <c r="D46" s="671">
        <v>0</v>
      </c>
      <c r="E46" s="672">
        <v>2864257</v>
      </c>
    </row>
    <row r="47" spans="1:5" ht="25.5" x14ac:dyDescent="0.2">
      <c r="A47" s="665" t="s">
        <v>276</v>
      </c>
      <c r="B47" s="666" t="s">
        <v>277</v>
      </c>
      <c r="C47" s="667">
        <v>0</v>
      </c>
      <c r="D47" s="667">
        <v>0</v>
      </c>
      <c r="E47" s="668">
        <v>0</v>
      </c>
    </row>
    <row r="48" spans="1:5" ht="25.5" x14ac:dyDescent="0.2">
      <c r="A48" s="665" t="s">
        <v>278</v>
      </c>
      <c r="B48" s="666" t="s">
        <v>279</v>
      </c>
      <c r="C48" s="667">
        <v>0</v>
      </c>
      <c r="D48" s="667">
        <v>0</v>
      </c>
      <c r="E48" s="668">
        <v>0</v>
      </c>
    </row>
    <row r="49" spans="1:5" x14ac:dyDescent="0.2">
      <c r="A49" s="669" t="s">
        <v>280</v>
      </c>
      <c r="B49" s="670" t="s">
        <v>281</v>
      </c>
      <c r="C49" s="671">
        <v>0</v>
      </c>
      <c r="D49" s="671">
        <v>0</v>
      </c>
      <c r="E49" s="672">
        <v>0</v>
      </c>
    </row>
    <row r="50" spans="1:5" x14ac:dyDescent="0.2">
      <c r="A50" s="665" t="s">
        <v>282</v>
      </c>
      <c r="B50" s="666" t="s">
        <v>283</v>
      </c>
      <c r="C50" s="667">
        <v>1003516</v>
      </c>
      <c r="D50" s="667">
        <v>0</v>
      </c>
      <c r="E50" s="668">
        <v>807140</v>
      </c>
    </row>
    <row r="51" spans="1:5" x14ac:dyDescent="0.2">
      <c r="A51" s="665" t="s">
        <v>284</v>
      </c>
      <c r="B51" s="666" t="s">
        <v>285</v>
      </c>
      <c r="C51" s="667">
        <v>0</v>
      </c>
      <c r="D51" s="667">
        <v>0</v>
      </c>
      <c r="E51" s="668">
        <v>0</v>
      </c>
    </row>
    <row r="52" spans="1:5" ht="25.5" x14ac:dyDescent="0.2">
      <c r="A52" s="665" t="s">
        <v>286</v>
      </c>
      <c r="B52" s="666" t="s">
        <v>287</v>
      </c>
      <c r="C52" s="667">
        <v>0</v>
      </c>
      <c r="D52" s="667">
        <v>0</v>
      </c>
      <c r="E52" s="668">
        <v>0</v>
      </c>
    </row>
    <row r="53" spans="1:5" ht="25.5" x14ac:dyDescent="0.2">
      <c r="A53" s="669" t="s">
        <v>288</v>
      </c>
      <c r="B53" s="670" t="s">
        <v>289</v>
      </c>
      <c r="C53" s="671">
        <v>1003516</v>
      </c>
      <c r="D53" s="671">
        <v>0</v>
      </c>
      <c r="E53" s="672">
        <v>807140</v>
      </c>
    </row>
    <row r="54" spans="1:5" x14ac:dyDescent="0.2">
      <c r="A54" s="665" t="s">
        <v>290</v>
      </c>
      <c r="B54" s="666" t="s">
        <v>291</v>
      </c>
      <c r="C54" s="667">
        <v>978219450</v>
      </c>
      <c r="D54" s="667">
        <v>0</v>
      </c>
      <c r="E54" s="668">
        <v>1770659103</v>
      </c>
    </row>
    <row r="55" spans="1:5" x14ac:dyDescent="0.2">
      <c r="A55" s="665" t="s">
        <v>292</v>
      </c>
      <c r="B55" s="666" t="s">
        <v>293</v>
      </c>
      <c r="C55" s="667">
        <v>0</v>
      </c>
      <c r="D55" s="667">
        <v>0</v>
      </c>
      <c r="E55" s="668">
        <v>0</v>
      </c>
    </row>
    <row r="56" spans="1:5" x14ac:dyDescent="0.2">
      <c r="A56" s="669" t="s">
        <v>294</v>
      </c>
      <c r="B56" s="670" t="s">
        <v>295</v>
      </c>
      <c r="C56" s="671">
        <v>978219450</v>
      </c>
      <c r="D56" s="671">
        <v>0</v>
      </c>
      <c r="E56" s="672">
        <v>1770659103</v>
      </c>
    </row>
    <row r="57" spans="1:5" x14ac:dyDescent="0.2">
      <c r="A57" s="665" t="s">
        <v>296</v>
      </c>
      <c r="B57" s="666" t="s">
        <v>297</v>
      </c>
      <c r="C57" s="667">
        <v>0</v>
      </c>
      <c r="D57" s="667">
        <v>0</v>
      </c>
      <c r="E57" s="668">
        <v>0</v>
      </c>
    </row>
    <row r="58" spans="1:5" x14ac:dyDescent="0.2">
      <c r="A58" s="665" t="s">
        <v>298</v>
      </c>
      <c r="B58" s="666" t="s">
        <v>299</v>
      </c>
      <c r="C58" s="667">
        <v>0</v>
      </c>
      <c r="D58" s="667">
        <v>0</v>
      </c>
      <c r="E58" s="668">
        <v>0</v>
      </c>
    </row>
    <row r="59" spans="1:5" x14ac:dyDescent="0.2">
      <c r="A59" s="669" t="s">
        <v>300</v>
      </c>
      <c r="B59" s="670" t="s">
        <v>301</v>
      </c>
      <c r="C59" s="671">
        <v>0</v>
      </c>
      <c r="D59" s="671">
        <v>0</v>
      </c>
      <c r="E59" s="672">
        <v>0</v>
      </c>
    </row>
    <row r="60" spans="1:5" x14ac:dyDescent="0.2">
      <c r="A60" s="669" t="s">
        <v>302</v>
      </c>
      <c r="B60" s="670" t="s">
        <v>303</v>
      </c>
      <c r="C60" s="671">
        <v>979222966</v>
      </c>
      <c r="D60" s="671">
        <v>0</v>
      </c>
      <c r="E60" s="672">
        <v>1771466243</v>
      </c>
    </row>
    <row r="61" spans="1:5" ht="38.25" x14ac:dyDescent="0.2">
      <c r="A61" s="665" t="s">
        <v>304</v>
      </c>
      <c r="B61" s="666" t="s">
        <v>305</v>
      </c>
      <c r="C61" s="667">
        <v>0</v>
      </c>
      <c r="D61" s="667">
        <v>0</v>
      </c>
      <c r="E61" s="668">
        <v>0</v>
      </c>
    </row>
    <row r="62" spans="1:5" ht="51" x14ac:dyDescent="0.2">
      <c r="A62" s="665" t="s">
        <v>306</v>
      </c>
      <c r="B62" s="666" t="s">
        <v>307</v>
      </c>
      <c r="C62" s="667">
        <v>0</v>
      </c>
      <c r="D62" s="667">
        <v>0</v>
      </c>
      <c r="E62" s="668">
        <v>0</v>
      </c>
    </row>
    <row r="63" spans="1:5" ht="38.25" x14ac:dyDescent="0.2">
      <c r="A63" s="665" t="s">
        <v>308</v>
      </c>
      <c r="B63" s="666" t="s">
        <v>309</v>
      </c>
      <c r="C63" s="667">
        <v>0</v>
      </c>
      <c r="D63" s="667">
        <v>0</v>
      </c>
      <c r="E63" s="668">
        <v>0</v>
      </c>
    </row>
    <row r="64" spans="1:5" ht="51" x14ac:dyDescent="0.2">
      <c r="A64" s="665" t="s">
        <v>310</v>
      </c>
      <c r="B64" s="666" t="s">
        <v>311</v>
      </c>
      <c r="C64" s="667">
        <v>0</v>
      </c>
      <c r="D64" s="667">
        <v>0</v>
      </c>
      <c r="E64" s="668">
        <v>0</v>
      </c>
    </row>
    <row r="65" spans="1:5" ht="38.25" x14ac:dyDescent="0.2">
      <c r="A65" s="665" t="s">
        <v>312</v>
      </c>
      <c r="B65" s="666" t="s">
        <v>313</v>
      </c>
      <c r="C65" s="667">
        <v>70358155</v>
      </c>
      <c r="D65" s="667">
        <v>0</v>
      </c>
      <c r="E65" s="668">
        <v>104047790</v>
      </c>
    </row>
    <row r="66" spans="1:5" ht="25.5" x14ac:dyDescent="0.2">
      <c r="A66" s="665" t="s">
        <v>314</v>
      </c>
      <c r="B66" s="666" t="s">
        <v>315</v>
      </c>
      <c r="C66" s="667">
        <v>0</v>
      </c>
      <c r="D66" s="667">
        <v>0</v>
      </c>
      <c r="E66" s="668">
        <v>0</v>
      </c>
    </row>
    <row r="67" spans="1:5" ht="38.25" x14ac:dyDescent="0.2">
      <c r="A67" s="665" t="s">
        <v>316</v>
      </c>
      <c r="B67" s="666" t="s">
        <v>317</v>
      </c>
      <c r="C67" s="667">
        <v>0</v>
      </c>
      <c r="D67" s="667">
        <v>0</v>
      </c>
      <c r="E67" s="668">
        <v>0</v>
      </c>
    </row>
    <row r="68" spans="1:5" ht="38.25" x14ac:dyDescent="0.2">
      <c r="A68" s="665" t="s">
        <v>318</v>
      </c>
      <c r="B68" s="666" t="s">
        <v>319</v>
      </c>
      <c r="C68" s="667">
        <v>0</v>
      </c>
      <c r="D68" s="667">
        <v>0</v>
      </c>
      <c r="E68" s="668">
        <v>0</v>
      </c>
    </row>
    <row r="69" spans="1:5" ht="25.5" x14ac:dyDescent="0.2">
      <c r="A69" s="665" t="s">
        <v>320</v>
      </c>
      <c r="B69" s="666" t="s">
        <v>321</v>
      </c>
      <c r="C69" s="667">
        <v>17005789</v>
      </c>
      <c r="D69" s="667">
        <v>0</v>
      </c>
      <c r="E69" s="668">
        <v>28584752</v>
      </c>
    </row>
    <row r="70" spans="1:5" ht="25.5" x14ac:dyDescent="0.2">
      <c r="A70" s="665" t="s">
        <v>322</v>
      </c>
      <c r="B70" s="666" t="s">
        <v>323</v>
      </c>
      <c r="C70" s="667">
        <v>41184863</v>
      </c>
      <c r="D70" s="667">
        <v>0</v>
      </c>
      <c r="E70" s="668">
        <v>60765900</v>
      </c>
    </row>
    <row r="71" spans="1:5" ht="25.5" x14ac:dyDescent="0.2">
      <c r="A71" s="665" t="s">
        <v>324</v>
      </c>
      <c r="B71" s="666" t="s">
        <v>325</v>
      </c>
      <c r="C71" s="667">
        <v>12167503</v>
      </c>
      <c r="D71" s="667">
        <v>0</v>
      </c>
      <c r="E71" s="668">
        <v>14697138</v>
      </c>
    </row>
    <row r="72" spans="1:5" ht="38.25" x14ac:dyDescent="0.2">
      <c r="A72" s="665" t="s">
        <v>326</v>
      </c>
      <c r="B72" s="666" t="s">
        <v>327</v>
      </c>
      <c r="C72" s="667">
        <v>20410340</v>
      </c>
      <c r="D72" s="667">
        <v>0</v>
      </c>
      <c r="E72" s="668">
        <v>23281555</v>
      </c>
    </row>
    <row r="73" spans="1:5" ht="51" x14ac:dyDescent="0.2">
      <c r="A73" s="665" t="s">
        <v>328</v>
      </c>
      <c r="B73" s="666" t="s">
        <v>329</v>
      </c>
      <c r="C73" s="667">
        <v>208938</v>
      </c>
      <c r="D73" s="667">
        <v>0</v>
      </c>
      <c r="E73" s="668">
        <v>1162321</v>
      </c>
    </row>
    <row r="74" spans="1:5" ht="25.5" x14ac:dyDescent="0.2">
      <c r="A74" s="665" t="s">
        <v>330</v>
      </c>
      <c r="B74" s="666" t="s">
        <v>331</v>
      </c>
      <c r="C74" s="667">
        <v>885667</v>
      </c>
      <c r="D74" s="667">
        <v>0</v>
      </c>
      <c r="E74" s="668">
        <v>1268389</v>
      </c>
    </row>
    <row r="75" spans="1:5" ht="25.5" x14ac:dyDescent="0.2">
      <c r="A75" s="665" t="s">
        <v>332</v>
      </c>
      <c r="B75" s="666" t="s">
        <v>333</v>
      </c>
      <c r="C75" s="667">
        <v>12350325</v>
      </c>
      <c r="D75" s="667">
        <v>0</v>
      </c>
      <c r="E75" s="668">
        <v>13461876</v>
      </c>
    </row>
    <row r="76" spans="1:5" ht="38.25" x14ac:dyDescent="0.2">
      <c r="A76" s="665" t="s">
        <v>334</v>
      </c>
      <c r="B76" s="666" t="s">
        <v>335</v>
      </c>
      <c r="C76" s="667">
        <v>5471714</v>
      </c>
      <c r="D76" s="667">
        <v>0</v>
      </c>
      <c r="E76" s="668">
        <v>5808066</v>
      </c>
    </row>
    <row r="77" spans="1:5" ht="38.25" x14ac:dyDescent="0.2">
      <c r="A77" s="665" t="s">
        <v>336</v>
      </c>
      <c r="B77" s="666" t="s">
        <v>337</v>
      </c>
      <c r="C77" s="667">
        <v>0</v>
      </c>
      <c r="D77" s="667">
        <v>0</v>
      </c>
      <c r="E77" s="668">
        <v>0</v>
      </c>
    </row>
    <row r="78" spans="1:5" ht="38.25" x14ac:dyDescent="0.2">
      <c r="A78" s="665" t="s">
        <v>338</v>
      </c>
      <c r="B78" s="666" t="s">
        <v>339</v>
      </c>
      <c r="C78" s="667">
        <v>0</v>
      </c>
      <c r="D78" s="667">
        <v>0</v>
      </c>
      <c r="E78" s="668">
        <v>0</v>
      </c>
    </row>
    <row r="79" spans="1:5" ht="38.25" x14ac:dyDescent="0.2">
      <c r="A79" s="665" t="s">
        <v>340</v>
      </c>
      <c r="B79" s="666" t="s">
        <v>341</v>
      </c>
      <c r="C79" s="667">
        <v>0</v>
      </c>
      <c r="D79" s="667">
        <v>0</v>
      </c>
      <c r="E79" s="668">
        <v>0</v>
      </c>
    </row>
    <row r="80" spans="1:5" ht="25.5" x14ac:dyDescent="0.2">
      <c r="A80" s="665" t="s">
        <v>342</v>
      </c>
      <c r="B80" s="666" t="s">
        <v>343</v>
      </c>
      <c r="C80" s="667">
        <v>0</v>
      </c>
      <c r="D80" s="667">
        <v>0</v>
      </c>
      <c r="E80" s="668">
        <v>0</v>
      </c>
    </row>
    <row r="81" spans="1:5" ht="25.5" x14ac:dyDescent="0.2">
      <c r="A81" s="665" t="s">
        <v>344</v>
      </c>
      <c r="B81" s="666" t="s">
        <v>345</v>
      </c>
      <c r="C81" s="667">
        <v>1493696</v>
      </c>
      <c r="D81" s="667">
        <v>0</v>
      </c>
      <c r="E81" s="668">
        <v>1580903</v>
      </c>
    </row>
    <row r="82" spans="1:5" ht="38.25" x14ac:dyDescent="0.2">
      <c r="A82" s="665" t="s">
        <v>346</v>
      </c>
      <c r="B82" s="666" t="s">
        <v>347</v>
      </c>
      <c r="C82" s="667">
        <v>0</v>
      </c>
      <c r="D82" s="667">
        <v>0</v>
      </c>
      <c r="E82" s="668">
        <v>0</v>
      </c>
    </row>
    <row r="83" spans="1:5" ht="25.5" x14ac:dyDescent="0.2">
      <c r="A83" s="665" t="s">
        <v>348</v>
      </c>
      <c r="B83" s="666" t="s">
        <v>349</v>
      </c>
      <c r="C83" s="667">
        <v>0</v>
      </c>
      <c r="D83" s="667">
        <v>0</v>
      </c>
      <c r="E83" s="668">
        <v>0</v>
      </c>
    </row>
    <row r="84" spans="1:5" ht="25.5" x14ac:dyDescent="0.2">
      <c r="A84" s="665" t="s">
        <v>350</v>
      </c>
      <c r="B84" s="666" t="s">
        <v>351</v>
      </c>
      <c r="C84" s="667">
        <v>0</v>
      </c>
      <c r="D84" s="667">
        <v>0</v>
      </c>
      <c r="E84" s="668">
        <v>0</v>
      </c>
    </row>
    <row r="85" spans="1:5" ht="38.25" x14ac:dyDescent="0.2">
      <c r="A85" s="665" t="s">
        <v>352</v>
      </c>
      <c r="B85" s="666" t="s">
        <v>353</v>
      </c>
      <c r="C85" s="667">
        <v>0</v>
      </c>
      <c r="D85" s="667">
        <v>0</v>
      </c>
      <c r="E85" s="668">
        <v>0</v>
      </c>
    </row>
    <row r="86" spans="1:5" ht="25.5" x14ac:dyDescent="0.2">
      <c r="A86" s="665" t="s">
        <v>354</v>
      </c>
      <c r="B86" s="666" t="s">
        <v>355</v>
      </c>
      <c r="C86" s="667">
        <v>0</v>
      </c>
      <c r="D86" s="667">
        <v>0</v>
      </c>
      <c r="E86" s="668">
        <v>0</v>
      </c>
    </row>
    <row r="87" spans="1:5" ht="38.25" x14ac:dyDescent="0.2">
      <c r="A87" s="665" t="s">
        <v>356</v>
      </c>
      <c r="B87" s="666" t="s">
        <v>357</v>
      </c>
      <c r="C87" s="667">
        <v>0</v>
      </c>
      <c r="D87" s="667">
        <v>0</v>
      </c>
      <c r="E87" s="668">
        <v>0</v>
      </c>
    </row>
    <row r="88" spans="1:5" ht="38.25" x14ac:dyDescent="0.2">
      <c r="A88" s="665" t="s">
        <v>358</v>
      </c>
      <c r="B88" s="666" t="s">
        <v>359</v>
      </c>
      <c r="C88" s="667">
        <v>45000000</v>
      </c>
      <c r="D88" s="667">
        <v>0</v>
      </c>
      <c r="E88" s="668">
        <v>28095000</v>
      </c>
    </row>
    <row r="89" spans="1:5" ht="51" x14ac:dyDescent="0.2">
      <c r="A89" s="665" t="s">
        <v>360</v>
      </c>
      <c r="B89" s="666" t="s">
        <v>361</v>
      </c>
      <c r="C89" s="667">
        <v>0</v>
      </c>
      <c r="D89" s="667">
        <v>0</v>
      </c>
      <c r="E89" s="668">
        <v>0</v>
      </c>
    </row>
    <row r="90" spans="1:5" ht="63.75" x14ac:dyDescent="0.2">
      <c r="A90" s="665" t="s">
        <v>362</v>
      </c>
      <c r="B90" s="666" t="s">
        <v>363</v>
      </c>
      <c r="C90" s="667">
        <v>0</v>
      </c>
      <c r="D90" s="667">
        <v>0</v>
      </c>
      <c r="E90" s="668">
        <v>0</v>
      </c>
    </row>
    <row r="91" spans="1:5" ht="51" x14ac:dyDescent="0.2">
      <c r="A91" s="665" t="s">
        <v>364</v>
      </c>
      <c r="B91" s="666" t="s">
        <v>365</v>
      </c>
      <c r="C91" s="667">
        <v>45000000</v>
      </c>
      <c r="D91" s="667">
        <v>0</v>
      </c>
      <c r="E91" s="668">
        <v>28095000</v>
      </c>
    </row>
    <row r="92" spans="1:5" ht="38.25" x14ac:dyDescent="0.2">
      <c r="A92" s="665" t="s">
        <v>366</v>
      </c>
      <c r="B92" s="666" t="s">
        <v>367</v>
      </c>
      <c r="C92" s="667">
        <v>33500</v>
      </c>
      <c r="D92" s="667">
        <v>0</v>
      </c>
      <c r="E92" s="668">
        <v>13300</v>
      </c>
    </row>
    <row r="93" spans="1:5" ht="51" x14ac:dyDescent="0.2">
      <c r="A93" s="665" t="s">
        <v>368</v>
      </c>
      <c r="B93" s="666" t="s">
        <v>369</v>
      </c>
      <c r="C93" s="667">
        <v>0</v>
      </c>
      <c r="D93" s="667">
        <v>0</v>
      </c>
      <c r="E93" s="668">
        <v>0</v>
      </c>
    </row>
    <row r="94" spans="1:5" ht="63.75" x14ac:dyDescent="0.2">
      <c r="A94" s="665" t="s">
        <v>370</v>
      </c>
      <c r="B94" s="666" t="s">
        <v>371</v>
      </c>
      <c r="C94" s="667">
        <v>0</v>
      </c>
      <c r="D94" s="667">
        <v>0</v>
      </c>
      <c r="E94" s="668">
        <v>0</v>
      </c>
    </row>
    <row r="95" spans="1:5" ht="51" x14ac:dyDescent="0.2">
      <c r="A95" s="665" t="s">
        <v>372</v>
      </c>
      <c r="B95" s="666" t="s">
        <v>373</v>
      </c>
      <c r="C95" s="667">
        <v>33500</v>
      </c>
      <c r="D95" s="667">
        <v>0</v>
      </c>
      <c r="E95" s="668">
        <v>13300</v>
      </c>
    </row>
    <row r="96" spans="1:5" ht="38.25" x14ac:dyDescent="0.2">
      <c r="A96" s="665" t="s">
        <v>374</v>
      </c>
      <c r="B96" s="666" t="s">
        <v>375</v>
      </c>
      <c r="C96" s="667">
        <v>0</v>
      </c>
      <c r="D96" s="667">
        <v>0</v>
      </c>
      <c r="E96" s="668">
        <v>0</v>
      </c>
    </row>
    <row r="97" spans="1:5" ht="38.25" x14ac:dyDescent="0.2">
      <c r="A97" s="665" t="s">
        <v>376</v>
      </c>
      <c r="B97" s="666" t="s">
        <v>377</v>
      </c>
      <c r="C97" s="667">
        <v>0</v>
      </c>
      <c r="D97" s="667">
        <v>0</v>
      </c>
      <c r="E97" s="668">
        <v>0</v>
      </c>
    </row>
    <row r="98" spans="1:5" ht="38.25" x14ac:dyDescent="0.2">
      <c r="A98" s="665" t="s">
        <v>378</v>
      </c>
      <c r="B98" s="666" t="s">
        <v>379</v>
      </c>
      <c r="C98" s="667">
        <v>0</v>
      </c>
      <c r="D98" s="667">
        <v>0</v>
      </c>
      <c r="E98" s="668">
        <v>0</v>
      </c>
    </row>
    <row r="99" spans="1:5" ht="38.25" x14ac:dyDescent="0.2">
      <c r="A99" s="665" t="s">
        <v>380</v>
      </c>
      <c r="B99" s="666" t="s">
        <v>381</v>
      </c>
      <c r="C99" s="667">
        <v>0</v>
      </c>
      <c r="D99" s="667">
        <v>0</v>
      </c>
      <c r="E99" s="668">
        <v>0</v>
      </c>
    </row>
    <row r="100" spans="1:5" ht="38.25" x14ac:dyDescent="0.2">
      <c r="A100" s="665" t="s">
        <v>382</v>
      </c>
      <c r="B100" s="666" t="s">
        <v>383</v>
      </c>
      <c r="C100" s="667">
        <v>0</v>
      </c>
      <c r="D100" s="667">
        <v>0</v>
      </c>
      <c r="E100" s="668">
        <v>0</v>
      </c>
    </row>
    <row r="101" spans="1:5" ht="38.25" x14ac:dyDescent="0.2">
      <c r="A101" s="665" t="s">
        <v>384</v>
      </c>
      <c r="B101" s="666" t="s">
        <v>385</v>
      </c>
      <c r="C101" s="667">
        <v>0</v>
      </c>
      <c r="D101" s="667">
        <v>0</v>
      </c>
      <c r="E101" s="668">
        <v>0</v>
      </c>
    </row>
    <row r="102" spans="1:5" ht="38.25" x14ac:dyDescent="0.2">
      <c r="A102" s="665" t="s">
        <v>386</v>
      </c>
      <c r="B102" s="666" t="s">
        <v>387</v>
      </c>
      <c r="C102" s="667">
        <v>0</v>
      </c>
      <c r="D102" s="667">
        <v>0</v>
      </c>
      <c r="E102" s="668">
        <v>0</v>
      </c>
    </row>
    <row r="103" spans="1:5" ht="38.25" x14ac:dyDescent="0.2">
      <c r="A103" s="665" t="s">
        <v>388</v>
      </c>
      <c r="B103" s="666" t="s">
        <v>389</v>
      </c>
      <c r="C103" s="667">
        <v>0</v>
      </c>
      <c r="D103" s="667">
        <v>0</v>
      </c>
      <c r="E103" s="668">
        <v>0</v>
      </c>
    </row>
    <row r="104" spans="1:5" ht="25.5" x14ac:dyDescent="0.2">
      <c r="A104" s="669" t="s">
        <v>390</v>
      </c>
      <c r="B104" s="670" t="s">
        <v>391</v>
      </c>
      <c r="C104" s="671">
        <v>135801995</v>
      </c>
      <c r="D104" s="671">
        <v>0</v>
      </c>
      <c r="E104" s="672">
        <v>155437645</v>
      </c>
    </row>
    <row r="105" spans="1:5" ht="51" x14ac:dyDescent="0.2">
      <c r="A105" s="665" t="s">
        <v>392</v>
      </c>
      <c r="B105" s="666" t="s">
        <v>393</v>
      </c>
      <c r="C105" s="667">
        <v>0</v>
      </c>
      <c r="D105" s="667">
        <v>0</v>
      </c>
      <c r="E105" s="668">
        <v>0</v>
      </c>
    </row>
    <row r="106" spans="1:5" ht="51" x14ac:dyDescent="0.2">
      <c r="A106" s="665" t="s">
        <v>394</v>
      </c>
      <c r="B106" s="666" t="s">
        <v>395</v>
      </c>
      <c r="C106" s="667">
        <v>0</v>
      </c>
      <c r="D106" s="667">
        <v>0</v>
      </c>
      <c r="E106" s="668">
        <v>0</v>
      </c>
    </row>
    <row r="107" spans="1:5" ht="51" x14ac:dyDescent="0.2">
      <c r="A107" s="665" t="s">
        <v>396</v>
      </c>
      <c r="B107" s="666" t="s">
        <v>397</v>
      </c>
      <c r="C107" s="667">
        <v>0</v>
      </c>
      <c r="D107" s="667">
        <v>0</v>
      </c>
      <c r="E107" s="668">
        <v>0</v>
      </c>
    </row>
    <row r="108" spans="1:5" ht="51" x14ac:dyDescent="0.2">
      <c r="A108" s="665" t="s">
        <v>398</v>
      </c>
      <c r="B108" s="666" t="s">
        <v>399</v>
      </c>
      <c r="C108" s="667">
        <v>0</v>
      </c>
      <c r="D108" s="667">
        <v>0</v>
      </c>
      <c r="E108" s="668">
        <v>0</v>
      </c>
    </row>
    <row r="109" spans="1:5" ht="38.25" x14ac:dyDescent="0.2">
      <c r="A109" s="665" t="s">
        <v>400</v>
      </c>
      <c r="B109" s="666" t="s">
        <v>401</v>
      </c>
      <c r="C109" s="667">
        <v>40928652</v>
      </c>
      <c r="D109" s="667">
        <v>0</v>
      </c>
      <c r="E109" s="668">
        <v>44541587</v>
      </c>
    </row>
    <row r="110" spans="1:5" ht="25.5" x14ac:dyDescent="0.2">
      <c r="A110" s="665" t="s">
        <v>402</v>
      </c>
      <c r="B110" s="666" t="s">
        <v>403</v>
      </c>
      <c r="C110" s="667">
        <v>0</v>
      </c>
      <c r="D110" s="667">
        <v>0</v>
      </c>
      <c r="E110" s="668">
        <v>0</v>
      </c>
    </row>
    <row r="111" spans="1:5" ht="38.25" x14ac:dyDescent="0.2">
      <c r="A111" s="665" t="s">
        <v>404</v>
      </c>
      <c r="B111" s="666" t="s">
        <v>405</v>
      </c>
      <c r="C111" s="667">
        <v>0</v>
      </c>
      <c r="D111" s="667">
        <v>0</v>
      </c>
      <c r="E111" s="668">
        <v>0</v>
      </c>
    </row>
    <row r="112" spans="1:5" ht="38.25" x14ac:dyDescent="0.2">
      <c r="A112" s="665" t="s">
        <v>406</v>
      </c>
      <c r="B112" s="666" t="s">
        <v>407</v>
      </c>
      <c r="C112" s="667">
        <v>0</v>
      </c>
      <c r="D112" s="667">
        <v>0</v>
      </c>
      <c r="E112" s="668">
        <v>0</v>
      </c>
    </row>
    <row r="113" spans="1:5" ht="25.5" x14ac:dyDescent="0.2">
      <c r="A113" s="665" t="s">
        <v>408</v>
      </c>
      <c r="B113" s="666" t="s">
        <v>409</v>
      </c>
      <c r="C113" s="667">
        <v>14021731</v>
      </c>
      <c r="D113" s="667">
        <v>0</v>
      </c>
      <c r="E113" s="668">
        <v>19937453</v>
      </c>
    </row>
    <row r="114" spans="1:5" ht="38.25" x14ac:dyDescent="0.2">
      <c r="A114" s="665" t="s">
        <v>410</v>
      </c>
      <c r="B114" s="666" t="s">
        <v>411</v>
      </c>
      <c r="C114" s="667">
        <v>26748342</v>
      </c>
      <c r="D114" s="667">
        <v>0</v>
      </c>
      <c r="E114" s="668">
        <v>24488077</v>
      </c>
    </row>
    <row r="115" spans="1:5" ht="38.25" x14ac:dyDescent="0.2">
      <c r="A115" s="665" t="s">
        <v>412</v>
      </c>
      <c r="B115" s="666" t="s">
        <v>413</v>
      </c>
      <c r="C115" s="667">
        <v>158579</v>
      </c>
      <c r="D115" s="667">
        <v>0</v>
      </c>
      <c r="E115" s="668">
        <v>116057</v>
      </c>
    </row>
    <row r="116" spans="1:5" ht="38.25" x14ac:dyDescent="0.2">
      <c r="A116" s="665" t="s">
        <v>414</v>
      </c>
      <c r="B116" s="666" t="s">
        <v>415</v>
      </c>
      <c r="C116" s="667">
        <v>800297</v>
      </c>
      <c r="D116" s="667">
        <v>0</v>
      </c>
      <c r="E116" s="668">
        <v>471604</v>
      </c>
    </row>
    <row r="117" spans="1:5" ht="51" x14ac:dyDescent="0.2">
      <c r="A117" s="665" t="s">
        <v>416</v>
      </c>
      <c r="B117" s="666" t="s">
        <v>417</v>
      </c>
      <c r="C117" s="667">
        <v>504405</v>
      </c>
      <c r="D117" s="667">
        <v>0</v>
      </c>
      <c r="E117" s="668">
        <v>330330</v>
      </c>
    </row>
    <row r="118" spans="1:5" ht="25.5" x14ac:dyDescent="0.2">
      <c r="A118" s="665" t="s">
        <v>418</v>
      </c>
      <c r="B118" s="666" t="s">
        <v>419</v>
      </c>
      <c r="C118" s="667">
        <v>48600</v>
      </c>
      <c r="D118" s="667">
        <v>0</v>
      </c>
      <c r="E118" s="668">
        <v>10000</v>
      </c>
    </row>
    <row r="119" spans="1:5" ht="25.5" x14ac:dyDescent="0.2">
      <c r="A119" s="665" t="s">
        <v>420</v>
      </c>
      <c r="B119" s="666" t="s">
        <v>421</v>
      </c>
      <c r="C119" s="667">
        <v>0</v>
      </c>
      <c r="D119" s="667">
        <v>0</v>
      </c>
      <c r="E119" s="668">
        <v>0</v>
      </c>
    </row>
    <row r="120" spans="1:5" ht="38.25" x14ac:dyDescent="0.2">
      <c r="A120" s="665" t="s">
        <v>422</v>
      </c>
      <c r="B120" s="666" t="s">
        <v>423</v>
      </c>
      <c r="C120" s="667">
        <v>125103</v>
      </c>
      <c r="D120" s="667">
        <v>0</v>
      </c>
      <c r="E120" s="668">
        <v>25027</v>
      </c>
    </row>
    <row r="121" spans="1:5" ht="38.25" x14ac:dyDescent="0.2">
      <c r="A121" s="665" t="s">
        <v>424</v>
      </c>
      <c r="B121" s="666" t="s">
        <v>425</v>
      </c>
      <c r="C121" s="667">
        <v>0</v>
      </c>
      <c r="D121" s="667">
        <v>0</v>
      </c>
      <c r="E121" s="668">
        <v>0</v>
      </c>
    </row>
    <row r="122" spans="1:5" ht="38.25" x14ac:dyDescent="0.2">
      <c r="A122" s="665" t="s">
        <v>426</v>
      </c>
      <c r="B122" s="666" t="s">
        <v>427</v>
      </c>
      <c r="C122" s="667">
        <v>0</v>
      </c>
      <c r="D122" s="667">
        <v>0</v>
      </c>
      <c r="E122" s="668">
        <v>0</v>
      </c>
    </row>
    <row r="123" spans="1:5" ht="38.25" x14ac:dyDescent="0.2">
      <c r="A123" s="665" t="s">
        <v>428</v>
      </c>
      <c r="B123" s="666" t="s">
        <v>429</v>
      </c>
      <c r="C123" s="667">
        <v>0</v>
      </c>
      <c r="D123" s="667">
        <v>0</v>
      </c>
      <c r="E123" s="668">
        <v>0</v>
      </c>
    </row>
    <row r="124" spans="1:5" ht="38.25" x14ac:dyDescent="0.2">
      <c r="A124" s="665" t="s">
        <v>430</v>
      </c>
      <c r="B124" s="666" t="s">
        <v>431</v>
      </c>
      <c r="C124" s="667">
        <v>0</v>
      </c>
      <c r="D124" s="667">
        <v>0</v>
      </c>
      <c r="E124" s="668">
        <v>0</v>
      </c>
    </row>
    <row r="125" spans="1:5" ht="38.25" x14ac:dyDescent="0.2">
      <c r="A125" s="665" t="s">
        <v>432</v>
      </c>
      <c r="B125" s="666" t="s">
        <v>433</v>
      </c>
      <c r="C125" s="667">
        <v>122189</v>
      </c>
      <c r="D125" s="667">
        <v>0</v>
      </c>
      <c r="E125" s="668">
        <v>106247</v>
      </c>
    </row>
    <row r="126" spans="1:5" ht="38.25" x14ac:dyDescent="0.2">
      <c r="A126" s="665" t="s">
        <v>434</v>
      </c>
      <c r="B126" s="666" t="s">
        <v>435</v>
      </c>
      <c r="C126" s="667">
        <v>0</v>
      </c>
      <c r="D126" s="667">
        <v>0</v>
      </c>
      <c r="E126" s="668">
        <v>0</v>
      </c>
    </row>
    <row r="127" spans="1:5" ht="38.25" x14ac:dyDescent="0.2">
      <c r="A127" s="665" t="s">
        <v>436</v>
      </c>
      <c r="B127" s="666" t="s">
        <v>437</v>
      </c>
      <c r="C127" s="667">
        <v>0</v>
      </c>
      <c r="D127" s="667">
        <v>0</v>
      </c>
      <c r="E127" s="668">
        <v>0</v>
      </c>
    </row>
    <row r="128" spans="1:5" ht="38.25" x14ac:dyDescent="0.2">
      <c r="A128" s="665" t="s">
        <v>438</v>
      </c>
      <c r="B128" s="666" t="s">
        <v>439</v>
      </c>
      <c r="C128" s="667">
        <v>0</v>
      </c>
      <c r="D128" s="667">
        <v>0</v>
      </c>
      <c r="E128" s="668">
        <v>0</v>
      </c>
    </row>
    <row r="129" spans="1:5" ht="38.25" x14ac:dyDescent="0.2">
      <c r="A129" s="665" t="s">
        <v>440</v>
      </c>
      <c r="B129" s="666" t="s">
        <v>441</v>
      </c>
      <c r="C129" s="667">
        <v>0</v>
      </c>
      <c r="D129" s="667">
        <v>0</v>
      </c>
      <c r="E129" s="668">
        <v>0</v>
      </c>
    </row>
    <row r="130" spans="1:5" ht="38.25" x14ac:dyDescent="0.2">
      <c r="A130" s="665" t="s">
        <v>442</v>
      </c>
      <c r="B130" s="666" t="s">
        <v>443</v>
      </c>
      <c r="C130" s="667">
        <v>0</v>
      </c>
      <c r="D130" s="667">
        <v>0</v>
      </c>
      <c r="E130" s="668">
        <v>0</v>
      </c>
    </row>
    <row r="131" spans="1:5" ht="38.25" x14ac:dyDescent="0.2">
      <c r="A131" s="665" t="s">
        <v>444</v>
      </c>
      <c r="B131" s="666" t="s">
        <v>445</v>
      </c>
      <c r="C131" s="667">
        <v>0</v>
      </c>
      <c r="D131" s="667">
        <v>0</v>
      </c>
      <c r="E131" s="668">
        <v>0</v>
      </c>
    </row>
    <row r="132" spans="1:5" ht="38.25" x14ac:dyDescent="0.2">
      <c r="A132" s="665" t="s">
        <v>446</v>
      </c>
      <c r="B132" s="666" t="s">
        <v>447</v>
      </c>
      <c r="C132" s="667">
        <v>0</v>
      </c>
      <c r="D132" s="667">
        <v>0</v>
      </c>
      <c r="E132" s="668">
        <v>0</v>
      </c>
    </row>
    <row r="133" spans="1:5" ht="51" x14ac:dyDescent="0.2">
      <c r="A133" s="665" t="s">
        <v>448</v>
      </c>
      <c r="B133" s="666" t="s">
        <v>449</v>
      </c>
      <c r="C133" s="667">
        <v>0</v>
      </c>
      <c r="D133" s="667">
        <v>0</v>
      </c>
      <c r="E133" s="668">
        <v>0</v>
      </c>
    </row>
    <row r="134" spans="1:5" ht="63.75" x14ac:dyDescent="0.2">
      <c r="A134" s="665" t="s">
        <v>450</v>
      </c>
      <c r="B134" s="666" t="s">
        <v>451</v>
      </c>
      <c r="C134" s="667">
        <v>0</v>
      </c>
      <c r="D134" s="667">
        <v>0</v>
      </c>
      <c r="E134" s="668">
        <v>0</v>
      </c>
    </row>
    <row r="135" spans="1:5" ht="51" x14ac:dyDescent="0.2">
      <c r="A135" s="665" t="s">
        <v>452</v>
      </c>
      <c r="B135" s="666" t="s">
        <v>453</v>
      </c>
      <c r="C135" s="667">
        <v>0</v>
      </c>
      <c r="D135" s="667">
        <v>0</v>
      </c>
      <c r="E135" s="668">
        <v>0</v>
      </c>
    </row>
    <row r="136" spans="1:5" ht="38.25" x14ac:dyDescent="0.2">
      <c r="A136" s="665" t="s">
        <v>454</v>
      </c>
      <c r="B136" s="666" t="s">
        <v>455</v>
      </c>
      <c r="C136" s="667">
        <v>10808100</v>
      </c>
      <c r="D136" s="667">
        <v>0</v>
      </c>
      <c r="E136" s="668">
        <v>14577000</v>
      </c>
    </row>
    <row r="137" spans="1:5" ht="51" x14ac:dyDescent="0.2">
      <c r="A137" s="665" t="s">
        <v>456</v>
      </c>
      <c r="B137" s="666" t="s">
        <v>457</v>
      </c>
      <c r="C137" s="667">
        <v>0</v>
      </c>
      <c r="D137" s="667">
        <v>0</v>
      </c>
      <c r="E137" s="668">
        <v>0</v>
      </c>
    </row>
    <row r="138" spans="1:5" ht="63.75" x14ac:dyDescent="0.2">
      <c r="A138" s="665" t="s">
        <v>458</v>
      </c>
      <c r="B138" s="666" t="s">
        <v>459</v>
      </c>
      <c r="C138" s="667">
        <v>0</v>
      </c>
      <c r="D138" s="667">
        <v>0</v>
      </c>
      <c r="E138" s="668">
        <v>0</v>
      </c>
    </row>
    <row r="139" spans="1:5" ht="51" x14ac:dyDescent="0.2">
      <c r="A139" s="665" t="s">
        <v>460</v>
      </c>
      <c r="B139" s="666" t="s">
        <v>461</v>
      </c>
      <c r="C139" s="667">
        <v>10808100</v>
      </c>
      <c r="D139" s="667">
        <v>0</v>
      </c>
      <c r="E139" s="668">
        <v>14577000</v>
      </c>
    </row>
    <row r="140" spans="1:5" ht="38.25" x14ac:dyDescent="0.2">
      <c r="A140" s="665" t="s">
        <v>462</v>
      </c>
      <c r="B140" s="666" t="s">
        <v>463</v>
      </c>
      <c r="C140" s="667">
        <v>0</v>
      </c>
      <c r="D140" s="667">
        <v>0</v>
      </c>
      <c r="E140" s="668">
        <v>0</v>
      </c>
    </row>
    <row r="141" spans="1:5" ht="38.25" x14ac:dyDescent="0.2">
      <c r="A141" s="665" t="s">
        <v>464</v>
      </c>
      <c r="B141" s="666" t="s">
        <v>465</v>
      </c>
      <c r="C141" s="667">
        <v>0</v>
      </c>
      <c r="D141" s="667">
        <v>0</v>
      </c>
      <c r="E141" s="668">
        <v>0</v>
      </c>
    </row>
    <row r="142" spans="1:5" ht="38.25" x14ac:dyDescent="0.2">
      <c r="A142" s="665" t="s">
        <v>466</v>
      </c>
      <c r="B142" s="666" t="s">
        <v>467</v>
      </c>
      <c r="C142" s="667">
        <v>0</v>
      </c>
      <c r="D142" s="667">
        <v>0</v>
      </c>
      <c r="E142" s="668">
        <v>0</v>
      </c>
    </row>
    <row r="143" spans="1:5" ht="38.25" x14ac:dyDescent="0.2">
      <c r="A143" s="665" t="s">
        <v>468</v>
      </c>
      <c r="B143" s="666" t="s">
        <v>469</v>
      </c>
      <c r="C143" s="667">
        <v>0</v>
      </c>
      <c r="D143" s="667">
        <v>0</v>
      </c>
      <c r="E143" s="668">
        <v>0</v>
      </c>
    </row>
    <row r="144" spans="1:5" ht="38.25" x14ac:dyDescent="0.2">
      <c r="A144" s="665" t="s">
        <v>470</v>
      </c>
      <c r="B144" s="666" t="s">
        <v>471</v>
      </c>
      <c r="C144" s="667">
        <v>0</v>
      </c>
      <c r="D144" s="667">
        <v>0</v>
      </c>
      <c r="E144" s="668">
        <v>0</v>
      </c>
    </row>
    <row r="145" spans="1:5" ht="25.5" x14ac:dyDescent="0.2">
      <c r="A145" s="669" t="s">
        <v>472</v>
      </c>
      <c r="B145" s="670" t="s">
        <v>473</v>
      </c>
      <c r="C145" s="671">
        <v>52537049</v>
      </c>
      <c r="D145" s="671">
        <v>0</v>
      </c>
      <c r="E145" s="672">
        <v>59590191</v>
      </c>
    </row>
    <row r="146" spans="1:5" x14ac:dyDescent="0.2">
      <c r="A146" s="665" t="s">
        <v>474</v>
      </c>
      <c r="B146" s="666" t="s">
        <v>475</v>
      </c>
      <c r="C146" s="667">
        <v>37371284</v>
      </c>
      <c r="D146" s="667">
        <v>0</v>
      </c>
      <c r="E146" s="668">
        <v>4828677</v>
      </c>
    </row>
    <row r="147" spans="1:5" ht="25.5" x14ac:dyDescent="0.2">
      <c r="A147" s="665" t="s">
        <v>476</v>
      </c>
      <c r="B147" s="666" t="s">
        <v>477</v>
      </c>
      <c r="C147" s="667">
        <v>0</v>
      </c>
      <c r="D147" s="667">
        <v>0</v>
      </c>
      <c r="E147" s="668">
        <v>0</v>
      </c>
    </row>
    <row r="148" spans="1:5" ht="25.5" x14ac:dyDescent="0.2">
      <c r="A148" s="665" t="s">
        <v>478</v>
      </c>
      <c r="B148" s="666" t="s">
        <v>479</v>
      </c>
      <c r="C148" s="667">
        <v>36944471</v>
      </c>
      <c r="D148" s="667">
        <v>0</v>
      </c>
      <c r="E148" s="668">
        <v>0</v>
      </c>
    </row>
    <row r="149" spans="1:5" x14ac:dyDescent="0.2">
      <c r="A149" s="665" t="s">
        <v>480</v>
      </c>
      <c r="B149" s="666" t="s">
        <v>481</v>
      </c>
      <c r="C149" s="667">
        <v>0</v>
      </c>
      <c r="D149" s="667">
        <v>0</v>
      </c>
      <c r="E149" s="668">
        <v>0</v>
      </c>
    </row>
    <row r="150" spans="1:5" ht="25.5" x14ac:dyDescent="0.2">
      <c r="A150" s="665" t="s">
        <v>482</v>
      </c>
      <c r="B150" s="666" t="s">
        <v>483</v>
      </c>
      <c r="C150" s="667">
        <v>0</v>
      </c>
      <c r="D150" s="667">
        <v>0</v>
      </c>
      <c r="E150" s="668">
        <v>2035039</v>
      </c>
    </row>
    <row r="151" spans="1:5" ht="25.5" x14ac:dyDescent="0.2">
      <c r="A151" s="665" t="s">
        <v>484</v>
      </c>
      <c r="B151" s="666" t="s">
        <v>485</v>
      </c>
      <c r="C151" s="667">
        <v>6000</v>
      </c>
      <c r="D151" s="667">
        <v>0</v>
      </c>
      <c r="E151" s="668">
        <v>1865481</v>
      </c>
    </row>
    <row r="152" spans="1:5" ht="25.5" x14ac:dyDescent="0.2">
      <c r="A152" s="665" t="s">
        <v>486</v>
      </c>
      <c r="B152" s="666" t="s">
        <v>487</v>
      </c>
      <c r="C152" s="667">
        <v>420813</v>
      </c>
      <c r="D152" s="667">
        <v>0</v>
      </c>
      <c r="E152" s="668">
        <v>928157</v>
      </c>
    </row>
    <row r="153" spans="1:5" ht="25.5" x14ac:dyDescent="0.2">
      <c r="A153" s="665" t="s">
        <v>488</v>
      </c>
      <c r="B153" s="666" t="s">
        <v>489</v>
      </c>
      <c r="C153" s="667">
        <v>0</v>
      </c>
      <c r="D153" s="667">
        <v>0</v>
      </c>
      <c r="E153" s="668">
        <v>0</v>
      </c>
    </row>
    <row r="154" spans="1:5" ht="25.5" x14ac:dyDescent="0.2">
      <c r="A154" s="665" t="s">
        <v>490</v>
      </c>
      <c r="B154" s="666" t="s">
        <v>491</v>
      </c>
      <c r="C154" s="667">
        <v>0</v>
      </c>
      <c r="D154" s="667">
        <v>0</v>
      </c>
      <c r="E154" s="668">
        <v>0</v>
      </c>
    </row>
    <row r="155" spans="1:5" x14ac:dyDescent="0.2">
      <c r="A155" s="665" t="s">
        <v>492</v>
      </c>
      <c r="B155" s="666" t="s">
        <v>493</v>
      </c>
      <c r="C155" s="667">
        <v>400000</v>
      </c>
      <c r="D155" s="667">
        <v>0</v>
      </c>
      <c r="E155" s="668">
        <v>400000</v>
      </c>
    </row>
    <row r="156" spans="1:5" ht="38.25" x14ac:dyDescent="0.2">
      <c r="A156" s="665" t="s">
        <v>494</v>
      </c>
      <c r="B156" s="666" t="s">
        <v>495</v>
      </c>
      <c r="C156" s="667">
        <v>0</v>
      </c>
      <c r="D156" s="667">
        <v>0</v>
      </c>
      <c r="E156" s="668">
        <v>0</v>
      </c>
    </row>
    <row r="157" spans="1:5" ht="38.25" x14ac:dyDescent="0.2">
      <c r="A157" s="665" t="s">
        <v>496</v>
      </c>
      <c r="B157" s="666" t="s">
        <v>497</v>
      </c>
      <c r="C157" s="667">
        <v>0</v>
      </c>
      <c r="D157" s="667">
        <v>0</v>
      </c>
      <c r="E157" s="668">
        <v>0</v>
      </c>
    </row>
    <row r="158" spans="1:5" ht="38.25" x14ac:dyDescent="0.2">
      <c r="A158" s="665" t="s">
        <v>498</v>
      </c>
      <c r="B158" s="666" t="s">
        <v>499</v>
      </c>
      <c r="C158" s="667">
        <v>0</v>
      </c>
      <c r="D158" s="667">
        <v>0</v>
      </c>
      <c r="E158" s="668">
        <v>0</v>
      </c>
    </row>
    <row r="159" spans="1:5" ht="25.5" x14ac:dyDescent="0.2">
      <c r="A159" s="665" t="s">
        <v>500</v>
      </c>
      <c r="B159" s="666" t="s">
        <v>501</v>
      </c>
      <c r="C159" s="667">
        <v>0</v>
      </c>
      <c r="D159" s="667">
        <v>0</v>
      </c>
      <c r="E159" s="668">
        <v>0</v>
      </c>
    </row>
    <row r="160" spans="1:5" ht="25.5" x14ac:dyDescent="0.2">
      <c r="A160" s="665" t="s">
        <v>502</v>
      </c>
      <c r="B160" s="666" t="s">
        <v>503</v>
      </c>
      <c r="C160" s="667">
        <v>0</v>
      </c>
      <c r="D160" s="667">
        <v>0</v>
      </c>
      <c r="E160" s="668">
        <v>0</v>
      </c>
    </row>
    <row r="161" spans="1:5" ht="25.5" x14ac:dyDescent="0.2">
      <c r="A161" s="669" t="s">
        <v>504</v>
      </c>
      <c r="B161" s="670" t="s">
        <v>505</v>
      </c>
      <c r="C161" s="671">
        <v>37771284</v>
      </c>
      <c r="D161" s="671">
        <v>0</v>
      </c>
      <c r="E161" s="672">
        <v>5228677</v>
      </c>
    </row>
    <row r="162" spans="1:5" x14ac:dyDescent="0.2">
      <c r="A162" s="669" t="s">
        <v>506</v>
      </c>
      <c r="B162" s="670" t="s">
        <v>507</v>
      </c>
      <c r="C162" s="671">
        <v>226110328</v>
      </c>
      <c r="D162" s="671">
        <v>0</v>
      </c>
      <c r="E162" s="672">
        <v>220256513</v>
      </c>
    </row>
    <row r="163" spans="1:5" ht="25.5" x14ac:dyDescent="0.2">
      <c r="A163" s="665" t="s">
        <v>508</v>
      </c>
      <c r="B163" s="666" t="s">
        <v>509</v>
      </c>
      <c r="C163" s="667">
        <v>9975007</v>
      </c>
      <c r="D163" s="667">
        <v>0</v>
      </c>
      <c r="E163" s="668">
        <v>0</v>
      </c>
    </row>
    <row r="164" spans="1:5" ht="25.5" x14ac:dyDescent="0.2">
      <c r="A164" s="665" t="s">
        <v>510</v>
      </c>
      <c r="B164" s="666" t="s">
        <v>511</v>
      </c>
      <c r="C164" s="667">
        <v>17072993</v>
      </c>
      <c r="D164" s="667">
        <v>0</v>
      </c>
      <c r="E164" s="668">
        <v>77510439</v>
      </c>
    </row>
    <row r="165" spans="1:5" ht="38.25" x14ac:dyDescent="0.2">
      <c r="A165" s="665" t="s">
        <v>512</v>
      </c>
      <c r="B165" s="666" t="s">
        <v>513</v>
      </c>
      <c r="C165" s="667">
        <v>0</v>
      </c>
      <c r="D165" s="667">
        <v>0</v>
      </c>
      <c r="E165" s="668">
        <v>549461</v>
      </c>
    </row>
    <row r="166" spans="1:5" ht="25.5" x14ac:dyDescent="0.2">
      <c r="A166" s="665" t="s">
        <v>514</v>
      </c>
      <c r="B166" s="666" t="s">
        <v>515</v>
      </c>
      <c r="C166" s="667">
        <v>0</v>
      </c>
      <c r="D166" s="667">
        <v>0</v>
      </c>
      <c r="E166" s="668">
        <v>0</v>
      </c>
    </row>
    <row r="167" spans="1:5" ht="25.5" x14ac:dyDescent="0.2">
      <c r="A167" s="669" t="s">
        <v>516</v>
      </c>
      <c r="B167" s="670" t="s">
        <v>517</v>
      </c>
      <c r="C167" s="671">
        <v>27048000</v>
      </c>
      <c r="D167" s="671">
        <v>0</v>
      </c>
      <c r="E167" s="672">
        <v>78059900</v>
      </c>
    </row>
    <row r="168" spans="1:5" ht="25.5" x14ac:dyDescent="0.2">
      <c r="A168" s="665" t="s">
        <v>518</v>
      </c>
      <c r="B168" s="666" t="s">
        <v>519</v>
      </c>
      <c r="C168" s="667">
        <v>0</v>
      </c>
      <c r="D168" s="667">
        <v>0</v>
      </c>
      <c r="E168" s="668">
        <v>0</v>
      </c>
    </row>
    <row r="169" spans="1:5" x14ac:dyDescent="0.2">
      <c r="A169" s="665" t="s">
        <v>520</v>
      </c>
      <c r="B169" s="666" t="s">
        <v>521</v>
      </c>
      <c r="C169" s="667">
        <v>-255712</v>
      </c>
      <c r="D169" s="667">
        <v>0</v>
      </c>
      <c r="E169" s="668">
        <v>-50625482</v>
      </c>
    </row>
    <row r="170" spans="1:5" ht="25.5" x14ac:dyDescent="0.2">
      <c r="A170" s="669" t="s">
        <v>522</v>
      </c>
      <c r="B170" s="670" t="s">
        <v>523</v>
      </c>
      <c r="C170" s="671">
        <v>-255712</v>
      </c>
      <c r="D170" s="671">
        <v>0</v>
      </c>
      <c r="E170" s="672">
        <v>-50625482</v>
      </c>
    </row>
    <row r="171" spans="1:5" ht="25.5" x14ac:dyDescent="0.2">
      <c r="A171" s="665" t="s">
        <v>524</v>
      </c>
      <c r="B171" s="666" t="s">
        <v>525</v>
      </c>
      <c r="C171" s="667">
        <v>0</v>
      </c>
      <c r="D171" s="667">
        <v>0</v>
      </c>
      <c r="E171" s="668">
        <v>0</v>
      </c>
    </row>
    <row r="172" spans="1:5" ht="38.25" x14ac:dyDescent="0.2">
      <c r="A172" s="665" t="s">
        <v>526</v>
      </c>
      <c r="B172" s="666" t="s">
        <v>527</v>
      </c>
      <c r="C172" s="667">
        <v>0</v>
      </c>
      <c r="D172" s="667">
        <v>0</v>
      </c>
      <c r="E172" s="668">
        <v>0</v>
      </c>
    </row>
    <row r="173" spans="1:5" ht="25.5" x14ac:dyDescent="0.2">
      <c r="A173" s="669" t="s">
        <v>528</v>
      </c>
      <c r="B173" s="670" t="s">
        <v>529</v>
      </c>
      <c r="C173" s="671">
        <v>0</v>
      </c>
      <c r="D173" s="671">
        <v>0</v>
      </c>
      <c r="E173" s="672">
        <v>0</v>
      </c>
    </row>
    <row r="174" spans="1:5" ht="25.5" x14ac:dyDescent="0.2">
      <c r="A174" s="669" t="s">
        <v>530</v>
      </c>
      <c r="B174" s="670" t="s">
        <v>531</v>
      </c>
      <c r="C174" s="671">
        <v>26792288</v>
      </c>
      <c r="D174" s="671">
        <v>0</v>
      </c>
      <c r="E174" s="672">
        <v>27434418</v>
      </c>
    </row>
    <row r="175" spans="1:5" ht="25.5" x14ac:dyDescent="0.2">
      <c r="A175" s="665" t="s">
        <v>532</v>
      </c>
      <c r="B175" s="666" t="s">
        <v>533</v>
      </c>
      <c r="C175" s="667">
        <v>0</v>
      </c>
      <c r="D175" s="667">
        <v>0</v>
      </c>
      <c r="E175" s="668">
        <v>0</v>
      </c>
    </row>
    <row r="176" spans="1:5" ht="25.5" x14ac:dyDescent="0.2">
      <c r="A176" s="665" t="s">
        <v>534</v>
      </c>
      <c r="B176" s="666" t="s">
        <v>535</v>
      </c>
      <c r="C176" s="667">
        <v>3367908</v>
      </c>
      <c r="D176" s="667">
        <v>0</v>
      </c>
      <c r="E176" s="668">
        <v>4083141</v>
      </c>
    </row>
    <row r="177" spans="1:5" x14ac:dyDescent="0.2">
      <c r="A177" s="665" t="s">
        <v>536</v>
      </c>
      <c r="B177" s="666" t="s">
        <v>537</v>
      </c>
      <c r="C177" s="667">
        <v>0</v>
      </c>
      <c r="D177" s="667">
        <v>0</v>
      </c>
      <c r="E177" s="668">
        <v>0</v>
      </c>
    </row>
    <row r="178" spans="1:5" ht="25.5" x14ac:dyDescent="0.2">
      <c r="A178" s="669" t="s">
        <v>538</v>
      </c>
      <c r="B178" s="670" t="s">
        <v>539</v>
      </c>
      <c r="C178" s="671">
        <v>3367908</v>
      </c>
      <c r="D178" s="671">
        <v>0</v>
      </c>
      <c r="E178" s="672">
        <v>4083141</v>
      </c>
    </row>
    <row r="179" spans="1:5" x14ac:dyDescent="0.2">
      <c r="A179" s="669" t="s">
        <v>540</v>
      </c>
      <c r="B179" s="670" t="s">
        <v>541</v>
      </c>
      <c r="C179" s="671">
        <v>23115902569</v>
      </c>
      <c r="D179" s="671">
        <v>0</v>
      </c>
      <c r="E179" s="672">
        <v>22819544138</v>
      </c>
    </row>
    <row r="180" spans="1:5" x14ac:dyDescent="0.2">
      <c r="A180" s="665" t="s">
        <v>542</v>
      </c>
      <c r="B180" s="666" t="s">
        <v>543</v>
      </c>
      <c r="C180" s="667">
        <v>24191884537</v>
      </c>
      <c r="D180" s="667">
        <v>0</v>
      </c>
      <c r="E180" s="668">
        <v>24191884537</v>
      </c>
    </row>
    <row r="181" spans="1:5" x14ac:dyDescent="0.2">
      <c r="A181" s="665" t="s">
        <v>544</v>
      </c>
      <c r="B181" s="666" t="s">
        <v>545</v>
      </c>
      <c r="C181" s="667">
        <v>249581415</v>
      </c>
      <c r="D181" s="667">
        <v>0</v>
      </c>
      <c r="E181" s="668">
        <v>-1094852716</v>
      </c>
    </row>
    <row r="182" spans="1:5" ht="25.5" x14ac:dyDescent="0.2">
      <c r="A182" s="665" t="s">
        <v>546</v>
      </c>
      <c r="B182" s="666" t="s">
        <v>547</v>
      </c>
      <c r="C182" s="667">
        <v>0</v>
      </c>
      <c r="D182" s="667">
        <v>0</v>
      </c>
      <c r="E182" s="668">
        <v>0</v>
      </c>
    </row>
    <row r="183" spans="1:5" ht="38.25" x14ac:dyDescent="0.2">
      <c r="A183" s="665" t="s">
        <v>548</v>
      </c>
      <c r="B183" s="666" t="s">
        <v>549</v>
      </c>
      <c r="C183" s="667">
        <v>0</v>
      </c>
      <c r="D183" s="667">
        <v>0</v>
      </c>
      <c r="E183" s="668">
        <v>0</v>
      </c>
    </row>
    <row r="184" spans="1:5" ht="25.5" x14ac:dyDescent="0.2">
      <c r="A184" s="665" t="s">
        <v>550</v>
      </c>
      <c r="B184" s="666" t="s">
        <v>551</v>
      </c>
      <c r="C184" s="667">
        <v>458684030</v>
      </c>
      <c r="D184" s="667">
        <v>0</v>
      </c>
      <c r="E184" s="668">
        <v>458684030</v>
      </c>
    </row>
    <row r="185" spans="1:5" ht="25.5" x14ac:dyDescent="0.2">
      <c r="A185" s="669" t="s">
        <v>552</v>
      </c>
      <c r="B185" s="670" t="s">
        <v>553</v>
      </c>
      <c r="C185" s="671">
        <v>458684030</v>
      </c>
      <c r="D185" s="671">
        <v>0</v>
      </c>
      <c r="E185" s="672">
        <v>458684030</v>
      </c>
    </row>
    <row r="186" spans="1:5" x14ac:dyDescent="0.2">
      <c r="A186" s="665" t="s">
        <v>554</v>
      </c>
      <c r="B186" s="666" t="s">
        <v>555</v>
      </c>
      <c r="C186" s="667">
        <v>-3826257162</v>
      </c>
      <c r="D186" s="667">
        <v>0</v>
      </c>
      <c r="E186" s="668">
        <v>-3318129217</v>
      </c>
    </row>
    <row r="187" spans="1:5" x14ac:dyDescent="0.2">
      <c r="A187" s="665" t="s">
        <v>556</v>
      </c>
      <c r="B187" s="666" t="s">
        <v>557</v>
      </c>
      <c r="C187" s="667">
        <v>584522737</v>
      </c>
      <c r="D187" s="667">
        <v>0</v>
      </c>
      <c r="E187" s="668">
        <v>584522737</v>
      </c>
    </row>
    <row r="188" spans="1:5" x14ac:dyDescent="0.2">
      <c r="A188" s="665" t="s">
        <v>558</v>
      </c>
      <c r="B188" s="666" t="s">
        <v>559</v>
      </c>
      <c r="C188" s="667">
        <v>508127945</v>
      </c>
      <c r="D188" s="667">
        <v>0</v>
      </c>
      <c r="E188" s="668">
        <v>256184763</v>
      </c>
    </row>
    <row r="189" spans="1:5" x14ac:dyDescent="0.2">
      <c r="A189" s="669" t="s">
        <v>560</v>
      </c>
      <c r="B189" s="670" t="s">
        <v>561</v>
      </c>
      <c r="C189" s="671">
        <v>22166543502</v>
      </c>
      <c r="D189" s="671">
        <v>0</v>
      </c>
      <c r="E189" s="672">
        <v>21078294134</v>
      </c>
    </row>
    <row r="190" spans="1:5" ht="25.5" x14ac:dyDescent="0.2">
      <c r="A190" s="665" t="s">
        <v>562</v>
      </c>
      <c r="B190" s="666" t="s">
        <v>563</v>
      </c>
      <c r="C190" s="667">
        <v>0</v>
      </c>
      <c r="D190" s="667">
        <v>0</v>
      </c>
      <c r="E190" s="668">
        <v>0</v>
      </c>
    </row>
    <row r="191" spans="1:5" ht="38.25" x14ac:dyDescent="0.2">
      <c r="A191" s="665" t="s">
        <v>564</v>
      </c>
      <c r="B191" s="666" t="s">
        <v>565</v>
      </c>
      <c r="C191" s="667">
        <v>0</v>
      </c>
      <c r="D191" s="667">
        <v>0</v>
      </c>
      <c r="E191" s="668">
        <v>0</v>
      </c>
    </row>
    <row r="192" spans="1:5" ht="25.5" x14ac:dyDescent="0.2">
      <c r="A192" s="665" t="s">
        <v>566</v>
      </c>
      <c r="B192" s="666" t="s">
        <v>567</v>
      </c>
      <c r="C192" s="667">
        <v>9083204</v>
      </c>
      <c r="D192" s="667">
        <v>0</v>
      </c>
      <c r="E192" s="668">
        <v>25771692</v>
      </c>
    </row>
    <row r="193" spans="1:5" ht="25.5" x14ac:dyDescent="0.2">
      <c r="A193" s="665" t="s">
        <v>568</v>
      </c>
      <c r="B193" s="666" t="s">
        <v>569</v>
      </c>
      <c r="C193" s="667">
        <v>4500</v>
      </c>
      <c r="D193" s="667">
        <v>0</v>
      </c>
      <c r="E193" s="668">
        <v>17176</v>
      </c>
    </row>
    <row r="194" spans="1:5" ht="38.25" x14ac:dyDescent="0.2">
      <c r="A194" s="665" t="s">
        <v>570</v>
      </c>
      <c r="B194" s="666" t="s">
        <v>571</v>
      </c>
      <c r="C194" s="667">
        <v>0</v>
      </c>
      <c r="D194" s="667">
        <v>0</v>
      </c>
      <c r="E194" s="668">
        <v>7000000</v>
      </c>
    </row>
    <row r="195" spans="1:5" ht="51" x14ac:dyDescent="0.2">
      <c r="A195" s="665" t="s">
        <v>572</v>
      </c>
      <c r="B195" s="666" t="s">
        <v>573</v>
      </c>
      <c r="C195" s="667">
        <v>0</v>
      </c>
      <c r="D195" s="667">
        <v>0</v>
      </c>
      <c r="E195" s="668">
        <v>0</v>
      </c>
    </row>
    <row r="196" spans="1:5" ht="38.25" x14ac:dyDescent="0.2">
      <c r="A196" s="665" t="s">
        <v>574</v>
      </c>
      <c r="B196" s="666" t="s">
        <v>575</v>
      </c>
      <c r="C196" s="667">
        <v>0</v>
      </c>
      <c r="D196" s="667">
        <v>0</v>
      </c>
      <c r="E196" s="668">
        <v>0</v>
      </c>
    </row>
    <row r="197" spans="1:5" ht="25.5" x14ac:dyDescent="0.2">
      <c r="A197" s="665" t="s">
        <v>576</v>
      </c>
      <c r="B197" s="666" t="s">
        <v>577</v>
      </c>
      <c r="C197" s="667">
        <v>5257800</v>
      </c>
      <c r="D197" s="667">
        <v>0</v>
      </c>
      <c r="E197" s="668">
        <v>3992164</v>
      </c>
    </row>
    <row r="198" spans="1:5" ht="25.5" x14ac:dyDescent="0.2">
      <c r="A198" s="665" t="s">
        <v>578</v>
      </c>
      <c r="B198" s="666" t="s">
        <v>579</v>
      </c>
      <c r="C198" s="667">
        <v>0</v>
      </c>
      <c r="D198" s="667">
        <v>0</v>
      </c>
      <c r="E198" s="668">
        <v>104551537</v>
      </c>
    </row>
    <row r="199" spans="1:5" ht="38.25" x14ac:dyDescent="0.2">
      <c r="A199" s="665" t="s">
        <v>580</v>
      </c>
      <c r="B199" s="666" t="s">
        <v>581</v>
      </c>
      <c r="C199" s="667">
        <v>0</v>
      </c>
      <c r="D199" s="667">
        <v>0</v>
      </c>
      <c r="E199" s="668">
        <v>0</v>
      </c>
    </row>
    <row r="200" spans="1:5" ht="51" x14ac:dyDescent="0.2">
      <c r="A200" s="665" t="s">
        <v>582</v>
      </c>
      <c r="B200" s="666" t="s">
        <v>583</v>
      </c>
      <c r="C200" s="667">
        <v>0</v>
      </c>
      <c r="D200" s="667">
        <v>0</v>
      </c>
      <c r="E200" s="668">
        <v>0</v>
      </c>
    </row>
    <row r="201" spans="1:5" ht="38.25" x14ac:dyDescent="0.2">
      <c r="A201" s="665" t="s">
        <v>584</v>
      </c>
      <c r="B201" s="666" t="s">
        <v>585</v>
      </c>
      <c r="C201" s="667">
        <v>0</v>
      </c>
      <c r="D201" s="667">
        <v>0</v>
      </c>
      <c r="E201" s="668">
        <v>0</v>
      </c>
    </row>
    <row r="202" spans="1:5" ht="38.25" x14ac:dyDescent="0.2">
      <c r="A202" s="665" t="s">
        <v>586</v>
      </c>
      <c r="B202" s="666" t="s">
        <v>587</v>
      </c>
      <c r="C202" s="667">
        <v>0</v>
      </c>
      <c r="D202" s="667">
        <v>0</v>
      </c>
      <c r="E202" s="668">
        <v>3529898</v>
      </c>
    </row>
    <row r="203" spans="1:5" ht="51" x14ac:dyDescent="0.2">
      <c r="A203" s="665" t="s">
        <v>588</v>
      </c>
      <c r="B203" s="666" t="s">
        <v>589</v>
      </c>
      <c r="C203" s="667">
        <v>0</v>
      </c>
      <c r="D203" s="667">
        <v>0</v>
      </c>
      <c r="E203" s="668">
        <v>3529898</v>
      </c>
    </row>
    <row r="204" spans="1:5" ht="51" x14ac:dyDescent="0.2">
      <c r="A204" s="665" t="s">
        <v>590</v>
      </c>
      <c r="B204" s="666" t="s">
        <v>591</v>
      </c>
      <c r="C204" s="667">
        <v>0</v>
      </c>
      <c r="D204" s="667">
        <v>0</v>
      </c>
      <c r="E204" s="668">
        <v>0</v>
      </c>
    </row>
    <row r="205" spans="1:5" ht="25.5" x14ac:dyDescent="0.2">
      <c r="A205" s="665" t="s">
        <v>592</v>
      </c>
      <c r="B205" s="666" t="s">
        <v>593</v>
      </c>
      <c r="C205" s="667">
        <v>0</v>
      </c>
      <c r="D205" s="667">
        <v>0</v>
      </c>
      <c r="E205" s="668">
        <v>0</v>
      </c>
    </row>
    <row r="206" spans="1:5" ht="38.25" x14ac:dyDescent="0.2">
      <c r="A206" s="665" t="s">
        <v>594</v>
      </c>
      <c r="B206" s="666" t="s">
        <v>595</v>
      </c>
      <c r="C206" s="667">
        <v>0</v>
      </c>
      <c r="D206" s="667">
        <v>0</v>
      </c>
      <c r="E206" s="668">
        <v>0</v>
      </c>
    </row>
    <row r="207" spans="1:5" ht="25.5" x14ac:dyDescent="0.2">
      <c r="A207" s="665" t="s">
        <v>596</v>
      </c>
      <c r="B207" s="666" t="s">
        <v>597</v>
      </c>
      <c r="C207" s="667">
        <v>0</v>
      </c>
      <c r="D207" s="667">
        <v>0</v>
      </c>
      <c r="E207" s="668">
        <v>0</v>
      </c>
    </row>
    <row r="208" spans="1:5" ht="38.25" x14ac:dyDescent="0.2">
      <c r="A208" s="665" t="s">
        <v>598</v>
      </c>
      <c r="B208" s="666" t="s">
        <v>599</v>
      </c>
      <c r="C208" s="667">
        <v>0</v>
      </c>
      <c r="D208" s="667">
        <v>0</v>
      </c>
      <c r="E208" s="668">
        <v>0</v>
      </c>
    </row>
    <row r="209" spans="1:5" ht="38.25" x14ac:dyDescent="0.2">
      <c r="A209" s="665" t="s">
        <v>600</v>
      </c>
      <c r="B209" s="666" t="s">
        <v>601</v>
      </c>
      <c r="C209" s="667">
        <v>0</v>
      </c>
      <c r="D209" s="667">
        <v>0</v>
      </c>
      <c r="E209" s="668">
        <v>0</v>
      </c>
    </row>
    <row r="210" spans="1:5" ht="25.5" x14ac:dyDescent="0.2">
      <c r="A210" s="665" t="s">
        <v>602</v>
      </c>
      <c r="B210" s="666" t="s">
        <v>603</v>
      </c>
      <c r="C210" s="667">
        <v>0</v>
      </c>
      <c r="D210" s="667">
        <v>0</v>
      </c>
      <c r="E210" s="668">
        <v>0</v>
      </c>
    </row>
    <row r="211" spans="1:5" ht="38.25" x14ac:dyDescent="0.2">
      <c r="A211" s="665" t="s">
        <v>604</v>
      </c>
      <c r="B211" s="666" t="s">
        <v>605</v>
      </c>
      <c r="C211" s="667">
        <v>0</v>
      </c>
      <c r="D211" s="667">
        <v>0</v>
      </c>
      <c r="E211" s="668">
        <v>0</v>
      </c>
    </row>
    <row r="212" spans="1:5" ht="51" x14ac:dyDescent="0.2">
      <c r="A212" s="665" t="s">
        <v>606</v>
      </c>
      <c r="B212" s="666" t="s">
        <v>607</v>
      </c>
      <c r="C212" s="667">
        <v>0</v>
      </c>
      <c r="D212" s="667">
        <v>0</v>
      </c>
      <c r="E212" s="668">
        <v>0</v>
      </c>
    </row>
    <row r="213" spans="1:5" ht="38.25" x14ac:dyDescent="0.2">
      <c r="A213" s="665" t="s">
        <v>608</v>
      </c>
      <c r="B213" s="666" t="s">
        <v>609</v>
      </c>
      <c r="C213" s="667">
        <v>0</v>
      </c>
      <c r="D213" s="667">
        <v>0</v>
      </c>
      <c r="E213" s="668">
        <v>0</v>
      </c>
    </row>
    <row r="214" spans="1:5" ht="25.5" x14ac:dyDescent="0.2">
      <c r="A214" s="665" t="s">
        <v>610</v>
      </c>
      <c r="B214" s="666" t="s">
        <v>611</v>
      </c>
      <c r="C214" s="667">
        <v>0</v>
      </c>
      <c r="D214" s="667">
        <v>0</v>
      </c>
      <c r="E214" s="668">
        <v>0</v>
      </c>
    </row>
    <row r="215" spans="1:5" ht="25.5" x14ac:dyDescent="0.2">
      <c r="A215" s="669" t="s">
        <v>612</v>
      </c>
      <c r="B215" s="670" t="s">
        <v>613</v>
      </c>
      <c r="C215" s="671">
        <v>14345504</v>
      </c>
      <c r="D215" s="671">
        <v>0</v>
      </c>
      <c r="E215" s="672">
        <v>144862467</v>
      </c>
    </row>
    <row r="216" spans="1:5" ht="25.5" x14ac:dyDescent="0.2">
      <c r="A216" s="665" t="s">
        <v>614</v>
      </c>
      <c r="B216" s="666" t="s">
        <v>615</v>
      </c>
      <c r="C216" s="667">
        <v>0</v>
      </c>
      <c r="D216" s="667">
        <v>0</v>
      </c>
      <c r="E216" s="668">
        <v>0</v>
      </c>
    </row>
    <row r="217" spans="1:5" ht="38.25" x14ac:dyDescent="0.2">
      <c r="A217" s="665" t="s">
        <v>616</v>
      </c>
      <c r="B217" s="666" t="s">
        <v>617</v>
      </c>
      <c r="C217" s="667">
        <v>0</v>
      </c>
      <c r="D217" s="667">
        <v>0</v>
      </c>
      <c r="E217" s="668">
        <v>0</v>
      </c>
    </row>
    <row r="218" spans="1:5" ht="25.5" x14ac:dyDescent="0.2">
      <c r="A218" s="665" t="s">
        <v>618</v>
      </c>
      <c r="B218" s="666" t="s">
        <v>619</v>
      </c>
      <c r="C218" s="667">
        <v>17698787</v>
      </c>
      <c r="D218" s="667">
        <v>0</v>
      </c>
      <c r="E218" s="668">
        <v>6629339</v>
      </c>
    </row>
    <row r="219" spans="1:5" ht="25.5" x14ac:dyDescent="0.2">
      <c r="A219" s="665" t="s">
        <v>620</v>
      </c>
      <c r="B219" s="666" t="s">
        <v>621</v>
      </c>
      <c r="C219" s="667">
        <v>0</v>
      </c>
      <c r="D219" s="667">
        <v>0</v>
      </c>
      <c r="E219" s="668">
        <v>0</v>
      </c>
    </row>
    <row r="220" spans="1:5" ht="38.25" x14ac:dyDescent="0.2">
      <c r="A220" s="665" t="s">
        <v>622</v>
      </c>
      <c r="B220" s="666" t="s">
        <v>623</v>
      </c>
      <c r="C220" s="667">
        <v>0</v>
      </c>
      <c r="D220" s="667">
        <v>0</v>
      </c>
      <c r="E220" s="668">
        <v>7634003</v>
      </c>
    </row>
    <row r="221" spans="1:5" ht="51" x14ac:dyDescent="0.2">
      <c r="A221" s="665" t="s">
        <v>624</v>
      </c>
      <c r="B221" s="666" t="s">
        <v>625</v>
      </c>
      <c r="C221" s="667">
        <v>0</v>
      </c>
      <c r="D221" s="667">
        <v>0</v>
      </c>
      <c r="E221" s="668">
        <v>0</v>
      </c>
    </row>
    <row r="222" spans="1:5" ht="38.25" x14ac:dyDescent="0.2">
      <c r="A222" s="665" t="s">
        <v>626</v>
      </c>
      <c r="B222" s="666" t="s">
        <v>627</v>
      </c>
      <c r="C222" s="667">
        <v>0</v>
      </c>
      <c r="D222" s="667">
        <v>0</v>
      </c>
      <c r="E222" s="668">
        <v>0</v>
      </c>
    </row>
    <row r="223" spans="1:5" ht="25.5" x14ac:dyDescent="0.2">
      <c r="A223" s="665" t="s">
        <v>628</v>
      </c>
      <c r="B223" s="666" t="s">
        <v>629</v>
      </c>
      <c r="C223" s="667">
        <v>0</v>
      </c>
      <c r="D223" s="667">
        <v>0</v>
      </c>
      <c r="E223" s="668">
        <v>0</v>
      </c>
    </row>
    <row r="224" spans="1:5" ht="25.5" x14ac:dyDescent="0.2">
      <c r="A224" s="665" t="s">
        <v>630</v>
      </c>
      <c r="B224" s="666" t="s">
        <v>631</v>
      </c>
      <c r="C224" s="667">
        <v>0</v>
      </c>
      <c r="D224" s="667">
        <v>0</v>
      </c>
      <c r="E224" s="668">
        <v>0</v>
      </c>
    </row>
    <row r="225" spans="1:5" ht="38.25" x14ac:dyDescent="0.2">
      <c r="A225" s="665" t="s">
        <v>632</v>
      </c>
      <c r="B225" s="666" t="s">
        <v>633</v>
      </c>
      <c r="C225" s="667">
        <v>0</v>
      </c>
      <c r="D225" s="667">
        <v>0</v>
      </c>
      <c r="E225" s="668">
        <v>0</v>
      </c>
    </row>
    <row r="226" spans="1:5" ht="51" x14ac:dyDescent="0.2">
      <c r="A226" s="665" t="s">
        <v>634</v>
      </c>
      <c r="B226" s="666" t="s">
        <v>635</v>
      </c>
      <c r="C226" s="667">
        <v>0</v>
      </c>
      <c r="D226" s="667">
        <v>0</v>
      </c>
      <c r="E226" s="668">
        <v>0</v>
      </c>
    </row>
    <row r="227" spans="1:5" ht="38.25" x14ac:dyDescent="0.2">
      <c r="A227" s="665" t="s">
        <v>636</v>
      </c>
      <c r="B227" s="666" t="s">
        <v>637</v>
      </c>
      <c r="C227" s="667">
        <v>0</v>
      </c>
      <c r="D227" s="667">
        <v>0</v>
      </c>
      <c r="E227" s="668">
        <v>0</v>
      </c>
    </row>
    <row r="228" spans="1:5" ht="38.25" x14ac:dyDescent="0.2">
      <c r="A228" s="665" t="s">
        <v>638</v>
      </c>
      <c r="B228" s="666" t="s">
        <v>639</v>
      </c>
      <c r="C228" s="667">
        <v>606987149</v>
      </c>
      <c r="D228" s="667">
        <v>0</v>
      </c>
      <c r="E228" s="668">
        <v>598030452</v>
      </c>
    </row>
    <row r="229" spans="1:5" ht="51" x14ac:dyDescent="0.2">
      <c r="A229" s="665" t="s">
        <v>640</v>
      </c>
      <c r="B229" s="666" t="s">
        <v>641</v>
      </c>
      <c r="C229" s="667">
        <v>584776429</v>
      </c>
      <c r="D229" s="667">
        <v>0</v>
      </c>
      <c r="E229" s="668">
        <v>581246531</v>
      </c>
    </row>
    <row r="230" spans="1:5" ht="38.25" x14ac:dyDescent="0.2">
      <c r="A230" s="665" t="s">
        <v>642</v>
      </c>
      <c r="B230" s="666" t="s">
        <v>643</v>
      </c>
      <c r="C230" s="667">
        <v>0</v>
      </c>
      <c r="D230" s="667">
        <v>0</v>
      </c>
      <c r="E230" s="668">
        <v>0</v>
      </c>
    </row>
    <row r="231" spans="1:5" ht="38.25" x14ac:dyDescent="0.2">
      <c r="A231" s="665" t="s">
        <v>644</v>
      </c>
      <c r="B231" s="666" t="s">
        <v>645</v>
      </c>
      <c r="C231" s="667">
        <v>0</v>
      </c>
      <c r="D231" s="667">
        <v>0</v>
      </c>
      <c r="E231" s="668">
        <v>0</v>
      </c>
    </row>
    <row r="232" spans="1:5" ht="38.25" x14ac:dyDescent="0.2">
      <c r="A232" s="665" t="s">
        <v>646</v>
      </c>
      <c r="B232" s="666" t="s">
        <v>647</v>
      </c>
      <c r="C232" s="667">
        <v>0</v>
      </c>
      <c r="D232" s="667">
        <v>0</v>
      </c>
      <c r="E232" s="668">
        <v>0</v>
      </c>
    </row>
    <row r="233" spans="1:5" ht="38.25" x14ac:dyDescent="0.2">
      <c r="A233" s="665" t="s">
        <v>648</v>
      </c>
      <c r="B233" s="666" t="s">
        <v>649</v>
      </c>
      <c r="C233" s="667">
        <v>22210720</v>
      </c>
      <c r="D233" s="667">
        <v>0</v>
      </c>
      <c r="E233" s="668">
        <v>16783921</v>
      </c>
    </row>
    <row r="234" spans="1:5" ht="38.25" x14ac:dyDescent="0.2">
      <c r="A234" s="665" t="s">
        <v>650</v>
      </c>
      <c r="B234" s="666" t="s">
        <v>651</v>
      </c>
      <c r="C234" s="667">
        <v>0</v>
      </c>
      <c r="D234" s="667">
        <v>0</v>
      </c>
      <c r="E234" s="668">
        <v>0</v>
      </c>
    </row>
    <row r="235" spans="1:5" ht="38.25" x14ac:dyDescent="0.2">
      <c r="A235" s="665" t="s">
        <v>652</v>
      </c>
      <c r="B235" s="666" t="s">
        <v>653</v>
      </c>
      <c r="C235" s="667">
        <v>0</v>
      </c>
      <c r="D235" s="667">
        <v>0</v>
      </c>
      <c r="E235" s="668">
        <v>0</v>
      </c>
    </row>
    <row r="236" spans="1:5" ht="51" x14ac:dyDescent="0.2">
      <c r="A236" s="665" t="s">
        <v>654</v>
      </c>
      <c r="B236" s="666" t="s">
        <v>655</v>
      </c>
      <c r="C236" s="667">
        <v>0</v>
      </c>
      <c r="D236" s="667">
        <v>0</v>
      </c>
      <c r="E236" s="668">
        <v>0</v>
      </c>
    </row>
    <row r="237" spans="1:5" ht="51" x14ac:dyDescent="0.2">
      <c r="A237" s="665" t="s">
        <v>656</v>
      </c>
      <c r="B237" s="666" t="s">
        <v>657</v>
      </c>
      <c r="C237" s="667">
        <v>0</v>
      </c>
      <c r="D237" s="667">
        <v>0</v>
      </c>
      <c r="E237" s="668">
        <v>0</v>
      </c>
    </row>
    <row r="238" spans="1:5" ht="25.5" x14ac:dyDescent="0.2">
      <c r="A238" s="665" t="s">
        <v>658</v>
      </c>
      <c r="B238" s="666" t="s">
        <v>659</v>
      </c>
      <c r="C238" s="667">
        <v>0</v>
      </c>
      <c r="D238" s="667">
        <v>0</v>
      </c>
      <c r="E238" s="668">
        <v>0</v>
      </c>
    </row>
    <row r="239" spans="1:5" ht="25.5" x14ac:dyDescent="0.2">
      <c r="A239" s="669" t="s">
        <v>660</v>
      </c>
      <c r="B239" s="670" t="s">
        <v>661</v>
      </c>
      <c r="C239" s="671">
        <v>624685936</v>
      </c>
      <c r="D239" s="671">
        <v>0</v>
      </c>
      <c r="E239" s="672">
        <v>612293794</v>
      </c>
    </row>
    <row r="240" spans="1:5" x14ac:dyDescent="0.2">
      <c r="A240" s="665" t="s">
        <v>662</v>
      </c>
      <c r="B240" s="666" t="s">
        <v>663</v>
      </c>
      <c r="C240" s="667">
        <v>3416089</v>
      </c>
      <c r="D240" s="667">
        <v>0</v>
      </c>
      <c r="E240" s="668">
        <v>4009324</v>
      </c>
    </row>
    <row r="241" spans="1:5" ht="25.5" x14ac:dyDescent="0.2">
      <c r="A241" s="665" t="s">
        <v>664</v>
      </c>
      <c r="B241" s="666" t="s">
        <v>665</v>
      </c>
      <c r="C241" s="667">
        <v>0</v>
      </c>
      <c r="D241" s="667">
        <v>0</v>
      </c>
      <c r="E241" s="668">
        <v>0</v>
      </c>
    </row>
    <row r="242" spans="1:5" ht="25.5" x14ac:dyDescent="0.2">
      <c r="A242" s="665" t="s">
        <v>666</v>
      </c>
      <c r="B242" s="666" t="s">
        <v>667</v>
      </c>
      <c r="C242" s="667">
        <v>3314221</v>
      </c>
      <c r="D242" s="667">
        <v>0</v>
      </c>
      <c r="E242" s="668">
        <v>2716426</v>
      </c>
    </row>
    <row r="243" spans="1:5" x14ac:dyDescent="0.2">
      <c r="A243" s="665" t="s">
        <v>668</v>
      </c>
      <c r="B243" s="666" t="s">
        <v>669</v>
      </c>
      <c r="C243" s="667">
        <v>0</v>
      </c>
      <c r="D243" s="667">
        <v>0</v>
      </c>
      <c r="E243" s="668">
        <v>0</v>
      </c>
    </row>
    <row r="244" spans="1:5" ht="38.25" x14ac:dyDescent="0.2">
      <c r="A244" s="665" t="s">
        <v>670</v>
      </c>
      <c r="B244" s="666" t="s">
        <v>671</v>
      </c>
      <c r="C244" s="667">
        <v>0</v>
      </c>
      <c r="D244" s="667">
        <v>0</v>
      </c>
      <c r="E244" s="668">
        <v>0</v>
      </c>
    </row>
    <row r="245" spans="1:5" ht="38.25" x14ac:dyDescent="0.2">
      <c r="A245" s="665" t="s">
        <v>672</v>
      </c>
      <c r="B245" s="666" t="s">
        <v>673</v>
      </c>
      <c r="C245" s="667">
        <v>0</v>
      </c>
      <c r="D245" s="667">
        <v>0</v>
      </c>
      <c r="E245" s="668">
        <v>0</v>
      </c>
    </row>
    <row r="246" spans="1:5" ht="38.25" x14ac:dyDescent="0.2">
      <c r="A246" s="665" t="s">
        <v>674</v>
      </c>
      <c r="B246" s="666" t="s">
        <v>675</v>
      </c>
      <c r="C246" s="667">
        <v>0</v>
      </c>
      <c r="D246" s="667">
        <v>0</v>
      </c>
      <c r="E246" s="668">
        <v>0</v>
      </c>
    </row>
    <row r="247" spans="1:5" ht="25.5" x14ac:dyDescent="0.2">
      <c r="A247" s="665" t="s">
        <v>676</v>
      </c>
      <c r="B247" s="666" t="s">
        <v>677</v>
      </c>
      <c r="C247" s="667">
        <v>1586850</v>
      </c>
      <c r="D247" s="667">
        <v>0</v>
      </c>
      <c r="E247" s="668">
        <v>1603330</v>
      </c>
    </row>
    <row r="248" spans="1:5" ht="25.5" x14ac:dyDescent="0.2">
      <c r="A248" s="665" t="s">
        <v>678</v>
      </c>
      <c r="B248" s="666" t="s">
        <v>679</v>
      </c>
      <c r="C248" s="667">
        <v>0</v>
      </c>
      <c r="D248" s="667">
        <v>0</v>
      </c>
      <c r="E248" s="668">
        <v>0</v>
      </c>
    </row>
    <row r="249" spans="1:5" ht="25.5" x14ac:dyDescent="0.2">
      <c r="A249" s="665" t="s">
        <v>680</v>
      </c>
      <c r="B249" s="666" t="s">
        <v>681</v>
      </c>
      <c r="C249" s="667">
        <v>0</v>
      </c>
      <c r="D249" s="667">
        <v>0</v>
      </c>
      <c r="E249" s="668">
        <v>0</v>
      </c>
    </row>
    <row r="250" spans="1:5" ht="25.5" x14ac:dyDescent="0.2">
      <c r="A250" s="669" t="s">
        <v>682</v>
      </c>
      <c r="B250" s="670" t="s">
        <v>683</v>
      </c>
      <c r="C250" s="671">
        <v>8317160</v>
      </c>
      <c r="D250" s="671">
        <v>0</v>
      </c>
      <c r="E250" s="672">
        <v>8329080</v>
      </c>
    </row>
    <row r="251" spans="1:5" x14ac:dyDescent="0.2">
      <c r="A251" s="669" t="s">
        <v>684</v>
      </c>
      <c r="B251" s="670" t="s">
        <v>685</v>
      </c>
      <c r="C251" s="671">
        <v>647348600</v>
      </c>
      <c r="D251" s="671">
        <v>0</v>
      </c>
      <c r="E251" s="672">
        <v>765485341</v>
      </c>
    </row>
    <row r="252" spans="1:5" ht="25.5" x14ac:dyDescent="0.2">
      <c r="A252" s="669" t="s">
        <v>686</v>
      </c>
      <c r="B252" s="670" t="s">
        <v>687</v>
      </c>
      <c r="C252" s="671">
        <v>0</v>
      </c>
      <c r="D252" s="671">
        <v>0</v>
      </c>
      <c r="E252" s="672">
        <v>0</v>
      </c>
    </row>
    <row r="253" spans="1:5" ht="25.5" x14ac:dyDescent="0.2">
      <c r="A253" s="665" t="s">
        <v>688</v>
      </c>
      <c r="B253" s="666" t="s">
        <v>689</v>
      </c>
      <c r="C253" s="667">
        <v>0</v>
      </c>
      <c r="D253" s="667">
        <v>0</v>
      </c>
      <c r="E253" s="668">
        <v>0</v>
      </c>
    </row>
    <row r="254" spans="1:5" ht="25.5" x14ac:dyDescent="0.2">
      <c r="A254" s="665" t="s">
        <v>690</v>
      </c>
      <c r="B254" s="666" t="s">
        <v>691</v>
      </c>
      <c r="C254" s="667">
        <v>108399900</v>
      </c>
      <c r="D254" s="667">
        <v>0</v>
      </c>
      <c r="E254" s="668">
        <v>109740185</v>
      </c>
    </row>
    <row r="255" spans="1:5" x14ac:dyDescent="0.2">
      <c r="A255" s="665" t="s">
        <v>692</v>
      </c>
      <c r="B255" s="666" t="s">
        <v>693</v>
      </c>
      <c r="C255" s="667">
        <v>193610567</v>
      </c>
      <c r="D255" s="667">
        <v>0</v>
      </c>
      <c r="E255" s="668">
        <v>866024478</v>
      </c>
    </row>
    <row r="256" spans="1:5" ht="25.5" x14ac:dyDescent="0.2">
      <c r="A256" s="669" t="s">
        <v>694</v>
      </c>
      <c r="B256" s="670" t="s">
        <v>695</v>
      </c>
      <c r="C256" s="671">
        <v>302010467</v>
      </c>
      <c r="D256" s="671">
        <v>0</v>
      </c>
      <c r="E256" s="672">
        <v>975764663</v>
      </c>
    </row>
    <row r="257" spans="1:5" x14ac:dyDescent="0.2">
      <c r="A257" s="673" t="s">
        <v>696</v>
      </c>
      <c r="B257" s="674" t="s">
        <v>697</v>
      </c>
      <c r="C257" s="675">
        <v>23115902569</v>
      </c>
      <c r="D257" s="675">
        <v>0</v>
      </c>
      <c r="E257" s="676">
        <v>22819544138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>
    <oddHeader>&amp;CDunaharaszti Város Önkormányzat 2017. évi zárszámadás&amp;R&amp;A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20" zoomScale="60" zoomScaleNormal="100" workbookViewId="0">
      <selection activeCell="A2" sqref="A2:E3"/>
    </sheetView>
  </sheetViews>
  <sheetFormatPr defaultRowHeight="12.75" x14ac:dyDescent="0.2"/>
  <cols>
    <col min="1" max="1" width="9.85546875" style="652" customWidth="1"/>
    <col min="2" max="2" width="41" style="652" customWidth="1"/>
    <col min="3" max="3" width="32.85546875" style="652" customWidth="1"/>
    <col min="4" max="4" width="29.5703125" style="652" customWidth="1"/>
    <col min="5" max="5" width="32.85546875" style="652" customWidth="1"/>
    <col min="6" max="256" width="9.140625" style="652"/>
    <col min="257" max="257" width="8.140625" style="652" customWidth="1"/>
    <col min="258" max="258" width="41" style="652" customWidth="1"/>
    <col min="259" max="261" width="32.85546875" style="652" customWidth="1"/>
    <col min="262" max="512" width="9.140625" style="652"/>
    <col min="513" max="513" width="8.140625" style="652" customWidth="1"/>
    <col min="514" max="514" width="41" style="652" customWidth="1"/>
    <col min="515" max="517" width="32.85546875" style="652" customWidth="1"/>
    <col min="518" max="768" width="9.140625" style="652"/>
    <col min="769" max="769" width="8.140625" style="652" customWidth="1"/>
    <col min="770" max="770" width="41" style="652" customWidth="1"/>
    <col min="771" max="773" width="32.85546875" style="652" customWidth="1"/>
    <col min="774" max="1024" width="9.140625" style="652"/>
    <col min="1025" max="1025" width="8.140625" style="652" customWidth="1"/>
    <col min="1026" max="1026" width="41" style="652" customWidth="1"/>
    <col min="1027" max="1029" width="32.85546875" style="652" customWidth="1"/>
    <col min="1030" max="1280" width="9.140625" style="652"/>
    <col min="1281" max="1281" width="8.140625" style="652" customWidth="1"/>
    <col min="1282" max="1282" width="41" style="652" customWidth="1"/>
    <col min="1283" max="1285" width="32.85546875" style="652" customWidth="1"/>
    <col min="1286" max="1536" width="9.140625" style="652"/>
    <col min="1537" max="1537" width="8.140625" style="652" customWidth="1"/>
    <col min="1538" max="1538" width="41" style="652" customWidth="1"/>
    <col min="1539" max="1541" width="32.85546875" style="652" customWidth="1"/>
    <col min="1542" max="1792" width="9.140625" style="652"/>
    <col min="1793" max="1793" width="8.140625" style="652" customWidth="1"/>
    <col min="1794" max="1794" width="41" style="652" customWidth="1"/>
    <col min="1795" max="1797" width="32.85546875" style="652" customWidth="1"/>
    <col min="1798" max="2048" width="9.140625" style="652"/>
    <col min="2049" max="2049" width="8.140625" style="652" customWidth="1"/>
    <col min="2050" max="2050" width="41" style="652" customWidth="1"/>
    <col min="2051" max="2053" width="32.85546875" style="652" customWidth="1"/>
    <col min="2054" max="2304" width="9.140625" style="652"/>
    <col min="2305" max="2305" width="8.140625" style="652" customWidth="1"/>
    <col min="2306" max="2306" width="41" style="652" customWidth="1"/>
    <col min="2307" max="2309" width="32.85546875" style="652" customWidth="1"/>
    <col min="2310" max="2560" width="9.140625" style="652"/>
    <col min="2561" max="2561" width="8.140625" style="652" customWidth="1"/>
    <col min="2562" max="2562" width="41" style="652" customWidth="1"/>
    <col min="2563" max="2565" width="32.85546875" style="652" customWidth="1"/>
    <col min="2566" max="2816" width="9.140625" style="652"/>
    <col min="2817" max="2817" width="8.140625" style="652" customWidth="1"/>
    <col min="2818" max="2818" width="41" style="652" customWidth="1"/>
    <col min="2819" max="2821" width="32.85546875" style="652" customWidth="1"/>
    <col min="2822" max="3072" width="9.140625" style="652"/>
    <col min="3073" max="3073" width="8.140625" style="652" customWidth="1"/>
    <col min="3074" max="3074" width="41" style="652" customWidth="1"/>
    <col min="3075" max="3077" width="32.85546875" style="652" customWidth="1"/>
    <col min="3078" max="3328" width="9.140625" style="652"/>
    <col min="3329" max="3329" width="8.140625" style="652" customWidth="1"/>
    <col min="3330" max="3330" width="41" style="652" customWidth="1"/>
    <col min="3331" max="3333" width="32.85546875" style="652" customWidth="1"/>
    <col min="3334" max="3584" width="9.140625" style="652"/>
    <col min="3585" max="3585" width="8.140625" style="652" customWidth="1"/>
    <col min="3586" max="3586" width="41" style="652" customWidth="1"/>
    <col min="3587" max="3589" width="32.85546875" style="652" customWidth="1"/>
    <col min="3590" max="3840" width="9.140625" style="652"/>
    <col min="3841" max="3841" width="8.140625" style="652" customWidth="1"/>
    <col min="3842" max="3842" width="41" style="652" customWidth="1"/>
    <col min="3843" max="3845" width="32.85546875" style="652" customWidth="1"/>
    <col min="3846" max="4096" width="9.140625" style="652"/>
    <col min="4097" max="4097" width="8.140625" style="652" customWidth="1"/>
    <col min="4098" max="4098" width="41" style="652" customWidth="1"/>
    <col min="4099" max="4101" width="32.85546875" style="652" customWidth="1"/>
    <col min="4102" max="4352" width="9.140625" style="652"/>
    <col min="4353" max="4353" width="8.140625" style="652" customWidth="1"/>
    <col min="4354" max="4354" width="41" style="652" customWidth="1"/>
    <col min="4355" max="4357" width="32.85546875" style="652" customWidth="1"/>
    <col min="4358" max="4608" width="9.140625" style="652"/>
    <col min="4609" max="4609" width="8.140625" style="652" customWidth="1"/>
    <col min="4610" max="4610" width="41" style="652" customWidth="1"/>
    <col min="4611" max="4613" width="32.85546875" style="652" customWidth="1"/>
    <col min="4614" max="4864" width="9.140625" style="652"/>
    <col min="4865" max="4865" width="8.140625" style="652" customWidth="1"/>
    <col min="4866" max="4866" width="41" style="652" customWidth="1"/>
    <col min="4867" max="4869" width="32.85546875" style="652" customWidth="1"/>
    <col min="4870" max="5120" width="9.140625" style="652"/>
    <col min="5121" max="5121" width="8.140625" style="652" customWidth="1"/>
    <col min="5122" max="5122" width="41" style="652" customWidth="1"/>
    <col min="5123" max="5125" width="32.85546875" style="652" customWidth="1"/>
    <col min="5126" max="5376" width="9.140625" style="652"/>
    <col min="5377" max="5377" width="8.140625" style="652" customWidth="1"/>
    <col min="5378" max="5378" width="41" style="652" customWidth="1"/>
    <col min="5379" max="5381" width="32.85546875" style="652" customWidth="1"/>
    <col min="5382" max="5632" width="9.140625" style="652"/>
    <col min="5633" max="5633" width="8.140625" style="652" customWidth="1"/>
    <col min="5634" max="5634" width="41" style="652" customWidth="1"/>
    <col min="5635" max="5637" width="32.85546875" style="652" customWidth="1"/>
    <col min="5638" max="5888" width="9.140625" style="652"/>
    <col min="5889" max="5889" width="8.140625" style="652" customWidth="1"/>
    <col min="5890" max="5890" width="41" style="652" customWidth="1"/>
    <col min="5891" max="5893" width="32.85546875" style="652" customWidth="1"/>
    <col min="5894" max="6144" width="9.140625" style="652"/>
    <col min="6145" max="6145" width="8.140625" style="652" customWidth="1"/>
    <col min="6146" max="6146" width="41" style="652" customWidth="1"/>
    <col min="6147" max="6149" width="32.85546875" style="652" customWidth="1"/>
    <col min="6150" max="6400" width="9.140625" style="652"/>
    <col min="6401" max="6401" width="8.140625" style="652" customWidth="1"/>
    <col min="6402" max="6402" width="41" style="652" customWidth="1"/>
    <col min="6403" max="6405" width="32.85546875" style="652" customWidth="1"/>
    <col min="6406" max="6656" width="9.140625" style="652"/>
    <col min="6657" max="6657" width="8.140625" style="652" customWidth="1"/>
    <col min="6658" max="6658" width="41" style="652" customWidth="1"/>
    <col min="6659" max="6661" width="32.85546875" style="652" customWidth="1"/>
    <col min="6662" max="6912" width="9.140625" style="652"/>
    <col min="6913" max="6913" width="8.140625" style="652" customWidth="1"/>
    <col min="6914" max="6914" width="41" style="652" customWidth="1"/>
    <col min="6915" max="6917" width="32.85546875" style="652" customWidth="1"/>
    <col min="6918" max="7168" width="9.140625" style="652"/>
    <col min="7169" max="7169" width="8.140625" style="652" customWidth="1"/>
    <col min="7170" max="7170" width="41" style="652" customWidth="1"/>
    <col min="7171" max="7173" width="32.85546875" style="652" customWidth="1"/>
    <col min="7174" max="7424" width="9.140625" style="652"/>
    <col min="7425" max="7425" width="8.140625" style="652" customWidth="1"/>
    <col min="7426" max="7426" width="41" style="652" customWidth="1"/>
    <col min="7427" max="7429" width="32.85546875" style="652" customWidth="1"/>
    <col min="7430" max="7680" width="9.140625" style="652"/>
    <col min="7681" max="7681" width="8.140625" style="652" customWidth="1"/>
    <col min="7682" max="7682" width="41" style="652" customWidth="1"/>
    <col min="7683" max="7685" width="32.85546875" style="652" customWidth="1"/>
    <col min="7686" max="7936" width="9.140625" style="652"/>
    <col min="7937" max="7937" width="8.140625" style="652" customWidth="1"/>
    <col min="7938" max="7938" width="41" style="652" customWidth="1"/>
    <col min="7939" max="7941" width="32.85546875" style="652" customWidth="1"/>
    <col min="7942" max="8192" width="9.140625" style="652"/>
    <col min="8193" max="8193" width="8.140625" style="652" customWidth="1"/>
    <col min="8194" max="8194" width="41" style="652" customWidth="1"/>
    <col min="8195" max="8197" width="32.85546875" style="652" customWidth="1"/>
    <col min="8198" max="8448" width="9.140625" style="652"/>
    <col min="8449" max="8449" width="8.140625" style="652" customWidth="1"/>
    <col min="8450" max="8450" width="41" style="652" customWidth="1"/>
    <col min="8451" max="8453" width="32.85546875" style="652" customWidth="1"/>
    <col min="8454" max="8704" width="9.140625" style="652"/>
    <col min="8705" max="8705" width="8.140625" style="652" customWidth="1"/>
    <col min="8706" max="8706" width="41" style="652" customWidth="1"/>
    <col min="8707" max="8709" width="32.85546875" style="652" customWidth="1"/>
    <col min="8710" max="8960" width="9.140625" style="652"/>
    <col min="8961" max="8961" width="8.140625" style="652" customWidth="1"/>
    <col min="8962" max="8962" width="41" style="652" customWidth="1"/>
    <col min="8963" max="8965" width="32.85546875" style="652" customWidth="1"/>
    <col min="8966" max="9216" width="9.140625" style="652"/>
    <col min="9217" max="9217" width="8.140625" style="652" customWidth="1"/>
    <col min="9218" max="9218" width="41" style="652" customWidth="1"/>
    <col min="9219" max="9221" width="32.85546875" style="652" customWidth="1"/>
    <col min="9222" max="9472" width="9.140625" style="652"/>
    <col min="9473" max="9473" width="8.140625" style="652" customWidth="1"/>
    <col min="9474" max="9474" width="41" style="652" customWidth="1"/>
    <col min="9475" max="9477" width="32.85546875" style="652" customWidth="1"/>
    <col min="9478" max="9728" width="9.140625" style="652"/>
    <col min="9729" max="9729" width="8.140625" style="652" customWidth="1"/>
    <col min="9730" max="9730" width="41" style="652" customWidth="1"/>
    <col min="9731" max="9733" width="32.85546875" style="652" customWidth="1"/>
    <col min="9734" max="9984" width="9.140625" style="652"/>
    <col min="9985" max="9985" width="8.140625" style="652" customWidth="1"/>
    <col min="9986" max="9986" width="41" style="652" customWidth="1"/>
    <col min="9987" max="9989" width="32.85546875" style="652" customWidth="1"/>
    <col min="9990" max="10240" width="9.140625" style="652"/>
    <col min="10241" max="10241" width="8.140625" style="652" customWidth="1"/>
    <col min="10242" max="10242" width="41" style="652" customWidth="1"/>
    <col min="10243" max="10245" width="32.85546875" style="652" customWidth="1"/>
    <col min="10246" max="10496" width="9.140625" style="652"/>
    <col min="10497" max="10497" width="8.140625" style="652" customWidth="1"/>
    <col min="10498" max="10498" width="41" style="652" customWidth="1"/>
    <col min="10499" max="10501" width="32.85546875" style="652" customWidth="1"/>
    <col min="10502" max="10752" width="9.140625" style="652"/>
    <col min="10753" max="10753" width="8.140625" style="652" customWidth="1"/>
    <col min="10754" max="10754" width="41" style="652" customWidth="1"/>
    <col min="10755" max="10757" width="32.85546875" style="652" customWidth="1"/>
    <col min="10758" max="11008" width="9.140625" style="652"/>
    <col min="11009" max="11009" width="8.140625" style="652" customWidth="1"/>
    <col min="11010" max="11010" width="41" style="652" customWidth="1"/>
    <col min="11011" max="11013" width="32.85546875" style="652" customWidth="1"/>
    <col min="11014" max="11264" width="9.140625" style="652"/>
    <col min="11265" max="11265" width="8.140625" style="652" customWidth="1"/>
    <col min="11266" max="11266" width="41" style="652" customWidth="1"/>
    <col min="11267" max="11269" width="32.85546875" style="652" customWidth="1"/>
    <col min="11270" max="11520" width="9.140625" style="652"/>
    <col min="11521" max="11521" width="8.140625" style="652" customWidth="1"/>
    <col min="11522" max="11522" width="41" style="652" customWidth="1"/>
    <col min="11523" max="11525" width="32.85546875" style="652" customWidth="1"/>
    <col min="11526" max="11776" width="9.140625" style="652"/>
    <col min="11777" max="11777" width="8.140625" style="652" customWidth="1"/>
    <col min="11778" max="11778" width="41" style="652" customWidth="1"/>
    <col min="11779" max="11781" width="32.85546875" style="652" customWidth="1"/>
    <col min="11782" max="12032" width="9.140625" style="652"/>
    <col min="12033" max="12033" width="8.140625" style="652" customWidth="1"/>
    <col min="12034" max="12034" width="41" style="652" customWidth="1"/>
    <col min="12035" max="12037" width="32.85546875" style="652" customWidth="1"/>
    <col min="12038" max="12288" width="9.140625" style="652"/>
    <col min="12289" max="12289" width="8.140625" style="652" customWidth="1"/>
    <col min="12290" max="12290" width="41" style="652" customWidth="1"/>
    <col min="12291" max="12293" width="32.85546875" style="652" customWidth="1"/>
    <col min="12294" max="12544" width="9.140625" style="652"/>
    <col min="12545" max="12545" width="8.140625" style="652" customWidth="1"/>
    <col min="12546" max="12546" width="41" style="652" customWidth="1"/>
    <col min="12547" max="12549" width="32.85546875" style="652" customWidth="1"/>
    <col min="12550" max="12800" width="9.140625" style="652"/>
    <col min="12801" max="12801" width="8.140625" style="652" customWidth="1"/>
    <col min="12802" max="12802" width="41" style="652" customWidth="1"/>
    <col min="12803" max="12805" width="32.85546875" style="652" customWidth="1"/>
    <col min="12806" max="13056" width="9.140625" style="652"/>
    <col min="13057" max="13057" width="8.140625" style="652" customWidth="1"/>
    <col min="13058" max="13058" width="41" style="652" customWidth="1"/>
    <col min="13059" max="13061" width="32.85546875" style="652" customWidth="1"/>
    <col min="13062" max="13312" width="9.140625" style="652"/>
    <col min="13313" max="13313" width="8.140625" style="652" customWidth="1"/>
    <col min="13314" max="13314" width="41" style="652" customWidth="1"/>
    <col min="13315" max="13317" width="32.85546875" style="652" customWidth="1"/>
    <col min="13318" max="13568" width="9.140625" style="652"/>
    <col min="13569" max="13569" width="8.140625" style="652" customWidth="1"/>
    <col min="13570" max="13570" width="41" style="652" customWidth="1"/>
    <col min="13571" max="13573" width="32.85546875" style="652" customWidth="1"/>
    <col min="13574" max="13824" width="9.140625" style="652"/>
    <col min="13825" max="13825" width="8.140625" style="652" customWidth="1"/>
    <col min="13826" max="13826" width="41" style="652" customWidth="1"/>
    <col min="13827" max="13829" width="32.85546875" style="652" customWidth="1"/>
    <col min="13830" max="14080" width="9.140625" style="652"/>
    <col min="14081" max="14081" width="8.140625" style="652" customWidth="1"/>
    <col min="14082" max="14082" width="41" style="652" customWidth="1"/>
    <col min="14083" max="14085" width="32.85546875" style="652" customWidth="1"/>
    <col min="14086" max="14336" width="9.140625" style="652"/>
    <col min="14337" max="14337" width="8.140625" style="652" customWidth="1"/>
    <col min="14338" max="14338" width="41" style="652" customWidth="1"/>
    <col min="14339" max="14341" width="32.85546875" style="652" customWidth="1"/>
    <col min="14342" max="14592" width="9.140625" style="652"/>
    <col min="14593" max="14593" width="8.140625" style="652" customWidth="1"/>
    <col min="14594" max="14594" width="41" style="652" customWidth="1"/>
    <col min="14595" max="14597" width="32.85546875" style="652" customWidth="1"/>
    <col min="14598" max="14848" width="9.140625" style="652"/>
    <col min="14849" max="14849" width="8.140625" style="652" customWidth="1"/>
    <col min="14850" max="14850" width="41" style="652" customWidth="1"/>
    <col min="14851" max="14853" width="32.85546875" style="652" customWidth="1"/>
    <col min="14854" max="15104" width="9.140625" style="652"/>
    <col min="15105" max="15105" width="8.140625" style="652" customWidth="1"/>
    <col min="15106" max="15106" width="41" style="652" customWidth="1"/>
    <col min="15107" max="15109" width="32.85546875" style="652" customWidth="1"/>
    <col min="15110" max="15360" width="9.140625" style="652"/>
    <col min="15361" max="15361" width="8.140625" style="652" customWidth="1"/>
    <col min="15362" max="15362" width="41" style="652" customWidth="1"/>
    <col min="15363" max="15365" width="32.85546875" style="652" customWidth="1"/>
    <col min="15366" max="15616" width="9.140625" style="652"/>
    <col min="15617" max="15617" width="8.140625" style="652" customWidth="1"/>
    <col min="15618" max="15618" width="41" style="652" customWidth="1"/>
    <col min="15619" max="15621" width="32.85546875" style="652" customWidth="1"/>
    <col min="15622" max="15872" width="9.140625" style="652"/>
    <col min="15873" max="15873" width="8.140625" style="652" customWidth="1"/>
    <col min="15874" max="15874" width="41" style="652" customWidth="1"/>
    <col min="15875" max="15877" width="32.85546875" style="652" customWidth="1"/>
    <col min="15878" max="16128" width="9.140625" style="652"/>
    <col min="16129" max="16129" width="8.140625" style="652" customWidth="1"/>
    <col min="16130" max="16130" width="41" style="652" customWidth="1"/>
    <col min="16131" max="16133" width="32.85546875" style="652" customWidth="1"/>
    <col min="16134" max="16384" width="9.140625" style="652"/>
  </cols>
  <sheetData>
    <row r="1" spans="1:5" s="677" customFormat="1" ht="27.75" customHeight="1" x14ac:dyDescent="0.25">
      <c r="A1" s="831" t="s">
        <v>698</v>
      </c>
      <c r="B1" s="832"/>
      <c r="C1" s="832"/>
      <c r="D1" s="832"/>
      <c r="E1" s="832"/>
    </row>
    <row r="2" spans="1:5" s="677" customFormat="1" ht="30" x14ac:dyDescent="0.25">
      <c r="A2" s="678" t="s">
        <v>1</v>
      </c>
      <c r="B2" s="679" t="s">
        <v>32</v>
      </c>
      <c r="C2" s="679" t="s">
        <v>187</v>
      </c>
      <c r="D2" s="679" t="s">
        <v>188</v>
      </c>
      <c r="E2" s="680" t="s">
        <v>189</v>
      </c>
    </row>
    <row r="3" spans="1:5" s="677" customFormat="1" ht="15" x14ac:dyDescent="0.25">
      <c r="A3" s="681">
        <v>1</v>
      </c>
      <c r="B3" s="682">
        <v>2</v>
      </c>
      <c r="C3" s="682">
        <v>3</v>
      </c>
      <c r="D3" s="682">
        <v>4</v>
      </c>
      <c r="E3" s="683">
        <v>5</v>
      </c>
    </row>
    <row r="4" spans="1:5" x14ac:dyDescent="0.2">
      <c r="A4" s="661" t="s">
        <v>190</v>
      </c>
      <c r="B4" s="662" t="s">
        <v>699</v>
      </c>
      <c r="C4" s="663">
        <v>3236790321</v>
      </c>
      <c r="D4" s="663">
        <v>0</v>
      </c>
      <c r="E4" s="664">
        <v>3463545045</v>
      </c>
    </row>
    <row r="5" spans="1:5" ht="25.5" x14ac:dyDescent="0.2">
      <c r="A5" s="665" t="s">
        <v>192</v>
      </c>
      <c r="B5" s="666" t="s">
        <v>700</v>
      </c>
      <c r="C5" s="667">
        <v>195977584</v>
      </c>
      <c r="D5" s="667">
        <v>0</v>
      </c>
      <c r="E5" s="668">
        <v>228363773</v>
      </c>
    </row>
    <row r="6" spans="1:5" ht="25.5" x14ac:dyDescent="0.2">
      <c r="A6" s="665" t="s">
        <v>194</v>
      </c>
      <c r="B6" s="666" t="s">
        <v>701</v>
      </c>
      <c r="C6" s="667">
        <v>131925213</v>
      </c>
      <c r="D6" s="667">
        <v>0</v>
      </c>
      <c r="E6" s="668">
        <v>116756783</v>
      </c>
    </row>
    <row r="7" spans="1:5" ht="25.5" x14ac:dyDescent="0.2">
      <c r="A7" s="669" t="s">
        <v>196</v>
      </c>
      <c r="B7" s="670" t="s">
        <v>702</v>
      </c>
      <c r="C7" s="671">
        <v>3564693118</v>
      </c>
      <c r="D7" s="671">
        <v>0</v>
      </c>
      <c r="E7" s="672">
        <v>3808665601</v>
      </c>
    </row>
    <row r="8" spans="1:5" ht="25.5" x14ac:dyDescent="0.2">
      <c r="A8" s="665" t="s">
        <v>198</v>
      </c>
      <c r="B8" s="666" t="s">
        <v>703</v>
      </c>
      <c r="C8" s="667">
        <v>0</v>
      </c>
      <c r="D8" s="667">
        <v>0</v>
      </c>
      <c r="E8" s="668">
        <v>0</v>
      </c>
    </row>
    <row r="9" spans="1:5" x14ac:dyDescent="0.2">
      <c r="A9" s="665" t="s">
        <v>200</v>
      </c>
      <c r="B9" s="666" t="s">
        <v>704</v>
      </c>
      <c r="C9" s="667">
        <v>0</v>
      </c>
      <c r="D9" s="667">
        <v>0</v>
      </c>
      <c r="E9" s="668">
        <v>0</v>
      </c>
    </row>
    <row r="10" spans="1:5" ht="25.5" x14ac:dyDescent="0.2">
      <c r="A10" s="669" t="s">
        <v>202</v>
      </c>
      <c r="B10" s="670" t="s">
        <v>705</v>
      </c>
      <c r="C10" s="671">
        <v>0</v>
      </c>
      <c r="D10" s="671">
        <v>0</v>
      </c>
      <c r="E10" s="672">
        <v>0</v>
      </c>
    </row>
    <row r="11" spans="1:5" ht="25.5" x14ac:dyDescent="0.2">
      <c r="A11" s="665" t="s">
        <v>204</v>
      </c>
      <c r="B11" s="666" t="s">
        <v>706</v>
      </c>
      <c r="C11" s="667">
        <v>2437879701</v>
      </c>
      <c r="D11" s="667">
        <v>0</v>
      </c>
      <c r="E11" s="668">
        <v>2644886190</v>
      </c>
    </row>
    <row r="12" spans="1:5" ht="25.5" x14ac:dyDescent="0.2">
      <c r="A12" s="665" t="s">
        <v>206</v>
      </c>
      <c r="B12" s="666" t="s">
        <v>707</v>
      </c>
      <c r="C12" s="667">
        <v>73317092</v>
      </c>
      <c r="D12" s="667">
        <v>0</v>
      </c>
      <c r="E12" s="668">
        <v>146871702</v>
      </c>
    </row>
    <row r="13" spans="1:5" ht="25.5" x14ac:dyDescent="0.2">
      <c r="A13" s="665" t="s">
        <v>208</v>
      </c>
      <c r="B13" s="666" t="s">
        <v>708</v>
      </c>
      <c r="C13" s="667">
        <v>0</v>
      </c>
      <c r="D13" s="667">
        <v>0</v>
      </c>
      <c r="E13" s="668">
        <v>11746518</v>
      </c>
    </row>
    <row r="14" spans="1:5" ht="25.5" x14ac:dyDescent="0.2">
      <c r="A14" s="665" t="s">
        <v>210</v>
      </c>
      <c r="B14" s="666" t="s">
        <v>709</v>
      </c>
      <c r="C14" s="667">
        <v>136492652</v>
      </c>
      <c r="D14" s="667">
        <v>0</v>
      </c>
      <c r="E14" s="668">
        <v>273103511</v>
      </c>
    </row>
    <row r="15" spans="1:5" ht="25.5" x14ac:dyDescent="0.2">
      <c r="A15" s="669" t="s">
        <v>212</v>
      </c>
      <c r="B15" s="670" t="s">
        <v>710</v>
      </c>
      <c r="C15" s="671">
        <v>2647689445</v>
      </c>
      <c r="D15" s="671">
        <v>0</v>
      </c>
      <c r="E15" s="672">
        <v>3076607921</v>
      </c>
    </row>
    <row r="16" spans="1:5" x14ac:dyDescent="0.2">
      <c r="A16" s="665" t="s">
        <v>214</v>
      </c>
      <c r="B16" s="666" t="s">
        <v>711</v>
      </c>
      <c r="C16" s="667">
        <v>153804098</v>
      </c>
      <c r="D16" s="667">
        <v>0</v>
      </c>
      <c r="E16" s="668">
        <v>51608601</v>
      </c>
    </row>
    <row r="17" spans="1:5" x14ac:dyDescent="0.2">
      <c r="A17" s="665" t="s">
        <v>216</v>
      </c>
      <c r="B17" s="666" t="s">
        <v>712</v>
      </c>
      <c r="C17" s="667">
        <v>1116367853</v>
      </c>
      <c r="D17" s="667">
        <v>0</v>
      </c>
      <c r="E17" s="668">
        <v>1155500439</v>
      </c>
    </row>
    <row r="18" spans="1:5" x14ac:dyDescent="0.2">
      <c r="A18" s="665" t="s">
        <v>218</v>
      </c>
      <c r="B18" s="666" t="s">
        <v>713</v>
      </c>
      <c r="C18" s="667">
        <v>2938123</v>
      </c>
      <c r="D18" s="667">
        <v>0</v>
      </c>
      <c r="E18" s="668">
        <v>4539871</v>
      </c>
    </row>
    <row r="19" spans="1:5" x14ac:dyDescent="0.2">
      <c r="A19" s="665" t="s">
        <v>220</v>
      </c>
      <c r="B19" s="666" t="s">
        <v>714</v>
      </c>
      <c r="C19" s="667">
        <v>29999756</v>
      </c>
      <c r="D19" s="667">
        <v>0</v>
      </c>
      <c r="E19" s="668">
        <v>65281176</v>
      </c>
    </row>
    <row r="20" spans="1:5" ht="25.5" x14ac:dyDescent="0.2">
      <c r="A20" s="669" t="s">
        <v>222</v>
      </c>
      <c r="B20" s="670" t="s">
        <v>715</v>
      </c>
      <c r="C20" s="671">
        <v>1303109830</v>
      </c>
      <c r="D20" s="671">
        <v>0</v>
      </c>
      <c r="E20" s="672">
        <v>1276930087</v>
      </c>
    </row>
    <row r="21" spans="1:5" x14ac:dyDescent="0.2">
      <c r="A21" s="665" t="s">
        <v>224</v>
      </c>
      <c r="B21" s="666" t="s">
        <v>716</v>
      </c>
      <c r="C21" s="667">
        <v>904452416</v>
      </c>
      <c r="D21" s="667">
        <v>0</v>
      </c>
      <c r="E21" s="668">
        <v>991385247</v>
      </c>
    </row>
    <row r="22" spans="1:5" x14ac:dyDescent="0.2">
      <c r="A22" s="665" t="s">
        <v>226</v>
      </c>
      <c r="B22" s="666" t="s">
        <v>717</v>
      </c>
      <c r="C22" s="667">
        <v>233153751</v>
      </c>
      <c r="D22" s="667">
        <v>0</v>
      </c>
      <c r="E22" s="668">
        <v>219844597</v>
      </c>
    </row>
    <row r="23" spans="1:5" x14ac:dyDescent="0.2">
      <c r="A23" s="665" t="s">
        <v>228</v>
      </c>
      <c r="B23" s="666" t="s">
        <v>718</v>
      </c>
      <c r="C23" s="667">
        <v>319150127</v>
      </c>
      <c r="D23" s="667">
        <v>0</v>
      </c>
      <c r="E23" s="668">
        <v>283819698</v>
      </c>
    </row>
    <row r="24" spans="1:5" ht="25.5" x14ac:dyDescent="0.2">
      <c r="A24" s="669" t="s">
        <v>230</v>
      </c>
      <c r="B24" s="670" t="s">
        <v>719</v>
      </c>
      <c r="C24" s="671">
        <v>1456756294</v>
      </c>
      <c r="D24" s="671">
        <v>0</v>
      </c>
      <c r="E24" s="672">
        <v>1495049542</v>
      </c>
    </row>
    <row r="25" spans="1:5" x14ac:dyDescent="0.2">
      <c r="A25" s="669" t="s">
        <v>232</v>
      </c>
      <c r="B25" s="670" t="s">
        <v>720</v>
      </c>
      <c r="C25" s="671">
        <v>534705486</v>
      </c>
      <c r="D25" s="671">
        <v>0</v>
      </c>
      <c r="E25" s="672">
        <v>564809385</v>
      </c>
    </row>
    <row r="26" spans="1:5" x14ac:dyDescent="0.2">
      <c r="A26" s="669" t="s">
        <v>234</v>
      </c>
      <c r="B26" s="670" t="s">
        <v>721</v>
      </c>
      <c r="C26" s="671">
        <v>2375256896</v>
      </c>
      <c r="D26" s="671">
        <v>0</v>
      </c>
      <c r="E26" s="672">
        <v>3256077807</v>
      </c>
    </row>
    <row r="27" spans="1:5" ht="25.5" x14ac:dyDescent="0.2">
      <c r="A27" s="669" t="s">
        <v>236</v>
      </c>
      <c r="B27" s="670" t="s">
        <v>722</v>
      </c>
      <c r="C27" s="671">
        <v>542554057</v>
      </c>
      <c r="D27" s="671">
        <v>0</v>
      </c>
      <c r="E27" s="672">
        <v>292406701</v>
      </c>
    </row>
    <row r="28" spans="1:5" x14ac:dyDescent="0.2">
      <c r="A28" s="665" t="s">
        <v>238</v>
      </c>
      <c r="B28" s="666" t="s">
        <v>723</v>
      </c>
      <c r="C28" s="667">
        <v>0</v>
      </c>
      <c r="D28" s="667">
        <v>0</v>
      </c>
      <c r="E28" s="668">
        <v>0</v>
      </c>
    </row>
    <row r="29" spans="1:5" ht="38.25" x14ac:dyDescent="0.2">
      <c r="A29" s="665" t="s">
        <v>240</v>
      </c>
      <c r="B29" s="666" t="s">
        <v>724</v>
      </c>
      <c r="C29" s="667">
        <v>0</v>
      </c>
      <c r="D29" s="667">
        <v>0</v>
      </c>
      <c r="E29" s="668">
        <v>0</v>
      </c>
    </row>
    <row r="30" spans="1:5" ht="38.25" x14ac:dyDescent="0.2">
      <c r="A30" s="665" t="s">
        <v>242</v>
      </c>
      <c r="B30" s="666" t="s">
        <v>725</v>
      </c>
      <c r="C30" s="667">
        <v>0</v>
      </c>
      <c r="D30" s="667">
        <v>0</v>
      </c>
      <c r="E30" s="668">
        <v>0</v>
      </c>
    </row>
    <row r="31" spans="1:5" ht="25.5" x14ac:dyDescent="0.2">
      <c r="A31" s="665" t="s">
        <v>244</v>
      </c>
      <c r="B31" s="666" t="s">
        <v>726</v>
      </c>
      <c r="C31" s="667">
        <v>2051901</v>
      </c>
      <c r="D31" s="667">
        <v>0</v>
      </c>
      <c r="E31" s="668">
        <v>614757</v>
      </c>
    </row>
    <row r="32" spans="1:5" ht="25.5" x14ac:dyDescent="0.2">
      <c r="A32" s="665" t="s">
        <v>246</v>
      </c>
      <c r="B32" s="666" t="s">
        <v>727</v>
      </c>
      <c r="C32" s="667">
        <v>5500000</v>
      </c>
      <c r="D32" s="667">
        <v>0</v>
      </c>
      <c r="E32" s="668">
        <v>0</v>
      </c>
    </row>
    <row r="33" spans="1:5" ht="38.25" x14ac:dyDescent="0.2">
      <c r="A33" s="665" t="s">
        <v>248</v>
      </c>
      <c r="B33" s="666" t="s">
        <v>728</v>
      </c>
      <c r="C33" s="667">
        <v>0</v>
      </c>
      <c r="D33" s="667">
        <v>0</v>
      </c>
      <c r="E33" s="668">
        <v>0</v>
      </c>
    </row>
    <row r="34" spans="1:5" ht="51" x14ac:dyDescent="0.2">
      <c r="A34" s="665" t="s">
        <v>250</v>
      </c>
      <c r="B34" s="666" t="s">
        <v>729</v>
      </c>
      <c r="C34" s="667">
        <v>0</v>
      </c>
      <c r="D34" s="667">
        <v>0</v>
      </c>
      <c r="E34" s="668">
        <v>0</v>
      </c>
    </row>
    <row r="35" spans="1:5" ht="38.25" x14ac:dyDescent="0.2">
      <c r="A35" s="669" t="s">
        <v>252</v>
      </c>
      <c r="B35" s="670" t="s">
        <v>730</v>
      </c>
      <c r="C35" s="671">
        <v>7551901</v>
      </c>
      <c r="D35" s="671">
        <v>0</v>
      </c>
      <c r="E35" s="672">
        <v>614757</v>
      </c>
    </row>
    <row r="36" spans="1:5" ht="25.5" x14ac:dyDescent="0.2">
      <c r="A36" s="665" t="s">
        <v>254</v>
      </c>
      <c r="B36" s="666" t="s">
        <v>731</v>
      </c>
      <c r="C36" s="667">
        <v>0</v>
      </c>
      <c r="D36" s="667">
        <v>0</v>
      </c>
      <c r="E36" s="668">
        <v>21716695</v>
      </c>
    </row>
    <row r="37" spans="1:5" ht="38.25" x14ac:dyDescent="0.2">
      <c r="A37" s="665" t="s">
        <v>256</v>
      </c>
      <c r="B37" s="666" t="s">
        <v>732</v>
      </c>
      <c r="C37" s="667">
        <v>0</v>
      </c>
      <c r="D37" s="667">
        <v>0</v>
      </c>
      <c r="E37" s="668">
        <v>0</v>
      </c>
    </row>
    <row r="38" spans="1:5" ht="25.5" x14ac:dyDescent="0.2">
      <c r="A38" s="665" t="s">
        <v>258</v>
      </c>
      <c r="B38" s="666" t="s">
        <v>733</v>
      </c>
      <c r="C38" s="667">
        <v>22298013</v>
      </c>
      <c r="D38" s="667">
        <v>0</v>
      </c>
      <c r="E38" s="668">
        <v>0</v>
      </c>
    </row>
    <row r="39" spans="1:5" ht="25.5" x14ac:dyDescent="0.2">
      <c r="A39" s="665" t="s">
        <v>260</v>
      </c>
      <c r="B39" s="666" t="s">
        <v>734</v>
      </c>
      <c r="C39" s="667">
        <v>19680000</v>
      </c>
      <c r="D39" s="667">
        <v>0</v>
      </c>
      <c r="E39" s="668">
        <v>15120000</v>
      </c>
    </row>
    <row r="40" spans="1:5" ht="25.5" x14ac:dyDescent="0.2">
      <c r="A40" s="665" t="s">
        <v>262</v>
      </c>
      <c r="B40" s="666" t="s">
        <v>735</v>
      </c>
      <c r="C40" s="667">
        <v>0</v>
      </c>
      <c r="D40" s="667">
        <v>0</v>
      </c>
      <c r="E40" s="668">
        <v>0</v>
      </c>
    </row>
    <row r="41" spans="1:5" ht="25.5" x14ac:dyDescent="0.2">
      <c r="A41" s="665" t="s">
        <v>264</v>
      </c>
      <c r="B41" s="666" t="s">
        <v>736</v>
      </c>
      <c r="C41" s="667">
        <v>0</v>
      </c>
      <c r="D41" s="667">
        <v>0</v>
      </c>
      <c r="E41" s="668">
        <v>0</v>
      </c>
    </row>
    <row r="42" spans="1:5" ht="25.5" x14ac:dyDescent="0.2">
      <c r="A42" s="665" t="s">
        <v>266</v>
      </c>
      <c r="B42" s="666" t="s">
        <v>737</v>
      </c>
      <c r="C42" s="667">
        <v>0</v>
      </c>
      <c r="D42" s="667">
        <v>0</v>
      </c>
      <c r="E42" s="668">
        <v>0</v>
      </c>
    </row>
    <row r="43" spans="1:5" ht="51" x14ac:dyDescent="0.2">
      <c r="A43" s="665" t="s">
        <v>268</v>
      </c>
      <c r="B43" s="666" t="s">
        <v>738</v>
      </c>
      <c r="C43" s="667">
        <v>0</v>
      </c>
      <c r="D43" s="667">
        <v>0</v>
      </c>
      <c r="E43" s="668">
        <v>0</v>
      </c>
    </row>
    <row r="44" spans="1:5" ht="51" x14ac:dyDescent="0.2">
      <c r="A44" s="665" t="s">
        <v>270</v>
      </c>
      <c r="B44" s="666" t="s">
        <v>739</v>
      </c>
      <c r="C44" s="667">
        <v>0</v>
      </c>
      <c r="D44" s="667">
        <v>0</v>
      </c>
      <c r="E44" s="668">
        <v>0</v>
      </c>
    </row>
    <row r="45" spans="1:5" ht="25.5" x14ac:dyDescent="0.2">
      <c r="A45" s="669" t="s">
        <v>272</v>
      </c>
      <c r="B45" s="670" t="s">
        <v>740</v>
      </c>
      <c r="C45" s="671">
        <v>41978013</v>
      </c>
      <c r="D45" s="671">
        <v>0</v>
      </c>
      <c r="E45" s="672">
        <v>36836695</v>
      </c>
    </row>
    <row r="46" spans="1:5" ht="25.5" x14ac:dyDescent="0.2">
      <c r="A46" s="669" t="s">
        <v>274</v>
      </c>
      <c r="B46" s="670" t="s">
        <v>741</v>
      </c>
      <c r="C46" s="671">
        <v>-34426112</v>
      </c>
      <c r="D46" s="671">
        <v>0</v>
      </c>
      <c r="E46" s="672">
        <v>-36221938</v>
      </c>
    </row>
    <row r="47" spans="1:5" x14ac:dyDescent="0.2">
      <c r="A47" s="673" t="s">
        <v>276</v>
      </c>
      <c r="B47" s="674" t="s">
        <v>742</v>
      </c>
      <c r="C47" s="675">
        <v>508127945</v>
      </c>
      <c r="D47" s="675">
        <v>0</v>
      </c>
      <c r="E47" s="676">
        <v>256184763</v>
      </c>
    </row>
  </sheetData>
  <mergeCells count="1">
    <mergeCell ref="A1:E1"/>
  </mergeCells>
  <pageMargins left="0.75" right="0.75" top="1" bottom="1" header="0.5" footer="0.5"/>
  <pageSetup scale="57" orientation="portrait" horizontalDpi="300" verticalDpi="300" r:id="rId1"/>
  <headerFooter alignWithMargins="0">
    <oddHeader>&amp;CDunaharaszti Város Önkormányzat 2017. évi zárszámadás&amp;R&amp;A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8"/>
  <sheetViews>
    <sheetView view="pageLayout" zoomScaleNormal="100" zoomScaleSheetLayoutView="80" workbookViewId="0">
      <selection activeCell="H37" sqref="H37:I37"/>
    </sheetView>
  </sheetViews>
  <sheetFormatPr defaultColWidth="8.85546875" defaultRowHeight="12.75" x14ac:dyDescent="0.2"/>
  <cols>
    <col min="1" max="1" width="5.140625" style="412" customWidth="1"/>
    <col min="2" max="2" width="61.42578125" style="412" customWidth="1"/>
    <col min="3" max="3" width="7.140625" style="412" bestFit="1" customWidth="1"/>
    <col min="4" max="4" width="17" style="412" customWidth="1"/>
    <col min="5" max="6" width="18.140625" style="412" customWidth="1"/>
    <col min="7" max="7" width="3.85546875" style="412" customWidth="1"/>
    <col min="8" max="8" width="68.140625" style="412" customWidth="1"/>
    <col min="9" max="9" width="7.140625" style="412" bestFit="1" customWidth="1"/>
    <col min="10" max="10" width="17.140625" style="412" customWidth="1"/>
    <col min="11" max="11" width="19" style="412" customWidth="1"/>
    <col min="12" max="12" width="17.140625" style="412" customWidth="1"/>
    <col min="13" max="14" width="11.7109375" style="412" bestFit="1" customWidth="1"/>
    <col min="15" max="257" width="8.85546875" style="412"/>
    <col min="258" max="258" width="5.140625" style="412" customWidth="1"/>
    <col min="259" max="259" width="61.42578125" style="412" customWidth="1"/>
    <col min="260" max="260" width="7.140625" style="412" bestFit="1" customWidth="1"/>
    <col min="261" max="261" width="17" style="412" customWidth="1"/>
    <col min="262" max="262" width="18.140625" style="412" customWidth="1"/>
    <col min="263" max="263" width="3.85546875" style="412" customWidth="1"/>
    <col min="264" max="264" width="68.140625" style="412" customWidth="1"/>
    <col min="265" max="265" width="7.140625" style="412" bestFit="1" customWidth="1"/>
    <col min="266" max="266" width="17.140625" style="412" customWidth="1"/>
    <col min="267" max="267" width="19" style="412" customWidth="1"/>
    <col min="268" max="268" width="8.85546875" style="412"/>
    <col min="269" max="270" width="11.7109375" style="412" bestFit="1" customWidth="1"/>
    <col min="271" max="513" width="8.85546875" style="412"/>
    <col min="514" max="514" width="5.140625" style="412" customWidth="1"/>
    <col min="515" max="515" width="61.42578125" style="412" customWidth="1"/>
    <col min="516" max="516" width="7.140625" style="412" bestFit="1" customWidth="1"/>
    <col min="517" max="517" width="17" style="412" customWidth="1"/>
    <col min="518" max="518" width="18.140625" style="412" customWidth="1"/>
    <col min="519" max="519" width="3.85546875" style="412" customWidth="1"/>
    <col min="520" max="520" width="68.140625" style="412" customWidth="1"/>
    <col min="521" max="521" width="7.140625" style="412" bestFit="1" customWidth="1"/>
    <col min="522" max="522" width="17.140625" style="412" customWidth="1"/>
    <col min="523" max="523" width="19" style="412" customWidth="1"/>
    <col min="524" max="524" width="8.85546875" style="412"/>
    <col min="525" max="526" width="11.7109375" style="412" bestFit="1" customWidth="1"/>
    <col min="527" max="769" width="8.85546875" style="412"/>
    <col min="770" max="770" width="5.140625" style="412" customWidth="1"/>
    <col min="771" max="771" width="61.42578125" style="412" customWidth="1"/>
    <col min="772" max="772" width="7.140625" style="412" bestFit="1" customWidth="1"/>
    <col min="773" max="773" width="17" style="412" customWidth="1"/>
    <col min="774" max="774" width="18.140625" style="412" customWidth="1"/>
    <col min="775" max="775" width="3.85546875" style="412" customWidth="1"/>
    <col min="776" max="776" width="68.140625" style="412" customWidth="1"/>
    <col min="777" max="777" width="7.140625" style="412" bestFit="1" customWidth="1"/>
    <col min="778" max="778" width="17.140625" style="412" customWidth="1"/>
    <col min="779" max="779" width="19" style="412" customWidth="1"/>
    <col min="780" max="780" width="8.85546875" style="412"/>
    <col min="781" max="782" width="11.7109375" style="412" bestFit="1" customWidth="1"/>
    <col min="783" max="1025" width="8.85546875" style="412"/>
    <col min="1026" max="1026" width="5.140625" style="412" customWidth="1"/>
    <col min="1027" max="1027" width="61.42578125" style="412" customWidth="1"/>
    <col min="1028" max="1028" width="7.140625" style="412" bestFit="1" customWidth="1"/>
    <col min="1029" max="1029" width="17" style="412" customWidth="1"/>
    <col min="1030" max="1030" width="18.140625" style="412" customWidth="1"/>
    <col min="1031" max="1031" width="3.85546875" style="412" customWidth="1"/>
    <col min="1032" max="1032" width="68.140625" style="412" customWidth="1"/>
    <col min="1033" max="1033" width="7.140625" style="412" bestFit="1" customWidth="1"/>
    <col min="1034" max="1034" width="17.140625" style="412" customWidth="1"/>
    <col min="1035" max="1035" width="19" style="412" customWidth="1"/>
    <col min="1036" max="1036" width="8.85546875" style="412"/>
    <col min="1037" max="1038" width="11.7109375" style="412" bestFit="1" customWidth="1"/>
    <col min="1039" max="1281" width="8.85546875" style="412"/>
    <col min="1282" max="1282" width="5.140625" style="412" customWidth="1"/>
    <col min="1283" max="1283" width="61.42578125" style="412" customWidth="1"/>
    <col min="1284" max="1284" width="7.140625" style="412" bestFit="1" customWidth="1"/>
    <col min="1285" max="1285" width="17" style="412" customWidth="1"/>
    <col min="1286" max="1286" width="18.140625" style="412" customWidth="1"/>
    <col min="1287" max="1287" width="3.85546875" style="412" customWidth="1"/>
    <col min="1288" max="1288" width="68.140625" style="412" customWidth="1"/>
    <col min="1289" max="1289" width="7.140625" style="412" bestFit="1" customWidth="1"/>
    <col min="1290" max="1290" width="17.140625" style="412" customWidth="1"/>
    <col min="1291" max="1291" width="19" style="412" customWidth="1"/>
    <col min="1292" max="1292" width="8.85546875" style="412"/>
    <col min="1293" max="1294" width="11.7109375" style="412" bestFit="1" customWidth="1"/>
    <col min="1295" max="1537" width="8.85546875" style="412"/>
    <col min="1538" max="1538" width="5.140625" style="412" customWidth="1"/>
    <col min="1539" max="1539" width="61.42578125" style="412" customWidth="1"/>
    <col min="1540" max="1540" width="7.140625" style="412" bestFit="1" customWidth="1"/>
    <col min="1541" max="1541" width="17" style="412" customWidth="1"/>
    <col min="1542" max="1542" width="18.140625" style="412" customWidth="1"/>
    <col min="1543" max="1543" width="3.85546875" style="412" customWidth="1"/>
    <col min="1544" max="1544" width="68.140625" style="412" customWidth="1"/>
    <col min="1545" max="1545" width="7.140625" style="412" bestFit="1" customWidth="1"/>
    <col min="1546" max="1546" width="17.140625" style="412" customWidth="1"/>
    <col min="1547" max="1547" width="19" style="412" customWidth="1"/>
    <col min="1548" max="1548" width="8.85546875" style="412"/>
    <col min="1549" max="1550" width="11.7109375" style="412" bestFit="1" customWidth="1"/>
    <col min="1551" max="1793" width="8.85546875" style="412"/>
    <col min="1794" max="1794" width="5.140625" style="412" customWidth="1"/>
    <col min="1795" max="1795" width="61.42578125" style="412" customWidth="1"/>
    <col min="1796" max="1796" width="7.140625" style="412" bestFit="1" customWidth="1"/>
    <col min="1797" max="1797" width="17" style="412" customWidth="1"/>
    <col min="1798" max="1798" width="18.140625" style="412" customWidth="1"/>
    <col min="1799" max="1799" width="3.85546875" style="412" customWidth="1"/>
    <col min="1800" max="1800" width="68.140625" style="412" customWidth="1"/>
    <col min="1801" max="1801" width="7.140625" style="412" bestFit="1" customWidth="1"/>
    <col min="1802" max="1802" width="17.140625" style="412" customWidth="1"/>
    <col min="1803" max="1803" width="19" style="412" customWidth="1"/>
    <col min="1804" max="1804" width="8.85546875" style="412"/>
    <col min="1805" max="1806" width="11.7109375" style="412" bestFit="1" customWidth="1"/>
    <col min="1807" max="2049" width="8.85546875" style="412"/>
    <col min="2050" max="2050" width="5.140625" style="412" customWidth="1"/>
    <col min="2051" max="2051" width="61.42578125" style="412" customWidth="1"/>
    <col min="2052" max="2052" width="7.140625" style="412" bestFit="1" customWidth="1"/>
    <col min="2053" max="2053" width="17" style="412" customWidth="1"/>
    <col min="2054" max="2054" width="18.140625" style="412" customWidth="1"/>
    <col min="2055" max="2055" width="3.85546875" style="412" customWidth="1"/>
    <col min="2056" max="2056" width="68.140625" style="412" customWidth="1"/>
    <col min="2057" max="2057" width="7.140625" style="412" bestFit="1" customWidth="1"/>
    <col min="2058" max="2058" width="17.140625" style="412" customWidth="1"/>
    <col min="2059" max="2059" width="19" style="412" customWidth="1"/>
    <col min="2060" max="2060" width="8.85546875" style="412"/>
    <col min="2061" max="2062" width="11.7109375" style="412" bestFit="1" customWidth="1"/>
    <col min="2063" max="2305" width="8.85546875" style="412"/>
    <col min="2306" max="2306" width="5.140625" style="412" customWidth="1"/>
    <col min="2307" max="2307" width="61.42578125" style="412" customWidth="1"/>
    <col min="2308" max="2308" width="7.140625" style="412" bestFit="1" customWidth="1"/>
    <col min="2309" max="2309" width="17" style="412" customWidth="1"/>
    <col min="2310" max="2310" width="18.140625" style="412" customWidth="1"/>
    <col min="2311" max="2311" width="3.85546875" style="412" customWidth="1"/>
    <col min="2312" max="2312" width="68.140625" style="412" customWidth="1"/>
    <col min="2313" max="2313" width="7.140625" style="412" bestFit="1" customWidth="1"/>
    <col min="2314" max="2314" width="17.140625" style="412" customWidth="1"/>
    <col min="2315" max="2315" width="19" style="412" customWidth="1"/>
    <col min="2316" max="2316" width="8.85546875" style="412"/>
    <col min="2317" max="2318" width="11.7109375" style="412" bestFit="1" customWidth="1"/>
    <col min="2319" max="2561" width="8.85546875" style="412"/>
    <col min="2562" max="2562" width="5.140625" style="412" customWidth="1"/>
    <col min="2563" max="2563" width="61.42578125" style="412" customWidth="1"/>
    <col min="2564" max="2564" width="7.140625" style="412" bestFit="1" customWidth="1"/>
    <col min="2565" max="2565" width="17" style="412" customWidth="1"/>
    <col min="2566" max="2566" width="18.140625" style="412" customWidth="1"/>
    <col min="2567" max="2567" width="3.85546875" style="412" customWidth="1"/>
    <col min="2568" max="2568" width="68.140625" style="412" customWidth="1"/>
    <col min="2569" max="2569" width="7.140625" style="412" bestFit="1" customWidth="1"/>
    <col min="2570" max="2570" width="17.140625" style="412" customWidth="1"/>
    <col min="2571" max="2571" width="19" style="412" customWidth="1"/>
    <col min="2572" max="2572" width="8.85546875" style="412"/>
    <col min="2573" max="2574" width="11.7109375" style="412" bestFit="1" customWidth="1"/>
    <col min="2575" max="2817" width="8.85546875" style="412"/>
    <col min="2818" max="2818" width="5.140625" style="412" customWidth="1"/>
    <col min="2819" max="2819" width="61.42578125" style="412" customWidth="1"/>
    <col min="2820" max="2820" width="7.140625" style="412" bestFit="1" customWidth="1"/>
    <col min="2821" max="2821" width="17" style="412" customWidth="1"/>
    <col min="2822" max="2822" width="18.140625" style="412" customWidth="1"/>
    <col min="2823" max="2823" width="3.85546875" style="412" customWidth="1"/>
    <col min="2824" max="2824" width="68.140625" style="412" customWidth="1"/>
    <col min="2825" max="2825" width="7.140625" style="412" bestFit="1" customWidth="1"/>
    <col min="2826" max="2826" width="17.140625" style="412" customWidth="1"/>
    <col min="2827" max="2827" width="19" style="412" customWidth="1"/>
    <col min="2828" max="2828" width="8.85546875" style="412"/>
    <col min="2829" max="2830" width="11.7109375" style="412" bestFit="1" customWidth="1"/>
    <col min="2831" max="3073" width="8.85546875" style="412"/>
    <col min="3074" max="3074" width="5.140625" style="412" customWidth="1"/>
    <col min="3075" max="3075" width="61.42578125" style="412" customWidth="1"/>
    <col min="3076" max="3076" width="7.140625" style="412" bestFit="1" customWidth="1"/>
    <col min="3077" max="3077" width="17" style="412" customWidth="1"/>
    <col min="3078" max="3078" width="18.140625" style="412" customWidth="1"/>
    <col min="3079" max="3079" width="3.85546875" style="412" customWidth="1"/>
    <col min="3080" max="3080" width="68.140625" style="412" customWidth="1"/>
    <col min="3081" max="3081" width="7.140625" style="412" bestFit="1" customWidth="1"/>
    <col min="3082" max="3082" width="17.140625" style="412" customWidth="1"/>
    <col min="3083" max="3083" width="19" style="412" customWidth="1"/>
    <col min="3084" max="3084" width="8.85546875" style="412"/>
    <col min="3085" max="3086" width="11.7109375" style="412" bestFit="1" customWidth="1"/>
    <col min="3087" max="3329" width="8.85546875" style="412"/>
    <col min="3330" max="3330" width="5.140625" style="412" customWidth="1"/>
    <col min="3331" max="3331" width="61.42578125" style="412" customWidth="1"/>
    <col min="3332" max="3332" width="7.140625" style="412" bestFit="1" customWidth="1"/>
    <col min="3333" max="3333" width="17" style="412" customWidth="1"/>
    <col min="3334" max="3334" width="18.140625" style="412" customWidth="1"/>
    <col min="3335" max="3335" width="3.85546875" style="412" customWidth="1"/>
    <col min="3336" max="3336" width="68.140625" style="412" customWidth="1"/>
    <col min="3337" max="3337" width="7.140625" style="412" bestFit="1" customWidth="1"/>
    <col min="3338" max="3338" width="17.140625" style="412" customWidth="1"/>
    <col min="3339" max="3339" width="19" style="412" customWidth="1"/>
    <col min="3340" max="3340" width="8.85546875" style="412"/>
    <col min="3341" max="3342" width="11.7109375" style="412" bestFit="1" customWidth="1"/>
    <col min="3343" max="3585" width="8.85546875" style="412"/>
    <col min="3586" max="3586" width="5.140625" style="412" customWidth="1"/>
    <col min="3587" max="3587" width="61.42578125" style="412" customWidth="1"/>
    <col min="3588" max="3588" width="7.140625" style="412" bestFit="1" customWidth="1"/>
    <col min="3589" max="3589" width="17" style="412" customWidth="1"/>
    <col min="3590" max="3590" width="18.140625" style="412" customWidth="1"/>
    <col min="3591" max="3591" width="3.85546875" style="412" customWidth="1"/>
    <col min="3592" max="3592" width="68.140625" style="412" customWidth="1"/>
    <col min="3593" max="3593" width="7.140625" style="412" bestFit="1" customWidth="1"/>
    <col min="3594" max="3594" width="17.140625" style="412" customWidth="1"/>
    <col min="3595" max="3595" width="19" style="412" customWidth="1"/>
    <col min="3596" max="3596" width="8.85546875" style="412"/>
    <col min="3597" max="3598" width="11.7109375" style="412" bestFit="1" customWidth="1"/>
    <col min="3599" max="3841" width="8.85546875" style="412"/>
    <col min="3842" max="3842" width="5.140625" style="412" customWidth="1"/>
    <col min="3843" max="3843" width="61.42578125" style="412" customWidth="1"/>
    <col min="3844" max="3844" width="7.140625" style="412" bestFit="1" customWidth="1"/>
    <col min="3845" max="3845" width="17" style="412" customWidth="1"/>
    <col min="3846" max="3846" width="18.140625" style="412" customWidth="1"/>
    <col min="3847" max="3847" width="3.85546875" style="412" customWidth="1"/>
    <col min="3848" max="3848" width="68.140625" style="412" customWidth="1"/>
    <col min="3849" max="3849" width="7.140625" style="412" bestFit="1" customWidth="1"/>
    <col min="3850" max="3850" width="17.140625" style="412" customWidth="1"/>
    <col min="3851" max="3851" width="19" style="412" customWidth="1"/>
    <col min="3852" max="3852" width="8.85546875" style="412"/>
    <col min="3853" max="3854" width="11.7109375" style="412" bestFit="1" customWidth="1"/>
    <col min="3855" max="4097" width="8.85546875" style="412"/>
    <col min="4098" max="4098" width="5.140625" style="412" customWidth="1"/>
    <col min="4099" max="4099" width="61.42578125" style="412" customWidth="1"/>
    <col min="4100" max="4100" width="7.140625" style="412" bestFit="1" customWidth="1"/>
    <col min="4101" max="4101" width="17" style="412" customWidth="1"/>
    <col min="4102" max="4102" width="18.140625" style="412" customWidth="1"/>
    <col min="4103" max="4103" width="3.85546875" style="412" customWidth="1"/>
    <col min="4104" max="4104" width="68.140625" style="412" customWidth="1"/>
    <col min="4105" max="4105" width="7.140625" style="412" bestFit="1" customWidth="1"/>
    <col min="4106" max="4106" width="17.140625" style="412" customWidth="1"/>
    <col min="4107" max="4107" width="19" style="412" customWidth="1"/>
    <col min="4108" max="4108" width="8.85546875" style="412"/>
    <col min="4109" max="4110" width="11.7109375" style="412" bestFit="1" customWidth="1"/>
    <col min="4111" max="4353" width="8.85546875" style="412"/>
    <col min="4354" max="4354" width="5.140625" style="412" customWidth="1"/>
    <col min="4355" max="4355" width="61.42578125" style="412" customWidth="1"/>
    <col min="4356" max="4356" width="7.140625" style="412" bestFit="1" customWidth="1"/>
    <col min="4357" max="4357" width="17" style="412" customWidth="1"/>
    <col min="4358" max="4358" width="18.140625" style="412" customWidth="1"/>
    <col min="4359" max="4359" width="3.85546875" style="412" customWidth="1"/>
    <col min="4360" max="4360" width="68.140625" style="412" customWidth="1"/>
    <col min="4361" max="4361" width="7.140625" style="412" bestFit="1" customWidth="1"/>
    <col min="4362" max="4362" width="17.140625" style="412" customWidth="1"/>
    <col min="4363" max="4363" width="19" style="412" customWidth="1"/>
    <col min="4364" max="4364" width="8.85546875" style="412"/>
    <col min="4365" max="4366" width="11.7109375" style="412" bestFit="1" customWidth="1"/>
    <col min="4367" max="4609" width="8.85546875" style="412"/>
    <col min="4610" max="4610" width="5.140625" style="412" customWidth="1"/>
    <col min="4611" max="4611" width="61.42578125" style="412" customWidth="1"/>
    <col min="4612" max="4612" width="7.140625" style="412" bestFit="1" customWidth="1"/>
    <col min="4613" max="4613" width="17" style="412" customWidth="1"/>
    <col min="4614" max="4614" width="18.140625" style="412" customWidth="1"/>
    <col min="4615" max="4615" width="3.85546875" style="412" customWidth="1"/>
    <col min="4616" max="4616" width="68.140625" style="412" customWidth="1"/>
    <col min="4617" max="4617" width="7.140625" style="412" bestFit="1" customWidth="1"/>
    <col min="4618" max="4618" width="17.140625" style="412" customWidth="1"/>
    <col min="4619" max="4619" width="19" style="412" customWidth="1"/>
    <col min="4620" max="4620" width="8.85546875" style="412"/>
    <col min="4621" max="4622" width="11.7109375" style="412" bestFit="1" customWidth="1"/>
    <col min="4623" max="4865" width="8.85546875" style="412"/>
    <col min="4866" max="4866" width="5.140625" style="412" customWidth="1"/>
    <col min="4867" max="4867" width="61.42578125" style="412" customWidth="1"/>
    <col min="4868" max="4868" width="7.140625" style="412" bestFit="1" customWidth="1"/>
    <col min="4869" max="4869" width="17" style="412" customWidth="1"/>
    <col min="4870" max="4870" width="18.140625" style="412" customWidth="1"/>
    <col min="4871" max="4871" width="3.85546875" style="412" customWidth="1"/>
    <col min="4872" max="4872" width="68.140625" style="412" customWidth="1"/>
    <col min="4873" max="4873" width="7.140625" style="412" bestFit="1" customWidth="1"/>
    <col min="4874" max="4874" width="17.140625" style="412" customWidth="1"/>
    <col min="4875" max="4875" width="19" style="412" customWidth="1"/>
    <col min="4876" max="4876" width="8.85546875" style="412"/>
    <col min="4877" max="4878" width="11.7109375" style="412" bestFit="1" customWidth="1"/>
    <col min="4879" max="5121" width="8.85546875" style="412"/>
    <col min="5122" max="5122" width="5.140625" style="412" customWidth="1"/>
    <col min="5123" max="5123" width="61.42578125" style="412" customWidth="1"/>
    <col min="5124" max="5124" width="7.140625" style="412" bestFit="1" customWidth="1"/>
    <col min="5125" max="5125" width="17" style="412" customWidth="1"/>
    <col min="5126" max="5126" width="18.140625" style="412" customWidth="1"/>
    <col min="5127" max="5127" width="3.85546875" style="412" customWidth="1"/>
    <col min="5128" max="5128" width="68.140625" style="412" customWidth="1"/>
    <col min="5129" max="5129" width="7.140625" style="412" bestFit="1" customWidth="1"/>
    <col min="5130" max="5130" width="17.140625" style="412" customWidth="1"/>
    <col min="5131" max="5131" width="19" style="412" customWidth="1"/>
    <col min="5132" max="5132" width="8.85546875" style="412"/>
    <col min="5133" max="5134" width="11.7109375" style="412" bestFit="1" customWidth="1"/>
    <col min="5135" max="5377" width="8.85546875" style="412"/>
    <col min="5378" max="5378" width="5.140625" style="412" customWidth="1"/>
    <col min="5379" max="5379" width="61.42578125" style="412" customWidth="1"/>
    <col min="5380" max="5380" width="7.140625" style="412" bestFit="1" customWidth="1"/>
    <col min="5381" max="5381" width="17" style="412" customWidth="1"/>
    <col min="5382" max="5382" width="18.140625" style="412" customWidth="1"/>
    <col min="5383" max="5383" width="3.85546875" style="412" customWidth="1"/>
    <col min="5384" max="5384" width="68.140625" style="412" customWidth="1"/>
    <col min="5385" max="5385" width="7.140625" style="412" bestFit="1" customWidth="1"/>
    <col min="5386" max="5386" width="17.140625" style="412" customWidth="1"/>
    <col min="5387" max="5387" width="19" style="412" customWidth="1"/>
    <col min="5388" max="5388" width="8.85546875" style="412"/>
    <col min="5389" max="5390" width="11.7109375" style="412" bestFit="1" customWidth="1"/>
    <col min="5391" max="5633" width="8.85546875" style="412"/>
    <col min="5634" max="5634" width="5.140625" style="412" customWidth="1"/>
    <col min="5635" max="5635" width="61.42578125" style="412" customWidth="1"/>
    <col min="5636" max="5636" width="7.140625" style="412" bestFit="1" customWidth="1"/>
    <col min="5637" max="5637" width="17" style="412" customWidth="1"/>
    <col min="5638" max="5638" width="18.140625" style="412" customWidth="1"/>
    <col min="5639" max="5639" width="3.85546875" style="412" customWidth="1"/>
    <col min="5640" max="5640" width="68.140625" style="412" customWidth="1"/>
    <col min="5641" max="5641" width="7.140625" style="412" bestFit="1" customWidth="1"/>
    <col min="5642" max="5642" width="17.140625" style="412" customWidth="1"/>
    <col min="5643" max="5643" width="19" style="412" customWidth="1"/>
    <col min="5644" max="5644" width="8.85546875" style="412"/>
    <col min="5645" max="5646" width="11.7109375" style="412" bestFit="1" customWidth="1"/>
    <col min="5647" max="5889" width="8.85546875" style="412"/>
    <col min="5890" max="5890" width="5.140625" style="412" customWidth="1"/>
    <col min="5891" max="5891" width="61.42578125" style="412" customWidth="1"/>
    <col min="5892" max="5892" width="7.140625" style="412" bestFit="1" customWidth="1"/>
    <col min="5893" max="5893" width="17" style="412" customWidth="1"/>
    <col min="5894" max="5894" width="18.140625" style="412" customWidth="1"/>
    <col min="5895" max="5895" width="3.85546875" style="412" customWidth="1"/>
    <col min="5896" max="5896" width="68.140625" style="412" customWidth="1"/>
    <col min="5897" max="5897" width="7.140625" style="412" bestFit="1" customWidth="1"/>
    <col min="5898" max="5898" width="17.140625" style="412" customWidth="1"/>
    <col min="5899" max="5899" width="19" style="412" customWidth="1"/>
    <col min="5900" max="5900" width="8.85546875" style="412"/>
    <col min="5901" max="5902" width="11.7109375" style="412" bestFit="1" customWidth="1"/>
    <col min="5903" max="6145" width="8.85546875" style="412"/>
    <col min="6146" max="6146" width="5.140625" style="412" customWidth="1"/>
    <col min="6147" max="6147" width="61.42578125" style="412" customWidth="1"/>
    <col min="6148" max="6148" width="7.140625" style="412" bestFit="1" customWidth="1"/>
    <col min="6149" max="6149" width="17" style="412" customWidth="1"/>
    <col min="6150" max="6150" width="18.140625" style="412" customWidth="1"/>
    <col min="6151" max="6151" width="3.85546875" style="412" customWidth="1"/>
    <col min="6152" max="6152" width="68.140625" style="412" customWidth="1"/>
    <col min="6153" max="6153" width="7.140625" style="412" bestFit="1" customWidth="1"/>
    <col min="6154" max="6154" width="17.140625" style="412" customWidth="1"/>
    <col min="6155" max="6155" width="19" style="412" customWidth="1"/>
    <col min="6156" max="6156" width="8.85546875" style="412"/>
    <col min="6157" max="6158" width="11.7109375" style="412" bestFit="1" customWidth="1"/>
    <col min="6159" max="6401" width="8.85546875" style="412"/>
    <col min="6402" max="6402" width="5.140625" style="412" customWidth="1"/>
    <col min="6403" max="6403" width="61.42578125" style="412" customWidth="1"/>
    <col min="6404" max="6404" width="7.140625" style="412" bestFit="1" customWidth="1"/>
    <col min="6405" max="6405" width="17" style="412" customWidth="1"/>
    <col min="6406" max="6406" width="18.140625" style="412" customWidth="1"/>
    <col min="6407" max="6407" width="3.85546875" style="412" customWidth="1"/>
    <col min="6408" max="6408" width="68.140625" style="412" customWidth="1"/>
    <col min="6409" max="6409" width="7.140625" style="412" bestFit="1" customWidth="1"/>
    <col min="6410" max="6410" width="17.140625" style="412" customWidth="1"/>
    <col min="6411" max="6411" width="19" style="412" customWidth="1"/>
    <col min="6412" max="6412" width="8.85546875" style="412"/>
    <col min="6413" max="6414" width="11.7109375" style="412" bestFit="1" customWidth="1"/>
    <col min="6415" max="6657" width="8.85546875" style="412"/>
    <col min="6658" max="6658" width="5.140625" style="412" customWidth="1"/>
    <col min="6659" max="6659" width="61.42578125" style="412" customWidth="1"/>
    <col min="6660" max="6660" width="7.140625" style="412" bestFit="1" customWidth="1"/>
    <col min="6661" max="6661" width="17" style="412" customWidth="1"/>
    <col min="6662" max="6662" width="18.140625" style="412" customWidth="1"/>
    <col min="6663" max="6663" width="3.85546875" style="412" customWidth="1"/>
    <col min="6664" max="6664" width="68.140625" style="412" customWidth="1"/>
    <col min="6665" max="6665" width="7.140625" style="412" bestFit="1" customWidth="1"/>
    <col min="6666" max="6666" width="17.140625" style="412" customWidth="1"/>
    <col min="6667" max="6667" width="19" style="412" customWidth="1"/>
    <col min="6668" max="6668" width="8.85546875" style="412"/>
    <col min="6669" max="6670" width="11.7109375" style="412" bestFit="1" customWidth="1"/>
    <col min="6671" max="6913" width="8.85546875" style="412"/>
    <col min="6914" max="6914" width="5.140625" style="412" customWidth="1"/>
    <col min="6915" max="6915" width="61.42578125" style="412" customWidth="1"/>
    <col min="6916" max="6916" width="7.140625" style="412" bestFit="1" customWidth="1"/>
    <col min="6917" max="6917" width="17" style="412" customWidth="1"/>
    <col min="6918" max="6918" width="18.140625" style="412" customWidth="1"/>
    <col min="6919" max="6919" width="3.85546875" style="412" customWidth="1"/>
    <col min="6920" max="6920" width="68.140625" style="412" customWidth="1"/>
    <col min="6921" max="6921" width="7.140625" style="412" bestFit="1" customWidth="1"/>
    <col min="6922" max="6922" width="17.140625" style="412" customWidth="1"/>
    <col min="6923" max="6923" width="19" style="412" customWidth="1"/>
    <col min="6924" max="6924" width="8.85546875" style="412"/>
    <col min="6925" max="6926" width="11.7109375" style="412" bestFit="1" customWidth="1"/>
    <col min="6927" max="7169" width="8.85546875" style="412"/>
    <col min="7170" max="7170" width="5.140625" style="412" customWidth="1"/>
    <col min="7171" max="7171" width="61.42578125" style="412" customWidth="1"/>
    <col min="7172" max="7172" width="7.140625" style="412" bestFit="1" customWidth="1"/>
    <col min="7173" max="7173" width="17" style="412" customWidth="1"/>
    <col min="7174" max="7174" width="18.140625" style="412" customWidth="1"/>
    <col min="7175" max="7175" width="3.85546875" style="412" customWidth="1"/>
    <col min="7176" max="7176" width="68.140625" style="412" customWidth="1"/>
    <col min="7177" max="7177" width="7.140625" style="412" bestFit="1" customWidth="1"/>
    <col min="7178" max="7178" width="17.140625" style="412" customWidth="1"/>
    <col min="7179" max="7179" width="19" style="412" customWidth="1"/>
    <col min="7180" max="7180" width="8.85546875" style="412"/>
    <col min="7181" max="7182" width="11.7109375" style="412" bestFit="1" customWidth="1"/>
    <col min="7183" max="7425" width="8.85546875" style="412"/>
    <col min="7426" max="7426" width="5.140625" style="412" customWidth="1"/>
    <col min="7427" max="7427" width="61.42578125" style="412" customWidth="1"/>
    <col min="7428" max="7428" width="7.140625" style="412" bestFit="1" customWidth="1"/>
    <col min="7429" max="7429" width="17" style="412" customWidth="1"/>
    <col min="7430" max="7430" width="18.140625" style="412" customWidth="1"/>
    <col min="7431" max="7431" width="3.85546875" style="412" customWidth="1"/>
    <col min="7432" max="7432" width="68.140625" style="412" customWidth="1"/>
    <col min="7433" max="7433" width="7.140625" style="412" bestFit="1" customWidth="1"/>
    <col min="7434" max="7434" width="17.140625" style="412" customWidth="1"/>
    <col min="7435" max="7435" width="19" style="412" customWidth="1"/>
    <col min="7436" max="7436" width="8.85546875" style="412"/>
    <col min="7437" max="7438" width="11.7109375" style="412" bestFit="1" customWidth="1"/>
    <col min="7439" max="7681" width="8.85546875" style="412"/>
    <col min="7682" max="7682" width="5.140625" style="412" customWidth="1"/>
    <col min="7683" max="7683" width="61.42578125" style="412" customWidth="1"/>
    <col min="7684" max="7684" width="7.140625" style="412" bestFit="1" customWidth="1"/>
    <col min="7685" max="7685" width="17" style="412" customWidth="1"/>
    <col min="7686" max="7686" width="18.140625" style="412" customWidth="1"/>
    <col min="7687" max="7687" width="3.85546875" style="412" customWidth="1"/>
    <col min="7688" max="7688" width="68.140625" style="412" customWidth="1"/>
    <col min="7689" max="7689" width="7.140625" style="412" bestFit="1" customWidth="1"/>
    <col min="7690" max="7690" width="17.140625" style="412" customWidth="1"/>
    <col min="7691" max="7691" width="19" style="412" customWidth="1"/>
    <col min="7692" max="7692" width="8.85546875" style="412"/>
    <col min="7693" max="7694" width="11.7109375" style="412" bestFit="1" customWidth="1"/>
    <col min="7695" max="7937" width="8.85546875" style="412"/>
    <col min="7938" max="7938" width="5.140625" style="412" customWidth="1"/>
    <col min="7939" max="7939" width="61.42578125" style="412" customWidth="1"/>
    <col min="7940" max="7940" width="7.140625" style="412" bestFit="1" customWidth="1"/>
    <col min="7941" max="7941" width="17" style="412" customWidth="1"/>
    <col min="7942" max="7942" width="18.140625" style="412" customWidth="1"/>
    <col min="7943" max="7943" width="3.85546875" style="412" customWidth="1"/>
    <col min="7944" max="7944" width="68.140625" style="412" customWidth="1"/>
    <col min="7945" max="7945" width="7.140625" style="412" bestFit="1" customWidth="1"/>
    <col min="7946" max="7946" width="17.140625" style="412" customWidth="1"/>
    <col min="7947" max="7947" width="19" style="412" customWidth="1"/>
    <col min="7948" max="7948" width="8.85546875" style="412"/>
    <col min="7949" max="7950" width="11.7109375" style="412" bestFit="1" customWidth="1"/>
    <col min="7951" max="8193" width="8.85546875" style="412"/>
    <col min="8194" max="8194" width="5.140625" style="412" customWidth="1"/>
    <col min="8195" max="8195" width="61.42578125" style="412" customWidth="1"/>
    <col min="8196" max="8196" width="7.140625" style="412" bestFit="1" customWidth="1"/>
    <col min="8197" max="8197" width="17" style="412" customWidth="1"/>
    <col min="8198" max="8198" width="18.140625" style="412" customWidth="1"/>
    <col min="8199" max="8199" width="3.85546875" style="412" customWidth="1"/>
    <col min="8200" max="8200" width="68.140625" style="412" customWidth="1"/>
    <col min="8201" max="8201" width="7.140625" style="412" bestFit="1" customWidth="1"/>
    <col min="8202" max="8202" width="17.140625" style="412" customWidth="1"/>
    <col min="8203" max="8203" width="19" style="412" customWidth="1"/>
    <col min="8204" max="8204" width="8.85546875" style="412"/>
    <col min="8205" max="8206" width="11.7109375" style="412" bestFit="1" customWidth="1"/>
    <col min="8207" max="8449" width="8.85546875" style="412"/>
    <col min="8450" max="8450" width="5.140625" style="412" customWidth="1"/>
    <col min="8451" max="8451" width="61.42578125" style="412" customWidth="1"/>
    <col min="8452" max="8452" width="7.140625" style="412" bestFit="1" customWidth="1"/>
    <col min="8453" max="8453" width="17" style="412" customWidth="1"/>
    <col min="8454" max="8454" width="18.140625" style="412" customWidth="1"/>
    <col min="8455" max="8455" width="3.85546875" style="412" customWidth="1"/>
    <col min="8456" max="8456" width="68.140625" style="412" customWidth="1"/>
    <col min="8457" max="8457" width="7.140625" style="412" bestFit="1" customWidth="1"/>
    <col min="8458" max="8458" width="17.140625" style="412" customWidth="1"/>
    <col min="8459" max="8459" width="19" style="412" customWidth="1"/>
    <col min="8460" max="8460" width="8.85546875" style="412"/>
    <col min="8461" max="8462" width="11.7109375" style="412" bestFit="1" customWidth="1"/>
    <col min="8463" max="8705" width="8.85546875" style="412"/>
    <col min="8706" max="8706" width="5.140625" style="412" customWidth="1"/>
    <col min="8707" max="8707" width="61.42578125" style="412" customWidth="1"/>
    <col min="8708" max="8708" width="7.140625" style="412" bestFit="1" customWidth="1"/>
    <col min="8709" max="8709" width="17" style="412" customWidth="1"/>
    <col min="8710" max="8710" width="18.140625" style="412" customWidth="1"/>
    <col min="8711" max="8711" width="3.85546875" style="412" customWidth="1"/>
    <col min="8712" max="8712" width="68.140625" style="412" customWidth="1"/>
    <col min="8713" max="8713" width="7.140625" style="412" bestFit="1" customWidth="1"/>
    <col min="8714" max="8714" width="17.140625" style="412" customWidth="1"/>
    <col min="8715" max="8715" width="19" style="412" customWidth="1"/>
    <col min="8716" max="8716" width="8.85546875" style="412"/>
    <col min="8717" max="8718" width="11.7109375" style="412" bestFit="1" customWidth="1"/>
    <col min="8719" max="8961" width="8.85546875" style="412"/>
    <col min="8962" max="8962" width="5.140625" style="412" customWidth="1"/>
    <col min="8963" max="8963" width="61.42578125" style="412" customWidth="1"/>
    <col min="8964" max="8964" width="7.140625" style="412" bestFit="1" customWidth="1"/>
    <col min="8965" max="8965" width="17" style="412" customWidth="1"/>
    <col min="8966" max="8966" width="18.140625" style="412" customWidth="1"/>
    <col min="8967" max="8967" width="3.85546875" style="412" customWidth="1"/>
    <col min="8968" max="8968" width="68.140625" style="412" customWidth="1"/>
    <col min="8969" max="8969" width="7.140625" style="412" bestFit="1" customWidth="1"/>
    <col min="8970" max="8970" width="17.140625" style="412" customWidth="1"/>
    <col min="8971" max="8971" width="19" style="412" customWidth="1"/>
    <col min="8972" max="8972" width="8.85546875" style="412"/>
    <col min="8973" max="8974" width="11.7109375" style="412" bestFit="1" customWidth="1"/>
    <col min="8975" max="9217" width="8.85546875" style="412"/>
    <col min="9218" max="9218" width="5.140625" style="412" customWidth="1"/>
    <col min="9219" max="9219" width="61.42578125" style="412" customWidth="1"/>
    <col min="9220" max="9220" width="7.140625" style="412" bestFit="1" customWidth="1"/>
    <col min="9221" max="9221" width="17" style="412" customWidth="1"/>
    <col min="9222" max="9222" width="18.140625" style="412" customWidth="1"/>
    <col min="9223" max="9223" width="3.85546875" style="412" customWidth="1"/>
    <col min="9224" max="9224" width="68.140625" style="412" customWidth="1"/>
    <col min="9225" max="9225" width="7.140625" style="412" bestFit="1" customWidth="1"/>
    <col min="9226" max="9226" width="17.140625" style="412" customWidth="1"/>
    <col min="9227" max="9227" width="19" style="412" customWidth="1"/>
    <col min="9228" max="9228" width="8.85546875" style="412"/>
    <col min="9229" max="9230" width="11.7109375" style="412" bestFit="1" customWidth="1"/>
    <col min="9231" max="9473" width="8.85546875" style="412"/>
    <col min="9474" max="9474" width="5.140625" style="412" customWidth="1"/>
    <col min="9475" max="9475" width="61.42578125" style="412" customWidth="1"/>
    <col min="9476" max="9476" width="7.140625" style="412" bestFit="1" customWidth="1"/>
    <col min="9477" max="9477" width="17" style="412" customWidth="1"/>
    <col min="9478" max="9478" width="18.140625" style="412" customWidth="1"/>
    <col min="9479" max="9479" width="3.85546875" style="412" customWidth="1"/>
    <col min="9480" max="9480" width="68.140625" style="412" customWidth="1"/>
    <col min="9481" max="9481" width="7.140625" style="412" bestFit="1" customWidth="1"/>
    <col min="9482" max="9482" width="17.140625" style="412" customWidth="1"/>
    <col min="9483" max="9483" width="19" style="412" customWidth="1"/>
    <col min="9484" max="9484" width="8.85546875" style="412"/>
    <col min="9485" max="9486" width="11.7109375" style="412" bestFit="1" customWidth="1"/>
    <col min="9487" max="9729" width="8.85546875" style="412"/>
    <col min="9730" max="9730" width="5.140625" style="412" customWidth="1"/>
    <col min="9731" max="9731" width="61.42578125" style="412" customWidth="1"/>
    <col min="9732" max="9732" width="7.140625" style="412" bestFit="1" customWidth="1"/>
    <col min="9733" max="9733" width="17" style="412" customWidth="1"/>
    <col min="9734" max="9734" width="18.140625" style="412" customWidth="1"/>
    <col min="9735" max="9735" width="3.85546875" style="412" customWidth="1"/>
    <col min="9736" max="9736" width="68.140625" style="412" customWidth="1"/>
    <col min="9737" max="9737" width="7.140625" style="412" bestFit="1" customWidth="1"/>
    <col min="9738" max="9738" width="17.140625" style="412" customWidth="1"/>
    <col min="9739" max="9739" width="19" style="412" customWidth="1"/>
    <col min="9740" max="9740" width="8.85546875" style="412"/>
    <col min="9741" max="9742" width="11.7109375" style="412" bestFit="1" customWidth="1"/>
    <col min="9743" max="9985" width="8.85546875" style="412"/>
    <col min="9986" max="9986" width="5.140625" style="412" customWidth="1"/>
    <col min="9987" max="9987" width="61.42578125" style="412" customWidth="1"/>
    <col min="9988" max="9988" width="7.140625" style="412" bestFit="1" customWidth="1"/>
    <col min="9989" max="9989" width="17" style="412" customWidth="1"/>
    <col min="9990" max="9990" width="18.140625" style="412" customWidth="1"/>
    <col min="9991" max="9991" width="3.85546875" style="412" customWidth="1"/>
    <col min="9992" max="9992" width="68.140625" style="412" customWidth="1"/>
    <col min="9993" max="9993" width="7.140625" style="412" bestFit="1" customWidth="1"/>
    <col min="9994" max="9994" width="17.140625" style="412" customWidth="1"/>
    <col min="9995" max="9995" width="19" style="412" customWidth="1"/>
    <col min="9996" max="9996" width="8.85546875" style="412"/>
    <col min="9997" max="9998" width="11.7109375" style="412" bestFit="1" customWidth="1"/>
    <col min="9999" max="10241" width="8.85546875" style="412"/>
    <col min="10242" max="10242" width="5.140625" style="412" customWidth="1"/>
    <col min="10243" max="10243" width="61.42578125" style="412" customWidth="1"/>
    <col min="10244" max="10244" width="7.140625" style="412" bestFit="1" customWidth="1"/>
    <col min="10245" max="10245" width="17" style="412" customWidth="1"/>
    <col min="10246" max="10246" width="18.140625" style="412" customWidth="1"/>
    <col min="10247" max="10247" width="3.85546875" style="412" customWidth="1"/>
    <col min="10248" max="10248" width="68.140625" style="412" customWidth="1"/>
    <col min="10249" max="10249" width="7.140625" style="412" bestFit="1" customWidth="1"/>
    <col min="10250" max="10250" width="17.140625" style="412" customWidth="1"/>
    <col min="10251" max="10251" width="19" style="412" customWidth="1"/>
    <col min="10252" max="10252" width="8.85546875" style="412"/>
    <col min="10253" max="10254" width="11.7109375" style="412" bestFit="1" customWidth="1"/>
    <col min="10255" max="10497" width="8.85546875" style="412"/>
    <col min="10498" max="10498" width="5.140625" style="412" customWidth="1"/>
    <col min="10499" max="10499" width="61.42578125" style="412" customWidth="1"/>
    <col min="10500" max="10500" width="7.140625" style="412" bestFit="1" customWidth="1"/>
    <col min="10501" max="10501" width="17" style="412" customWidth="1"/>
    <col min="10502" max="10502" width="18.140625" style="412" customWidth="1"/>
    <col min="10503" max="10503" width="3.85546875" style="412" customWidth="1"/>
    <col min="10504" max="10504" width="68.140625" style="412" customWidth="1"/>
    <col min="10505" max="10505" width="7.140625" style="412" bestFit="1" customWidth="1"/>
    <col min="10506" max="10506" width="17.140625" style="412" customWidth="1"/>
    <col min="10507" max="10507" width="19" style="412" customWidth="1"/>
    <col min="10508" max="10508" width="8.85546875" style="412"/>
    <col min="10509" max="10510" width="11.7109375" style="412" bestFit="1" customWidth="1"/>
    <col min="10511" max="10753" width="8.85546875" style="412"/>
    <col min="10754" max="10754" width="5.140625" style="412" customWidth="1"/>
    <col min="10755" max="10755" width="61.42578125" style="412" customWidth="1"/>
    <col min="10756" max="10756" width="7.140625" style="412" bestFit="1" customWidth="1"/>
    <col min="10757" max="10757" width="17" style="412" customWidth="1"/>
    <col min="10758" max="10758" width="18.140625" style="412" customWidth="1"/>
    <col min="10759" max="10759" width="3.85546875" style="412" customWidth="1"/>
    <col min="10760" max="10760" width="68.140625" style="412" customWidth="1"/>
    <col min="10761" max="10761" width="7.140625" style="412" bestFit="1" customWidth="1"/>
    <col min="10762" max="10762" width="17.140625" style="412" customWidth="1"/>
    <col min="10763" max="10763" width="19" style="412" customWidth="1"/>
    <col min="10764" max="10764" width="8.85546875" style="412"/>
    <col min="10765" max="10766" width="11.7109375" style="412" bestFit="1" customWidth="1"/>
    <col min="10767" max="11009" width="8.85546875" style="412"/>
    <col min="11010" max="11010" width="5.140625" style="412" customWidth="1"/>
    <col min="11011" max="11011" width="61.42578125" style="412" customWidth="1"/>
    <col min="11012" max="11012" width="7.140625" style="412" bestFit="1" customWidth="1"/>
    <col min="11013" max="11013" width="17" style="412" customWidth="1"/>
    <col min="11014" max="11014" width="18.140625" style="412" customWidth="1"/>
    <col min="11015" max="11015" width="3.85546875" style="412" customWidth="1"/>
    <col min="11016" max="11016" width="68.140625" style="412" customWidth="1"/>
    <col min="11017" max="11017" width="7.140625" style="412" bestFit="1" customWidth="1"/>
    <col min="11018" max="11018" width="17.140625" style="412" customWidth="1"/>
    <col min="11019" max="11019" width="19" style="412" customWidth="1"/>
    <col min="11020" max="11020" width="8.85546875" style="412"/>
    <col min="11021" max="11022" width="11.7109375" style="412" bestFit="1" customWidth="1"/>
    <col min="11023" max="11265" width="8.85546875" style="412"/>
    <col min="11266" max="11266" width="5.140625" style="412" customWidth="1"/>
    <col min="11267" max="11267" width="61.42578125" style="412" customWidth="1"/>
    <col min="11268" max="11268" width="7.140625" style="412" bestFit="1" customWidth="1"/>
    <col min="11269" max="11269" width="17" style="412" customWidth="1"/>
    <col min="11270" max="11270" width="18.140625" style="412" customWidth="1"/>
    <col min="11271" max="11271" width="3.85546875" style="412" customWidth="1"/>
    <col min="11272" max="11272" width="68.140625" style="412" customWidth="1"/>
    <col min="11273" max="11273" width="7.140625" style="412" bestFit="1" customWidth="1"/>
    <col min="11274" max="11274" width="17.140625" style="412" customWidth="1"/>
    <col min="11275" max="11275" width="19" style="412" customWidth="1"/>
    <col min="11276" max="11276" width="8.85546875" style="412"/>
    <col min="11277" max="11278" width="11.7109375" style="412" bestFit="1" customWidth="1"/>
    <col min="11279" max="11521" width="8.85546875" style="412"/>
    <col min="11522" max="11522" width="5.140625" style="412" customWidth="1"/>
    <col min="11523" max="11523" width="61.42578125" style="412" customWidth="1"/>
    <col min="11524" max="11524" width="7.140625" style="412" bestFit="1" customWidth="1"/>
    <col min="11525" max="11525" width="17" style="412" customWidth="1"/>
    <col min="11526" max="11526" width="18.140625" style="412" customWidth="1"/>
    <col min="11527" max="11527" width="3.85546875" style="412" customWidth="1"/>
    <col min="11528" max="11528" width="68.140625" style="412" customWidth="1"/>
    <col min="11529" max="11529" width="7.140625" style="412" bestFit="1" customWidth="1"/>
    <col min="11530" max="11530" width="17.140625" style="412" customWidth="1"/>
    <col min="11531" max="11531" width="19" style="412" customWidth="1"/>
    <col min="11532" max="11532" width="8.85546875" style="412"/>
    <col min="11533" max="11534" width="11.7109375" style="412" bestFit="1" customWidth="1"/>
    <col min="11535" max="11777" width="8.85546875" style="412"/>
    <col min="11778" max="11778" width="5.140625" style="412" customWidth="1"/>
    <col min="11779" max="11779" width="61.42578125" style="412" customWidth="1"/>
    <col min="11780" max="11780" width="7.140625" style="412" bestFit="1" customWidth="1"/>
    <col min="11781" max="11781" width="17" style="412" customWidth="1"/>
    <col min="11782" max="11782" width="18.140625" style="412" customWidth="1"/>
    <col min="11783" max="11783" width="3.85546875" style="412" customWidth="1"/>
    <col min="11784" max="11784" width="68.140625" style="412" customWidth="1"/>
    <col min="11785" max="11785" width="7.140625" style="412" bestFit="1" customWidth="1"/>
    <col min="11786" max="11786" width="17.140625" style="412" customWidth="1"/>
    <col min="11787" max="11787" width="19" style="412" customWidth="1"/>
    <col min="11788" max="11788" width="8.85546875" style="412"/>
    <col min="11789" max="11790" width="11.7109375" style="412" bestFit="1" customWidth="1"/>
    <col min="11791" max="12033" width="8.85546875" style="412"/>
    <col min="12034" max="12034" width="5.140625" style="412" customWidth="1"/>
    <col min="12035" max="12035" width="61.42578125" style="412" customWidth="1"/>
    <col min="12036" max="12036" width="7.140625" style="412" bestFit="1" customWidth="1"/>
    <col min="12037" max="12037" width="17" style="412" customWidth="1"/>
    <col min="12038" max="12038" width="18.140625" style="412" customWidth="1"/>
    <col min="12039" max="12039" width="3.85546875" style="412" customWidth="1"/>
    <col min="12040" max="12040" width="68.140625" style="412" customWidth="1"/>
    <col min="12041" max="12041" width="7.140625" style="412" bestFit="1" customWidth="1"/>
    <col min="12042" max="12042" width="17.140625" style="412" customWidth="1"/>
    <col min="12043" max="12043" width="19" style="412" customWidth="1"/>
    <col min="12044" max="12044" width="8.85546875" style="412"/>
    <col min="12045" max="12046" width="11.7109375" style="412" bestFit="1" customWidth="1"/>
    <col min="12047" max="12289" width="8.85546875" style="412"/>
    <col min="12290" max="12290" width="5.140625" style="412" customWidth="1"/>
    <col min="12291" max="12291" width="61.42578125" style="412" customWidth="1"/>
    <col min="12292" max="12292" width="7.140625" style="412" bestFit="1" customWidth="1"/>
    <col min="12293" max="12293" width="17" style="412" customWidth="1"/>
    <col min="12294" max="12294" width="18.140625" style="412" customWidth="1"/>
    <col min="12295" max="12295" width="3.85546875" style="412" customWidth="1"/>
    <col min="12296" max="12296" width="68.140625" style="412" customWidth="1"/>
    <col min="12297" max="12297" width="7.140625" style="412" bestFit="1" customWidth="1"/>
    <col min="12298" max="12298" width="17.140625" style="412" customWidth="1"/>
    <col min="12299" max="12299" width="19" style="412" customWidth="1"/>
    <col min="12300" max="12300" width="8.85546875" style="412"/>
    <col min="12301" max="12302" width="11.7109375" style="412" bestFit="1" customWidth="1"/>
    <col min="12303" max="12545" width="8.85546875" style="412"/>
    <col min="12546" max="12546" width="5.140625" style="412" customWidth="1"/>
    <col min="12547" max="12547" width="61.42578125" style="412" customWidth="1"/>
    <col min="12548" max="12548" width="7.140625" style="412" bestFit="1" customWidth="1"/>
    <col min="12549" max="12549" width="17" style="412" customWidth="1"/>
    <col min="12550" max="12550" width="18.140625" style="412" customWidth="1"/>
    <col min="12551" max="12551" width="3.85546875" style="412" customWidth="1"/>
    <col min="12552" max="12552" width="68.140625" style="412" customWidth="1"/>
    <col min="12553" max="12553" width="7.140625" style="412" bestFit="1" customWidth="1"/>
    <col min="12554" max="12554" width="17.140625" style="412" customWidth="1"/>
    <col min="12555" max="12555" width="19" style="412" customWidth="1"/>
    <col min="12556" max="12556" width="8.85546875" style="412"/>
    <col min="12557" max="12558" width="11.7109375" style="412" bestFit="1" customWidth="1"/>
    <col min="12559" max="12801" width="8.85546875" style="412"/>
    <col min="12802" max="12802" width="5.140625" style="412" customWidth="1"/>
    <col min="12803" max="12803" width="61.42578125" style="412" customWidth="1"/>
    <col min="12804" max="12804" width="7.140625" style="412" bestFit="1" customWidth="1"/>
    <col min="12805" max="12805" width="17" style="412" customWidth="1"/>
    <col min="12806" max="12806" width="18.140625" style="412" customWidth="1"/>
    <col min="12807" max="12807" width="3.85546875" style="412" customWidth="1"/>
    <col min="12808" max="12808" width="68.140625" style="412" customWidth="1"/>
    <col min="12809" max="12809" width="7.140625" style="412" bestFit="1" customWidth="1"/>
    <col min="12810" max="12810" width="17.140625" style="412" customWidth="1"/>
    <col min="12811" max="12811" width="19" style="412" customWidth="1"/>
    <col min="12812" max="12812" width="8.85546875" style="412"/>
    <col min="12813" max="12814" width="11.7109375" style="412" bestFit="1" customWidth="1"/>
    <col min="12815" max="13057" width="8.85546875" style="412"/>
    <col min="13058" max="13058" width="5.140625" style="412" customWidth="1"/>
    <col min="13059" max="13059" width="61.42578125" style="412" customWidth="1"/>
    <col min="13060" max="13060" width="7.140625" style="412" bestFit="1" customWidth="1"/>
    <col min="13061" max="13061" width="17" style="412" customWidth="1"/>
    <col min="13062" max="13062" width="18.140625" style="412" customWidth="1"/>
    <col min="13063" max="13063" width="3.85546875" style="412" customWidth="1"/>
    <col min="13064" max="13064" width="68.140625" style="412" customWidth="1"/>
    <col min="13065" max="13065" width="7.140625" style="412" bestFit="1" customWidth="1"/>
    <col min="13066" max="13066" width="17.140625" style="412" customWidth="1"/>
    <col min="13067" max="13067" width="19" style="412" customWidth="1"/>
    <col min="13068" max="13068" width="8.85546875" style="412"/>
    <col min="13069" max="13070" width="11.7109375" style="412" bestFit="1" customWidth="1"/>
    <col min="13071" max="13313" width="8.85546875" style="412"/>
    <col min="13314" max="13314" width="5.140625" style="412" customWidth="1"/>
    <col min="13315" max="13315" width="61.42578125" style="412" customWidth="1"/>
    <col min="13316" max="13316" width="7.140625" style="412" bestFit="1" customWidth="1"/>
    <col min="13317" max="13317" width="17" style="412" customWidth="1"/>
    <col min="13318" max="13318" width="18.140625" style="412" customWidth="1"/>
    <col min="13319" max="13319" width="3.85546875" style="412" customWidth="1"/>
    <col min="13320" max="13320" width="68.140625" style="412" customWidth="1"/>
    <col min="13321" max="13321" width="7.140625" style="412" bestFit="1" customWidth="1"/>
    <col min="13322" max="13322" width="17.140625" style="412" customWidth="1"/>
    <col min="13323" max="13323" width="19" style="412" customWidth="1"/>
    <col min="13324" max="13324" width="8.85546875" style="412"/>
    <col min="13325" max="13326" width="11.7109375" style="412" bestFit="1" customWidth="1"/>
    <col min="13327" max="13569" width="8.85546875" style="412"/>
    <col min="13570" max="13570" width="5.140625" style="412" customWidth="1"/>
    <col min="13571" max="13571" width="61.42578125" style="412" customWidth="1"/>
    <col min="13572" max="13572" width="7.140625" style="412" bestFit="1" customWidth="1"/>
    <col min="13573" max="13573" width="17" style="412" customWidth="1"/>
    <col min="13574" max="13574" width="18.140625" style="412" customWidth="1"/>
    <col min="13575" max="13575" width="3.85546875" style="412" customWidth="1"/>
    <col min="13576" max="13576" width="68.140625" style="412" customWidth="1"/>
    <col min="13577" max="13577" width="7.140625" style="412" bestFit="1" customWidth="1"/>
    <col min="13578" max="13578" width="17.140625" style="412" customWidth="1"/>
    <col min="13579" max="13579" width="19" style="412" customWidth="1"/>
    <col min="13580" max="13580" width="8.85546875" style="412"/>
    <col min="13581" max="13582" width="11.7109375" style="412" bestFit="1" customWidth="1"/>
    <col min="13583" max="13825" width="8.85546875" style="412"/>
    <col min="13826" max="13826" width="5.140625" style="412" customWidth="1"/>
    <col min="13827" max="13827" width="61.42578125" style="412" customWidth="1"/>
    <col min="13828" max="13828" width="7.140625" style="412" bestFit="1" customWidth="1"/>
    <col min="13829" max="13829" width="17" style="412" customWidth="1"/>
    <col min="13830" max="13830" width="18.140625" style="412" customWidth="1"/>
    <col min="13831" max="13831" width="3.85546875" style="412" customWidth="1"/>
    <col min="13832" max="13832" width="68.140625" style="412" customWidth="1"/>
    <col min="13833" max="13833" width="7.140625" style="412" bestFit="1" customWidth="1"/>
    <col min="13834" max="13834" width="17.140625" style="412" customWidth="1"/>
    <col min="13835" max="13835" width="19" style="412" customWidth="1"/>
    <col min="13836" max="13836" width="8.85546875" style="412"/>
    <col min="13837" max="13838" width="11.7109375" style="412" bestFit="1" customWidth="1"/>
    <col min="13839" max="14081" width="8.85546875" style="412"/>
    <col min="14082" max="14082" width="5.140625" style="412" customWidth="1"/>
    <col min="14083" max="14083" width="61.42578125" style="412" customWidth="1"/>
    <col min="14084" max="14084" width="7.140625" style="412" bestFit="1" customWidth="1"/>
    <col min="14085" max="14085" width="17" style="412" customWidth="1"/>
    <col min="14086" max="14086" width="18.140625" style="412" customWidth="1"/>
    <col min="14087" max="14087" width="3.85546875" style="412" customWidth="1"/>
    <col min="14088" max="14088" width="68.140625" style="412" customWidth="1"/>
    <col min="14089" max="14089" width="7.140625" style="412" bestFit="1" customWidth="1"/>
    <col min="14090" max="14090" width="17.140625" style="412" customWidth="1"/>
    <col min="14091" max="14091" width="19" style="412" customWidth="1"/>
    <col min="14092" max="14092" width="8.85546875" style="412"/>
    <col min="14093" max="14094" width="11.7109375" style="412" bestFit="1" customWidth="1"/>
    <col min="14095" max="14337" width="8.85546875" style="412"/>
    <col min="14338" max="14338" width="5.140625" style="412" customWidth="1"/>
    <col min="14339" max="14339" width="61.42578125" style="412" customWidth="1"/>
    <col min="14340" max="14340" width="7.140625" style="412" bestFit="1" customWidth="1"/>
    <col min="14341" max="14341" width="17" style="412" customWidth="1"/>
    <col min="14342" max="14342" width="18.140625" style="412" customWidth="1"/>
    <col min="14343" max="14343" width="3.85546875" style="412" customWidth="1"/>
    <col min="14344" max="14344" width="68.140625" style="412" customWidth="1"/>
    <col min="14345" max="14345" width="7.140625" style="412" bestFit="1" customWidth="1"/>
    <col min="14346" max="14346" width="17.140625" style="412" customWidth="1"/>
    <col min="14347" max="14347" width="19" style="412" customWidth="1"/>
    <col min="14348" max="14348" width="8.85546875" style="412"/>
    <col min="14349" max="14350" width="11.7109375" style="412" bestFit="1" customWidth="1"/>
    <col min="14351" max="14593" width="8.85546875" style="412"/>
    <col min="14594" max="14594" width="5.140625" style="412" customWidth="1"/>
    <col min="14595" max="14595" width="61.42578125" style="412" customWidth="1"/>
    <col min="14596" max="14596" width="7.140625" style="412" bestFit="1" customWidth="1"/>
    <col min="14597" max="14597" width="17" style="412" customWidth="1"/>
    <col min="14598" max="14598" width="18.140625" style="412" customWidth="1"/>
    <col min="14599" max="14599" width="3.85546875" style="412" customWidth="1"/>
    <col min="14600" max="14600" width="68.140625" style="412" customWidth="1"/>
    <col min="14601" max="14601" width="7.140625" style="412" bestFit="1" customWidth="1"/>
    <col min="14602" max="14602" width="17.140625" style="412" customWidth="1"/>
    <col min="14603" max="14603" width="19" style="412" customWidth="1"/>
    <col min="14604" max="14604" width="8.85546875" style="412"/>
    <col min="14605" max="14606" width="11.7109375" style="412" bestFit="1" customWidth="1"/>
    <col min="14607" max="14849" width="8.85546875" style="412"/>
    <col min="14850" max="14850" width="5.140625" style="412" customWidth="1"/>
    <col min="14851" max="14851" width="61.42578125" style="412" customWidth="1"/>
    <col min="14852" max="14852" width="7.140625" style="412" bestFit="1" customWidth="1"/>
    <col min="14853" max="14853" width="17" style="412" customWidth="1"/>
    <col min="14854" max="14854" width="18.140625" style="412" customWidth="1"/>
    <col min="14855" max="14855" width="3.85546875" style="412" customWidth="1"/>
    <col min="14856" max="14856" width="68.140625" style="412" customWidth="1"/>
    <col min="14857" max="14857" width="7.140625" style="412" bestFit="1" customWidth="1"/>
    <col min="14858" max="14858" width="17.140625" style="412" customWidth="1"/>
    <col min="14859" max="14859" width="19" style="412" customWidth="1"/>
    <col min="14860" max="14860" width="8.85546875" style="412"/>
    <col min="14861" max="14862" width="11.7109375" style="412" bestFit="1" customWidth="1"/>
    <col min="14863" max="15105" width="8.85546875" style="412"/>
    <col min="15106" max="15106" width="5.140625" style="412" customWidth="1"/>
    <col min="15107" max="15107" width="61.42578125" style="412" customWidth="1"/>
    <col min="15108" max="15108" width="7.140625" style="412" bestFit="1" customWidth="1"/>
    <col min="15109" max="15109" width="17" style="412" customWidth="1"/>
    <col min="15110" max="15110" width="18.140625" style="412" customWidth="1"/>
    <col min="15111" max="15111" width="3.85546875" style="412" customWidth="1"/>
    <col min="15112" max="15112" width="68.140625" style="412" customWidth="1"/>
    <col min="15113" max="15113" width="7.140625" style="412" bestFit="1" customWidth="1"/>
    <col min="15114" max="15114" width="17.140625" style="412" customWidth="1"/>
    <col min="15115" max="15115" width="19" style="412" customWidth="1"/>
    <col min="15116" max="15116" width="8.85546875" style="412"/>
    <col min="15117" max="15118" width="11.7109375" style="412" bestFit="1" customWidth="1"/>
    <col min="15119" max="15361" width="8.85546875" style="412"/>
    <col min="15362" max="15362" width="5.140625" style="412" customWidth="1"/>
    <col min="15363" max="15363" width="61.42578125" style="412" customWidth="1"/>
    <col min="15364" max="15364" width="7.140625" style="412" bestFit="1" customWidth="1"/>
    <col min="15365" max="15365" width="17" style="412" customWidth="1"/>
    <col min="15366" max="15366" width="18.140625" style="412" customWidth="1"/>
    <col min="15367" max="15367" width="3.85546875" style="412" customWidth="1"/>
    <col min="15368" max="15368" width="68.140625" style="412" customWidth="1"/>
    <col min="15369" max="15369" width="7.140625" style="412" bestFit="1" customWidth="1"/>
    <col min="15370" max="15370" width="17.140625" style="412" customWidth="1"/>
    <col min="15371" max="15371" width="19" style="412" customWidth="1"/>
    <col min="15372" max="15372" width="8.85546875" style="412"/>
    <col min="15373" max="15374" width="11.7109375" style="412" bestFit="1" customWidth="1"/>
    <col min="15375" max="15617" width="8.85546875" style="412"/>
    <col min="15618" max="15618" width="5.140625" style="412" customWidth="1"/>
    <col min="15619" max="15619" width="61.42578125" style="412" customWidth="1"/>
    <col min="15620" max="15620" width="7.140625" style="412" bestFit="1" customWidth="1"/>
    <col min="15621" max="15621" width="17" style="412" customWidth="1"/>
    <col min="15622" max="15622" width="18.140625" style="412" customWidth="1"/>
    <col min="15623" max="15623" width="3.85546875" style="412" customWidth="1"/>
    <col min="15624" max="15624" width="68.140625" style="412" customWidth="1"/>
    <col min="15625" max="15625" width="7.140625" style="412" bestFit="1" customWidth="1"/>
    <col min="15626" max="15626" width="17.140625" style="412" customWidth="1"/>
    <col min="15627" max="15627" width="19" style="412" customWidth="1"/>
    <col min="15628" max="15628" width="8.85546875" style="412"/>
    <col min="15629" max="15630" width="11.7109375" style="412" bestFit="1" customWidth="1"/>
    <col min="15631" max="15873" width="8.85546875" style="412"/>
    <col min="15874" max="15874" width="5.140625" style="412" customWidth="1"/>
    <col min="15875" max="15875" width="61.42578125" style="412" customWidth="1"/>
    <col min="15876" max="15876" width="7.140625" style="412" bestFit="1" customWidth="1"/>
    <col min="15877" max="15877" width="17" style="412" customWidth="1"/>
    <col min="15878" max="15878" width="18.140625" style="412" customWidth="1"/>
    <col min="15879" max="15879" width="3.85546875" style="412" customWidth="1"/>
    <col min="15880" max="15880" width="68.140625" style="412" customWidth="1"/>
    <col min="15881" max="15881" width="7.140625" style="412" bestFit="1" customWidth="1"/>
    <col min="15882" max="15882" width="17.140625" style="412" customWidth="1"/>
    <col min="15883" max="15883" width="19" style="412" customWidth="1"/>
    <col min="15884" max="15884" width="8.85546875" style="412"/>
    <col min="15885" max="15886" width="11.7109375" style="412" bestFit="1" customWidth="1"/>
    <col min="15887" max="16129" width="8.85546875" style="412"/>
    <col min="16130" max="16130" width="5.140625" style="412" customWidth="1"/>
    <col min="16131" max="16131" width="61.42578125" style="412" customWidth="1"/>
    <col min="16132" max="16132" width="7.140625" style="412" bestFit="1" customWidth="1"/>
    <col min="16133" max="16133" width="17" style="412" customWidth="1"/>
    <col min="16134" max="16134" width="18.140625" style="412" customWidth="1"/>
    <col min="16135" max="16135" width="3.85546875" style="412" customWidth="1"/>
    <col min="16136" max="16136" width="68.140625" style="412" customWidth="1"/>
    <col min="16137" max="16137" width="7.140625" style="412" bestFit="1" customWidth="1"/>
    <col min="16138" max="16138" width="17.140625" style="412" customWidth="1"/>
    <col min="16139" max="16139" width="19" style="412" customWidth="1"/>
    <col min="16140" max="16140" width="8.85546875" style="412"/>
    <col min="16141" max="16142" width="11.7109375" style="412" bestFit="1" customWidth="1"/>
    <col min="16143" max="16384" width="8.85546875" style="412"/>
  </cols>
  <sheetData>
    <row r="1" spans="1:12" ht="35.450000000000003" customHeight="1" x14ac:dyDescent="0.2">
      <c r="A1" s="834" t="s">
        <v>1374</v>
      </c>
      <c r="B1" s="834"/>
      <c r="C1" s="834"/>
      <c r="D1" s="834"/>
      <c r="E1" s="834"/>
      <c r="F1" s="834"/>
      <c r="G1" s="834"/>
      <c r="H1" s="834"/>
      <c r="I1" s="834"/>
      <c r="J1" s="834"/>
      <c r="K1" s="411"/>
      <c r="L1" s="411"/>
    </row>
    <row r="2" spans="1:12" s="413" customFormat="1" ht="3.75" customHeight="1" x14ac:dyDescent="0.2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 s="413" customFormat="1" x14ac:dyDescent="0.2">
      <c r="A3" s="501"/>
      <c r="B3" s="501"/>
      <c r="C3" s="501"/>
      <c r="D3" s="501"/>
      <c r="E3" s="501"/>
      <c r="F3" s="414"/>
      <c r="G3" s="501"/>
      <c r="H3" s="502"/>
      <c r="I3" s="502"/>
      <c r="J3" s="503"/>
      <c r="K3" s="503" t="s">
        <v>1156</v>
      </c>
      <c r="L3" s="412"/>
    </row>
    <row r="4" spans="1:12" ht="18.75" x14ac:dyDescent="0.2">
      <c r="A4" s="835" t="s">
        <v>752</v>
      </c>
      <c r="B4" s="837" t="s">
        <v>1157</v>
      </c>
      <c r="C4" s="838"/>
      <c r="D4" s="838"/>
      <c r="E4" s="838"/>
      <c r="F4" s="839"/>
      <c r="G4" s="415"/>
      <c r="H4" s="840" t="s">
        <v>1158</v>
      </c>
      <c r="I4" s="841"/>
      <c r="J4" s="841"/>
      <c r="K4" s="841"/>
      <c r="L4" s="841"/>
    </row>
    <row r="5" spans="1:12" ht="36" customHeight="1" x14ac:dyDescent="0.2">
      <c r="A5" s="835"/>
      <c r="B5" s="416" t="s">
        <v>32</v>
      </c>
      <c r="C5" s="416" t="s">
        <v>1159</v>
      </c>
      <c r="D5" s="416" t="s">
        <v>1356</v>
      </c>
      <c r="E5" s="416" t="s">
        <v>1357</v>
      </c>
      <c r="F5" s="416" t="s">
        <v>1373</v>
      </c>
      <c r="G5" s="417"/>
      <c r="H5" s="416" t="s">
        <v>32</v>
      </c>
      <c r="I5" s="416" t="s">
        <v>1159</v>
      </c>
      <c r="J5" s="416" t="s">
        <v>1356</v>
      </c>
      <c r="K5" s="416" t="s">
        <v>1357</v>
      </c>
      <c r="L5" s="416" t="s">
        <v>1373</v>
      </c>
    </row>
    <row r="6" spans="1:12" ht="15.75" x14ac:dyDescent="0.25">
      <c r="A6" s="418" t="s">
        <v>12</v>
      </c>
      <c r="B6" s="419" t="s">
        <v>1160</v>
      </c>
      <c r="C6" s="420" t="s">
        <v>1161</v>
      </c>
      <c r="D6" s="421">
        <f>+'[4]3. sz.Városi szintű összesen'!J29</f>
        <v>791148457</v>
      </c>
      <c r="E6" s="421">
        <f>'[4]3. sz.Városi szintű összesen'!K29</f>
        <v>1044012022</v>
      </c>
      <c r="F6" s="421">
        <v>1042059043</v>
      </c>
      <c r="G6" s="422"/>
      <c r="H6" s="423" t="s">
        <v>1162</v>
      </c>
      <c r="I6" s="424" t="s">
        <v>1163</v>
      </c>
      <c r="J6" s="421">
        <f>+'[4]3. sz.Városi szintű összesen'!J8</f>
        <v>1166946643</v>
      </c>
      <c r="K6" s="504">
        <f>'[4]3. sz.Városi szintű összesen'!K8</f>
        <v>1246748230</v>
      </c>
      <c r="L6" s="504">
        <v>1203193586</v>
      </c>
    </row>
    <row r="7" spans="1:12" ht="15.75" x14ac:dyDescent="0.25">
      <c r="A7" s="418" t="s">
        <v>17</v>
      </c>
      <c r="B7" s="419" t="s">
        <v>1164</v>
      </c>
      <c r="C7" s="420" t="s">
        <v>1165</v>
      </c>
      <c r="D7" s="421">
        <f>+'[4]3. sz.Városi szintű összesen'!J30</f>
        <v>0</v>
      </c>
      <c r="E7" s="421">
        <f>'[4]3. sz.Városi szintű összesen'!K30</f>
        <v>562791189</v>
      </c>
      <c r="F7" s="421">
        <v>511291208</v>
      </c>
      <c r="G7" s="422"/>
      <c r="H7" s="419" t="s">
        <v>1166</v>
      </c>
      <c r="I7" s="424" t="s">
        <v>1167</v>
      </c>
      <c r="J7" s="421">
        <f>+'[4]3. sz.Városi szintű összesen'!J9</f>
        <v>291780540</v>
      </c>
      <c r="K7" s="504">
        <f>'[4]3. sz.Városi szintű összesen'!K9</f>
        <v>311065260</v>
      </c>
      <c r="L7" s="504">
        <v>286193762</v>
      </c>
    </row>
    <row r="8" spans="1:12" ht="15.75" x14ac:dyDescent="0.25">
      <c r="A8" s="418" t="s">
        <v>20</v>
      </c>
      <c r="B8" s="419" t="s">
        <v>1168</v>
      </c>
      <c r="C8" s="420" t="s">
        <v>1169</v>
      </c>
      <c r="D8" s="421">
        <f>+'[4]3. sz.Városi szintű összesen'!J31</f>
        <v>2983238155</v>
      </c>
      <c r="E8" s="421">
        <f>'[4]3. sz.Városi szintű összesen'!K31</f>
        <v>3540987551</v>
      </c>
      <c r="F8" s="421">
        <v>3436939761</v>
      </c>
      <c r="G8" s="422"/>
      <c r="H8" s="419" t="s">
        <v>1170</v>
      </c>
      <c r="I8" s="424" t="s">
        <v>1171</v>
      </c>
      <c r="J8" s="421">
        <f>+'[4]3. sz.Városi szintű összesen'!J10</f>
        <v>1604933989</v>
      </c>
      <c r="K8" s="504">
        <f>'[4]3. sz.Városi szintű összesen'!K10</f>
        <v>2022044559</v>
      </c>
      <c r="L8" s="504">
        <v>1626280841</v>
      </c>
    </row>
    <row r="9" spans="1:12" ht="15.75" x14ac:dyDescent="0.25">
      <c r="A9" s="418" t="s">
        <v>22</v>
      </c>
      <c r="B9" s="425" t="s">
        <v>1172</v>
      </c>
      <c r="C9" s="420" t="s">
        <v>1173</v>
      </c>
      <c r="D9" s="421">
        <f>+'[4]3. sz.Városi szintű összesen'!J32</f>
        <v>394755231</v>
      </c>
      <c r="E9" s="421">
        <f>'[4]3. sz.Városi szintű összesen'!K32</f>
        <v>489403823</v>
      </c>
      <c r="F9" s="421">
        <v>466122268</v>
      </c>
      <c r="G9" s="422"/>
      <c r="H9" s="425" t="s">
        <v>1174</v>
      </c>
      <c r="I9" s="424" t="s">
        <v>1175</v>
      </c>
      <c r="J9" s="421">
        <f>+'[4]3. sz.Városi szintű összesen'!J11</f>
        <v>24954500</v>
      </c>
      <c r="K9" s="504">
        <f>'[4]3. sz.Városi szintű összesen'!K11</f>
        <v>50035500</v>
      </c>
      <c r="L9" s="504">
        <v>39354328</v>
      </c>
    </row>
    <row r="10" spans="1:12" ht="15.75" x14ac:dyDescent="0.25">
      <c r="A10" s="418" t="s">
        <v>24</v>
      </c>
      <c r="B10" s="419" t="s">
        <v>1176</v>
      </c>
      <c r="C10" s="420" t="s">
        <v>1177</v>
      </c>
      <c r="D10" s="421">
        <f>+'[4]3. sz.Városi szintű összesen'!J33</f>
        <v>181626200</v>
      </c>
      <c r="E10" s="421">
        <f>'[4]3. sz.Városi szintű összesen'!K33</f>
        <v>48850806</v>
      </c>
      <c r="F10" s="421">
        <v>48850806</v>
      </c>
      <c r="G10" s="422"/>
      <c r="H10" s="425" t="s">
        <v>1178</v>
      </c>
      <c r="I10" s="424" t="s">
        <v>1179</v>
      </c>
      <c r="J10" s="421">
        <f>+'[4]3. sz.Városi szintű összesen'!J12</f>
        <v>693320744</v>
      </c>
      <c r="K10" s="504">
        <f>'[4]3. sz.Városi szintű összesen'!K12</f>
        <v>1319949267</v>
      </c>
      <c r="L10" s="504">
        <v>463583943</v>
      </c>
    </row>
    <row r="11" spans="1:12" ht="15.75" x14ac:dyDescent="0.25">
      <c r="A11" s="418" t="s">
        <v>86</v>
      </c>
      <c r="B11" s="419" t="s">
        <v>1180</v>
      </c>
      <c r="C11" s="420" t="s">
        <v>1181</v>
      </c>
      <c r="D11" s="421">
        <f>+'[4]3. sz.Városi szintű összesen'!J34</f>
        <v>45000000</v>
      </c>
      <c r="E11" s="421">
        <f>'[4]3. sz.Városi szintű összesen'!K34</f>
        <v>45100000</v>
      </c>
      <c r="F11" s="421">
        <v>17005000</v>
      </c>
      <c r="G11" s="422"/>
      <c r="H11" s="419" t="s">
        <v>1182</v>
      </c>
      <c r="I11" s="424" t="s">
        <v>1183</v>
      </c>
      <c r="J11" s="421">
        <f>+'[4]3. sz.Városi szintű összesen'!J16</f>
        <v>216291470</v>
      </c>
      <c r="K11" s="504">
        <f>'[4]3. sz.Városi szintű összesen'!K16</f>
        <v>884853785</v>
      </c>
      <c r="L11" s="504">
        <v>392824679</v>
      </c>
    </row>
    <row r="12" spans="1:12" ht="15.75" x14ac:dyDescent="0.25">
      <c r="A12" s="418" t="s">
        <v>88</v>
      </c>
      <c r="B12" s="419" t="s">
        <v>1184</v>
      </c>
      <c r="C12" s="420" t="s">
        <v>1185</v>
      </c>
      <c r="D12" s="421">
        <f>+'[4]3. sz.Városi szintű összesen'!J35</f>
        <v>3694700</v>
      </c>
      <c r="E12" s="421">
        <f>'[4]3. sz.Városi szintű összesen'!K35</f>
        <v>12994347</v>
      </c>
      <c r="F12" s="421">
        <v>12981047</v>
      </c>
      <c r="G12" s="422"/>
      <c r="H12" s="425" t="s">
        <v>1186</v>
      </c>
      <c r="I12" s="424" t="s">
        <v>1187</v>
      </c>
      <c r="J12" s="421">
        <f>+'[4]3. sz.Városi szintű összesen'!J17</f>
        <v>86919478</v>
      </c>
      <c r="K12" s="504">
        <f>'[4]3. sz.Városi szintű összesen'!K17</f>
        <v>411522809</v>
      </c>
      <c r="L12" s="504">
        <v>262655211</v>
      </c>
    </row>
    <row r="13" spans="1:12" ht="15.75" x14ac:dyDescent="0.25">
      <c r="A13" s="418" t="s">
        <v>89</v>
      </c>
      <c r="B13" s="420"/>
      <c r="C13" s="420"/>
      <c r="D13" s="421"/>
      <c r="E13" s="421"/>
      <c r="F13" s="421"/>
      <c r="G13" s="422"/>
      <c r="H13" s="425" t="s">
        <v>1188</v>
      </c>
      <c r="I13" s="424" t="s">
        <v>1189</v>
      </c>
      <c r="J13" s="421">
        <f>+'[4]3. sz.Városi szintű összesen'!J18</f>
        <v>408381180</v>
      </c>
      <c r="K13" s="504">
        <f>'[4]3. sz.Városi szintű összesen'!K18</f>
        <v>507483080</v>
      </c>
      <c r="L13" s="504">
        <v>505472780</v>
      </c>
    </row>
    <row r="14" spans="1:12" ht="18" customHeight="1" x14ac:dyDescent="0.2">
      <c r="A14" s="418" t="s">
        <v>90</v>
      </c>
      <c r="B14" s="426" t="s">
        <v>1190</v>
      </c>
      <c r="C14" s="420" t="s">
        <v>1191</v>
      </c>
      <c r="D14" s="427">
        <f>SUM(D6:D12)</f>
        <v>4399462743</v>
      </c>
      <c r="E14" s="427">
        <f>'[4]3. sz.Városi szintű összesen'!K36</f>
        <v>5744139738</v>
      </c>
      <c r="F14" s="427">
        <f>SUM(F6:F13)</f>
        <v>5535249133</v>
      </c>
      <c r="G14" s="422"/>
      <c r="H14" s="420" t="s">
        <v>1192</v>
      </c>
      <c r="I14" s="426" t="s">
        <v>1193</v>
      </c>
      <c r="J14" s="427">
        <f>SUM(J6:J13)</f>
        <v>4493528544</v>
      </c>
      <c r="K14" s="427">
        <f>'[4]3. sz.Városi szintű összesen'!K20</f>
        <v>6753702490</v>
      </c>
      <c r="L14" s="427">
        <f>SUM(L6:L13)</f>
        <v>4779559130</v>
      </c>
    </row>
    <row r="15" spans="1:12" ht="15.75" x14ac:dyDescent="0.2">
      <c r="A15" s="418" t="s">
        <v>763</v>
      </c>
      <c r="B15" s="425" t="s">
        <v>1194</v>
      </c>
      <c r="C15" s="420"/>
      <c r="D15" s="421">
        <f>D6+D9+D8+D11</f>
        <v>4214141843</v>
      </c>
      <c r="E15" s="421">
        <f>E6+E9+E8+E11</f>
        <v>5119503396</v>
      </c>
      <c r="F15" s="421">
        <f>F6+F9+F8+F11</f>
        <v>4962126072</v>
      </c>
      <c r="G15" s="422"/>
      <c r="H15" s="419" t="s">
        <v>1195</v>
      </c>
      <c r="I15" s="425"/>
      <c r="J15" s="421">
        <f>J6+J8+J9+J10+J7</f>
        <v>3781936416</v>
      </c>
      <c r="K15" s="421">
        <f>K6+K8+K9+K10+K7</f>
        <v>4949842816</v>
      </c>
      <c r="L15" s="421">
        <f>L6+L8+L9+L10+L7</f>
        <v>3618606460</v>
      </c>
    </row>
    <row r="16" spans="1:12" ht="15.75" x14ac:dyDescent="0.2">
      <c r="A16" s="418" t="s">
        <v>767</v>
      </c>
      <c r="B16" s="425" t="s">
        <v>1196</v>
      </c>
      <c r="C16" s="420"/>
      <c r="D16" s="421">
        <f>D7+D10+D12</f>
        <v>185320900</v>
      </c>
      <c r="E16" s="421">
        <f>E7+E10+E12</f>
        <v>624636342</v>
      </c>
      <c r="F16" s="421">
        <f>F7+F10+F12</f>
        <v>573123061</v>
      </c>
      <c r="G16" s="422"/>
      <c r="H16" s="419" t="s">
        <v>1197</v>
      </c>
      <c r="I16" s="420"/>
      <c r="J16" s="421">
        <f>J11+J12+J13</f>
        <v>711592128</v>
      </c>
      <c r="K16" s="421">
        <f>K11+K12+K13</f>
        <v>1803859674</v>
      </c>
      <c r="L16" s="421">
        <f>L11+L12+L13</f>
        <v>1160952670</v>
      </c>
    </row>
    <row r="17" spans="1:13" ht="15.75" x14ac:dyDescent="0.25">
      <c r="A17" s="418" t="s">
        <v>769</v>
      </c>
      <c r="B17" s="420" t="s">
        <v>1198</v>
      </c>
      <c r="C17" s="426" t="s">
        <v>1199</v>
      </c>
      <c r="D17" s="427">
        <f>+'[4]3. sz.Városi szintű összesen'!J37</f>
        <v>2029531954</v>
      </c>
      <c r="E17" s="427">
        <f>'[4]3. sz.Városi szintű összesen'!K37</f>
        <v>3105673693</v>
      </c>
      <c r="F17" s="427">
        <v>7973460148</v>
      </c>
      <c r="G17" s="422"/>
      <c r="H17" s="420" t="s">
        <v>1200</v>
      </c>
      <c r="I17" s="420" t="s">
        <v>1201</v>
      </c>
      <c r="J17" s="427">
        <f>+'[4]3. sz.Városi szintű összesen'!J21</f>
        <v>1935466153</v>
      </c>
      <c r="K17" s="505">
        <f>'[4]3. sz.Városi szintű összesen'!K21</f>
        <v>2096110941</v>
      </c>
      <c r="L17" s="505">
        <v>6960367498</v>
      </c>
      <c r="M17" s="511"/>
    </row>
    <row r="18" spans="1:13" ht="15.75" x14ac:dyDescent="0.25">
      <c r="A18" s="418" t="s">
        <v>771</v>
      </c>
      <c r="B18" s="428" t="s">
        <v>1202</v>
      </c>
      <c r="C18" s="425"/>
      <c r="D18" s="421">
        <f>+'[4]3. sz.Városi szintű összesen'!J39</f>
        <v>49192079</v>
      </c>
      <c r="E18" s="421">
        <f>'[4]3. sz.Városi szintű összesen'!K39</f>
        <v>783905109</v>
      </c>
      <c r="F18" s="421">
        <v>783905109</v>
      </c>
      <c r="G18" s="422"/>
      <c r="H18" s="428" t="s">
        <v>1203</v>
      </c>
      <c r="I18" s="419"/>
      <c r="J18" s="421">
        <f>+'[4]3. sz.Városi szintű összesen'!J22</f>
        <v>22210720</v>
      </c>
      <c r="K18" s="504">
        <f>'[4]3. sz.Városi szintű összesen'!K22</f>
        <v>109895689</v>
      </c>
      <c r="L18" s="504">
        <v>109895689</v>
      </c>
    </row>
    <row r="19" spans="1:13" ht="15.75" x14ac:dyDescent="0.25">
      <c r="A19" s="418" t="s">
        <v>773</v>
      </c>
      <c r="B19" s="419" t="s">
        <v>1204</v>
      </c>
      <c r="C19" s="425"/>
      <c r="D19" s="421">
        <f>+'[4]3. sz.Városi szintű összesen'!J40</f>
        <v>70614340</v>
      </c>
      <c r="E19" s="421">
        <f>'[4]3. sz.Városi szintű összesen'!K40</f>
        <v>234614340</v>
      </c>
      <c r="F19" s="421">
        <v>234614340</v>
      </c>
      <c r="G19" s="422"/>
      <c r="H19" s="419" t="s">
        <v>1205</v>
      </c>
      <c r="I19" s="420"/>
      <c r="J19" s="421">
        <f>+'[4]3. sz.Városi szintű összesen'!J23</f>
        <v>1893681715</v>
      </c>
      <c r="K19" s="504">
        <f>'[4]3. sz.Városi szintű összesen'!K23</f>
        <v>1952514336</v>
      </c>
      <c r="L19" s="504">
        <v>1802535483</v>
      </c>
    </row>
    <row r="20" spans="1:13" ht="15.75" x14ac:dyDescent="0.25">
      <c r="A20" s="418" t="s">
        <v>775</v>
      </c>
      <c r="B20" s="419" t="s">
        <v>1206</v>
      </c>
      <c r="C20" s="419"/>
      <c r="D20" s="421">
        <f>+'[4]3. sz.Városi szintű összesen'!J41</f>
        <v>1893681715</v>
      </c>
      <c r="E20" s="421">
        <f>'[4]3. sz.Városi szintű összesen'!K41</f>
        <v>1952514336</v>
      </c>
      <c r="F20" s="421">
        <v>1806233415</v>
      </c>
      <c r="G20" s="422"/>
      <c r="H20" s="419" t="s">
        <v>1207</v>
      </c>
      <c r="I20" s="429"/>
      <c r="J20" s="421">
        <f>+'[4]3. sz.Városi szintű összesen'!J24</f>
        <v>16043820</v>
      </c>
      <c r="K20" s="504">
        <f>'[4]3. sz.Városi szintű összesen'!K24</f>
        <v>30171018</v>
      </c>
      <c r="L20" s="504">
        <v>27936326</v>
      </c>
    </row>
    <row r="21" spans="1:13" ht="15.75" x14ac:dyDescent="0.25">
      <c r="A21" s="418" t="s">
        <v>777</v>
      </c>
      <c r="B21" s="419" t="s">
        <v>1208</v>
      </c>
      <c r="C21" s="419"/>
      <c r="D21" s="421">
        <f>+'[4]3. sz.Városi szintű összesen'!J42</f>
        <v>16043820</v>
      </c>
      <c r="E21" s="421">
        <f>'[4]3. sz.Városi szintű összesen'!K42</f>
        <v>30171018</v>
      </c>
      <c r="F21" s="421">
        <v>24238394</v>
      </c>
      <c r="G21" s="422"/>
      <c r="H21" s="419" t="s">
        <v>1209</v>
      </c>
      <c r="I21" s="430"/>
      <c r="J21" s="421">
        <f>+'[4]3. sz.Városi szintű összesen'!J25</f>
        <v>3529898</v>
      </c>
      <c r="K21" s="504">
        <f>'[4]3. sz.Városi szintű összesen'!K25</f>
        <v>3529898</v>
      </c>
      <c r="L21" s="504">
        <v>0</v>
      </c>
    </row>
    <row r="22" spans="1:13" ht="15.75" x14ac:dyDescent="0.25">
      <c r="A22" s="418" t="s">
        <v>789</v>
      </c>
      <c r="B22" s="428" t="s">
        <v>1210</v>
      </c>
      <c r="C22" s="419"/>
      <c r="D22" s="421">
        <f>+'[4]3. sz.Városi szintű összesen'!J43</f>
        <v>0</v>
      </c>
      <c r="E22" s="421">
        <f>'[4]3. sz.Városi szintű összesen'!K43</f>
        <v>0</v>
      </c>
      <c r="F22" s="421">
        <v>0</v>
      </c>
      <c r="G22" s="422"/>
      <c r="H22" s="420"/>
      <c r="I22" s="430"/>
      <c r="J22" s="421"/>
      <c r="K22" s="504"/>
      <c r="L22" s="504"/>
    </row>
    <row r="23" spans="1:13" ht="31.5" x14ac:dyDescent="0.2">
      <c r="A23" s="418" t="s">
        <v>791</v>
      </c>
      <c r="B23" s="420" t="s">
        <v>1211</v>
      </c>
      <c r="C23" s="419"/>
      <c r="D23" s="421">
        <f>+'[4]3. sz.Városi szintű összesen'!J44</f>
        <v>6157015637</v>
      </c>
      <c r="E23" s="421">
        <f>+'[4]3. sz.Városi szintű összesen'!K44</f>
        <v>7960391731</v>
      </c>
      <c r="F23" s="421">
        <v>12676733486</v>
      </c>
      <c r="G23" s="422"/>
      <c r="H23" s="420" t="s">
        <v>1212</v>
      </c>
      <c r="I23" s="430"/>
      <c r="J23" s="421">
        <f>+'[4]3. sz.Városi szintű összesen'!J26</f>
        <v>5697828851</v>
      </c>
      <c r="K23" s="421">
        <f>+'[4]3. sz.Városi szintű összesen'!K26</f>
        <v>7012252841</v>
      </c>
      <c r="L23" s="421">
        <v>10551037632</v>
      </c>
    </row>
    <row r="24" spans="1:13" ht="31.5" x14ac:dyDescent="0.2">
      <c r="A24" s="418" t="s">
        <v>1018</v>
      </c>
      <c r="B24" s="420" t="s">
        <v>1213</v>
      </c>
      <c r="C24" s="419"/>
      <c r="D24" s="421">
        <f>+'[4]3. sz.Városi szintű összesen'!J45</f>
        <v>271979060</v>
      </c>
      <c r="E24" s="421">
        <f>+'[4]3. sz.Városi szintű összesen'!K45</f>
        <v>889421700</v>
      </c>
      <c r="F24" s="421">
        <v>831975795</v>
      </c>
      <c r="G24" s="422"/>
      <c r="H24" s="420" t="s">
        <v>1214</v>
      </c>
      <c r="I24" s="430"/>
      <c r="J24" s="421">
        <f>+'[4]3. sz.Városi szintű összesen'!J27</f>
        <v>731165846</v>
      </c>
      <c r="K24" s="421">
        <f>+'[4]3. sz.Városi szintű összesen'!K27</f>
        <v>1837560590</v>
      </c>
      <c r="L24" s="421">
        <v>1188888996</v>
      </c>
    </row>
    <row r="25" spans="1:13" ht="18.75" customHeight="1" x14ac:dyDescent="0.2">
      <c r="A25" s="418" t="s">
        <v>1020</v>
      </c>
      <c r="B25" s="431" t="s">
        <v>1215</v>
      </c>
      <c r="C25" s="434" t="s">
        <v>1216</v>
      </c>
      <c r="D25" s="432">
        <f>+'[4]3. sz.Városi szintű összesen'!J46</f>
        <v>6428994697</v>
      </c>
      <c r="E25" s="432">
        <f>+'[4]3. sz.Városi szintű összesen'!K46</f>
        <v>8849813431</v>
      </c>
      <c r="F25" s="432">
        <f>SUM(F23:F24)</f>
        <v>13508709281</v>
      </c>
      <c r="G25" s="433"/>
      <c r="H25" s="434" t="s">
        <v>1217</v>
      </c>
      <c r="I25" s="434" t="s">
        <v>1218</v>
      </c>
      <c r="J25" s="432">
        <f>+'[4]3. sz.Városi szintű összesen'!J28</f>
        <v>6428994697</v>
      </c>
      <c r="K25" s="432">
        <f>+'[4]3. sz.Városi szintű összesen'!K28</f>
        <v>8849813431</v>
      </c>
      <c r="L25" s="432">
        <f>+L23+L24</f>
        <v>11739926628</v>
      </c>
    </row>
    <row r="26" spans="1:13" x14ac:dyDescent="0.2">
      <c r="L26" s="511"/>
    </row>
    <row r="27" spans="1:13" ht="28.5" customHeight="1" x14ac:dyDescent="0.25">
      <c r="B27" s="506"/>
      <c r="D27" s="442" t="s">
        <v>1375</v>
      </c>
      <c r="E27" s="442" t="s">
        <v>1376</v>
      </c>
      <c r="F27" s="580" t="s">
        <v>1355</v>
      </c>
      <c r="H27" s="507"/>
    </row>
    <row r="28" spans="1:13" ht="19.5" customHeight="1" x14ac:dyDescent="0.25">
      <c r="B28" s="833" t="s">
        <v>1219</v>
      </c>
      <c r="C28" s="833"/>
      <c r="D28" s="508">
        <f>+D15</f>
        <v>4214141843</v>
      </c>
      <c r="E28" s="508">
        <f t="shared" ref="E28:F28" si="0">+E15</f>
        <v>5119503396</v>
      </c>
      <c r="F28" s="508">
        <f t="shared" si="0"/>
        <v>4962126072</v>
      </c>
      <c r="G28" s="508"/>
      <c r="H28" s="833"/>
      <c r="I28" s="833"/>
      <c r="J28" s="435"/>
      <c r="K28" s="435"/>
      <c r="L28" s="435"/>
    </row>
    <row r="29" spans="1:13" ht="19.5" customHeight="1" x14ac:dyDescent="0.25">
      <c r="B29" s="833" t="s">
        <v>1220</v>
      </c>
      <c r="C29" s="833"/>
      <c r="D29" s="508">
        <f>+J15</f>
        <v>3781936416</v>
      </c>
      <c r="E29" s="508">
        <f t="shared" ref="E29:F29" si="1">+K15</f>
        <v>4949842816</v>
      </c>
      <c r="F29" s="508">
        <f t="shared" si="1"/>
        <v>3618606460</v>
      </c>
      <c r="G29" s="436"/>
      <c r="H29" s="833"/>
      <c r="I29" s="833"/>
      <c r="J29" s="435"/>
      <c r="K29" s="435"/>
      <c r="L29" s="435"/>
    </row>
    <row r="30" spans="1:13" ht="19.5" customHeight="1" x14ac:dyDescent="0.25">
      <c r="B30" s="833" t="s">
        <v>1221</v>
      </c>
      <c r="C30" s="833"/>
      <c r="D30" s="509">
        <f>+D28-D29</f>
        <v>432205427</v>
      </c>
      <c r="E30" s="509">
        <f t="shared" ref="E30:F30" si="2">+E28-E29</f>
        <v>169660580</v>
      </c>
      <c r="F30" s="509">
        <f t="shared" si="2"/>
        <v>1343519612</v>
      </c>
      <c r="G30" s="436"/>
      <c r="H30" s="833"/>
      <c r="I30" s="833"/>
      <c r="J30" s="437"/>
      <c r="K30" s="437"/>
      <c r="L30" s="437"/>
    </row>
    <row r="31" spans="1:13" ht="15.75" x14ac:dyDescent="0.25">
      <c r="B31" s="436"/>
      <c r="C31" s="436"/>
      <c r="D31" s="510"/>
      <c r="E31" s="510"/>
      <c r="F31" s="510"/>
      <c r="G31" s="436"/>
      <c r="H31" s="436"/>
      <c r="I31" s="436"/>
      <c r="J31" s="438"/>
      <c r="K31" s="438"/>
      <c r="L31" s="438"/>
    </row>
    <row r="32" spans="1:13" ht="20.25" customHeight="1" x14ac:dyDescent="0.25">
      <c r="B32" s="833" t="s">
        <v>1222</v>
      </c>
      <c r="C32" s="833"/>
      <c r="D32" s="508">
        <f>+D16</f>
        <v>185320900</v>
      </c>
      <c r="E32" s="508">
        <f t="shared" ref="E32:F32" si="3">+E16</f>
        <v>624636342</v>
      </c>
      <c r="F32" s="508">
        <f t="shared" si="3"/>
        <v>573123061</v>
      </c>
      <c r="G32" s="436"/>
      <c r="H32" s="833"/>
      <c r="I32" s="833"/>
      <c r="J32" s="435"/>
      <c r="K32" s="435"/>
      <c r="L32" s="435"/>
      <c r="M32" s="511">
        <f>+J29+J33</f>
        <v>0</v>
      </c>
    </row>
    <row r="33" spans="2:14" ht="20.25" customHeight="1" x14ac:dyDescent="0.25">
      <c r="B33" s="833" t="s">
        <v>1223</v>
      </c>
      <c r="C33" s="833"/>
      <c r="D33" s="508">
        <f>+J16</f>
        <v>711592128</v>
      </c>
      <c r="E33" s="508">
        <f t="shared" ref="E33:F33" si="4">+K16</f>
        <v>1803859674</v>
      </c>
      <c r="F33" s="508">
        <f t="shared" si="4"/>
        <v>1160952670</v>
      </c>
      <c r="G33" s="436"/>
      <c r="H33" s="833"/>
      <c r="I33" s="833"/>
      <c r="J33" s="435"/>
      <c r="K33" s="435"/>
      <c r="L33" s="435"/>
      <c r="M33" s="511">
        <f>+J28+J32</f>
        <v>0</v>
      </c>
    </row>
    <row r="34" spans="2:14" ht="20.25" customHeight="1" x14ac:dyDescent="0.25">
      <c r="B34" s="833" t="s">
        <v>1224</v>
      </c>
      <c r="C34" s="833"/>
      <c r="D34" s="509">
        <f>+D32-D33</f>
        <v>-526271228</v>
      </c>
      <c r="E34" s="509">
        <f t="shared" ref="E34:F34" si="5">+E32-E33</f>
        <v>-1179223332</v>
      </c>
      <c r="F34" s="509">
        <f t="shared" si="5"/>
        <v>-587829609</v>
      </c>
      <c r="G34" s="436"/>
      <c r="H34" s="833"/>
      <c r="I34" s="833"/>
      <c r="J34" s="437"/>
      <c r="K34" s="437"/>
      <c r="L34" s="437"/>
      <c r="M34" s="511">
        <f>+D14+D17</f>
        <v>6428994697</v>
      </c>
      <c r="N34" s="511">
        <f>+J14+J17</f>
        <v>6428994697</v>
      </c>
    </row>
    <row r="35" spans="2:14" ht="15.75" x14ac:dyDescent="0.25">
      <c r="B35" s="436"/>
      <c r="C35" s="436"/>
      <c r="D35" s="510"/>
      <c r="E35" s="510"/>
      <c r="F35" s="510"/>
      <c r="G35" s="436"/>
      <c r="H35" s="436"/>
      <c r="I35" s="436"/>
      <c r="J35" s="438"/>
      <c r="K35" s="438"/>
      <c r="L35" s="438"/>
    </row>
    <row r="36" spans="2:14" ht="32.25" customHeight="1" x14ac:dyDescent="0.2">
      <c r="B36" s="836" t="s">
        <v>1225</v>
      </c>
      <c r="C36" s="836"/>
      <c r="D36" s="512">
        <f>+D30+D34</f>
        <v>-94065801</v>
      </c>
      <c r="E36" s="512">
        <f t="shared" ref="E36:F36" si="6">+E30+E34</f>
        <v>-1009562752</v>
      </c>
      <c r="F36" s="512">
        <f t="shared" si="6"/>
        <v>755690003</v>
      </c>
      <c r="G36" s="440"/>
      <c r="H36" s="836"/>
      <c r="I36" s="836"/>
      <c r="J36" s="439"/>
      <c r="K36" s="439"/>
      <c r="L36" s="439"/>
    </row>
    <row r="37" spans="2:14" ht="39" customHeight="1" x14ac:dyDescent="0.2">
      <c r="B37" s="836" t="s">
        <v>1226</v>
      </c>
      <c r="C37" s="836"/>
      <c r="D37" s="512">
        <f>+D17-J17</f>
        <v>94065801</v>
      </c>
      <c r="E37" s="512">
        <f t="shared" ref="E37:F37" si="7">+E17-K17</f>
        <v>1009562752</v>
      </c>
      <c r="F37" s="512">
        <f t="shared" si="7"/>
        <v>1013092650</v>
      </c>
      <c r="G37" s="512"/>
      <c r="H37" s="836"/>
      <c r="I37" s="836"/>
      <c r="J37" s="439"/>
      <c r="K37" s="439"/>
      <c r="L37" s="439"/>
    </row>
    <row r="38" spans="2:14" ht="36" customHeight="1" x14ac:dyDescent="0.2">
      <c r="B38" s="836" t="s">
        <v>1227</v>
      </c>
      <c r="C38" s="836"/>
      <c r="D38" s="513">
        <f>+D36+D37</f>
        <v>0</v>
      </c>
      <c r="E38" s="513">
        <f t="shared" ref="E38:F38" si="8">+E36+E37</f>
        <v>0</v>
      </c>
      <c r="F38" s="513">
        <f t="shared" si="8"/>
        <v>1768782653</v>
      </c>
      <c r="G38" s="442"/>
      <c r="H38" s="836"/>
      <c r="I38" s="836"/>
      <c r="J38" s="441"/>
      <c r="K38" s="441"/>
      <c r="L38" s="441"/>
    </row>
  </sheetData>
  <mergeCells count="22">
    <mergeCell ref="B37:C37"/>
    <mergeCell ref="H37:I37"/>
    <mergeCell ref="B38:C38"/>
    <mergeCell ref="H38:I38"/>
    <mergeCell ref="B4:F4"/>
    <mergeCell ref="H4:L4"/>
    <mergeCell ref="B33:C33"/>
    <mergeCell ref="H33:I33"/>
    <mergeCell ref="B34:C34"/>
    <mergeCell ref="H34:I34"/>
    <mergeCell ref="B36:C36"/>
    <mergeCell ref="H36:I36"/>
    <mergeCell ref="B29:C29"/>
    <mergeCell ref="H29:I29"/>
    <mergeCell ref="B30:C30"/>
    <mergeCell ref="H30:I30"/>
    <mergeCell ref="B32:C32"/>
    <mergeCell ref="H32:I32"/>
    <mergeCell ref="A1:J1"/>
    <mergeCell ref="A4:A5"/>
    <mergeCell ref="B28:C28"/>
    <mergeCell ref="H28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&amp;C2017. évi zárszámadás&amp;R&amp;A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93"/>
  <sheetViews>
    <sheetView view="pageBreakPreview" zoomScale="90" zoomScaleNormal="100" zoomScaleSheetLayoutView="9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F41" sqref="F41:F44"/>
    </sheetView>
  </sheetViews>
  <sheetFormatPr defaultRowHeight="12.75" x14ac:dyDescent="0.2"/>
  <cols>
    <col min="1" max="1" width="5.5703125" style="191" customWidth="1"/>
    <col min="2" max="2" width="66.140625" style="191" customWidth="1"/>
    <col min="3" max="26" width="14.85546875" style="191" customWidth="1"/>
    <col min="27" max="27" width="15" style="191" customWidth="1"/>
    <col min="28" max="28" width="12.28515625" style="191" bestFit="1" customWidth="1"/>
    <col min="29" max="256" width="9.140625" style="191"/>
    <col min="257" max="257" width="5.5703125" style="191" customWidth="1"/>
    <col min="258" max="258" width="66.140625" style="191" customWidth="1"/>
    <col min="259" max="282" width="14.85546875" style="191" customWidth="1"/>
    <col min="283" max="283" width="15" style="191" customWidth="1"/>
    <col min="284" max="284" width="12.28515625" style="191" bestFit="1" customWidth="1"/>
    <col min="285" max="512" width="9.140625" style="191"/>
    <col min="513" max="513" width="5.5703125" style="191" customWidth="1"/>
    <col min="514" max="514" width="66.140625" style="191" customWidth="1"/>
    <col min="515" max="538" width="14.85546875" style="191" customWidth="1"/>
    <col min="539" max="539" width="15" style="191" customWidth="1"/>
    <col min="540" max="540" width="12.28515625" style="191" bestFit="1" customWidth="1"/>
    <col min="541" max="768" width="9.140625" style="191"/>
    <col min="769" max="769" width="5.5703125" style="191" customWidth="1"/>
    <col min="770" max="770" width="66.140625" style="191" customWidth="1"/>
    <col min="771" max="794" width="14.85546875" style="191" customWidth="1"/>
    <col min="795" max="795" width="15" style="191" customWidth="1"/>
    <col min="796" max="796" width="12.28515625" style="191" bestFit="1" customWidth="1"/>
    <col min="797" max="1024" width="9.140625" style="191"/>
    <col min="1025" max="1025" width="5.5703125" style="191" customWidth="1"/>
    <col min="1026" max="1026" width="66.140625" style="191" customWidth="1"/>
    <col min="1027" max="1050" width="14.85546875" style="191" customWidth="1"/>
    <col min="1051" max="1051" width="15" style="191" customWidth="1"/>
    <col min="1052" max="1052" width="12.28515625" style="191" bestFit="1" customWidth="1"/>
    <col min="1053" max="1280" width="9.140625" style="191"/>
    <col min="1281" max="1281" width="5.5703125" style="191" customWidth="1"/>
    <col min="1282" max="1282" width="66.140625" style="191" customWidth="1"/>
    <col min="1283" max="1306" width="14.85546875" style="191" customWidth="1"/>
    <col min="1307" max="1307" width="15" style="191" customWidth="1"/>
    <col min="1308" max="1308" width="12.28515625" style="191" bestFit="1" customWidth="1"/>
    <col min="1309" max="1536" width="9.140625" style="191"/>
    <col min="1537" max="1537" width="5.5703125" style="191" customWidth="1"/>
    <col min="1538" max="1538" width="66.140625" style="191" customWidth="1"/>
    <col min="1539" max="1562" width="14.85546875" style="191" customWidth="1"/>
    <col min="1563" max="1563" width="15" style="191" customWidth="1"/>
    <col min="1564" max="1564" width="12.28515625" style="191" bestFit="1" customWidth="1"/>
    <col min="1565" max="1792" width="9.140625" style="191"/>
    <col min="1793" max="1793" width="5.5703125" style="191" customWidth="1"/>
    <col min="1794" max="1794" width="66.140625" style="191" customWidth="1"/>
    <col min="1795" max="1818" width="14.85546875" style="191" customWidth="1"/>
    <col min="1819" max="1819" width="15" style="191" customWidth="1"/>
    <col min="1820" max="1820" width="12.28515625" style="191" bestFit="1" customWidth="1"/>
    <col min="1821" max="2048" width="9.140625" style="191"/>
    <col min="2049" max="2049" width="5.5703125" style="191" customWidth="1"/>
    <col min="2050" max="2050" width="66.140625" style="191" customWidth="1"/>
    <col min="2051" max="2074" width="14.85546875" style="191" customWidth="1"/>
    <col min="2075" max="2075" width="15" style="191" customWidth="1"/>
    <col min="2076" max="2076" width="12.28515625" style="191" bestFit="1" customWidth="1"/>
    <col min="2077" max="2304" width="9.140625" style="191"/>
    <col min="2305" max="2305" width="5.5703125" style="191" customWidth="1"/>
    <col min="2306" max="2306" width="66.140625" style="191" customWidth="1"/>
    <col min="2307" max="2330" width="14.85546875" style="191" customWidth="1"/>
    <col min="2331" max="2331" width="15" style="191" customWidth="1"/>
    <col min="2332" max="2332" width="12.28515625" style="191" bestFit="1" customWidth="1"/>
    <col min="2333" max="2560" width="9.140625" style="191"/>
    <col min="2561" max="2561" width="5.5703125" style="191" customWidth="1"/>
    <col min="2562" max="2562" width="66.140625" style="191" customWidth="1"/>
    <col min="2563" max="2586" width="14.85546875" style="191" customWidth="1"/>
    <col min="2587" max="2587" width="15" style="191" customWidth="1"/>
    <col min="2588" max="2588" width="12.28515625" style="191" bestFit="1" customWidth="1"/>
    <col min="2589" max="2816" width="9.140625" style="191"/>
    <col min="2817" max="2817" width="5.5703125" style="191" customWidth="1"/>
    <col min="2818" max="2818" width="66.140625" style="191" customWidth="1"/>
    <col min="2819" max="2842" width="14.85546875" style="191" customWidth="1"/>
    <col min="2843" max="2843" width="15" style="191" customWidth="1"/>
    <col min="2844" max="2844" width="12.28515625" style="191" bestFit="1" customWidth="1"/>
    <col min="2845" max="3072" width="9.140625" style="191"/>
    <col min="3073" max="3073" width="5.5703125" style="191" customWidth="1"/>
    <col min="3074" max="3074" width="66.140625" style="191" customWidth="1"/>
    <col min="3075" max="3098" width="14.85546875" style="191" customWidth="1"/>
    <col min="3099" max="3099" width="15" style="191" customWidth="1"/>
    <col min="3100" max="3100" width="12.28515625" style="191" bestFit="1" customWidth="1"/>
    <col min="3101" max="3328" width="9.140625" style="191"/>
    <col min="3329" max="3329" width="5.5703125" style="191" customWidth="1"/>
    <col min="3330" max="3330" width="66.140625" style="191" customWidth="1"/>
    <col min="3331" max="3354" width="14.85546875" style="191" customWidth="1"/>
    <col min="3355" max="3355" width="15" style="191" customWidth="1"/>
    <col min="3356" max="3356" width="12.28515625" style="191" bestFit="1" customWidth="1"/>
    <col min="3357" max="3584" width="9.140625" style="191"/>
    <col min="3585" max="3585" width="5.5703125" style="191" customWidth="1"/>
    <col min="3586" max="3586" width="66.140625" style="191" customWidth="1"/>
    <col min="3587" max="3610" width="14.85546875" style="191" customWidth="1"/>
    <col min="3611" max="3611" width="15" style="191" customWidth="1"/>
    <col min="3612" max="3612" width="12.28515625" style="191" bestFit="1" customWidth="1"/>
    <col min="3613" max="3840" width="9.140625" style="191"/>
    <col min="3841" max="3841" width="5.5703125" style="191" customWidth="1"/>
    <col min="3842" max="3842" width="66.140625" style="191" customWidth="1"/>
    <col min="3843" max="3866" width="14.85546875" style="191" customWidth="1"/>
    <col min="3867" max="3867" width="15" style="191" customWidth="1"/>
    <col min="3868" max="3868" width="12.28515625" style="191" bestFit="1" customWidth="1"/>
    <col min="3869" max="4096" width="9.140625" style="191"/>
    <col min="4097" max="4097" width="5.5703125" style="191" customWidth="1"/>
    <col min="4098" max="4098" width="66.140625" style="191" customWidth="1"/>
    <col min="4099" max="4122" width="14.85546875" style="191" customWidth="1"/>
    <col min="4123" max="4123" width="15" style="191" customWidth="1"/>
    <col min="4124" max="4124" width="12.28515625" style="191" bestFit="1" customWidth="1"/>
    <col min="4125" max="4352" width="9.140625" style="191"/>
    <col min="4353" max="4353" width="5.5703125" style="191" customWidth="1"/>
    <col min="4354" max="4354" width="66.140625" style="191" customWidth="1"/>
    <col min="4355" max="4378" width="14.85546875" style="191" customWidth="1"/>
    <col min="4379" max="4379" width="15" style="191" customWidth="1"/>
    <col min="4380" max="4380" width="12.28515625" style="191" bestFit="1" customWidth="1"/>
    <col min="4381" max="4608" width="9.140625" style="191"/>
    <col min="4609" max="4609" width="5.5703125" style="191" customWidth="1"/>
    <col min="4610" max="4610" width="66.140625" style="191" customWidth="1"/>
    <col min="4611" max="4634" width="14.85546875" style="191" customWidth="1"/>
    <col min="4635" max="4635" width="15" style="191" customWidth="1"/>
    <col min="4636" max="4636" width="12.28515625" style="191" bestFit="1" customWidth="1"/>
    <col min="4637" max="4864" width="9.140625" style="191"/>
    <col min="4865" max="4865" width="5.5703125" style="191" customWidth="1"/>
    <col min="4866" max="4866" width="66.140625" style="191" customWidth="1"/>
    <col min="4867" max="4890" width="14.85546875" style="191" customWidth="1"/>
    <col min="4891" max="4891" width="15" style="191" customWidth="1"/>
    <col min="4892" max="4892" width="12.28515625" style="191" bestFit="1" customWidth="1"/>
    <col min="4893" max="5120" width="9.140625" style="191"/>
    <col min="5121" max="5121" width="5.5703125" style="191" customWidth="1"/>
    <col min="5122" max="5122" width="66.140625" style="191" customWidth="1"/>
    <col min="5123" max="5146" width="14.85546875" style="191" customWidth="1"/>
    <col min="5147" max="5147" width="15" style="191" customWidth="1"/>
    <col min="5148" max="5148" width="12.28515625" style="191" bestFit="1" customWidth="1"/>
    <col min="5149" max="5376" width="9.140625" style="191"/>
    <col min="5377" max="5377" width="5.5703125" style="191" customWidth="1"/>
    <col min="5378" max="5378" width="66.140625" style="191" customWidth="1"/>
    <col min="5379" max="5402" width="14.85546875" style="191" customWidth="1"/>
    <col min="5403" max="5403" width="15" style="191" customWidth="1"/>
    <col min="5404" max="5404" width="12.28515625" style="191" bestFit="1" customWidth="1"/>
    <col min="5405" max="5632" width="9.140625" style="191"/>
    <col min="5633" max="5633" width="5.5703125" style="191" customWidth="1"/>
    <col min="5634" max="5634" width="66.140625" style="191" customWidth="1"/>
    <col min="5635" max="5658" width="14.85546875" style="191" customWidth="1"/>
    <col min="5659" max="5659" width="15" style="191" customWidth="1"/>
    <col min="5660" max="5660" width="12.28515625" style="191" bestFit="1" customWidth="1"/>
    <col min="5661" max="5888" width="9.140625" style="191"/>
    <col min="5889" max="5889" width="5.5703125" style="191" customWidth="1"/>
    <col min="5890" max="5890" width="66.140625" style="191" customWidth="1"/>
    <col min="5891" max="5914" width="14.85546875" style="191" customWidth="1"/>
    <col min="5915" max="5915" width="15" style="191" customWidth="1"/>
    <col min="5916" max="5916" width="12.28515625" style="191" bestFit="1" customWidth="1"/>
    <col min="5917" max="6144" width="9.140625" style="191"/>
    <col min="6145" max="6145" width="5.5703125" style="191" customWidth="1"/>
    <col min="6146" max="6146" width="66.140625" style="191" customWidth="1"/>
    <col min="6147" max="6170" width="14.85546875" style="191" customWidth="1"/>
    <col min="6171" max="6171" width="15" style="191" customWidth="1"/>
    <col min="6172" max="6172" width="12.28515625" style="191" bestFit="1" customWidth="1"/>
    <col min="6173" max="6400" width="9.140625" style="191"/>
    <col min="6401" max="6401" width="5.5703125" style="191" customWidth="1"/>
    <col min="6402" max="6402" width="66.140625" style="191" customWidth="1"/>
    <col min="6403" max="6426" width="14.85546875" style="191" customWidth="1"/>
    <col min="6427" max="6427" width="15" style="191" customWidth="1"/>
    <col min="6428" max="6428" width="12.28515625" style="191" bestFit="1" customWidth="1"/>
    <col min="6429" max="6656" width="9.140625" style="191"/>
    <col min="6657" max="6657" width="5.5703125" style="191" customWidth="1"/>
    <col min="6658" max="6658" width="66.140625" style="191" customWidth="1"/>
    <col min="6659" max="6682" width="14.85546875" style="191" customWidth="1"/>
    <col min="6683" max="6683" width="15" style="191" customWidth="1"/>
    <col min="6684" max="6684" width="12.28515625" style="191" bestFit="1" customWidth="1"/>
    <col min="6685" max="6912" width="9.140625" style="191"/>
    <col min="6913" max="6913" width="5.5703125" style="191" customWidth="1"/>
    <col min="6914" max="6914" width="66.140625" style="191" customWidth="1"/>
    <col min="6915" max="6938" width="14.85546875" style="191" customWidth="1"/>
    <col min="6939" max="6939" width="15" style="191" customWidth="1"/>
    <col min="6940" max="6940" width="12.28515625" style="191" bestFit="1" customWidth="1"/>
    <col min="6941" max="7168" width="9.140625" style="191"/>
    <col min="7169" max="7169" width="5.5703125" style="191" customWidth="1"/>
    <col min="7170" max="7170" width="66.140625" style="191" customWidth="1"/>
    <col min="7171" max="7194" width="14.85546875" style="191" customWidth="1"/>
    <col min="7195" max="7195" width="15" style="191" customWidth="1"/>
    <col min="7196" max="7196" width="12.28515625" style="191" bestFit="1" customWidth="1"/>
    <col min="7197" max="7424" width="9.140625" style="191"/>
    <col min="7425" max="7425" width="5.5703125" style="191" customWidth="1"/>
    <col min="7426" max="7426" width="66.140625" style="191" customWidth="1"/>
    <col min="7427" max="7450" width="14.85546875" style="191" customWidth="1"/>
    <col min="7451" max="7451" width="15" style="191" customWidth="1"/>
    <col min="7452" max="7452" width="12.28515625" style="191" bestFit="1" customWidth="1"/>
    <col min="7453" max="7680" width="9.140625" style="191"/>
    <col min="7681" max="7681" width="5.5703125" style="191" customWidth="1"/>
    <col min="7682" max="7682" width="66.140625" style="191" customWidth="1"/>
    <col min="7683" max="7706" width="14.85546875" style="191" customWidth="1"/>
    <col min="7707" max="7707" width="15" style="191" customWidth="1"/>
    <col min="7708" max="7708" width="12.28515625" style="191" bestFit="1" customWidth="1"/>
    <col min="7709" max="7936" width="9.140625" style="191"/>
    <col min="7937" max="7937" width="5.5703125" style="191" customWidth="1"/>
    <col min="7938" max="7938" width="66.140625" style="191" customWidth="1"/>
    <col min="7939" max="7962" width="14.85546875" style="191" customWidth="1"/>
    <col min="7963" max="7963" width="15" style="191" customWidth="1"/>
    <col min="7964" max="7964" width="12.28515625" style="191" bestFit="1" customWidth="1"/>
    <col min="7965" max="8192" width="9.140625" style="191"/>
    <col min="8193" max="8193" width="5.5703125" style="191" customWidth="1"/>
    <col min="8194" max="8194" width="66.140625" style="191" customWidth="1"/>
    <col min="8195" max="8218" width="14.85546875" style="191" customWidth="1"/>
    <col min="8219" max="8219" width="15" style="191" customWidth="1"/>
    <col min="8220" max="8220" width="12.28515625" style="191" bestFit="1" customWidth="1"/>
    <col min="8221" max="8448" width="9.140625" style="191"/>
    <col min="8449" max="8449" width="5.5703125" style="191" customWidth="1"/>
    <col min="8450" max="8450" width="66.140625" style="191" customWidth="1"/>
    <col min="8451" max="8474" width="14.85546875" style="191" customWidth="1"/>
    <col min="8475" max="8475" width="15" style="191" customWidth="1"/>
    <col min="8476" max="8476" width="12.28515625" style="191" bestFit="1" customWidth="1"/>
    <col min="8477" max="8704" width="9.140625" style="191"/>
    <col min="8705" max="8705" width="5.5703125" style="191" customWidth="1"/>
    <col min="8706" max="8706" width="66.140625" style="191" customWidth="1"/>
    <col min="8707" max="8730" width="14.85546875" style="191" customWidth="1"/>
    <col min="8731" max="8731" width="15" style="191" customWidth="1"/>
    <col min="8732" max="8732" width="12.28515625" style="191" bestFit="1" customWidth="1"/>
    <col min="8733" max="8960" width="9.140625" style="191"/>
    <col min="8961" max="8961" width="5.5703125" style="191" customWidth="1"/>
    <col min="8962" max="8962" width="66.140625" style="191" customWidth="1"/>
    <col min="8963" max="8986" width="14.85546875" style="191" customWidth="1"/>
    <col min="8987" max="8987" width="15" style="191" customWidth="1"/>
    <col min="8988" max="8988" width="12.28515625" style="191" bestFit="1" customWidth="1"/>
    <col min="8989" max="9216" width="9.140625" style="191"/>
    <col min="9217" max="9217" width="5.5703125" style="191" customWidth="1"/>
    <col min="9218" max="9218" width="66.140625" style="191" customWidth="1"/>
    <col min="9219" max="9242" width="14.85546875" style="191" customWidth="1"/>
    <col min="9243" max="9243" width="15" style="191" customWidth="1"/>
    <col min="9244" max="9244" width="12.28515625" style="191" bestFit="1" customWidth="1"/>
    <col min="9245" max="9472" width="9.140625" style="191"/>
    <col min="9473" max="9473" width="5.5703125" style="191" customWidth="1"/>
    <col min="9474" max="9474" width="66.140625" style="191" customWidth="1"/>
    <col min="9475" max="9498" width="14.85546875" style="191" customWidth="1"/>
    <col min="9499" max="9499" width="15" style="191" customWidth="1"/>
    <col min="9500" max="9500" width="12.28515625" style="191" bestFit="1" customWidth="1"/>
    <col min="9501" max="9728" width="9.140625" style="191"/>
    <col min="9729" max="9729" width="5.5703125" style="191" customWidth="1"/>
    <col min="9730" max="9730" width="66.140625" style="191" customWidth="1"/>
    <col min="9731" max="9754" width="14.85546875" style="191" customWidth="1"/>
    <col min="9755" max="9755" width="15" style="191" customWidth="1"/>
    <col min="9756" max="9756" width="12.28515625" style="191" bestFit="1" customWidth="1"/>
    <col min="9757" max="9984" width="9.140625" style="191"/>
    <col min="9985" max="9985" width="5.5703125" style="191" customWidth="1"/>
    <col min="9986" max="9986" width="66.140625" style="191" customWidth="1"/>
    <col min="9987" max="10010" width="14.85546875" style="191" customWidth="1"/>
    <col min="10011" max="10011" width="15" style="191" customWidth="1"/>
    <col min="10012" max="10012" width="12.28515625" style="191" bestFit="1" customWidth="1"/>
    <col min="10013" max="10240" width="9.140625" style="191"/>
    <col min="10241" max="10241" width="5.5703125" style="191" customWidth="1"/>
    <col min="10242" max="10242" width="66.140625" style="191" customWidth="1"/>
    <col min="10243" max="10266" width="14.85546875" style="191" customWidth="1"/>
    <col min="10267" max="10267" width="15" style="191" customWidth="1"/>
    <col min="10268" max="10268" width="12.28515625" style="191" bestFit="1" customWidth="1"/>
    <col min="10269" max="10496" width="9.140625" style="191"/>
    <col min="10497" max="10497" width="5.5703125" style="191" customWidth="1"/>
    <col min="10498" max="10498" width="66.140625" style="191" customWidth="1"/>
    <col min="10499" max="10522" width="14.85546875" style="191" customWidth="1"/>
    <col min="10523" max="10523" width="15" style="191" customWidth="1"/>
    <col min="10524" max="10524" width="12.28515625" style="191" bestFit="1" customWidth="1"/>
    <col min="10525" max="10752" width="9.140625" style="191"/>
    <col min="10753" max="10753" width="5.5703125" style="191" customWidth="1"/>
    <col min="10754" max="10754" width="66.140625" style="191" customWidth="1"/>
    <col min="10755" max="10778" width="14.85546875" style="191" customWidth="1"/>
    <col min="10779" max="10779" width="15" style="191" customWidth="1"/>
    <col min="10780" max="10780" width="12.28515625" style="191" bestFit="1" customWidth="1"/>
    <col min="10781" max="11008" width="9.140625" style="191"/>
    <col min="11009" max="11009" width="5.5703125" style="191" customWidth="1"/>
    <col min="11010" max="11010" width="66.140625" style="191" customWidth="1"/>
    <col min="11011" max="11034" width="14.85546875" style="191" customWidth="1"/>
    <col min="11035" max="11035" width="15" style="191" customWidth="1"/>
    <col min="11036" max="11036" width="12.28515625" style="191" bestFit="1" customWidth="1"/>
    <col min="11037" max="11264" width="9.140625" style="191"/>
    <col min="11265" max="11265" width="5.5703125" style="191" customWidth="1"/>
    <col min="11266" max="11266" width="66.140625" style="191" customWidth="1"/>
    <col min="11267" max="11290" width="14.85546875" style="191" customWidth="1"/>
    <col min="11291" max="11291" width="15" style="191" customWidth="1"/>
    <col min="11292" max="11292" width="12.28515625" style="191" bestFit="1" customWidth="1"/>
    <col min="11293" max="11520" width="9.140625" style="191"/>
    <col min="11521" max="11521" width="5.5703125" style="191" customWidth="1"/>
    <col min="11522" max="11522" width="66.140625" style="191" customWidth="1"/>
    <col min="11523" max="11546" width="14.85546875" style="191" customWidth="1"/>
    <col min="11547" max="11547" width="15" style="191" customWidth="1"/>
    <col min="11548" max="11548" width="12.28515625" style="191" bestFit="1" customWidth="1"/>
    <col min="11549" max="11776" width="9.140625" style="191"/>
    <col min="11777" max="11777" width="5.5703125" style="191" customWidth="1"/>
    <col min="11778" max="11778" width="66.140625" style="191" customWidth="1"/>
    <col min="11779" max="11802" width="14.85546875" style="191" customWidth="1"/>
    <col min="11803" max="11803" width="15" style="191" customWidth="1"/>
    <col min="11804" max="11804" width="12.28515625" style="191" bestFit="1" customWidth="1"/>
    <col min="11805" max="12032" width="9.140625" style="191"/>
    <col min="12033" max="12033" width="5.5703125" style="191" customWidth="1"/>
    <col min="12034" max="12034" width="66.140625" style="191" customWidth="1"/>
    <col min="12035" max="12058" width="14.85546875" style="191" customWidth="1"/>
    <col min="12059" max="12059" width="15" style="191" customWidth="1"/>
    <col min="12060" max="12060" width="12.28515625" style="191" bestFit="1" customWidth="1"/>
    <col min="12061" max="12288" width="9.140625" style="191"/>
    <col min="12289" max="12289" width="5.5703125" style="191" customWidth="1"/>
    <col min="12290" max="12290" width="66.140625" style="191" customWidth="1"/>
    <col min="12291" max="12314" width="14.85546875" style="191" customWidth="1"/>
    <col min="12315" max="12315" width="15" style="191" customWidth="1"/>
    <col min="12316" max="12316" width="12.28515625" style="191" bestFit="1" customWidth="1"/>
    <col min="12317" max="12544" width="9.140625" style="191"/>
    <col min="12545" max="12545" width="5.5703125" style="191" customWidth="1"/>
    <col min="12546" max="12546" width="66.140625" style="191" customWidth="1"/>
    <col min="12547" max="12570" width="14.85546875" style="191" customWidth="1"/>
    <col min="12571" max="12571" width="15" style="191" customWidth="1"/>
    <col min="12572" max="12572" width="12.28515625" style="191" bestFit="1" customWidth="1"/>
    <col min="12573" max="12800" width="9.140625" style="191"/>
    <col min="12801" max="12801" width="5.5703125" style="191" customWidth="1"/>
    <col min="12802" max="12802" width="66.140625" style="191" customWidth="1"/>
    <col min="12803" max="12826" width="14.85546875" style="191" customWidth="1"/>
    <col min="12827" max="12827" width="15" style="191" customWidth="1"/>
    <col min="12828" max="12828" width="12.28515625" style="191" bestFit="1" customWidth="1"/>
    <col min="12829" max="13056" width="9.140625" style="191"/>
    <col min="13057" max="13057" width="5.5703125" style="191" customWidth="1"/>
    <col min="13058" max="13058" width="66.140625" style="191" customWidth="1"/>
    <col min="13059" max="13082" width="14.85546875" style="191" customWidth="1"/>
    <col min="13083" max="13083" width="15" style="191" customWidth="1"/>
    <col min="13084" max="13084" width="12.28515625" style="191" bestFit="1" customWidth="1"/>
    <col min="13085" max="13312" width="9.140625" style="191"/>
    <col min="13313" max="13313" width="5.5703125" style="191" customWidth="1"/>
    <col min="13314" max="13314" width="66.140625" style="191" customWidth="1"/>
    <col min="13315" max="13338" width="14.85546875" style="191" customWidth="1"/>
    <col min="13339" max="13339" width="15" style="191" customWidth="1"/>
    <col min="13340" max="13340" width="12.28515625" style="191" bestFit="1" customWidth="1"/>
    <col min="13341" max="13568" width="9.140625" style="191"/>
    <col min="13569" max="13569" width="5.5703125" style="191" customWidth="1"/>
    <col min="13570" max="13570" width="66.140625" style="191" customWidth="1"/>
    <col min="13571" max="13594" width="14.85546875" style="191" customWidth="1"/>
    <col min="13595" max="13595" width="15" style="191" customWidth="1"/>
    <col min="13596" max="13596" width="12.28515625" style="191" bestFit="1" customWidth="1"/>
    <col min="13597" max="13824" width="9.140625" style="191"/>
    <col min="13825" max="13825" width="5.5703125" style="191" customWidth="1"/>
    <col min="13826" max="13826" width="66.140625" style="191" customWidth="1"/>
    <col min="13827" max="13850" width="14.85546875" style="191" customWidth="1"/>
    <col min="13851" max="13851" width="15" style="191" customWidth="1"/>
    <col min="13852" max="13852" width="12.28515625" style="191" bestFit="1" customWidth="1"/>
    <col min="13853" max="14080" width="9.140625" style="191"/>
    <col min="14081" max="14081" width="5.5703125" style="191" customWidth="1"/>
    <col min="14082" max="14082" width="66.140625" style="191" customWidth="1"/>
    <col min="14083" max="14106" width="14.85546875" style="191" customWidth="1"/>
    <col min="14107" max="14107" width="15" style="191" customWidth="1"/>
    <col min="14108" max="14108" width="12.28515625" style="191" bestFit="1" customWidth="1"/>
    <col min="14109" max="14336" width="9.140625" style="191"/>
    <col min="14337" max="14337" width="5.5703125" style="191" customWidth="1"/>
    <col min="14338" max="14338" width="66.140625" style="191" customWidth="1"/>
    <col min="14339" max="14362" width="14.85546875" style="191" customWidth="1"/>
    <col min="14363" max="14363" width="15" style="191" customWidth="1"/>
    <col min="14364" max="14364" width="12.28515625" style="191" bestFit="1" customWidth="1"/>
    <col min="14365" max="14592" width="9.140625" style="191"/>
    <col min="14593" max="14593" width="5.5703125" style="191" customWidth="1"/>
    <col min="14594" max="14594" width="66.140625" style="191" customWidth="1"/>
    <col min="14595" max="14618" width="14.85546875" style="191" customWidth="1"/>
    <col min="14619" max="14619" width="15" style="191" customWidth="1"/>
    <col min="14620" max="14620" width="12.28515625" style="191" bestFit="1" customWidth="1"/>
    <col min="14621" max="14848" width="9.140625" style="191"/>
    <col min="14849" max="14849" width="5.5703125" style="191" customWidth="1"/>
    <col min="14850" max="14850" width="66.140625" style="191" customWidth="1"/>
    <col min="14851" max="14874" width="14.85546875" style="191" customWidth="1"/>
    <col min="14875" max="14875" width="15" style="191" customWidth="1"/>
    <col min="14876" max="14876" width="12.28515625" style="191" bestFit="1" customWidth="1"/>
    <col min="14877" max="15104" width="9.140625" style="191"/>
    <col min="15105" max="15105" width="5.5703125" style="191" customWidth="1"/>
    <col min="15106" max="15106" width="66.140625" style="191" customWidth="1"/>
    <col min="15107" max="15130" width="14.85546875" style="191" customWidth="1"/>
    <col min="15131" max="15131" width="15" style="191" customWidth="1"/>
    <col min="15132" max="15132" width="12.28515625" style="191" bestFit="1" customWidth="1"/>
    <col min="15133" max="15360" width="9.140625" style="191"/>
    <col min="15361" max="15361" width="5.5703125" style="191" customWidth="1"/>
    <col min="15362" max="15362" width="66.140625" style="191" customWidth="1"/>
    <col min="15363" max="15386" width="14.85546875" style="191" customWidth="1"/>
    <col min="15387" max="15387" width="15" style="191" customWidth="1"/>
    <col min="15388" max="15388" width="12.28515625" style="191" bestFit="1" customWidth="1"/>
    <col min="15389" max="15616" width="9.140625" style="191"/>
    <col min="15617" max="15617" width="5.5703125" style="191" customWidth="1"/>
    <col min="15618" max="15618" width="66.140625" style="191" customWidth="1"/>
    <col min="15619" max="15642" width="14.85546875" style="191" customWidth="1"/>
    <col min="15643" max="15643" width="15" style="191" customWidth="1"/>
    <col min="15644" max="15644" width="12.28515625" style="191" bestFit="1" customWidth="1"/>
    <col min="15645" max="15872" width="9.140625" style="191"/>
    <col min="15873" max="15873" width="5.5703125" style="191" customWidth="1"/>
    <col min="15874" max="15874" width="66.140625" style="191" customWidth="1"/>
    <col min="15875" max="15898" width="14.85546875" style="191" customWidth="1"/>
    <col min="15899" max="15899" width="15" style="191" customWidth="1"/>
    <col min="15900" max="15900" width="12.28515625" style="191" bestFit="1" customWidth="1"/>
    <col min="15901" max="16128" width="9.140625" style="191"/>
    <col min="16129" max="16129" width="5.5703125" style="191" customWidth="1"/>
    <col min="16130" max="16130" width="66.140625" style="191" customWidth="1"/>
    <col min="16131" max="16154" width="14.85546875" style="191" customWidth="1"/>
    <col min="16155" max="16155" width="15" style="191" customWidth="1"/>
    <col min="16156" max="16156" width="12.28515625" style="191" bestFit="1" customWidth="1"/>
    <col min="16157" max="16384" width="9.140625" style="191"/>
  </cols>
  <sheetData>
    <row r="1" spans="1:27" ht="36.6" customHeight="1" x14ac:dyDescent="0.2">
      <c r="A1" s="443"/>
      <c r="B1" s="444"/>
      <c r="C1" s="842" t="s">
        <v>1228</v>
      </c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 t="s">
        <v>1228</v>
      </c>
      <c r="O1" s="842"/>
      <c r="P1" s="842"/>
      <c r="Q1" s="842"/>
      <c r="R1" s="842"/>
      <c r="S1" s="842"/>
      <c r="T1" s="842"/>
      <c r="U1" s="842"/>
      <c r="V1" s="842"/>
      <c r="W1" s="842"/>
      <c r="X1" s="842"/>
      <c r="Y1" s="842"/>
    </row>
    <row r="2" spans="1:27" s="447" customFormat="1" ht="35.25" customHeight="1" x14ac:dyDescent="0.2">
      <c r="A2" s="445" t="s">
        <v>752</v>
      </c>
      <c r="B2" s="446" t="s">
        <v>32</v>
      </c>
      <c r="C2" s="445" t="s">
        <v>1229</v>
      </c>
      <c r="D2" s="445" t="s">
        <v>1230</v>
      </c>
      <c r="E2" s="445" t="s">
        <v>1231</v>
      </c>
      <c r="F2" s="445" t="s">
        <v>1232</v>
      </c>
      <c r="G2" s="445" t="s">
        <v>1233</v>
      </c>
      <c r="H2" s="445" t="s">
        <v>1234</v>
      </c>
      <c r="I2" s="445" t="s">
        <v>1235</v>
      </c>
      <c r="J2" s="445" t="s">
        <v>1236</v>
      </c>
      <c r="K2" s="445" t="s">
        <v>1237</v>
      </c>
      <c r="L2" s="445" t="s">
        <v>1238</v>
      </c>
      <c r="M2" s="445" t="s">
        <v>1239</v>
      </c>
      <c r="N2" s="445" t="s">
        <v>1240</v>
      </c>
      <c r="O2" s="445" t="s">
        <v>1241</v>
      </c>
      <c r="P2" s="445" t="s">
        <v>1242</v>
      </c>
      <c r="Q2" s="445" t="s">
        <v>1243</v>
      </c>
      <c r="R2" s="445" t="s">
        <v>1244</v>
      </c>
      <c r="S2" s="445" t="s">
        <v>1245</v>
      </c>
      <c r="T2" s="445" t="s">
        <v>1246</v>
      </c>
      <c r="U2" s="445" t="s">
        <v>1247</v>
      </c>
      <c r="V2" s="445" t="s">
        <v>1248</v>
      </c>
      <c r="W2" s="445" t="s">
        <v>1249</v>
      </c>
      <c r="X2" s="445" t="s">
        <v>1250</v>
      </c>
      <c r="Y2" s="445" t="s">
        <v>27</v>
      </c>
    </row>
    <row r="3" spans="1:27" s="451" customFormat="1" ht="21" customHeight="1" x14ac:dyDescent="0.2">
      <c r="A3" s="448" t="s">
        <v>12</v>
      </c>
      <c r="B3" s="448" t="s">
        <v>1251</v>
      </c>
      <c r="C3" s="532">
        <v>2872131149</v>
      </c>
      <c r="D3" s="449">
        <f>+C3*1.001</f>
        <v>2875003280.1489997</v>
      </c>
      <c r="E3" s="449">
        <f t="shared" ref="E3:U3" si="0">+D3*1.001</f>
        <v>2877878283.4291482</v>
      </c>
      <c r="F3" s="449">
        <f t="shared" si="0"/>
        <v>2880756161.7125769</v>
      </c>
      <c r="G3" s="449">
        <f t="shared" si="0"/>
        <v>2883636917.874289</v>
      </c>
      <c r="H3" s="449">
        <f t="shared" si="0"/>
        <v>2886520554.7921629</v>
      </c>
      <c r="I3" s="449">
        <f t="shared" si="0"/>
        <v>2889407075.3469548</v>
      </c>
      <c r="J3" s="449">
        <f t="shared" si="0"/>
        <v>2892296482.4223013</v>
      </c>
      <c r="K3" s="449">
        <f t="shared" si="0"/>
        <v>2895188778.9047232</v>
      </c>
      <c r="L3" s="449">
        <f t="shared" si="0"/>
        <v>2898083967.6836276</v>
      </c>
      <c r="M3" s="449">
        <f t="shared" si="0"/>
        <v>2900982051.6513109</v>
      </c>
      <c r="N3" s="449">
        <f t="shared" si="0"/>
        <v>2903883033.7029619</v>
      </c>
      <c r="O3" s="449">
        <f t="shared" si="0"/>
        <v>2906786916.7366648</v>
      </c>
      <c r="P3" s="449">
        <f t="shared" si="0"/>
        <v>2909693703.6534009</v>
      </c>
      <c r="Q3" s="449">
        <f t="shared" si="0"/>
        <v>2912603397.3570538</v>
      </c>
      <c r="R3" s="449">
        <f t="shared" si="0"/>
        <v>2915516000.7544103</v>
      </c>
      <c r="S3" s="449">
        <f t="shared" si="0"/>
        <v>2918431516.7551641</v>
      </c>
      <c r="T3" s="449">
        <f t="shared" si="0"/>
        <v>2921349948.2719188</v>
      </c>
      <c r="U3" s="449">
        <f t="shared" si="0"/>
        <v>2924271298.2201905</v>
      </c>
      <c r="V3" s="449">
        <v>2557380000</v>
      </c>
      <c r="W3" s="449">
        <v>2557380000</v>
      </c>
      <c r="X3" s="449">
        <v>2557380000</v>
      </c>
      <c r="Y3" s="450">
        <f t="shared" ref="Y3:Y17" si="1">SUM(C3:X3)</f>
        <v>62736560518.41787</v>
      </c>
    </row>
    <row r="4" spans="1:27" s="451" customFormat="1" ht="21" customHeight="1" x14ac:dyDescent="0.2">
      <c r="A4" s="448" t="s">
        <v>17</v>
      </c>
      <c r="B4" s="448" t="s">
        <v>1252</v>
      </c>
      <c r="C4" s="532">
        <v>0</v>
      </c>
      <c r="D4" s="449">
        <v>0</v>
      </c>
      <c r="E4" s="449">
        <v>0</v>
      </c>
      <c r="F4" s="449">
        <v>0</v>
      </c>
      <c r="G4" s="449">
        <v>0</v>
      </c>
      <c r="H4" s="449">
        <v>0</v>
      </c>
      <c r="I4" s="449">
        <v>0</v>
      </c>
      <c r="J4" s="449">
        <v>0</v>
      </c>
      <c r="K4" s="449">
        <v>0</v>
      </c>
      <c r="L4" s="449">
        <v>0</v>
      </c>
      <c r="M4" s="449">
        <v>0</v>
      </c>
      <c r="N4" s="449">
        <v>0</v>
      </c>
      <c r="O4" s="449">
        <v>0</v>
      </c>
      <c r="P4" s="449">
        <v>0</v>
      </c>
      <c r="Q4" s="449">
        <v>0</v>
      </c>
      <c r="R4" s="449">
        <v>0</v>
      </c>
      <c r="S4" s="449">
        <v>0</v>
      </c>
      <c r="T4" s="449">
        <v>0</v>
      </c>
      <c r="U4" s="449">
        <v>0</v>
      </c>
      <c r="V4" s="449">
        <v>0</v>
      </c>
      <c r="W4" s="449">
        <v>0</v>
      </c>
      <c r="X4" s="449">
        <v>0</v>
      </c>
      <c r="Y4" s="450">
        <f t="shared" si="1"/>
        <v>0</v>
      </c>
    </row>
    <row r="5" spans="1:27" s="451" customFormat="1" ht="21" customHeight="1" x14ac:dyDescent="0.2">
      <c r="A5" s="448" t="s">
        <v>20</v>
      </c>
      <c r="B5" s="448" t="s">
        <v>1253</v>
      </c>
      <c r="C5" s="532">
        <v>15082951</v>
      </c>
      <c r="D5" s="449">
        <v>5500000</v>
      </c>
      <c r="E5" s="449">
        <v>5500000</v>
      </c>
      <c r="F5" s="449">
        <v>5500000</v>
      </c>
      <c r="G5" s="449">
        <v>5500000</v>
      </c>
      <c r="H5" s="449">
        <v>5500000</v>
      </c>
      <c r="I5" s="449">
        <v>5500000</v>
      </c>
      <c r="J5" s="449">
        <v>5500000</v>
      </c>
      <c r="K5" s="449">
        <v>5500000</v>
      </c>
      <c r="L5" s="449">
        <v>5500000</v>
      </c>
      <c r="M5" s="449">
        <v>5500000</v>
      </c>
      <c r="N5" s="449">
        <v>5500000</v>
      </c>
      <c r="O5" s="449">
        <v>5500000</v>
      </c>
      <c r="P5" s="449">
        <v>5500000</v>
      </c>
      <c r="Q5" s="449">
        <v>5500000</v>
      </c>
      <c r="R5" s="449">
        <v>5500000</v>
      </c>
      <c r="S5" s="449">
        <v>5500000</v>
      </c>
      <c r="T5" s="449">
        <v>5500000</v>
      </c>
      <c r="U5" s="449">
        <v>5500000</v>
      </c>
      <c r="V5" s="449">
        <v>5500000</v>
      </c>
      <c r="W5" s="449">
        <v>5500000</v>
      </c>
      <c r="X5" s="449">
        <v>5500000</v>
      </c>
      <c r="Y5" s="450">
        <f t="shared" si="1"/>
        <v>130582951</v>
      </c>
    </row>
    <row r="6" spans="1:27" s="451" customFormat="1" ht="33.75" customHeight="1" x14ac:dyDescent="0.2">
      <c r="A6" s="448" t="s">
        <v>22</v>
      </c>
      <c r="B6" s="448" t="s">
        <v>1254</v>
      </c>
      <c r="C6" s="532">
        <v>151852282</v>
      </c>
      <c r="D6" s="449">
        <f>+C6*1.005</f>
        <v>152611543.41</v>
      </c>
      <c r="E6" s="449">
        <f t="shared" ref="E6:X6" si="2">+D6*1.005</f>
        <v>153374601.12704998</v>
      </c>
      <c r="F6" s="449">
        <f t="shared" si="2"/>
        <v>154141474.13268521</v>
      </c>
      <c r="G6" s="449">
        <f t="shared" si="2"/>
        <v>154912181.50334862</v>
      </c>
      <c r="H6" s="449">
        <f t="shared" si="2"/>
        <v>155686742.41086534</v>
      </c>
      <c r="I6" s="449">
        <f t="shared" si="2"/>
        <v>156465176.12291965</v>
      </c>
      <c r="J6" s="449">
        <f t="shared" si="2"/>
        <v>157247502.00353423</v>
      </c>
      <c r="K6" s="449">
        <f t="shared" si="2"/>
        <v>158033739.51355189</v>
      </c>
      <c r="L6" s="449">
        <f t="shared" si="2"/>
        <v>158823908.21111962</v>
      </c>
      <c r="M6" s="449">
        <f t="shared" si="2"/>
        <v>159618027.75217521</v>
      </c>
      <c r="N6" s="449">
        <f t="shared" si="2"/>
        <v>160416117.89093608</v>
      </c>
      <c r="O6" s="449">
        <f t="shared" si="2"/>
        <v>161218198.48039073</v>
      </c>
      <c r="P6" s="449">
        <f t="shared" si="2"/>
        <v>162024289.47279266</v>
      </c>
      <c r="Q6" s="449">
        <f t="shared" si="2"/>
        <v>162834410.9201566</v>
      </c>
      <c r="R6" s="449">
        <f t="shared" si="2"/>
        <v>163648582.97475737</v>
      </c>
      <c r="S6" s="449">
        <f t="shared" si="2"/>
        <v>164466825.88963115</v>
      </c>
      <c r="T6" s="449">
        <f t="shared" si="2"/>
        <v>165289160.0190793</v>
      </c>
      <c r="U6" s="449">
        <f t="shared" si="2"/>
        <v>166115605.81917468</v>
      </c>
      <c r="V6" s="449">
        <f t="shared" si="2"/>
        <v>166946183.84827054</v>
      </c>
      <c r="W6" s="449">
        <f t="shared" si="2"/>
        <v>167780914.76751187</v>
      </c>
      <c r="X6" s="449">
        <f t="shared" si="2"/>
        <v>168619819.34134942</v>
      </c>
      <c r="Y6" s="450">
        <f t="shared" si="1"/>
        <v>3522127287.6113</v>
      </c>
    </row>
    <row r="7" spans="1:27" s="451" customFormat="1" ht="21" customHeight="1" x14ac:dyDescent="0.2">
      <c r="A7" s="448" t="s">
        <v>24</v>
      </c>
      <c r="B7" s="448" t="s">
        <v>1255</v>
      </c>
      <c r="C7" s="449">
        <v>0</v>
      </c>
      <c r="D7" s="449">
        <v>0</v>
      </c>
      <c r="E7" s="449">
        <v>0</v>
      </c>
      <c r="F7" s="449">
        <v>0</v>
      </c>
      <c r="G7" s="449">
        <v>0</v>
      </c>
      <c r="H7" s="449">
        <v>0</v>
      </c>
      <c r="I7" s="449">
        <v>0</v>
      </c>
      <c r="J7" s="449">
        <v>0</v>
      </c>
      <c r="K7" s="449">
        <v>0</v>
      </c>
      <c r="L7" s="449">
        <v>0</v>
      </c>
      <c r="M7" s="449">
        <v>0</v>
      </c>
      <c r="N7" s="449">
        <v>0</v>
      </c>
      <c r="O7" s="449">
        <v>0</v>
      </c>
      <c r="P7" s="449">
        <v>0</v>
      </c>
      <c r="Q7" s="449">
        <v>0</v>
      </c>
      <c r="R7" s="449">
        <v>0</v>
      </c>
      <c r="S7" s="449">
        <v>0</v>
      </c>
      <c r="T7" s="449">
        <v>0</v>
      </c>
      <c r="U7" s="449">
        <v>0</v>
      </c>
      <c r="V7" s="449">
        <v>0</v>
      </c>
      <c r="W7" s="449">
        <v>0</v>
      </c>
      <c r="X7" s="449">
        <v>0</v>
      </c>
      <c r="Y7" s="450">
        <f t="shared" si="1"/>
        <v>0</v>
      </c>
    </row>
    <row r="8" spans="1:27" s="451" customFormat="1" ht="21" customHeight="1" x14ac:dyDescent="0.2">
      <c r="A8" s="448" t="s">
        <v>86</v>
      </c>
      <c r="B8" s="448" t="s">
        <v>1256</v>
      </c>
      <c r="C8" s="449">
        <v>0</v>
      </c>
      <c r="D8" s="449">
        <v>0</v>
      </c>
      <c r="E8" s="449">
        <v>0</v>
      </c>
      <c r="F8" s="449">
        <v>0</v>
      </c>
      <c r="G8" s="449">
        <v>0</v>
      </c>
      <c r="H8" s="449">
        <v>0</v>
      </c>
      <c r="I8" s="449">
        <v>0</v>
      </c>
      <c r="J8" s="449">
        <v>0</v>
      </c>
      <c r="K8" s="449">
        <v>0</v>
      </c>
      <c r="L8" s="449">
        <v>0</v>
      </c>
      <c r="M8" s="449">
        <v>0</v>
      </c>
      <c r="N8" s="449">
        <v>0</v>
      </c>
      <c r="O8" s="449">
        <v>0</v>
      </c>
      <c r="P8" s="449">
        <v>0</v>
      </c>
      <c r="Q8" s="449">
        <v>0</v>
      </c>
      <c r="R8" s="449">
        <v>0</v>
      </c>
      <c r="S8" s="449">
        <v>0</v>
      </c>
      <c r="T8" s="449">
        <v>0</v>
      </c>
      <c r="U8" s="449">
        <v>0</v>
      </c>
      <c r="V8" s="449">
        <v>0</v>
      </c>
      <c r="W8" s="449">
        <v>0</v>
      </c>
      <c r="X8" s="449">
        <v>0</v>
      </c>
      <c r="Y8" s="450">
        <f t="shared" si="1"/>
        <v>0</v>
      </c>
    </row>
    <row r="9" spans="1:27" s="451" customFormat="1" ht="21" customHeight="1" x14ac:dyDescent="0.2">
      <c r="A9" s="448" t="s">
        <v>88</v>
      </c>
      <c r="B9" s="448" t="s">
        <v>1257</v>
      </c>
      <c r="C9" s="449">
        <v>0</v>
      </c>
      <c r="D9" s="449">
        <v>0</v>
      </c>
      <c r="E9" s="449">
        <v>0</v>
      </c>
      <c r="F9" s="449">
        <v>0</v>
      </c>
      <c r="G9" s="449">
        <v>0</v>
      </c>
      <c r="H9" s="449">
        <v>0</v>
      </c>
      <c r="I9" s="449">
        <v>0</v>
      </c>
      <c r="J9" s="449">
        <v>0</v>
      </c>
      <c r="K9" s="449">
        <v>0</v>
      </c>
      <c r="L9" s="449">
        <v>0</v>
      </c>
      <c r="M9" s="449">
        <v>0</v>
      </c>
      <c r="N9" s="449">
        <v>0</v>
      </c>
      <c r="O9" s="449">
        <v>0</v>
      </c>
      <c r="P9" s="449">
        <v>0</v>
      </c>
      <c r="Q9" s="449">
        <v>0</v>
      </c>
      <c r="R9" s="449">
        <v>0</v>
      </c>
      <c r="S9" s="449">
        <v>0</v>
      </c>
      <c r="T9" s="449">
        <v>0</v>
      </c>
      <c r="U9" s="449">
        <v>0</v>
      </c>
      <c r="V9" s="449">
        <v>0</v>
      </c>
      <c r="W9" s="449">
        <v>0</v>
      </c>
      <c r="X9" s="449">
        <v>0</v>
      </c>
      <c r="Y9" s="450">
        <f t="shared" si="1"/>
        <v>0</v>
      </c>
    </row>
    <row r="10" spans="1:27" s="451" customFormat="1" ht="21" customHeight="1" x14ac:dyDescent="0.2">
      <c r="A10" s="448" t="s">
        <v>89</v>
      </c>
      <c r="B10" s="452" t="s">
        <v>1258</v>
      </c>
      <c r="C10" s="450">
        <f t="shared" ref="C10:X10" si="3">SUM(C3:C9)</f>
        <v>3039066382</v>
      </c>
      <c r="D10" s="450">
        <f t="shared" si="3"/>
        <v>3033114823.5589995</v>
      </c>
      <c r="E10" s="450">
        <f t="shared" si="3"/>
        <v>3036752884.5561981</v>
      </c>
      <c r="F10" s="450">
        <f t="shared" si="3"/>
        <v>3040397635.8452621</v>
      </c>
      <c r="G10" s="450">
        <f t="shared" si="3"/>
        <v>3044049099.3776379</v>
      </c>
      <c r="H10" s="450">
        <f t="shared" si="3"/>
        <v>3047707297.2030282</v>
      </c>
      <c r="I10" s="450">
        <f t="shared" si="3"/>
        <v>3051372251.4698744</v>
      </c>
      <c r="J10" s="450">
        <f t="shared" si="3"/>
        <v>3055043984.4258356</v>
      </c>
      <c r="K10" s="450">
        <f t="shared" si="3"/>
        <v>3058722518.4182749</v>
      </c>
      <c r="L10" s="450">
        <f t="shared" si="3"/>
        <v>3062407875.8947473</v>
      </c>
      <c r="M10" s="450">
        <f t="shared" si="3"/>
        <v>3066100079.4034863</v>
      </c>
      <c r="N10" s="450">
        <f t="shared" si="3"/>
        <v>3069799151.5938978</v>
      </c>
      <c r="O10" s="450">
        <f t="shared" si="3"/>
        <v>3073505115.2170553</v>
      </c>
      <c r="P10" s="450">
        <f t="shared" si="3"/>
        <v>3077217993.1261935</v>
      </c>
      <c r="Q10" s="450">
        <f t="shared" si="3"/>
        <v>3080937808.2772102</v>
      </c>
      <c r="R10" s="450">
        <f t="shared" si="3"/>
        <v>3084664583.7291675</v>
      </c>
      <c r="S10" s="450">
        <f t="shared" si="3"/>
        <v>3088398342.6447954</v>
      </c>
      <c r="T10" s="450">
        <f t="shared" si="3"/>
        <v>3092139108.290998</v>
      </c>
      <c r="U10" s="450">
        <f t="shared" si="3"/>
        <v>3095886904.0393653</v>
      </c>
      <c r="V10" s="450">
        <f t="shared" si="3"/>
        <v>2729826183.8482704</v>
      </c>
      <c r="W10" s="450">
        <f t="shared" si="3"/>
        <v>2730660914.7675118</v>
      </c>
      <c r="X10" s="450">
        <f t="shared" si="3"/>
        <v>2731499819.3413496</v>
      </c>
      <c r="Y10" s="450">
        <f t="shared" si="1"/>
        <v>66389270757.029144</v>
      </c>
    </row>
    <row r="11" spans="1:27" s="451" customFormat="1" ht="21" customHeight="1" x14ac:dyDescent="0.2">
      <c r="A11" s="448" t="s">
        <v>90</v>
      </c>
      <c r="B11" s="452" t="s">
        <v>1259</v>
      </c>
      <c r="C11" s="450">
        <f t="shared" ref="C11:X11" si="4">C10*0.5</f>
        <v>1519533191</v>
      </c>
      <c r="D11" s="450">
        <f t="shared" si="4"/>
        <v>1516557411.7794998</v>
      </c>
      <c r="E11" s="450">
        <f t="shared" si="4"/>
        <v>1518376442.2780991</v>
      </c>
      <c r="F11" s="450">
        <f t="shared" si="4"/>
        <v>1520198817.922631</v>
      </c>
      <c r="G11" s="450">
        <f t="shared" si="4"/>
        <v>1522024549.6888189</v>
      </c>
      <c r="H11" s="450">
        <f t="shared" si="4"/>
        <v>1523853648.6015141</v>
      </c>
      <c r="I11" s="450">
        <f t="shared" si="4"/>
        <v>1525686125.7349372</v>
      </c>
      <c r="J11" s="450">
        <f t="shared" si="4"/>
        <v>1527521992.2129178</v>
      </c>
      <c r="K11" s="450">
        <f t="shared" si="4"/>
        <v>1529361259.2091374</v>
      </c>
      <c r="L11" s="450">
        <f t="shared" si="4"/>
        <v>1531203937.9473736</v>
      </c>
      <c r="M11" s="450">
        <f t="shared" si="4"/>
        <v>1533050039.7017431</v>
      </c>
      <c r="N11" s="450">
        <f t="shared" si="4"/>
        <v>1534899575.7969489</v>
      </c>
      <c r="O11" s="450">
        <f t="shared" si="4"/>
        <v>1536752557.6085277</v>
      </c>
      <c r="P11" s="450">
        <f t="shared" si="4"/>
        <v>1538608996.5630968</v>
      </c>
      <c r="Q11" s="450">
        <f t="shared" si="4"/>
        <v>1540468904.1386051</v>
      </c>
      <c r="R11" s="450">
        <f t="shared" si="4"/>
        <v>1542332291.8645837</v>
      </c>
      <c r="S11" s="450">
        <f t="shared" si="4"/>
        <v>1544199171.3223977</v>
      </c>
      <c r="T11" s="450">
        <f t="shared" si="4"/>
        <v>1546069554.145499</v>
      </c>
      <c r="U11" s="450">
        <f t="shared" si="4"/>
        <v>1547943452.0196826</v>
      </c>
      <c r="V11" s="450">
        <f t="shared" si="4"/>
        <v>1364913091.9241352</v>
      </c>
      <c r="W11" s="450">
        <f t="shared" si="4"/>
        <v>1365330457.3837559</v>
      </c>
      <c r="X11" s="450">
        <f t="shared" si="4"/>
        <v>1365749909.6706748</v>
      </c>
      <c r="Y11" s="450">
        <f t="shared" si="1"/>
        <v>33194635378.514572</v>
      </c>
    </row>
    <row r="12" spans="1:27" s="451" customFormat="1" ht="30" x14ac:dyDescent="0.2">
      <c r="A12" s="448" t="s">
        <v>763</v>
      </c>
      <c r="B12" s="452" t="s">
        <v>1260</v>
      </c>
      <c r="C12" s="450">
        <f t="shared" ref="C12:X12" si="5">C13+C22+C23+C24+C25+C26+C27+C28</f>
        <v>32768719</v>
      </c>
      <c r="D12" s="450">
        <f t="shared" si="5"/>
        <v>53332610</v>
      </c>
      <c r="E12" s="450">
        <f t="shared" si="5"/>
        <v>55483184</v>
      </c>
      <c r="F12" s="450">
        <f t="shared" si="5"/>
        <v>54074052</v>
      </c>
      <c r="G12" s="450">
        <f t="shared" si="5"/>
        <v>52664921</v>
      </c>
      <c r="H12" s="450">
        <f t="shared" si="5"/>
        <v>51255790</v>
      </c>
      <c r="I12" s="450">
        <f t="shared" si="5"/>
        <v>49846659</v>
      </c>
      <c r="J12" s="450">
        <f t="shared" si="5"/>
        <v>48437528</v>
      </c>
      <c r="K12" s="450">
        <f>K13+K22+K23+K24+K25+K26+K27+K28</f>
        <v>47028396</v>
      </c>
      <c r="L12" s="450">
        <f t="shared" si="5"/>
        <v>45619265</v>
      </c>
      <c r="M12" s="450">
        <f t="shared" si="5"/>
        <v>44210133</v>
      </c>
      <c r="N12" s="450">
        <f t="shared" si="5"/>
        <v>42801002</v>
      </c>
      <c r="O12" s="450">
        <f t="shared" si="5"/>
        <v>41391871</v>
      </c>
      <c r="P12" s="450">
        <f t="shared" si="5"/>
        <v>39982739</v>
      </c>
      <c r="Q12" s="450">
        <f t="shared" si="5"/>
        <v>38573608</v>
      </c>
      <c r="R12" s="450">
        <f t="shared" si="5"/>
        <v>37164478</v>
      </c>
      <c r="S12" s="450">
        <f t="shared" si="5"/>
        <v>35755347</v>
      </c>
      <c r="T12" s="450">
        <f t="shared" si="5"/>
        <v>34346215</v>
      </c>
      <c r="U12" s="450">
        <f t="shared" si="5"/>
        <v>32937084</v>
      </c>
      <c r="V12" s="450">
        <f t="shared" si="5"/>
        <v>31527952</v>
      </c>
      <c r="W12" s="450">
        <f t="shared" si="5"/>
        <v>30118820</v>
      </c>
      <c r="X12" s="450">
        <f t="shared" si="5"/>
        <v>21680819</v>
      </c>
      <c r="Y12" s="450">
        <f t="shared" si="1"/>
        <v>921001192</v>
      </c>
    </row>
    <row r="13" spans="1:27" ht="21" customHeight="1" x14ac:dyDescent="0.2">
      <c r="A13" s="453" t="s">
        <v>767</v>
      </c>
      <c r="B13" s="448" t="s">
        <v>1261</v>
      </c>
      <c r="C13" s="449">
        <f t="shared" ref="C13:X13" si="6">+C14+C18</f>
        <v>32768719</v>
      </c>
      <c r="D13" s="449">
        <f t="shared" si="6"/>
        <v>53332610</v>
      </c>
      <c r="E13" s="449">
        <f t="shared" si="6"/>
        <v>55483184</v>
      </c>
      <c r="F13" s="449">
        <f t="shared" si="6"/>
        <v>54074052</v>
      </c>
      <c r="G13" s="449">
        <f t="shared" si="6"/>
        <v>52664921</v>
      </c>
      <c r="H13" s="449">
        <f t="shared" si="6"/>
        <v>51255790</v>
      </c>
      <c r="I13" s="449">
        <f t="shared" si="6"/>
        <v>49846659</v>
      </c>
      <c r="J13" s="449">
        <f t="shared" si="6"/>
        <v>48437528</v>
      </c>
      <c r="K13" s="449">
        <f t="shared" si="6"/>
        <v>47028396</v>
      </c>
      <c r="L13" s="449">
        <f t="shared" si="6"/>
        <v>45619265</v>
      </c>
      <c r="M13" s="449">
        <f t="shared" si="6"/>
        <v>44210133</v>
      </c>
      <c r="N13" s="449">
        <f t="shared" si="6"/>
        <v>42801002</v>
      </c>
      <c r="O13" s="449">
        <f t="shared" si="6"/>
        <v>41391871</v>
      </c>
      <c r="P13" s="449">
        <f t="shared" si="6"/>
        <v>39982739</v>
      </c>
      <c r="Q13" s="449">
        <f t="shared" si="6"/>
        <v>38573608</v>
      </c>
      <c r="R13" s="449">
        <f t="shared" si="6"/>
        <v>37164478</v>
      </c>
      <c r="S13" s="449">
        <f t="shared" si="6"/>
        <v>35755347</v>
      </c>
      <c r="T13" s="449">
        <f t="shared" si="6"/>
        <v>34346215</v>
      </c>
      <c r="U13" s="449">
        <f t="shared" si="6"/>
        <v>32937084</v>
      </c>
      <c r="V13" s="449">
        <f t="shared" si="6"/>
        <v>31527952</v>
      </c>
      <c r="W13" s="449">
        <f t="shared" si="6"/>
        <v>30118820</v>
      </c>
      <c r="X13" s="449">
        <f t="shared" si="6"/>
        <v>21680819</v>
      </c>
      <c r="Y13" s="450">
        <f t="shared" si="1"/>
        <v>921001192</v>
      </c>
    </row>
    <row r="14" spans="1:27" ht="21" customHeight="1" x14ac:dyDescent="0.2">
      <c r="A14" s="453" t="s">
        <v>769</v>
      </c>
      <c r="B14" s="448" t="s">
        <v>1262</v>
      </c>
      <c r="C14" s="449">
        <f t="shared" ref="C14:X14" si="7">+C15+C16+C17</f>
        <v>3529898</v>
      </c>
      <c r="D14" s="449">
        <f t="shared" si="7"/>
        <v>24666866</v>
      </c>
      <c r="E14" s="449">
        <f t="shared" si="7"/>
        <v>28182624</v>
      </c>
      <c r="F14" s="449">
        <f>+F15+F16+F17</f>
        <v>28182624</v>
      </c>
      <c r="G14" s="449">
        <f t="shared" si="7"/>
        <v>28182624</v>
      </c>
      <c r="H14" s="449">
        <f t="shared" si="7"/>
        <v>28182624</v>
      </c>
      <c r="I14" s="449">
        <f t="shared" si="7"/>
        <v>28182624</v>
      </c>
      <c r="J14" s="449">
        <f t="shared" si="7"/>
        <v>28182624</v>
      </c>
      <c r="K14" s="449">
        <f t="shared" si="7"/>
        <v>28182624</v>
      </c>
      <c r="L14" s="449">
        <f t="shared" si="7"/>
        <v>28182624</v>
      </c>
      <c r="M14" s="449">
        <f t="shared" si="7"/>
        <v>28182624</v>
      </c>
      <c r="N14" s="449">
        <f t="shared" si="7"/>
        <v>28182624</v>
      </c>
      <c r="O14" s="449">
        <f t="shared" si="7"/>
        <v>28182624</v>
      </c>
      <c r="P14" s="449">
        <f t="shared" si="7"/>
        <v>28182624</v>
      </c>
      <c r="Q14" s="449">
        <f t="shared" si="7"/>
        <v>28182624</v>
      </c>
      <c r="R14" s="449">
        <f t="shared" si="7"/>
        <v>28182624</v>
      </c>
      <c r="S14" s="449">
        <f t="shared" si="7"/>
        <v>28182624</v>
      </c>
      <c r="T14" s="449">
        <f t="shared" si="7"/>
        <v>28182624</v>
      </c>
      <c r="U14" s="449">
        <f t="shared" si="7"/>
        <v>28182624</v>
      </c>
      <c r="V14" s="449">
        <f t="shared" si="7"/>
        <v>28182624</v>
      </c>
      <c r="W14" s="449">
        <f t="shared" si="7"/>
        <v>28182624</v>
      </c>
      <c r="X14" s="449">
        <f t="shared" si="7"/>
        <v>21109809</v>
      </c>
      <c r="Y14" s="454">
        <f t="shared" si="1"/>
        <v>584776429</v>
      </c>
    </row>
    <row r="15" spans="1:27" ht="15.75" customHeight="1" x14ac:dyDescent="0.2">
      <c r="A15" s="453" t="s">
        <v>1263</v>
      </c>
      <c r="B15" s="448" t="s">
        <v>1264</v>
      </c>
      <c r="C15" s="449">
        <v>2435898</v>
      </c>
      <c r="D15" s="449">
        <v>9743592</v>
      </c>
      <c r="E15" s="449">
        <v>9743592</v>
      </c>
      <c r="F15" s="449">
        <v>9743592</v>
      </c>
      <c r="G15" s="449">
        <v>9743592</v>
      </c>
      <c r="H15" s="449">
        <v>9743592</v>
      </c>
      <c r="I15" s="449">
        <v>9743592</v>
      </c>
      <c r="J15" s="449">
        <v>9743592</v>
      </c>
      <c r="K15" s="449">
        <v>9743592</v>
      </c>
      <c r="L15" s="449">
        <v>9743592</v>
      </c>
      <c r="M15" s="449">
        <v>9743592</v>
      </c>
      <c r="N15" s="449">
        <v>9743592</v>
      </c>
      <c r="O15" s="449">
        <v>9743592</v>
      </c>
      <c r="P15" s="449">
        <v>9743592</v>
      </c>
      <c r="Q15" s="449">
        <v>9743592</v>
      </c>
      <c r="R15" s="449">
        <v>9743592</v>
      </c>
      <c r="S15" s="449">
        <v>9743592</v>
      </c>
      <c r="T15" s="449">
        <v>9743592</v>
      </c>
      <c r="U15" s="449">
        <v>9743592</v>
      </c>
      <c r="V15" s="449">
        <v>9743592</v>
      </c>
      <c r="W15" s="449">
        <v>9743592</v>
      </c>
      <c r="X15" s="449">
        <v>9743629</v>
      </c>
      <c r="Y15" s="454">
        <f t="shared" si="1"/>
        <v>207051367</v>
      </c>
      <c r="AA15" s="455">
        <f>SUM(E15:X15)</f>
        <v>194871877</v>
      </c>
    </row>
    <row r="16" spans="1:27" ht="30" x14ac:dyDescent="0.2">
      <c r="A16" s="453" t="s">
        <v>1265</v>
      </c>
      <c r="B16" s="448" t="s">
        <v>1266</v>
      </c>
      <c r="C16" s="449">
        <v>1094000</v>
      </c>
      <c r="D16" s="449">
        <v>4376000</v>
      </c>
      <c r="E16" s="449">
        <v>4376000</v>
      </c>
      <c r="F16" s="449">
        <v>4376000</v>
      </c>
      <c r="G16" s="449">
        <v>4376000</v>
      </c>
      <c r="H16" s="449">
        <v>4376000</v>
      </c>
      <c r="I16" s="449">
        <v>4376000</v>
      </c>
      <c r="J16" s="449">
        <v>4376000</v>
      </c>
      <c r="K16" s="449">
        <v>4376000</v>
      </c>
      <c r="L16" s="449">
        <v>4376000</v>
      </c>
      <c r="M16" s="449">
        <v>4376000</v>
      </c>
      <c r="N16" s="449">
        <v>4376000</v>
      </c>
      <c r="O16" s="449">
        <v>4376000</v>
      </c>
      <c r="P16" s="449">
        <v>4376000</v>
      </c>
      <c r="Q16" s="449">
        <v>4376000</v>
      </c>
      <c r="R16" s="449">
        <v>4376000</v>
      </c>
      <c r="S16" s="449">
        <v>4376000</v>
      </c>
      <c r="T16" s="449">
        <v>4376000</v>
      </c>
      <c r="U16" s="449">
        <v>4376000</v>
      </c>
      <c r="V16" s="449">
        <v>4376000</v>
      </c>
      <c r="W16" s="449">
        <v>4376000</v>
      </c>
      <c r="X16" s="449">
        <v>4334633</v>
      </c>
      <c r="Y16" s="454">
        <f t="shared" si="1"/>
        <v>92948633</v>
      </c>
      <c r="AA16" s="455">
        <f t="shared" ref="AA16:AA21" si="8">SUM(E16:X16)</f>
        <v>87478633</v>
      </c>
    </row>
    <row r="17" spans="1:27" s="362" customFormat="1" ht="17.25" customHeight="1" x14ac:dyDescent="0.2">
      <c r="A17" s="448" t="s">
        <v>1267</v>
      </c>
      <c r="B17" s="448" t="s">
        <v>1268</v>
      </c>
      <c r="C17" s="449">
        <v>0</v>
      </c>
      <c r="D17" s="449">
        <v>10547274</v>
      </c>
      <c r="E17" s="449">
        <v>14063032</v>
      </c>
      <c r="F17" s="449">
        <v>14063032</v>
      </c>
      <c r="G17" s="449">
        <v>14063032</v>
      </c>
      <c r="H17" s="449">
        <v>14063032</v>
      </c>
      <c r="I17" s="449">
        <v>14063032</v>
      </c>
      <c r="J17" s="449">
        <v>14063032</v>
      </c>
      <c r="K17" s="449">
        <v>14063032</v>
      </c>
      <c r="L17" s="449">
        <v>14063032</v>
      </c>
      <c r="M17" s="449">
        <v>14063032</v>
      </c>
      <c r="N17" s="449">
        <v>14063032</v>
      </c>
      <c r="O17" s="449">
        <v>14063032</v>
      </c>
      <c r="P17" s="449">
        <v>14063032</v>
      </c>
      <c r="Q17" s="449">
        <v>14063032</v>
      </c>
      <c r="R17" s="449">
        <v>14063032</v>
      </c>
      <c r="S17" s="449">
        <v>14063032</v>
      </c>
      <c r="T17" s="449">
        <v>14063032</v>
      </c>
      <c r="U17" s="449">
        <v>14063032</v>
      </c>
      <c r="V17" s="449">
        <v>14063032</v>
      </c>
      <c r="W17" s="449">
        <v>14063032</v>
      </c>
      <c r="X17" s="449">
        <v>7031547</v>
      </c>
      <c r="Y17" s="450">
        <f t="shared" si="1"/>
        <v>284776429</v>
      </c>
      <c r="AA17" s="455">
        <f t="shared" si="8"/>
        <v>274229155</v>
      </c>
    </row>
    <row r="18" spans="1:27" s="362" customFormat="1" ht="15.75" customHeight="1" x14ac:dyDescent="0.2">
      <c r="A18" s="448" t="s">
        <v>771</v>
      </c>
      <c r="B18" s="448" t="s">
        <v>1269</v>
      </c>
      <c r="C18" s="449">
        <f>SUM(C19:C21)</f>
        <v>29238821</v>
      </c>
      <c r="D18" s="449">
        <f t="shared" ref="D18:Y18" si="9">SUM(D19:D21)</f>
        <v>28665744</v>
      </c>
      <c r="E18" s="449">
        <f t="shared" si="9"/>
        <v>27300560</v>
      </c>
      <c r="F18" s="449">
        <f t="shared" si="9"/>
        <v>25891428</v>
      </c>
      <c r="G18" s="449">
        <f t="shared" si="9"/>
        <v>24482297</v>
      </c>
      <c r="H18" s="449">
        <f t="shared" si="9"/>
        <v>23073166</v>
      </c>
      <c r="I18" s="449">
        <f t="shared" si="9"/>
        <v>21664035</v>
      </c>
      <c r="J18" s="449">
        <f t="shared" si="9"/>
        <v>20254904</v>
      </c>
      <c r="K18" s="449">
        <f t="shared" si="9"/>
        <v>18845772</v>
      </c>
      <c r="L18" s="449">
        <f t="shared" si="9"/>
        <v>17436641</v>
      </c>
      <c r="M18" s="449">
        <f t="shared" si="9"/>
        <v>16027509</v>
      </c>
      <c r="N18" s="449">
        <f t="shared" si="9"/>
        <v>14618378</v>
      </c>
      <c r="O18" s="449">
        <f t="shared" si="9"/>
        <v>13209247</v>
      </c>
      <c r="P18" s="449">
        <f t="shared" si="9"/>
        <v>11800115</v>
      </c>
      <c r="Q18" s="449">
        <f t="shared" si="9"/>
        <v>10390984</v>
      </c>
      <c r="R18" s="449">
        <f t="shared" si="9"/>
        <v>8981854</v>
      </c>
      <c r="S18" s="449">
        <f t="shared" si="9"/>
        <v>7572723</v>
      </c>
      <c r="T18" s="449">
        <f t="shared" si="9"/>
        <v>6163591</v>
      </c>
      <c r="U18" s="449">
        <f t="shared" si="9"/>
        <v>4754460</v>
      </c>
      <c r="V18" s="449">
        <f t="shared" si="9"/>
        <v>3345328</v>
      </c>
      <c r="W18" s="449">
        <f t="shared" si="9"/>
        <v>1936196</v>
      </c>
      <c r="X18" s="449">
        <f t="shared" si="9"/>
        <v>571010</v>
      </c>
      <c r="Y18" s="450">
        <f t="shared" si="9"/>
        <v>336224763</v>
      </c>
      <c r="AA18" s="455">
        <f t="shared" si="8"/>
        <v>278320198</v>
      </c>
    </row>
    <row r="19" spans="1:27" s="362" customFormat="1" ht="17.25" customHeight="1" x14ac:dyDescent="0.2">
      <c r="A19" s="448" t="s">
        <v>1270</v>
      </c>
      <c r="B19" s="448" t="s">
        <v>1264</v>
      </c>
      <c r="C19" s="449">
        <v>10352568</v>
      </c>
      <c r="D19" s="449">
        <v>10048081</v>
      </c>
      <c r="E19" s="449">
        <v>9560902</v>
      </c>
      <c r="F19" s="449">
        <v>9073722</v>
      </c>
      <c r="G19" s="449">
        <v>8586542</v>
      </c>
      <c r="H19" s="449">
        <v>8099363</v>
      </c>
      <c r="I19" s="449">
        <v>7612183</v>
      </c>
      <c r="J19" s="449">
        <v>7125004</v>
      </c>
      <c r="K19" s="449">
        <v>6637824</v>
      </c>
      <c r="L19" s="449">
        <v>6150644</v>
      </c>
      <c r="M19" s="449">
        <v>5663465</v>
      </c>
      <c r="N19" s="449">
        <v>5176285</v>
      </c>
      <c r="O19" s="449">
        <v>4689106</v>
      </c>
      <c r="P19" s="449">
        <v>4201926</v>
      </c>
      <c r="Q19" s="449">
        <v>3714746</v>
      </c>
      <c r="R19" s="449">
        <v>3227567</v>
      </c>
      <c r="S19" s="449">
        <v>2740387</v>
      </c>
      <c r="T19" s="449">
        <v>2253208</v>
      </c>
      <c r="U19" s="449">
        <v>1766028</v>
      </c>
      <c r="V19" s="449">
        <v>1278848</v>
      </c>
      <c r="W19" s="449">
        <v>791668</v>
      </c>
      <c r="X19" s="449">
        <v>304488</v>
      </c>
      <c r="Y19" s="450">
        <f t="shared" ref="Y19:Y31" si="10">SUM(C19:X19)</f>
        <v>119054555</v>
      </c>
      <c r="AA19" s="455">
        <f t="shared" si="8"/>
        <v>98653906</v>
      </c>
    </row>
    <row r="20" spans="1:27" s="362" customFormat="1" ht="30" x14ac:dyDescent="0.2">
      <c r="A20" s="448" t="s">
        <v>1271</v>
      </c>
      <c r="B20" s="448" t="s">
        <v>1266</v>
      </c>
      <c r="C20" s="449">
        <v>4647432</v>
      </c>
      <c r="D20" s="449">
        <v>4510682</v>
      </c>
      <c r="E20" s="449">
        <v>4291882</v>
      </c>
      <c r="F20" s="449">
        <v>4073082</v>
      </c>
      <c r="G20" s="449">
        <v>3854282</v>
      </c>
      <c r="H20" s="449">
        <v>3635482</v>
      </c>
      <c r="I20" s="449">
        <v>3416682</v>
      </c>
      <c r="J20" s="449">
        <v>3197882</v>
      </c>
      <c r="K20" s="449">
        <v>2979082</v>
      </c>
      <c r="L20" s="449">
        <v>2760282</v>
      </c>
      <c r="M20" s="449">
        <v>2541481</v>
      </c>
      <c r="N20" s="449">
        <v>2322681</v>
      </c>
      <c r="O20" s="449">
        <v>2103881</v>
      </c>
      <c r="P20" s="449">
        <v>1885081</v>
      </c>
      <c r="Q20" s="449">
        <v>1666281</v>
      </c>
      <c r="R20" s="449">
        <v>1447482</v>
      </c>
      <c r="S20" s="449">
        <v>1228682</v>
      </c>
      <c r="T20" s="449">
        <v>1009881</v>
      </c>
      <c r="U20" s="449">
        <v>791082</v>
      </c>
      <c r="V20" s="449">
        <v>572281</v>
      </c>
      <c r="W20" s="449">
        <v>353482</v>
      </c>
      <c r="X20" s="449">
        <v>134681</v>
      </c>
      <c r="Y20" s="450">
        <f t="shared" si="10"/>
        <v>53423746</v>
      </c>
      <c r="AA20" s="455">
        <f t="shared" si="8"/>
        <v>44265632</v>
      </c>
    </row>
    <row r="21" spans="1:27" s="362" customFormat="1" ht="15" x14ac:dyDescent="0.2">
      <c r="A21" s="448" t="s">
        <v>1272</v>
      </c>
      <c r="B21" s="448" t="s">
        <v>1268</v>
      </c>
      <c r="C21" s="449">
        <v>14238821</v>
      </c>
      <c r="D21" s="449">
        <v>14106981</v>
      </c>
      <c r="E21" s="449">
        <v>13447776</v>
      </c>
      <c r="F21" s="449">
        <v>12744624</v>
      </c>
      <c r="G21" s="449">
        <v>12041473</v>
      </c>
      <c r="H21" s="449">
        <v>11338321</v>
      </c>
      <c r="I21" s="449">
        <v>10635170</v>
      </c>
      <c r="J21" s="449">
        <v>9932018</v>
      </c>
      <c r="K21" s="449">
        <v>9228866</v>
      </c>
      <c r="L21" s="449">
        <v>8525715</v>
      </c>
      <c r="M21" s="449">
        <v>7822563</v>
      </c>
      <c r="N21" s="449">
        <v>7119412</v>
      </c>
      <c r="O21" s="449">
        <v>6416260</v>
      </c>
      <c r="P21" s="449">
        <v>5713108</v>
      </c>
      <c r="Q21" s="449">
        <v>5009957</v>
      </c>
      <c r="R21" s="449">
        <v>4306805</v>
      </c>
      <c r="S21" s="449">
        <v>3603654</v>
      </c>
      <c r="T21" s="449">
        <v>2900502</v>
      </c>
      <c r="U21" s="449">
        <v>2197350</v>
      </c>
      <c r="V21" s="449">
        <v>1494199</v>
      </c>
      <c r="W21" s="449">
        <v>791046</v>
      </c>
      <c r="X21" s="449">
        <v>131841</v>
      </c>
      <c r="Y21" s="450">
        <f t="shared" si="10"/>
        <v>163746462</v>
      </c>
      <c r="AA21" s="455">
        <f t="shared" si="8"/>
        <v>135400660</v>
      </c>
    </row>
    <row r="22" spans="1:27" s="362" customFormat="1" ht="20.25" customHeight="1" x14ac:dyDescent="0.2">
      <c r="A22" s="448" t="s">
        <v>773</v>
      </c>
      <c r="B22" s="448" t="s">
        <v>1273</v>
      </c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50">
        <f t="shared" si="10"/>
        <v>0</v>
      </c>
    </row>
    <row r="23" spans="1:27" s="362" customFormat="1" ht="21" customHeight="1" x14ac:dyDescent="0.2">
      <c r="A23" s="448" t="s">
        <v>775</v>
      </c>
      <c r="B23" s="448" t="s">
        <v>1274</v>
      </c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50">
        <f t="shared" si="10"/>
        <v>0</v>
      </c>
    </row>
    <row r="24" spans="1:27" s="362" customFormat="1" ht="21" customHeight="1" x14ac:dyDescent="0.2">
      <c r="A24" s="448" t="s">
        <v>777</v>
      </c>
      <c r="B24" s="448" t="s">
        <v>1275</v>
      </c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50">
        <f t="shared" si="10"/>
        <v>0</v>
      </c>
    </row>
    <row r="25" spans="1:27" s="362" customFormat="1" ht="20.25" customHeight="1" x14ac:dyDescent="0.2">
      <c r="A25" s="448" t="s">
        <v>789</v>
      </c>
      <c r="B25" s="448" t="s">
        <v>1276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50">
        <f t="shared" si="10"/>
        <v>0</v>
      </c>
    </row>
    <row r="26" spans="1:27" s="362" customFormat="1" ht="20.25" customHeight="1" x14ac:dyDescent="0.2">
      <c r="A26" s="448" t="s">
        <v>791</v>
      </c>
      <c r="B26" s="448" t="s">
        <v>1277</v>
      </c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50">
        <f t="shared" si="10"/>
        <v>0</v>
      </c>
    </row>
    <row r="27" spans="1:27" s="362" customFormat="1" ht="22.5" customHeight="1" x14ac:dyDescent="0.2">
      <c r="A27" s="448" t="s">
        <v>1018</v>
      </c>
      <c r="B27" s="448" t="s">
        <v>1278</v>
      </c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50">
        <f t="shared" si="10"/>
        <v>0</v>
      </c>
    </row>
    <row r="28" spans="1:27" s="362" customFormat="1" ht="22.5" customHeight="1" x14ac:dyDescent="0.2">
      <c r="A28" s="448" t="s">
        <v>1020</v>
      </c>
      <c r="B28" s="448" t="s">
        <v>1279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50">
        <f t="shared" si="10"/>
        <v>0</v>
      </c>
    </row>
    <row r="29" spans="1:27" s="362" customFormat="1" ht="30" x14ac:dyDescent="0.2">
      <c r="A29" s="448" t="s">
        <v>1022</v>
      </c>
      <c r="B29" s="452" t="s">
        <v>1280</v>
      </c>
      <c r="C29" s="450">
        <f t="shared" ref="C29:X29" si="11">C30+C39+C40+C41+C42+C43+C44+C45</f>
        <v>0</v>
      </c>
      <c r="D29" s="450">
        <f t="shared" si="11"/>
        <v>0</v>
      </c>
      <c r="E29" s="450">
        <f t="shared" si="11"/>
        <v>0</v>
      </c>
      <c r="F29" s="450">
        <f t="shared" si="11"/>
        <v>0</v>
      </c>
      <c r="G29" s="450">
        <f t="shared" si="11"/>
        <v>0</v>
      </c>
      <c r="H29" s="450">
        <f t="shared" si="11"/>
        <v>0</v>
      </c>
      <c r="I29" s="450">
        <f t="shared" si="11"/>
        <v>0</v>
      </c>
      <c r="J29" s="450">
        <f t="shared" si="11"/>
        <v>0</v>
      </c>
      <c r="K29" s="450">
        <f t="shared" si="11"/>
        <v>0</v>
      </c>
      <c r="L29" s="450">
        <f t="shared" si="11"/>
        <v>0</v>
      </c>
      <c r="M29" s="450">
        <f t="shared" si="11"/>
        <v>0</v>
      </c>
      <c r="N29" s="450">
        <f t="shared" si="11"/>
        <v>0</v>
      </c>
      <c r="O29" s="450">
        <f t="shared" si="11"/>
        <v>0</v>
      </c>
      <c r="P29" s="450">
        <f t="shared" si="11"/>
        <v>0</v>
      </c>
      <c r="Q29" s="450">
        <f t="shared" si="11"/>
        <v>0</v>
      </c>
      <c r="R29" s="450">
        <f t="shared" si="11"/>
        <v>0</v>
      </c>
      <c r="S29" s="450">
        <f t="shared" si="11"/>
        <v>0</v>
      </c>
      <c r="T29" s="450">
        <f t="shared" si="11"/>
        <v>0</v>
      </c>
      <c r="U29" s="450">
        <f t="shared" si="11"/>
        <v>0</v>
      </c>
      <c r="V29" s="450">
        <f t="shared" si="11"/>
        <v>0</v>
      </c>
      <c r="W29" s="450">
        <f t="shared" si="11"/>
        <v>0</v>
      </c>
      <c r="X29" s="450">
        <f t="shared" si="11"/>
        <v>0</v>
      </c>
      <c r="Y29" s="450">
        <f t="shared" si="10"/>
        <v>0</v>
      </c>
    </row>
    <row r="30" spans="1:27" s="362" customFormat="1" ht="18.75" customHeight="1" x14ac:dyDescent="0.2">
      <c r="A30" s="448" t="s">
        <v>1024</v>
      </c>
      <c r="B30" s="448" t="s">
        <v>1281</v>
      </c>
      <c r="C30" s="449">
        <f t="shared" ref="C30:X30" si="12">SUM(C31:C35)</f>
        <v>0</v>
      </c>
      <c r="D30" s="449">
        <f t="shared" si="12"/>
        <v>0</v>
      </c>
      <c r="E30" s="449">
        <f t="shared" si="12"/>
        <v>0</v>
      </c>
      <c r="F30" s="449">
        <f t="shared" si="12"/>
        <v>0</v>
      </c>
      <c r="G30" s="449">
        <f t="shared" si="12"/>
        <v>0</v>
      </c>
      <c r="H30" s="449">
        <f t="shared" si="12"/>
        <v>0</v>
      </c>
      <c r="I30" s="449">
        <f t="shared" si="12"/>
        <v>0</v>
      </c>
      <c r="J30" s="449">
        <f t="shared" si="12"/>
        <v>0</v>
      </c>
      <c r="K30" s="449">
        <f t="shared" si="12"/>
        <v>0</v>
      </c>
      <c r="L30" s="449">
        <f t="shared" si="12"/>
        <v>0</v>
      </c>
      <c r="M30" s="449">
        <f t="shared" si="12"/>
        <v>0</v>
      </c>
      <c r="N30" s="449">
        <f t="shared" si="12"/>
        <v>0</v>
      </c>
      <c r="O30" s="449">
        <f t="shared" si="12"/>
        <v>0</v>
      </c>
      <c r="P30" s="449">
        <f t="shared" si="12"/>
        <v>0</v>
      </c>
      <c r="Q30" s="449">
        <f t="shared" si="12"/>
        <v>0</v>
      </c>
      <c r="R30" s="449">
        <f t="shared" si="12"/>
        <v>0</v>
      </c>
      <c r="S30" s="449">
        <f t="shared" si="12"/>
        <v>0</v>
      </c>
      <c r="T30" s="449">
        <f t="shared" si="12"/>
        <v>0</v>
      </c>
      <c r="U30" s="449">
        <f t="shared" si="12"/>
        <v>0</v>
      </c>
      <c r="V30" s="449">
        <f t="shared" si="12"/>
        <v>0</v>
      </c>
      <c r="W30" s="449">
        <f t="shared" si="12"/>
        <v>0</v>
      </c>
      <c r="X30" s="449">
        <f t="shared" si="12"/>
        <v>0</v>
      </c>
      <c r="Y30" s="450">
        <f t="shared" si="10"/>
        <v>0</v>
      </c>
    </row>
    <row r="31" spans="1:27" s="362" customFormat="1" ht="18.75" customHeight="1" x14ac:dyDescent="0.2">
      <c r="A31" s="448" t="s">
        <v>1026</v>
      </c>
      <c r="B31" s="448" t="s">
        <v>1282</v>
      </c>
      <c r="C31" s="449">
        <f t="shared" ref="C31:X31" si="13">+C32+C33+C34</f>
        <v>0</v>
      </c>
      <c r="D31" s="449">
        <f t="shared" si="13"/>
        <v>0</v>
      </c>
      <c r="E31" s="449">
        <f t="shared" si="13"/>
        <v>0</v>
      </c>
      <c r="F31" s="449">
        <f t="shared" si="13"/>
        <v>0</v>
      </c>
      <c r="G31" s="449">
        <f t="shared" si="13"/>
        <v>0</v>
      </c>
      <c r="H31" s="449">
        <f t="shared" si="13"/>
        <v>0</v>
      </c>
      <c r="I31" s="449">
        <f t="shared" si="13"/>
        <v>0</v>
      </c>
      <c r="J31" s="449">
        <f t="shared" si="13"/>
        <v>0</v>
      </c>
      <c r="K31" s="449">
        <f t="shared" si="13"/>
        <v>0</v>
      </c>
      <c r="L31" s="449">
        <f t="shared" si="13"/>
        <v>0</v>
      </c>
      <c r="M31" s="449">
        <f t="shared" si="13"/>
        <v>0</v>
      </c>
      <c r="N31" s="449">
        <f t="shared" si="13"/>
        <v>0</v>
      </c>
      <c r="O31" s="449">
        <f t="shared" si="13"/>
        <v>0</v>
      </c>
      <c r="P31" s="449">
        <f t="shared" si="13"/>
        <v>0</v>
      </c>
      <c r="Q31" s="449">
        <f t="shared" si="13"/>
        <v>0</v>
      </c>
      <c r="R31" s="449">
        <f t="shared" si="13"/>
        <v>0</v>
      </c>
      <c r="S31" s="449">
        <f t="shared" si="13"/>
        <v>0</v>
      </c>
      <c r="T31" s="449">
        <f t="shared" si="13"/>
        <v>0</v>
      </c>
      <c r="U31" s="449">
        <f t="shared" si="13"/>
        <v>0</v>
      </c>
      <c r="V31" s="449">
        <f t="shared" si="13"/>
        <v>0</v>
      </c>
      <c r="W31" s="449">
        <f t="shared" si="13"/>
        <v>0</v>
      </c>
      <c r="X31" s="449">
        <f t="shared" si="13"/>
        <v>0</v>
      </c>
      <c r="Y31" s="450">
        <f t="shared" si="10"/>
        <v>0</v>
      </c>
    </row>
    <row r="32" spans="1:27" s="362" customFormat="1" ht="19.5" customHeight="1" x14ac:dyDescent="0.2">
      <c r="A32" s="448" t="s">
        <v>1283</v>
      </c>
      <c r="B32" s="448" t="s">
        <v>1264</v>
      </c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50"/>
    </row>
    <row r="33" spans="1:26" s="362" customFormat="1" ht="30" x14ac:dyDescent="0.2">
      <c r="A33" s="448" t="s">
        <v>1284</v>
      </c>
      <c r="B33" s="448" t="s">
        <v>1266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50"/>
    </row>
    <row r="34" spans="1:26" s="362" customFormat="1" ht="18" customHeight="1" x14ac:dyDescent="0.2">
      <c r="A34" s="448" t="s">
        <v>1285</v>
      </c>
      <c r="B34" s="448" t="s">
        <v>1268</v>
      </c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50"/>
    </row>
    <row r="35" spans="1:26" ht="18" customHeight="1" x14ac:dyDescent="0.2">
      <c r="A35" s="453" t="s">
        <v>1028</v>
      </c>
      <c r="B35" s="453" t="s">
        <v>1286</v>
      </c>
      <c r="C35" s="456">
        <f t="shared" ref="C35:X35" si="14">+C36+C37+C38</f>
        <v>0</v>
      </c>
      <c r="D35" s="456">
        <f t="shared" si="14"/>
        <v>0</v>
      </c>
      <c r="E35" s="456">
        <f t="shared" si="14"/>
        <v>0</v>
      </c>
      <c r="F35" s="456">
        <f t="shared" si="14"/>
        <v>0</v>
      </c>
      <c r="G35" s="456">
        <f t="shared" si="14"/>
        <v>0</v>
      </c>
      <c r="H35" s="456">
        <f t="shared" si="14"/>
        <v>0</v>
      </c>
      <c r="I35" s="456">
        <f t="shared" si="14"/>
        <v>0</v>
      </c>
      <c r="J35" s="456">
        <f t="shared" si="14"/>
        <v>0</v>
      </c>
      <c r="K35" s="456">
        <f t="shared" si="14"/>
        <v>0</v>
      </c>
      <c r="L35" s="456">
        <f t="shared" si="14"/>
        <v>0</v>
      </c>
      <c r="M35" s="456">
        <f t="shared" si="14"/>
        <v>0</v>
      </c>
      <c r="N35" s="456">
        <f t="shared" si="14"/>
        <v>0</v>
      </c>
      <c r="O35" s="456">
        <f t="shared" si="14"/>
        <v>0</v>
      </c>
      <c r="P35" s="456">
        <f t="shared" si="14"/>
        <v>0</v>
      </c>
      <c r="Q35" s="456">
        <f t="shared" si="14"/>
        <v>0</v>
      </c>
      <c r="R35" s="456">
        <f t="shared" si="14"/>
        <v>0</v>
      </c>
      <c r="S35" s="456">
        <f t="shared" si="14"/>
        <v>0</v>
      </c>
      <c r="T35" s="456">
        <f t="shared" si="14"/>
        <v>0</v>
      </c>
      <c r="U35" s="456">
        <f t="shared" si="14"/>
        <v>0</v>
      </c>
      <c r="V35" s="456">
        <f t="shared" si="14"/>
        <v>0</v>
      </c>
      <c r="W35" s="456">
        <f t="shared" si="14"/>
        <v>0</v>
      </c>
      <c r="X35" s="456">
        <f t="shared" si="14"/>
        <v>0</v>
      </c>
      <c r="Y35" s="454">
        <f>SUM(C35:X35)</f>
        <v>0</v>
      </c>
    </row>
    <row r="36" spans="1:26" ht="18" customHeight="1" x14ac:dyDescent="0.2">
      <c r="A36" s="453" t="s">
        <v>1287</v>
      </c>
      <c r="B36" s="448" t="s">
        <v>1264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4"/>
    </row>
    <row r="37" spans="1:26" ht="30" x14ac:dyDescent="0.2">
      <c r="A37" s="453" t="s">
        <v>1288</v>
      </c>
      <c r="B37" s="448" t="s">
        <v>1266</v>
      </c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4"/>
    </row>
    <row r="38" spans="1:26" s="362" customFormat="1" ht="17.25" customHeight="1" x14ac:dyDescent="0.2">
      <c r="A38" s="448" t="s">
        <v>1289</v>
      </c>
      <c r="B38" s="448" t="s">
        <v>1268</v>
      </c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50"/>
    </row>
    <row r="39" spans="1:26" ht="17.25" customHeight="1" x14ac:dyDescent="0.2">
      <c r="A39" s="453" t="s">
        <v>1030</v>
      </c>
      <c r="B39" s="453" t="s">
        <v>1273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4">
        <f t="shared" ref="Y39:Y47" si="15">SUM(C39:X39)</f>
        <v>0</v>
      </c>
    </row>
    <row r="40" spans="1:26" ht="17.25" customHeight="1" x14ac:dyDescent="0.2">
      <c r="A40" s="453" t="s">
        <v>1032</v>
      </c>
      <c r="B40" s="453" t="s">
        <v>1274</v>
      </c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4">
        <f t="shared" si="15"/>
        <v>0</v>
      </c>
    </row>
    <row r="41" spans="1:26" ht="20.25" customHeight="1" x14ac:dyDescent="0.2">
      <c r="A41" s="453" t="s">
        <v>1034</v>
      </c>
      <c r="B41" s="453" t="s">
        <v>1275</v>
      </c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4">
        <f t="shared" si="15"/>
        <v>0</v>
      </c>
    </row>
    <row r="42" spans="1:26" ht="20.25" customHeight="1" x14ac:dyDescent="0.2">
      <c r="A42" s="453" t="s">
        <v>1036</v>
      </c>
      <c r="B42" s="453" t="s">
        <v>1276</v>
      </c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4">
        <f t="shared" si="15"/>
        <v>0</v>
      </c>
    </row>
    <row r="43" spans="1:26" ht="20.25" customHeight="1" x14ac:dyDescent="0.2">
      <c r="A43" s="453" t="s">
        <v>1038</v>
      </c>
      <c r="B43" s="453" t="s">
        <v>1277</v>
      </c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4">
        <f t="shared" si="15"/>
        <v>0</v>
      </c>
    </row>
    <row r="44" spans="1:26" ht="20.25" customHeight="1" x14ac:dyDescent="0.2">
      <c r="A44" s="453" t="s">
        <v>1040</v>
      </c>
      <c r="B44" s="453" t="s">
        <v>1278</v>
      </c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4">
        <f t="shared" si="15"/>
        <v>0</v>
      </c>
    </row>
    <row r="45" spans="1:26" ht="20.25" customHeight="1" x14ac:dyDescent="0.2">
      <c r="A45" s="453" t="s">
        <v>1042</v>
      </c>
      <c r="B45" s="453" t="s">
        <v>1279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4">
        <f t="shared" si="15"/>
        <v>0</v>
      </c>
    </row>
    <row r="46" spans="1:26" ht="20.25" customHeight="1" x14ac:dyDescent="0.2">
      <c r="A46" s="453" t="s">
        <v>1045</v>
      </c>
      <c r="B46" s="446" t="s">
        <v>1290</v>
      </c>
      <c r="C46" s="454">
        <f t="shared" ref="C46:X46" si="16">SUM(C12+C29)</f>
        <v>32768719</v>
      </c>
      <c r="D46" s="454">
        <f t="shared" si="16"/>
        <v>53332610</v>
      </c>
      <c r="E46" s="454">
        <f t="shared" si="16"/>
        <v>55483184</v>
      </c>
      <c r="F46" s="454">
        <f t="shared" si="16"/>
        <v>54074052</v>
      </c>
      <c r="G46" s="454">
        <f t="shared" si="16"/>
        <v>52664921</v>
      </c>
      <c r="H46" s="454">
        <f t="shared" si="16"/>
        <v>51255790</v>
      </c>
      <c r="I46" s="454">
        <f t="shared" si="16"/>
        <v>49846659</v>
      </c>
      <c r="J46" s="454">
        <f t="shared" si="16"/>
        <v>48437528</v>
      </c>
      <c r="K46" s="454">
        <f t="shared" si="16"/>
        <v>47028396</v>
      </c>
      <c r="L46" s="454">
        <f t="shared" si="16"/>
        <v>45619265</v>
      </c>
      <c r="M46" s="454">
        <f t="shared" si="16"/>
        <v>44210133</v>
      </c>
      <c r="N46" s="454">
        <f t="shared" si="16"/>
        <v>42801002</v>
      </c>
      <c r="O46" s="454">
        <f t="shared" si="16"/>
        <v>41391871</v>
      </c>
      <c r="P46" s="454">
        <f t="shared" si="16"/>
        <v>39982739</v>
      </c>
      <c r="Q46" s="454">
        <f t="shared" si="16"/>
        <v>38573608</v>
      </c>
      <c r="R46" s="454">
        <f t="shared" si="16"/>
        <v>37164478</v>
      </c>
      <c r="S46" s="454">
        <f t="shared" si="16"/>
        <v>35755347</v>
      </c>
      <c r="T46" s="454">
        <f t="shared" si="16"/>
        <v>34346215</v>
      </c>
      <c r="U46" s="454">
        <f t="shared" si="16"/>
        <v>32937084</v>
      </c>
      <c r="V46" s="454">
        <f t="shared" si="16"/>
        <v>31527952</v>
      </c>
      <c r="W46" s="454">
        <f t="shared" si="16"/>
        <v>30118820</v>
      </c>
      <c r="X46" s="454">
        <f t="shared" si="16"/>
        <v>21680819</v>
      </c>
      <c r="Y46" s="454">
        <f t="shared" si="15"/>
        <v>921001192</v>
      </c>
    </row>
    <row r="47" spans="1:26" ht="15" x14ac:dyDescent="0.2">
      <c r="A47" s="453" t="s">
        <v>1047</v>
      </c>
      <c r="B47" s="446" t="s">
        <v>1291</v>
      </c>
      <c r="C47" s="454">
        <f t="shared" ref="C47:X47" si="17">C11-C46</f>
        <v>1486764472</v>
      </c>
      <c r="D47" s="454">
        <f t="shared" si="17"/>
        <v>1463224801.7794998</v>
      </c>
      <c r="E47" s="454">
        <f t="shared" si="17"/>
        <v>1462893258.2780991</v>
      </c>
      <c r="F47" s="454">
        <f t="shared" si="17"/>
        <v>1466124765.922631</v>
      </c>
      <c r="G47" s="454">
        <f t="shared" si="17"/>
        <v>1469359628.6888189</v>
      </c>
      <c r="H47" s="454">
        <f t="shared" si="17"/>
        <v>1472597858.6015141</v>
      </c>
      <c r="I47" s="454">
        <f t="shared" si="17"/>
        <v>1475839466.7349372</v>
      </c>
      <c r="J47" s="454">
        <f t="shared" si="17"/>
        <v>1479084464.2129178</v>
      </c>
      <c r="K47" s="454">
        <f t="shared" si="17"/>
        <v>1482332863.2091374</v>
      </c>
      <c r="L47" s="454">
        <f t="shared" si="17"/>
        <v>1485584672.9473736</v>
      </c>
      <c r="M47" s="454">
        <f t="shared" si="17"/>
        <v>1488839906.7017431</v>
      </c>
      <c r="N47" s="454">
        <f t="shared" si="17"/>
        <v>1492098573.7969489</v>
      </c>
      <c r="O47" s="454">
        <f t="shared" si="17"/>
        <v>1495360686.6085277</v>
      </c>
      <c r="P47" s="454">
        <f t="shared" si="17"/>
        <v>1498626257.5630968</v>
      </c>
      <c r="Q47" s="454">
        <f t="shared" si="17"/>
        <v>1501895296.1386051</v>
      </c>
      <c r="R47" s="454">
        <f t="shared" si="17"/>
        <v>1505167813.8645837</v>
      </c>
      <c r="S47" s="454">
        <f t="shared" si="17"/>
        <v>1508443824.3223977</v>
      </c>
      <c r="T47" s="454">
        <f t="shared" si="17"/>
        <v>1511723339.145499</v>
      </c>
      <c r="U47" s="454">
        <f t="shared" si="17"/>
        <v>1515006368.0196826</v>
      </c>
      <c r="V47" s="454">
        <f t="shared" si="17"/>
        <v>1333385139.9241352</v>
      </c>
      <c r="W47" s="454">
        <f t="shared" si="17"/>
        <v>1335211637.3837559</v>
      </c>
      <c r="X47" s="454">
        <f t="shared" si="17"/>
        <v>1344069090.6706748</v>
      </c>
      <c r="Y47" s="454">
        <f t="shared" si="15"/>
        <v>32273634186.514572</v>
      </c>
    </row>
    <row r="48" spans="1:26" ht="15" x14ac:dyDescent="0.2">
      <c r="A48" s="457"/>
      <c r="B48" s="457" t="s">
        <v>1292</v>
      </c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9"/>
    </row>
    <row r="49" spans="1:28" ht="30" x14ac:dyDescent="0.2">
      <c r="A49" s="843"/>
      <c r="B49" s="457" t="s">
        <v>1293</v>
      </c>
      <c r="C49" s="533">
        <v>455000000</v>
      </c>
      <c r="D49" s="845" t="s">
        <v>1294</v>
      </c>
      <c r="E49" s="533" t="s">
        <v>1295</v>
      </c>
      <c r="F49" s="533">
        <v>12000000</v>
      </c>
      <c r="G49" s="534"/>
      <c r="H49" s="457"/>
      <c r="I49" s="458"/>
      <c r="J49" s="458"/>
      <c r="K49" s="460" t="s">
        <v>1296</v>
      </c>
      <c r="L49" s="535">
        <v>1050000</v>
      </c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9"/>
    </row>
    <row r="50" spans="1:28" ht="45" x14ac:dyDescent="0.2">
      <c r="A50" s="844"/>
      <c r="B50" s="457" t="s">
        <v>1297</v>
      </c>
      <c r="C50" s="461">
        <v>135000000</v>
      </c>
      <c r="D50" s="846"/>
      <c r="E50" s="461" t="s">
        <v>1298</v>
      </c>
      <c r="F50" s="461">
        <v>1600000</v>
      </c>
      <c r="G50" s="462"/>
      <c r="H50" s="458"/>
      <c r="I50" s="458"/>
      <c r="J50" s="458"/>
      <c r="K50" s="536" t="s">
        <v>1299</v>
      </c>
      <c r="L50" s="462">
        <v>4500000</v>
      </c>
      <c r="M50" s="457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9"/>
      <c r="AA50" s="458"/>
      <c r="AB50" s="458"/>
    </row>
    <row r="51" spans="1:28" ht="15" x14ac:dyDescent="0.2">
      <c r="A51" s="844"/>
      <c r="B51" s="457" t="s">
        <v>1300</v>
      </c>
      <c r="C51" s="461">
        <v>22200000</v>
      </c>
      <c r="D51" s="846"/>
      <c r="E51" s="461" t="s">
        <v>1301</v>
      </c>
      <c r="F51" s="461">
        <v>1500000</v>
      </c>
      <c r="G51" s="462"/>
      <c r="H51" s="458"/>
      <c r="I51" s="458"/>
      <c r="J51" s="458"/>
      <c r="K51" s="536" t="s">
        <v>1302</v>
      </c>
      <c r="L51" s="462">
        <f>SUM(L49:L50)</f>
        <v>5550000</v>
      </c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9"/>
      <c r="AA51" s="458"/>
      <c r="AB51" s="458"/>
    </row>
    <row r="52" spans="1:28" ht="15" x14ac:dyDescent="0.2">
      <c r="A52" s="844"/>
      <c r="B52" s="457" t="s">
        <v>1303</v>
      </c>
      <c r="C52" s="461">
        <v>180000</v>
      </c>
      <c r="D52" s="846"/>
      <c r="E52" s="461" t="s">
        <v>1304</v>
      </c>
      <c r="F52" s="461">
        <v>2100000</v>
      </c>
      <c r="G52" s="462"/>
      <c r="H52" s="458"/>
      <c r="I52" s="458"/>
      <c r="J52" s="458"/>
      <c r="K52" s="536"/>
      <c r="L52" s="462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9"/>
      <c r="AA52" s="458"/>
      <c r="AB52" s="458"/>
    </row>
    <row r="53" spans="1:28" ht="45" x14ac:dyDescent="0.2">
      <c r="A53" s="844"/>
      <c r="B53" s="457" t="s">
        <v>1305</v>
      </c>
      <c r="C53" s="461">
        <v>2200000000</v>
      </c>
      <c r="D53" s="846"/>
      <c r="E53" s="461" t="s">
        <v>1306</v>
      </c>
      <c r="F53" s="461">
        <f>(142840000)/1.27</f>
        <v>112472440.94488189</v>
      </c>
      <c r="G53" s="462" t="s">
        <v>180</v>
      </c>
      <c r="H53" s="458" t="s">
        <v>1307</v>
      </c>
      <c r="I53" s="458">
        <v>112472000</v>
      </c>
      <c r="J53" s="458"/>
      <c r="K53" s="536"/>
      <c r="L53" s="462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9"/>
    </row>
    <row r="54" spans="1:28" ht="30" x14ac:dyDescent="0.2">
      <c r="A54" s="844"/>
      <c r="B54" s="457" t="s">
        <v>1308</v>
      </c>
      <c r="C54" s="461">
        <f>7059514-5499017+11534096+3691229+1780464+35672243+5512620</f>
        <v>59751149</v>
      </c>
      <c r="D54" s="846"/>
      <c r="E54" s="461" t="s">
        <v>1309</v>
      </c>
      <c r="F54" s="461">
        <v>400000</v>
      </c>
      <c r="G54" s="462"/>
      <c r="H54" s="458"/>
      <c r="I54" s="458"/>
      <c r="J54" s="458"/>
      <c r="K54" s="536" t="s">
        <v>1310</v>
      </c>
      <c r="L54" s="462">
        <v>24543000</v>
      </c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9"/>
    </row>
    <row r="55" spans="1:28" ht="30" x14ac:dyDescent="0.2">
      <c r="A55" s="844"/>
      <c r="B55" s="443" t="s">
        <v>27</v>
      </c>
      <c r="C55" s="463">
        <f>SUM(C49:C54)</f>
        <v>2872131149</v>
      </c>
      <c r="D55" s="846"/>
      <c r="E55" s="461" t="s">
        <v>1311</v>
      </c>
      <c r="F55" s="461">
        <v>5000000</v>
      </c>
      <c r="G55" s="462"/>
      <c r="H55" s="458"/>
      <c r="I55" s="458"/>
      <c r="J55" s="458"/>
      <c r="K55" s="536" t="s">
        <v>1312</v>
      </c>
      <c r="L55" s="462">
        <v>2041000</v>
      </c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9"/>
    </row>
    <row r="56" spans="1:28" ht="15" x14ac:dyDescent="0.2">
      <c r="A56" s="537"/>
      <c r="B56" s="457" t="s">
        <v>1313</v>
      </c>
      <c r="C56" s="461"/>
      <c r="D56" s="536"/>
      <c r="E56" s="461" t="s">
        <v>1314</v>
      </c>
      <c r="F56" s="461">
        <v>8000000</v>
      </c>
      <c r="G56" s="462"/>
      <c r="H56" s="458"/>
      <c r="I56" s="458"/>
      <c r="J56" s="458"/>
      <c r="K56" s="536" t="s">
        <v>1315</v>
      </c>
      <c r="L56" s="462">
        <f>SUM(L54:L55)</f>
        <v>26584000</v>
      </c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9"/>
    </row>
    <row r="57" spans="1:28" ht="15" x14ac:dyDescent="0.2">
      <c r="A57" s="537"/>
      <c r="B57" s="457" t="s">
        <v>1316</v>
      </c>
      <c r="C57" s="461">
        <v>5000000</v>
      </c>
      <c r="D57" s="536"/>
      <c r="E57" s="461" t="s">
        <v>1317</v>
      </c>
      <c r="F57" s="461">
        <v>400000</v>
      </c>
      <c r="G57" s="462"/>
      <c r="H57" s="458"/>
      <c r="I57" s="458"/>
      <c r="J57" s="458"/>
      <c r="K57" s="536"/>
      <c r="L57" s="462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9"/>
    </row>
    <row r="58" spans="1:28" ht="15" x14ac:dyDescent="0.2">
      <c r="A58" s="537"/>
      <c r="B58" s="457" t="s">
        <v>1364</v>
      </c>
      <c r="C58" s="461">
        <f>114466235+23832558-107818226-21661567+375120</f>
        <v>9194120</v>
      </c>
      <c r="D58" s="536"/>
      <c r="E58" s="461"/>
      <c r="F58" s="461"/>
      <c r="G58" s="462"/>
      <c r="H58" s="458"/>
      <c r="I58" s="458"/>
      <c r="J58" s="458"/>
      <c r="K58" s="536"/>
      <c r="L58" s="462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9"/>
    </row>
    <row r="59" spans="1:28" ht="15" x14ac:dyDescent="0.2">
      <c r="A59" s="537"/>
      <c r="B59" s="457" t="s">
        <v>1318</v>
      </c>
      <c r="C59" s="461">
        <v>500000</v>
      </c>
      <c r="D59" s="536"/>
      <c r="E59" s="461" t="s">
        <v>27</v>
      </c>
      <c r="F59" s="461">
        <f>SUM(F49:F57)</f>
        <v>143472440.94488189</v>
      </c>
      <c r="G59" s="462"/>
      <c r="H59" s="458"/>
      <c r="I59" s="458"/>
      <c r="J59" s="458"/>
      <c r="K59" s="464" t="s">
        <v>753</v>
      </c>
      <c r="L59" s="465">
        <f>+L51+L56</f>
        <v>32134000</v>
      </c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9"/>
    </row>
    <row r="60" spans="1:28" ht="15" x14ac:dyDescent="0.2">
      <c r="A60" s="537"/>
      <c r="B60" s="457" t="s">
        <v>1365</v>
      </c>
      <c r="C60" s="461">
        <v>388831</v>
      </c>
      <c r="D60" s="536"/>
      <c r="E60" s="461"/>
      <c r="F60" s="461"/>
      <c r="G60" s="462"/>
      <c r="H60" s="458"/>
      <c r="I60" s="458"/>
      <c r="J60" s="458"/>
      <c r="K60" s="461"/>
      <c r="L60" s="461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9"/>
    </row>
    <row r="61" spans="1:28" ht="15" x14ac:dyDescent="0.2">
      <c r="A61" s="537"/>
      <c r="B61" s="457"/>
      <c r="C61" s="461"/>
      <c r="D61" s="536"/>
      <c r="E61" s="461"/>
      <c r="F61" s="461"/>
      <c r="G61" s="462"/>
      <c r="H61" s="458"/>
      <c r="I61" s="458"/>
      <c r="J61" s="458"/>
      <c r="K61" s="461"/>
      <c r="L61" s="461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9"/>
    </row>
    <row r="62" spans="1:28" ht="15" x14ac:dyDescent="0.2">
      <c r="A62" s="538"/>
      <c r="B62" s="443" t="s">
        <v>27</v>
      </c>
      <c r="C62" s="463">
        <f>SUM(C57:C60)</f>
        <v>15082951</v>
      </c>
      <c r="D62" s="536"/>
      <c r="E62" s="461"/>
      <c r="F62" s="461"/>
      <c r="G62" s="462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9"/>
    </row>
    <row r="63" spans="1:28" ht="30" x14ac:dyDescent="0.2">
      <c r="A63" s="537"/>
      <c r="B63" s="457" t="s">
        <v>1319</v>
      </c>
      <c r="C63" s="461"/>
      <c r="D63" s="536"/>
      <c r="E63" s="461" t="s">
        <v>1308</v>
      </c>
      <c r="F63" s="461">
        <v>107409000</v>
      </c>
      <c r="G63" s="462" t="s">
        <v>1320</v>
      </c>
      <c r="H63" s="458"/>
      <c r="I63" s="458"/>
      <c r="J63" s="458"/>
      <c r="K63" s="458"/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9"/>
    </row>
    <row r="64" spans="1:28" ht="15" x14ac:dyDescent="0.2">
      <c r="A64" s="537"/>
      <c r="B64" s="457" t="s">
        <v>1321</v>
      </c>
      <c r="C64" s="461">
        <v>11563836</v>
      </c>
      <c r="D64" s="536"/>
      <c r="E64" s="461"/>
      <c r="F64" s="461"/>
      <c r="G64" s="462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9"/>
    </row>
    <row r="65" spans="1:26" ht="15" x14ac:dyDescent="0.2">
      <c r="A65" s="537"/>
      <c r="B65" s="457" t="s">
        <v>1366</v>
      </c>
      <c r="C65" s="461">
        <f>571490-4297-12741-83801</f>
        <v>470651</v>
      </c>
      <c r="D65" s="536"/>
      <c r="E65" s="461"/>
      <c r="F65" s="461"/>
      <c r="G65" s="462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8"/>
      <c r="Z65" s="459"/>
    </row>
    <row r="66" spans="1:26" ht="15" x14ac:dyDescent="0.2">
      <c r="A66" s="537"/>
      <c r="B66" s="457" t="s">
        <v>1322</v>
      </c>
      <c r="C66" s="461">
        <v>0</v>
      </c>
      <c r="D66" s="536"/>
      <c r="E66" s="461"/>
      <c r="F66" s="461"/>
      <c r="G66" s="462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9"/>
    </row>
    <row r="67" spans="1:26" ht="15" x14ac:dyDescent="0.2">
      <c r="A67" s="537"/>
      <c r="B67" s="457" t="s">
        <v>1323</v>
      </c>
      <c r="C67" s="461">
        <v>1139076</v>
      </c>
      <c r="D67" s="536"/>
      <c r="E67" s="461"/>
      <c r="F67" s="461"/>
      <c r="G67" s="462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9"/>
    </row>
    <row r="68" spans="1:26" ht="15" x14ac:dyDescent="0.2">
      <c r="A68" s="537"/>
      <c r="B68" s="457" t="s">
        <v>1367</v>
      </c>
      <c r="C68" s="461">
        <v>384394</v>
      </c>
      <c r="D68" s="536"/>
      <c r="E68" s="461"/>
      <c r="F68" s="461"/>
      <c r="G68" s="462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9"/>
    </row>
    <row r="69" spans="1:26" ht="15" x14ac:dyDescent="0.2">
      <c r="A69" s="537"/>
      <c r="B69" s="457" t="s">
        <v>1304</v>
      </c>
      <c r="C69" s="461">
        <v>2100000</v>
      </c>
      <c r="D69" s="536"/>
      <c r="E69" s="461"/>
      <c r="F69" s="461"/>
      <c r="G69" s="462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9"/>
    </row>
    <row r="70" spans="1:26" ht="15" x14ac:dyDescent="0.2">
      <c r="A70" s="537"/>
      <c r="B70" s="457" t="s">
        <v>1368</v>
      </c>
      <c r="C70" s="461">
        <v>130000000</v>
      </c>
      <c r="D70" s="536"/>
      <c r="E70" s="461"/>
      <c r="F70" s="461"/>
      <c r="G70" s="462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9"/>
    </row>
    <row r="71" spans="1:26" ht="15" x14ac:dyDescent="0.2">
      <c r="A71" s="537"/>
      <c r="B71" s="457" t="s">
        <v>1324</v>
      </c>
      <c r="C71" s="461">
        <v>4000000</v>
      </c>
      <c r="D71" s="536"/>
      <c r="E71" s="461"/>
      <c r="F71" s="461"/>
      <c r="G71" s="462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9"/>
    </row>
    <row r="72" spans="1:26" ht="15" x14ac:dyDescent="0.2">
      <c r="A72" s="537"/>
      <c r="B72" s="457" t="s">
        <v>1325</v>
      </c>
      <c r="C72" s="461">
        <v>21000</v>
      </c>
      <c r="D72" s="536"/>
      <c r="E72" s="461"/>
      <c r="F72" s="461"/>
      <c r="G72" s="462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9"/>
    </row>
    <row r="73" spans="1:26" ht="15" x14ac:dyDescent="0.2">
      <c r="A73" s="537"/>
      <c r="B73" s="457" t="s">
        <v>1326</v>
      </c>
      <c r="C73" s="466">
        <v>440000</v>
      </c>
      <c r="D73" s="464"/>
      <c r="E73" s="467" t="s">
        <v>27</v>
      </c>
      <c r="F73" s="467">
        <f>+F59+F63</f>
        <v>250881440.94488189</v>
      </c>
      <c r="G73" s="465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  <c r="X73" s="458"/>
      <c r="Y73" s="458"/>
      <c r="Z73" s="459"/>
    </row>
    <row r="74" spans="1:26" ht="15" x14ac:dyDescent="0.2">
      <c r="A74" s="537"/>
      <c r="B74" s="457" t="s">
        <v>1369</v>
      </c>
      <c r="C74" s="466">
        <v>62325</v>
      </c>
      <c r="D74" s="461"/>
      <c r="E74" s="461"/>
      <c r="F74" s="461"/>
      <c r="G74" s="461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9"/>
    </row>
    <row r="75" spans="1:26" ht="15" x14ac:dyDescent="0.2">
      <c r="A75" s="537"/>
      <c r="B75" s="457" t="s">
        <v>1301</v>
      </c>
      <c r="C75" s="466">
        <v>1500000</v>
      </c>
      <c r="D75" s="461"/>
      <c r="E75" s="461"/>
      <c r="F75" s="461"/>
      <c r="G75" s="461"/>
      <c r="H75" s="458"/>
      <c r="I75" s="458"/>
      <c r="J75" s="458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9"/>
    </row>
    <row r="76" spans="1:26" ht="15" x14ac:dyDescent="0.2">
      <c r="A76" s="537"/>
      <c r="B76" s="457" t="s">
        <v>1370</v>
      </c>
      <c r="C76" s="466">
        <v>171000</v>
      </c>
      <c r="D76" s="461"/>
      <c r="E76" s="461"/>
      <c r="F76" s="461"/>
      <c r="G76" s="461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9"/>
    </row>
    <row r="77" spans="1:26" ht="15" x14ac:dyDescent="0.2">
      <c r="A77" s="468"/>
      <c r="B77" s="539" t="s">
        <v>1327</v>
      </c>
      <c r="C77" s="540">
        <v>0</v>
      </c>
      <c r="D77" s="458"/>
      <c r="E77" s="458"/>
      <c r="F77" s="458"/>
      <c r="G77" s="458"/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R77" s="458"/>
      <c r="S77" s="458"/>
      <c r="T77" s="458"/>
      <c r="U77" s="458"/>
      <c r="V77" s="458"/>
      <c r="W77" s="458"/>
      <c r="X77" s="458"/>
      <c r="Y77" s="458"/>
      <c r="Z77" s="459"/>
    </row>
    <row r="78" spans="1:26" ht="15" x14ac:dyDescent="0.2">
      <c r="A78" s="457"/>
      <c r="B78" s="457" t="s">
        <v>27</v>
      </c>
      <c r="C78" s="458">
        <f>SUM(C64:C77)</f>
        <v>151852282</v>
      </c>
      <c r="D78" s="458"/>
      <c r="E78" s="458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458"/>
      <c r="S78" s="458"/>
      <c r="T78" s="458"/>
      <c r="U78" s="458"/>
      <c r="V78" s="458"/>
      <c r="W78" s="458"/>
      <c r="X78" s="458"/>
      <c r="Y78" s="458"/>
      <c r="Z78" s="459"/>
    </row>
    <row r="79" spans="1:26" ht="15" x14ac:dyDescent="0.2">
      <c r="A79" s="457"/>
      <c r="B79" s="457"/>
      <c r="C79" s="458"/>
      <c r="D79" s="458"/>
      <c r="E79" s="458"/>
      <c r="F79" s="458"/>
      <c r="G79" s="458"/>
      <c r="H79" s="458"/>
      <c r="I79" s="458"/>
      <c r="J79" s="458"/>
      <c r="K79" s="458"/>
      <c r="L79" s="458"/>
      <c r="M79" s="458"/>
      <c r="N79" s="458"/>
      <c r="O79" s="458"/>
      <c r="P79" s="458"/>
      <c r="Q79" s="458"/>
      <c r="R79" s="458"/>
      <c r="S79" s="458"/>
      <c r="T79" s="458"/>
      <c r="U79" s="458"/>
      <c r="V79" s="458"/>
      <c r="W79" s="458"/>
      <c r="X79" s="458"/>
      <c r="Y79" s="458"/>
      <c r="Z79" s="459"/>
    </row>
    <row r="80" spans="1:26" ht="15" x14ac:dyDescent="0.2">
      <c r="A80" s="457"/>
      <c r="B80" s="457" t="s">
        <v>1328</v>
      </c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8"/>
      <c r="S80" s="458"/>
      <c r="T80" s="458"/>
      <c r="U80" s="458"/>
      <c r="V80" s="458"/>
      <c r="W80" s="458"/>
      <c r="X80" s="458"/>
      <c r="Y80" s="458"/>
      <c r="Z80" s="459"/>
    </row>
    <row r="81" spans="1:26" ht="15" x14ac:dyDescent="0.2">
      <c r="A81" s="443"/>
      <c r="B81" s="443" t="s">
        <v>1329</v>
      </c>
      <c r="C81" s="459">
        <v>0</v>
      </c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458"/>
      <c r="V81" s="458"/>
      <c r="W81" s="458"/>
      <c r="X81" s="458"/>
      <c r="Y81" s="458"/>
      <c r="Z81" s="459"/>
    </row>
    <row r="82" spans="1:26" ht="15" x14ac:dyDescent="0.2">
      <c r="A82" s="457"/>
      <c r="B82" s="457"/>
      <c r="C82" s="458"/>
      <c r="D82" s="458"/>
      <c r="E82" s="458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9"/>
    </row>
    <row r="83" spans="1:26" ht="15" x14ac:dyDescent="0.2">
      <c r="A83" s="457"/>
      <c r="B83" s="457" t="s">
        <v>1330</v>
      </c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  <c r="X83" s="458"/>
      <c r="Y83" s="458"/>
      <c r="Z83" s="459"/>
    </row>
    <row r="84" spans="1:26" ht="15" x14ac:dyDescent="0.2">
      <c r="A84" s="457"/>
      <c r="B84" s="457"/>
      <c r="C84" s="458"/>
      <c r="D84" s="458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458"/>
      <c r="Z84" s="459"/>
    </row>
    <row r="85" spans="1:26" ht="15" x14ac:dyDescent="0.2">
      <c r="A85" s="457"/>
      <c r="B85" s="457"/>
      <c r="C85" s="458"/>
      <c r="D85" s="458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458"/>
      <c r="V85" s="458"/>
      <c r="W85" s="458"/>
      <c r="X85" s="458"/>
      <c r="Y85" s="458"/>
      <c r="Z85" s="459"/>
    </row>
    <row r="86" spans="1:26" ht="15" x14ac:dyDescent="0.2">
      <c r="A86" s="457"/>
      <c r="B86" s="457"/>
      <c r="C86" s="458"/>
      <c r="D86" s="458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458"/>
      <c r="V86" s="458"/>
      <c r="W86" s="458"/>
      <c r="X86" s="458"/>
      <c r="Y86" s="458"/>
      <c r="Z86" s="459"/>
    </row>
    <row r="87" spans="1:26" ht="15" x14ac:dyDescent="0.2">
      <c r="A87" s="457"/>
      <c r="B87" s="457"/>
      <c r="C87" s="458"/>
      <c r="D87" s="458"/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458"/>
      <c r="V87" s="458"/>
      <c r="W87" s="458"/>
      <c r="X87" s="458"/>
      <c r="Y87" s="458"/>
      <c r="Z87" s="459"/>
    </row>
    <row r="88" spans="1:26" ht="15" x14ac:dyDescent="0.2">
      <c r="A88" s="457"/>
      <c r="B88" s="457"/>
      <c r="C88" s="458"/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  <c r="X88" s="458"/>
      <c r="Y88" s="458"/>
      <c r="Z88" s="459"/>
    </row>
    <row r="89" spans="1:26" ht="15" x14ac:dyDescent="0.2">
      <c r="A89" s="457"/>
      <c r="B89" s="457"/>
      <c r="C89" s="458"/>
      <c r="D89" s="458"/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458"/>
      <c r="V89" s="458"/>
      <c r="W89" s="458"/>
      <c r="X89" s="458"/>
      <c r="Y89" s="458"/>
      <c r="Z89" s="459"/>
    </row>
    <row r="90" spans="1:26" ht="15" x14ac:dyDescent="0.2">
      <c r="A90" s="457"/>
      <c r="B90" s="457"/>
      <c r="C90" s="458"/>
      <c r="D90" s="458"/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458"/>
      <c r="V90" s="458"/>
      <c r="W90" s="458"/>
      <c r="X90" s="458"/>
      <c r="Y90" s="458"/>
      <c r="Z90" s="459"/>
    </row>
    <row r="91" spans="1:26" ht="15" x14ac:dyDescent="0.2">
      <c r="A91" s="457"/>
      <c r="B91" s="457"/>
      <c r="C91" s="458"/>
      <c r="D91" s="458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458"/>
      <c r="V91" s="458"/>
      <c r="W91" s="458"/>
      <c r="X91" s="458"/>
      <c r="Y91" s="458"/>
      <c r="Z91" s="459"/>
    </row>
    <row r="92" spans="1:26" ht="15" x14ac:dyDescent="0.2">
      <c r="A92" s="457"/>
      <c r="B92" s="457"/>
      <c r="C92" s="458"/>
      <c r="D92" s="458"/>
      <c r="E92" s="458"/>
      <c r="F92" s="458"/>
      <c r="G92" s="458"/>
      <c r="H92" s="458"/>
      <c r="I92" s="458"/>
      <c r="J92" s="458"/>
      <c r="K92" s="458"/>
      <c r="L92" s="458"/>
      <c r="M92" s="458"/>
      <c r="N92" s="458"/>
      <c r="O92" s="458"/>
      <c r="P92" s="458"/>
      <c r="Q92" s="458"/>
      <c r="R92" s="458"/>
      <c r="S92" s="458"/>
      <c r="T92" s="458"/>
      <c r="U92" s="458"/>
      <c r="V92" s="458"/>
      <c r="W92" s="458"/>
      <c r="X92" s="458"/>
      <c r="Y92" s="458"/>
      <c r="Z92" s="459"/>
    </row>
    <row r="93" spans="1:26" ht="15" x14ac:dyDescent="0.2">
      <c r="A93" s="457"/>
      <c r="B93" s="457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8"/>
      <c r="R93" s="458"/>
      <c r="S93" s="458"/>
      <c r="T93" s="458"/>
      <c r="U93" s="458"/>
      <c r="V93" s="458"/>
      <c r="W93" s="458"/>
      <c r="X93" s="458"/>
      <c r="Y93" s="458"/>
      <c r="Z93" s="459"/>
    </row>
  </sheetData>
  <mergeCells count="4">
    <mergeCell ref="C1:M1"/>
    <mergeCell ref="N1:Y1"/>
    <mergeCell ref="A49:A55"/>
    <mergeCell ref="D49:D55"/>
  </mergeCells>
  <printOptions horizontalCentered="1" verticalCentered="1"/>
  <pageMargins left="0.19685039370078741" right="0.19685039370078741" top="0" bottom="0" header="0.31496062992125984" footer="0.31496062992125984"/>
  <pageSetup paperSize="9" scale="53" orientation="landscape" r:id="rId1"/>
  <headerFooter>
    <oddHeader>&amp;C2017. évi zárszámadás &amp;R&amp;A</oddHeader>
    <oddFooter xml:space="preserve">&amp;C&amp;P/&amp;N
</oddFooter>
  </headerFooter>
  <rowBreaks count="1" manualBreakCount="1">
    <brk id="47" max="16383" man="1"/>
  </rowBreaks>
  <colBreaks count="1" manualBreakCount="1">
    <brk id="13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0"/>
  <sheetViews>
    <sheetView view="pageLayout" zoomScaleNormal="100" zoomScaleSheetLayoutView="130" workbookViewId="0">
      <selection activeCell="J37" sqref="J37"/>
    </sheetView>
  </sheetViews>
  <sheetFormatPr defaultRowHeight="12.75" x14ac:dyDescent="0.2"/>
  <cols>
    <col min="1" max="1" width="4.28515625" style="652" customWidth="1"/>
    <col min="2" max="3" width="9.140625" style="652"/>
    <col min="4" max="4" width="14.42578125" style="652" customWidth="1"/>
    <col min="5" max="7" width="13.140625" style="652" customWidth="1"/>
    <col min="8" max="10" width="15.7109375" style="652" customWidth="1"/>
    <col min="11" max="11" width="13.140625" style="652" customWidth="1"/>
    <col min="12" max="12" width="13.7109375" style="652" customWidth="1"/>
    <col min="13" max="258" width="9.140625" style="652"/>
    <col min="259" max="259" width="4.28515625" style="652" customWidth="1"/>
    <col min="260" max="261" width="9.140625" style="652"/>
    <col min="262" max="262" width="14.42578125" style="652" customWidth="1"/>
    <col min="263" max="264" width="13.140625" style="652" customWidth="1"/>
    <col min="265" max="266" width="15.7109375" style="652" customWidth="1"/>
    <col min="267" max="267" width="13.140625" style="652" customWidth="1"/>
    <col min="268" max="268" width="13.7109375" style="652" customWidth="1"/>
    <col min="269" max="514" width="9.140625" style="652"/>
    <col min="515" max="515" width="4.28515625" style="652" customWidth="1"/>
    <col min="516" max="517" width="9.140625" style="652"/>
    <col min="518" max="518" width="14.42578125" style="652" customWidth="1"/>
    <col min="519" max="520" width="13.140625" style="652" customWidth="1"/>
    <col min="521" max="522" width="15.7109375" style="652" customWidth="1"/>
    <col min="523" max="523" width="13.140625" style="652" customWidth="1"/>
    <col min="524" max="524" width="13.7109375" style="652" customWidth="1"/>
    <col min="525" max="770" width="9.140625" style="652"/>
    <col min="771" max="771" width="4.28515625" style="652" customWidth="1"/>
    <col min="772" max="773" width="9.140625" style="652"/>
    <col min="774" max="774" width="14.42578125" style="652" customWidth="1"/>
    <col min="775" max="776" width="13.140625" style="652" customWidth="1"/>
    <col min="777" max="778" width="15.7109375" style="652" customWidth="1"/>
    <col min="779" max="779" width="13.140625" style="652" customWidth="1"/>
    <col min="780" max="780" width="13.7109375" style="652" customWidth="1"/>
    <col min="781" max="1026" width="9.140625" style="652"/>
    <col min="1027" max="1027" width="4.28515625" style="652" customWidth="1"/>
    <col min="1028" max="1029" width="9.140625" style="652"/>
    <col min="1030" max="1030" width="14.42578125" style="652" customWidth="1"/>
    <col min="1031" max="1032" width="13.140625" style="652" customWidth="1"/>
    <col min="1033" max="1034" width="15.7109375" style="652" customWidth="1"/>
    <col min="1035" max="1035" width="13.140625" style="652" customWidth="1"/>
    <col min="1036" max="1036" width="13.7109375" style="652" customWidth="1"/>
    <col min="1037" max="1282" width="9.140625" style="652"/>
    <col min="1283" max="1283" width="4.28515625" style="652" customWidth="1"/>
    <col min="1284" max="1285" width="9.140625" style="652"/>
    <col min="1286" max="1286" width="14.42578125" style="652" customWidth="1"/>
    <col min="1287" max="1288" width="13.140625" style="652" customWidth="1"/>
    <col min="1289" max="1290" width="15.7109375" style="652" customWidth="1"/>
    <col min="1291" max="1291" width="13.140625" style="652" customWidth="1"/>
    <col min="1292" max="1292" width="13.7109375" style="652" customWidth="1"/>
    <col min="1293" max="1538" width="9.140625" style="652"/>
    <col min="1539" max="1539" width="4.28515625" style="652" customWidth="1"/>
    <col min="1540" max="1541" width="9.140625" style="652"/>
    <col min="1542" max="1542" width="14.42578125" style="652" customWidth="1"/>
    <col min="1543" max="1544" width="13.140625" style="652" customWidth="1"/>
    <col min="1545" max="1546" width="15.7109375" style="652" customWidth="1"/>
    <col min="1547" max="1547" width="13.140625" style="652" customWidth="1"/>
    <col min="1548" max="1548" width="13.7109375" style="652" customWidth="1"/>
    <col min="1549" max="1794" width="9.140625" style="652"/>
    <col min="1795" max="1795" width="4.28515625" style="652" customWidth="1"/>
    <col min="1796" max="1797" width="9.140625" style="652"/>
    <col min="1798" max="1798" width="14.42578125" style="652" customWidth="1"/>
    <col min="1799" max="1800" width="13.140625" style="652" customWidth="1"/>
    <col min="1801" max="1802" width="15.7109375" style="652" customWidth="1"/>
    <col min="1803" max="1803" width="13.140625" style="652" customWidth="1"/>
    <col min="1804" max="1804" width="13.7109375" style="652" customWidth="1"/>
    <col min="1805" max="2050" width="9.140625" style="652"/>
    <col min="2051" max="2051" width="4.28515625" style="652" customWidth="1"/>
    <col min="2052" max="2053" width="9.140625" style="652"/>
    <col min="2054" max="2054" width="14.42578125" style="652" customWidth="1"/>
    <col min="2055" max="2056" width="13.140625" style="652" customWidth="1"/>
    <col min="2057" max="2058" width="15.7109375" style="652" customWidth="1"/>
    <col min="2059" max="2059" width="13.140625" style="652" customWidth="1"/>
    <col min="2060" max="2060" width="13.7109375" style="652" customWidth="1"/>
    <col min="2061" max="2306" width="9.140625" style="652"/>
    <col min="2307" max="2307" width="4.28515625" style="652" customWidth="1"/>
    <col min="2308" max="2309" width="9.140625" style="652"/>
    <col min="2310" max="2310" width="14.42578125" style="652" customWidth="1"/>
    <col min="2311" max="2312" width="13.140625" style="652" customWidth="1"/>
    <col min="2313" max="2314" width="15.7109375" style="652" customWidth="1"/>
    <col min="2315" max="2315" width="13.140625" style="652" customWidth="1"/>
    <col min="2316" max="2316" width="13.7109375" style="652" customWidth="1"/>
    <col min="2317" max="2562" width="9.140625" style="652"/>
    <col min="2563" max="2563" width="4.28515625" style="652" customWidth="1"/>
    <col min="2564" max="2565" width="9.140625" style="652"/>
    <col min="2566" max="2566" width="14.42578125" style="652" customWidth="1"/>
    <col min="2567" max="2568" width="13.140625" style="652" customWidth="1"/>
    <col min="2569" max="2570" width="15.7109375" style="652" customWidth="1"/>
    <col min="2571" max="2571" width="13.140625" style="652" customWidth="1"/>
    <col min="2572" max="2572" width="13.7109375" style="652" customWidth="1"/>
    <col min="2573" max="2818" width="9.140625" style="652"/>
    <col min="2819" max="2819" width="4.28515625" style="652" customWidth="1"/>
    <col min="2820" max="2821" width="9.140625" style="652"/>
    <col min="2822" max="2822" width="14.42578125" style="652" customWidth="1"/>
    <col min="2823" max="2824" width="13.140625" style="652" customWidth="1"/>
    <col min="2825" max="2826" width="15.7109375" style="652" customWidth="1"/>
    <col min="2827" max="2827" width="13.140625" style="652" customWidth="1"/>
    <col min="2828" max="2828" width="13.7109375" style="652" customWidth="1"/>
    <col min="2829" max="3074" width="9.140625" style="652"/>
    <col min="3075" max="3075" width="4.28515625" style="652" customWidth="1"/>
    <col min="3076" max="3077" width="9.140625" style="652"/>
    <col min="3078" max="3078" width="14.42578125" style="652" customWidth="1"/>
    <col min="3079" max="3080" width="13.140625" style="652" customWidth="1"/>
    <col min="3081" max="3082" width="15.7109375" style="652" customWidth="1"/>
    <col min="3083" max="3083" width="13.140625" style="652" customWidth="1"/>
    <col min="3084" max="3084" width="13.7109375" style="652" customWidth="1"/>
    <col min="3085" max="3330" width="9.140625" style="652"/>
    <col min="3331" max="3331" width="4.28515625" style="652" customWidth="1"/>
    <col min="3332" max="3333" width="9.140625" style="652"/>
    <col min="3334" max="3334" width="14.42578125" style="652" customWidth="1"/>
    <col min="3335" max="3336" width="13.140625" style="652" customWidth="1"/>
    <col min="3337" max="3338" width="15.7109375" style="652" customWidth="1"/>
    <col min="3339" max="3339" width="13.140625" style="652" customWidth="1"/>
    <col min="3340" max="3340" width="13.7109375" style="652" customWidth="1"/>
    <col min="3341" max="3586" width="9.140625" style="652"/>
    <col min="3587" max="3587" width="4.28515625" style="652" customWidth="1"/>
    <col min="3588" max="3589" width="9.140625" style="652"/>
    <col min="3590" max="3590" width="14.42578125" style="652" customWidth="1"/>
    <col min="3591" max="3592" width="13.140625" style="652" customWidth="1"/>
    <col min="3593" max="3594" width="15.7109375" style="652" customWidth="1"/>
    <col min="3595" max="3595" width="13.140625" style="652" customWidth="1"/>
    <col min="3596" max="3596" width="13.7109375" style="652" customWidth="1"/>
    <col min="3597" max="3842" width="9.140625" style="652"/>
    <col min="3843" max="3843" width="4.28515625" style="652" customWidth="1"/>
    <col min="3844" max="3845" width="9.140625" style="652"/>
    <col min="3846" max="3846" width="14.42578125" style="652" customWidth="1"/>
    <col min="3847" max="3848" width="13.140625" style="652" customWidth="1"/>
    <col min="3849" max="3850" width="15.7109375" style="652" customWidth="1"/>
    <col min="3851" max="3851" width="13.140625" style="652" customWidth="1"/>
    <col min="3852" max="3852" width="13.7109375" style="652" customWidth="1"/>
    <col min="3853" max="4098" width="9.140625" style="652"/>
    <col min="4099" max="4099" width="4.28515625" style="652" customWidth="1"/>
    <col min="4100" max="4101" width="9.140625" style="652"/>
    <col min="4102" max="4102" width="14.42578125" style="652" customWidth="1"/>
    <col min="4103" max="4104" width="13.140625" style="652" customWidth="1"/>
    <col min="4105" max="4106" width="15.7109375" style="652" customWidth="1"/>
    <col min="4107" max="4107" width="13.140625" style="652" customWidth="1"/>
    <col min="4108" max="4108" width="13.7109375" style="652" customWidth="1"/>
    <col min="4109" max="4354" width="9.140625" style="652"/>
    <col min="4355" max="4355" width="4.28515625" style="652" customWidth="1"/>
    <col min="4356" max="4357" width="9.140625" style="652"/>
    <col min="4358" max="4358" width="14.42578125" style="652" customWidth="1"/>
    <col min="4359" max="4360" width="13.140625" style="652" customWidth="1"/>
    <col min="4361" max="4362" width="15.7109375" style="652" customWidth="1"/>
    <col min="4363" max="4363" width="13.140625" style="652" customWidth="1"/>
    <col min="4364" max="4364" width="13.7109375" style="652" customWidth="1"/>
    <col min="4365" max="4610" width="9.140625" style="652"/>
    <col min="4611" max="4611" width="4.28515625" style="652" customWidth="1"/>
    <col min="4612" max="4613" width="9.140625" style="652"/>
    <col min="4614" max="4614" width="14.42578125" style="652" customWidth="1"/>
    <col min="4615" max="4616" width="13.140625" style="652" customWidth="1"/>
    <col min="4617" max="4618" width="15.7109375" style="652" customWidth="1"/>
    <col min="4619" max="4619" width="13.140625" style="652" customWidth="1"/>
    <col min="4620" max="4620" width="13.7109375" style="652" customWidth="1"/>
    <col min="4621" max="4866" width="9.140625" style="652"/>
    <col min="4867" max="4867" width="4.28515625" style="652" customWidth="1"/>
    <col min="4868" max="4869" width="9.140625" style="652"/>
    <col min="4870" max="4870" width="14.42578125" style="652" customWidth="1"/>
    <col min="4871" max="4872" width="13.140625" style="652" customWidth="1"/>
    <col min="4873" max="4874" width="15.7109375" style="652" customWidth="1"/>
    <col min="4875" max="4875" width="13.140625" style="652" customWidth="1"/>
    <col min="4876" max="4876" width="13.7109375" style="652" customWidth="1"/>
    <col min="4877" max="5122" width="9.140625" style="652"/>
    <col min="5123" max="5123" width="4.28515625" style="652" customWidth="1"/>
    <col min="5124" max="5125" width="9.140625" style="652"/>
    <col min="5126" max="5126" width="14.42578125" style="652" customWidth="1"/>
    <col min="5127" max="5128" width="13.140625" style="652" customWidth="1"/>
    <col min="5129" max="5130" width="15.7109375" style="652" customWidth="1"/>
    <col min="5131" max="5131" width="13.140625" style="652" customWidth="1"/>
    <col min="5132" max="5132" width="13.7109375" style="652" customWidth="1"/>
    <col min="5133" max="5378" width="9.140625" style="652"/>
    <col min="5379" max="5379" width="4.28515625" style="652" customWidth="1"/>
    <col min="5380" max="5381" width="9.140625" style="652"/>
    <col min="5382" max="5382" width="14.42578125" style="652" customWidth="1"/>
    <col min="5383" max="5384" width="13.140625" style="652" customWidth="1"/>
    <col min="5385" max="5386" width="15.7109375" style="652" customWidth="1"/>
    <col min="5387" max="5387" width="13.140625" style="652" customWidth="1"/>
    <col min="5388" max="5388" width="13.7109375" style="652" customWidth="1"/>
    <col min="5389" max="5634" width="9.140625" style="652"/>
    <col min="5635" max="5635" width="4.28515625" style="652" customWidth="1"/>
    <col min="5636" max="5637" width="9.140625" style="652"/>
    <col min="5638" max="5638" width="14.42578125" style="652" customWidth="1"/>
    <col min="5639" max="5640" width="13.140625" style="652" customWidth="1"/>
    <col min="5641" max="5642" width="15.7109375" style="652" customWidth="1"/>
    <col min="5643" max="5643" width="13.140625" style="652" customWidth="1"/>
    <col min="5644" max="5644" width="13.7109375" style="652" customWidth="1"/>
    <col min="5645" max="5890" width="9.140625" style="652"/>
    <col min="5891" max="5891" width="4.28515625" style="652" customWidth="1"/>
    <col min="5892" max="5893" width="9.140625" style="652"/>
    <col min="5894" max="5894" width="14.42578125" style="652" customWidth="1"/>
    <col min="5895" max="5896" width="13.140625" style="652" customWidth="1"/>
    <col min="5897" max="5898" width="15.7109375" style="652" customWidth="1"/>
    <col min="5899" max="5899" width="13.140625" style="652" customWidth="1"/>
    <col min="5900" max="5900" width="13.7109375" style="652" customWidth="1"/>
    <col min="5901" max="6146" width="9.140625" style="652"/>
    <col min="6147" max="6147" width="4.28515625" style="652" customWidth="1"/>
    <col min="6148" max="6149" width="9.140625" style="652"/>
    <col min="6150" max="6150" width="14.42578125" style="652" customWidth="1"/>
    <col min="6151" max="6152" width="13.140625" style="652" customWidth="1"/>
    <col min="6153" max="6154" width="15.7109375" style="652" customWidth="1"/>
    <col min="6155" max="6155" width="13.140625" style="652" customWidth="1"/>
    <col min="6156" max="6156" width="13.7109375" style="652" customWidth="1"/>
    <col min="6157" max="6402" width="9.140625" style="652"/>
    <col min="6403" max="6403" width="4.28515625" style="652" customWidth="1"/>
    <col min="6404" max="6405" width="9.140625" style="652"/>
    <col min="6406" max="6406" width="14.42578125" style="652" customWidth="1"/>
    <col min="6407" max="6408" width="13.140625" style="652" customWidth="1"/>
    <col min="6409" max="6410" width="15.7109375" style="652" customWidth="1"/>
    <col min="6411" max="6411" width="13.140625" style="652" customWidth="1"/>
    <col min="6412" max="6412" width="13.7109375" style="652" customWidth="1"/>
    <col min="6413" max="6658" width="9.140625" style="652"/>
    <col min="6659" max="6659" width="4.28515625" style="652" customWidth="1"/>
    <col min="6660" max="6661" width="9.140625" style="652"/>
    <col min="6662" max="6662" width="14.42578125" style="652" customWidth="1"/>
    <col min="6663" max="6664" width="13.140625" style="652" customWidth="1"/>
    <col min="6665" max="6666" width="15.7109375" style="652" customWidth="1"/>
    <col min="6667" max="6667" width="13.140625" style="652" customWidth="1"/>
    <col min="6668" max="6668" width="13.7109375" style="652" customWidth="1"/>
    <col min="6669" max="6914" width="9.140625" style="652"/>
    <col min="6915" max="6915" width="4.28515625" style="652" customWidth="1"/>
    <col min="6916" max="6917" width="9.140625" style="652"/>
    <col min="6918" max="6918" width="14.42578125" style="652" customWidth="1"/>
    <col min="6919" max="6920" width="13.140625" style="652" customWidth="1"/>
    <col min="6921" max="6922" width="15.7109375" style="652" customWidth="1"/>
    <col min="6923" max="6923" width="13.140625" style="652" customWidth="1"/>
    <col min="6924" max="6924" width="13.7109375" style="652" customWidth="1"/>
    <col min="6925" max="7170" width="9.140625" style="652"/>
    <col min="7171" max="7171" width="4.28515625" style="652" customWidth="1"/>
    <col min="7172" max="7173" width="9.140625" style="652"/>
    <col min="7174" max="7174" width="14.42578125" style="652" customWidth="1"/>
    <col min="7175" max="7176" width="13.140625" style="652" customWidth="1"/>
    <col min="7177" max="7178" width="15.7109375" style="652" customWidth="1"/>
    <col min="7179" max="7179" width="13.140625" style="652" customWidth="1"/>
    <col min="7180" max="7180" width="13.7109375" style="652" customWidth="1"/>
    <col min="7181" max="7426" width="9.140625" style="652"/>
    <col min="7427" max="7427" width="4.28515625" style="652" customWidth="1"/>
    <col min="7428" max="7429" width="9.140625" style="652"/>
    <col min="7430" max="7430" width="14.42578125" style="652" customWidth="1"/>
    <col min="7431" max="7432" width="13.140625" style="652" customWidth="1"/>
    <col min="7433" max="7434" width="15.7109375" style="652" customWidth="1"/>
    <col min="7435" max="7435" width="13.140625" style="652" customWidth="1"/>
    <col min="7436" max="7436" width="13.7109375" style="652" customWidth="1"/>
    <col min="7437" max="7682" width="9.140625" style="652"/>
    <col min="7683" max="7683" width="4.28515625" style="652" customWidth="1"/>
    <col min="7684" max="7685" width="9.140625" style="652"/>
    <col min="7686" max="7686" width="14.42578125" style="652" customWidth="1"/>
    <col min="7687" max="7688" width="13.140625" style="652" customWidth="1"/>
    <col min="7689" max="7690" width="15.7109375" style="652" customWidth="1"/>
    <col min="7691" max="7691" width="13.140625" style="652" customWidth="1"/>
    <col min="7692" max="7692" width="13.7109375" style="652" customWidth="1"/>
    <col min="7693" max="7938" width="9.140625" style="652"/>
    <col min="7939" max="7939" width="4.28515625" style="652" customWidth="1"/>
    <col min="7940" max="7941" width="9.140625" style="652"/>
    <col min="7942" max="7942" width="14.42578125" style="652" customWidth="1"/>
    <col min="7943" max="7944" width="13.140625" style="652" customWidth="1"/>
    <col min="7945" max="7946" width="15.7109375" style="652" customWidth="1"/>
    <col min="7947" max="7947" width="13.140625" style="652" customWidth="1"/>
    <col min="7948" max="7948" width="13.7109375" style="652" customWidth="1"/>
    <col min="7949" max="8194" width="9.140625" style="652"/>
    <col min="8195" max="8195" width="4.28515625" style="652" customWidth="1"/>
    <col min="8196" max="8197" width="9.140625" style="652"/>
    <col min="8198" max="8198" width="14.42578125" style="652" customWidth="1"/>
    <col min="8199" max="8200" width="13.140625" style="652" customWidth="1"/>
    <col min="8201" max="8202" width="15.7109375" style="652" customWidth="1"/>
    <col min="8203" max="8203" width="13.140625" style="652" customWidth="1"/>
    <col min="8204" max="8204" width="13.7109375" style="652" customWidth="1"/>
    <col min="8205" max="8450" width="9.140625" style="652"/>
    <col min="8451" max="8451" width="4.28515625" style="652" customWidth="1"/>
    <col min="8452" max="8453" width="9.140625" style="652"/>
    <col min="8454" max="8454" width="14.42578125" style="652" customWidth="1"/>
    <col min="8455" max="8456" width="13.140625" style="652" customWidth="1"/>
    <col min="8457" max="8458" width="15.7109375" style="652" customWidth="1"/>
    <col min="8459" max="8459" width="13.140625" style="652" customWidth="1"/>
    <col min="8460" max="8460" width="13.7109375" style="652" customWidth="1"/>
    <col min="8461" max="8706" width="9.140625" style="652"/>
    <col min="8707" max="8707" width="4.28515625" style="652" customWidth="1"/>
    <col min="8708" max="8709" width="9.140625" style="652"/>
    <col min="8710" max="8710" width="14.42578125" style="652" customWidth="1"/>
    <col min="8711" max="8712" width="13.140625" style="652" customWidth="1"/>
    <col min="8713" max="8714" width="15.7109375" style="652" customWidth="1"/>
    <col min="8715" max="8715" width="13.140625" style="652" customWidth="1"/>
    <col min="8716" max="8716" width="13.7109375" style="652" customWidth="1"/>
    <col min="8717" max="8962" width="9.140625" style="652"/>
    <col min="8963" max="8963" width="4.28515625" style="652" customWidth="1"/>
    <col min="8964" max="8965" width="9.140625" style="652"/>
    <col min="8966" max="8966" width="14.42578125" style="652" customWidth="1"/>
    <col min="8967" max="8968" width="13.140625" style="652" customWidth="1"/>
    <col min="8969" max="8970" width="15.7109375" style="652" customWidth="1"/>
    <col min="8971" max="8971" width="13.140625" style="652" customWidth="1"/>
    <col min="8972" max="8972" width="13.7109375" style="652" customWidth="1"/>
    <col min="8973" max="9218" width="9.140625" style="652"/>
    <col min="9219" max="9219" width="4.28515625" style="652" customWidth="1"/>
    <col min="9220" max="9221" width="9.140625" style="652"/>
    <col min="9222" max="9222" width="14.42578125" style="652" customWidth="1"/>
    <col min="9223" max="9224" width="13.140625" style="652" customWidth="1"/>
    <col min="9225" max="9226" width="15.7109375" style="652" customWidth="1"/>
    <col min="9227" max="9227" width="13.140625" style="652" customWidth="1"/>
    <col min="9228" max="9228" width="13.7109375" style="652" customWidth="1"/>
    <col min="9229" max="9474" width="9.140625" style="652"/>
    <col min="9475" max="9475" width="4.28515625" style="652" customWidth="1"/>
    <col min="9476" max="9477" width="9.140625" style="652"/>
    <col min="9478" max="9478" width="14.42578125" style="652" customWidth="1"/>
    <col min="9479" max="9480" width="13.140625" style="652" customWidth="1"/>
    <col min="9481" max="9482" width="15.7109375" style="652" customWidth="1"/>
    <col min="9483" max="9483" width="13.140625" style="652" customWidth="1"/>
    <col min="9484" max="9484" width="13.7109375" style="652" customWidth="1"/>
    <col min="9485" max="9730" width="9.140625" style="652"/>
    <col min="9731" max="9731" width="4.28515625" style="652" customWidth="1"/>
    <col min="9732" max="9733" width="9.140625" style="652"/>
    <col min="9734" max="9734" width="14.42578125" style="652" customWidth="1"/>
    <col min="9735" max="9736" width="13.140625" style="652" customWidth="1"/>
    <col min="9737" max="9738" width="15.7109375" style="652" customWidth="1"/>
    <col min="9739" max="9739" width="13.140625" style="652" customWidth="1"/>
    <col min="9740" max="9740" width="13.7109375" style="652" customWidth="1"/>
    <col min="9741" max="9986" width="9.140625" style="652"/>
    <col min="9987" max="9987" width="4.28515625" style="652" customWidth="1"/>
    <col min="9988" max="9989" width="9.140625" style="652"/>
    <col min="9990" max="9990" width="14.42578125" style="652" customWidth="1"/>
    <col min="9991" max="9992" width="13.140625" style="652" customWidth="1"/>
    <col min="9993" max="9994" width="15.7109375" style="652" customWidth="1"/>
    <col min="9995" max="9995" width="13.140625" style="652" customWidth="1"/>
    <col min="9996" max="9996" width="13.7109375" style="652" customWidth="1"/>
    <col min="9997" max="10242" width="9.140625" style="652"/>
    <col min="10243" max="10243" width="4.28515625" style="652" customWidth="1"/>
    <col min="10244" max="10245" width="9.140625" style="652"/>
    <col min="10246" max="10246" width="14.42578125" style="652" customWidth="1"/>
    <col min="10247" max="10248" width="13.140625" style="652" customWidth="1"/>
    <col min="10249" max="10250" width="15.7109375" style="652" customWidth="1"/>
    <col min="10251" max="10251" width="13.140625" style="652" customWidth="1"/>
    <col min="10252" max="10252" width="13.7109375" style="652" customWidth="1"/>
    <col min="10253" max="10498" width="9.140625" style="652"/>
    <col min="10499" max="10499" width="4.28515625" style="652" customWidth="1"/>
    <col min="10500" max="10501" width="9.140625" style="652"/>
    <col min="10502" max="10502" width="14.42578125" style="652" customWidth="1"/>
    <col min="10503" max="10504" width="13.140625" style="652" customWidth="1"/>
    <col min="10505" max="10506" width="15.7109375" style="652" customWidth="1"/>
    <col min="10507" max="10507" width="13.140625" style="652" customWidth="1"/>
    <col min="10508" max="10508" width="13.7109375" style="652" customWidth="1"/>
    <col min="10509" max="10754" width="9.140625" style="652"/>
    <col min="10755" max="10755" width="4.28515625" style="652" customWidth="1"/>
    <col min="10756" max="10757" width="9.140625" style="652"/>
    <col min="10758" max="10758" width="14.42578125" style="652" customWidth="1"/>
    <col min="10759" max="10760" width="13.140625" style="652" customWidth="1"/>
    <col min="10761" max="10762" width="15.7109375" style="652" customWidth="1"/>
    <col min="10763" max="10763" width="13.140625" style="652" customWidth="1"/>
    <col min="10764" max="10764" width="13.7109375" style="652" customWidth="1"/>
    <col min="10765" max="11010" width="9.140625" style="652"/>
    <col min="11011" max="11011" width="4.28515625" style="652" customWidth="1"/>
    <col min="11012" max="11013" width="9.140625" style="652"/>
    <col min="11014" max="11014" width="14.42578125" style="652" customWidth="1"/>
    <col min="11015" max="11016" width="13.140625" style="652" customWidth="1"/>
    <col min="11017" max="11018" width="15.7109375" style="652" customWidth="1"/>
    <col min="11019" max="11019" width="13.140625" style="652" customWidth="1"/>
    <col min="11020" max="11020" width="13.7109375" style="652" customWidth="1"/>
    <col min="11021" max="11266" width="9.140625" style="652"/>
    <col min="11267" max="11267" width="4.28515625" style="652" customWidth="1"/>
    <col min="11268" max="11269" width="9.140625" style="652"/>
    <col min="11270" max="11270" width="14.42578125" style="652" customWidth="1"/>
    <col min="11271" max="11272" width="13.140625" style="652" customWidth="1"/>
    <col min="11273" max="11274" width="15.7109375" style="652" customWidth="1"/>
    <col min="11275" max="11275" width="13.140625" style="652" customWidth="1"/>
    <col min="11276" max="11276" width="13.7109375" style="652" customWidth="1"/>
    <col min="11277" max="11522" width="9.140625" style="652"/>
    <col min="11523" max="11523" width="4.28515625" style="652" customWidth="1"/>
    <col min="11524" max="11525" width="9.140625" style="652"/>
    <col min="11526" max="11526" width="14.42578125" style="652" customWidth="1"/>
    <col min="11527" max="11528" width="13.140625" style="652" customWidth="1"/>
    <col min="11529" max="11530" width="15.7109375" style="652" customWidth="1"/>
    <col min="11531" max="11531" width="13.140625" style="652" customWidth="1"/>
    <col min="11532" max="11532" width="13.7109375" style="652" customWidth="1"/>
    <col min="11533" max="11778" width="9.140625" style="652"/>
    <col min="11779" max="11779" width="4.28515625" style="652" customWidth="1"/>
    <col min="11780" max="11781" width="9.140625" style="652"/>
    <col min="11782" max="11782" width="14.42578125" style="652" customWidth="1"/>
    <col min="11783" max="11784" width="13.140625" style="652" customWidth="1"/>
    <col min="11785" max="11786" width="15.7109375" style="652" customWidth="1"/>
    <col min="11787" max="11787" width="13.140625" style="652" customWidth="1"/>
    <col min="11788" max="11788" width="13.7109375" style="652" customWidth="1"/>
    <col min="11789" max="12034" width="9.140625" style="652"/>
    <col min="12035" max="12035" width="4.28515625" style="652" customWidth="1"/>
    <col min="12036" max="12037" width="9.140625" style="652"/>
    <col min="12038" max="12038" width="14.42578125" style="652" customWidth="1"/>
    <col min="12039" max="12040" width="13.140625" style="652" customWidth="1"/>
    <col min="12041" max="12042" width="15.7109375" style="652" customWidth="1"/>
    <col min="12043" max="12043" width="13.140625" style="652" customWidth="1"/>
    <col min="12044" max="12044" width="13.7109375" style="652" customWidth="1"/>
    <col min="12045" max="12290" width="9.140625" style="652"/>
    <col min="12291" max="12291" width="4.28515625" style="652" customWidth="1"/>
    <col min="12292" max="12293" width="9.140625" style="652"/>
    <col min="12294" max="12294" width="14.42578125" style="652" customWidth="1"/>
    <col min="12295" max="12296" width="13.140625" style="652" customWidth="1"/>
    <col min="12297" max="12298" width="15.7109375" style="652" customWidth="1"/>
    <col min="12299" max="12299" width="13.140625" style="652" customWidth="1"/>
    <col min="12300" max="12300" width="13.7109375" style="652" customWidth="1"/>
    <col min="12301" max="12546" width="9.140625" style="652"/>
    <col min="12547" max="12547" width="4.28515625" style="652" customWidth="1"/>
    <col min="12548" max="12549" width="9.140625" style="652"/>
    <col min="12550" max="12550" width="14.42578125" style="652" customWidth="1"/>
    <col min="12551" max="12552" width="13.140625" style="652" customWidth="1"/>
    <col min="12553" max="12554" width="15.7109375" style="652" customWidth="1"/>
    <col min="12555" max="12555" width="13.140625" style="652" customWidth="1"/>
    <col min="12556" max="12556" width="13.7109375" style="652" customWidth="1"/>
    <col min="12557" max="12802" width="9.140625" style="652"/>
    <col min="12803" max="12803" width="4.28515625" style="652" customWidth="1"/>
    <col min="12804" max="12805" width="9.140625" style="652"/>
    <col min="12806" max="12806" width="14.42578125" style="652" customWidth="1"/>
    <col min="12807" max="12808" width="13.140625" style="652" customWidth="1"/>
    <col min="12809" max="12810" width="15.7109375" style="652" customWidth="1"/>
    <col min="12811" max="12811" width="13.140625" style="652" customWidth="1"/>
    <col min="12812" max="12812" width="13.7109375" style="652" customWidth="1"/>
    <col min="12813" max="13058" width="9.140625" style="652"/>
    <col min="13059" max="13059" width="4.28515625" style="652" customWidth="1"/>
    <col min="13060" max="13061" width="9.140625" style="652"/>
    <col min="13062" max="13062" width="14.42578125" style="652" customWidth="1"/>
    <col min="13063" max="13064" width="13.140625" style="652" customWidth="1"/>
    <col min="13065" max="13066" width="15.7109375" style="652" customWidth="1"/>
    <col min="13067" max="13067" width="13.140625" style="652" customWidth="1"/>
    <col min="13068" max="13068" width="13.7109375" style="652" customWidth="1"/>
    <col min="13069" max="13314" width="9.140625" style="652"/>
    <col min="13315" max="13315" width="4.28515625" style="652" customWidth="1"/>
    <col min="13316" max="13317" width="9.140625" style="652"/>
    <col min="13318" max="13318" width="14.42578125" style="652" customWidth="1"/>
    <col min="13319" max="13320" width="13.140625" style="652" customWidth="1"/>
    <col min="13321" max="13322" width="15.7109375" style="652" customWidth="1"/>
    <col min="13323" max="13323" width="13.140625" style="652" customWidth="1"/>
    <col min="13324" max="13324" width="13.7109375" style="652" customWidth="1"/>
    <col min="13325" max="13570" width="9.140625" style="652"/>
    <col min="13571" max="13571" width="4.28515625" style="652" customWidth="1"/>
    <col min="13572" max="13573" width="9.140625" style="652"/>
    <col min="13574" max="13574" width="14.42578125" style="652" customWidth="1"/>
    <col min="13575" max="13576" width="13.140625" style="652" customWidth="1"/>
    <col min="13577" max="13578" width="15.7109375" style="652" customWidth="1"/>
    <col min="13579" max="13579" width="13.140625" style="652" customWidth="1"/>
    <col min="13580" max="13580" width="13.7109375" style="652" customWidth="1"/>
    <col min="13581" max="13826" width="9.140625" style="652"/>
    <col min="13827" max="13827" width="4.28515625" style="652" customWidth="1"/>
    <col min="13828" max="13829" width="9.140625" style="652"/>
    <col min="13830" max="13830" width="14.42578125" style="652" customWidth="1"/>
    <col min="13831" max="13832" width="13.140625" style="652" customWidth="1"/>
    <col min="13833" max="13834" width="15.7109375" style="652" customWidth="1"/>
    <col min="13835" max="13835" width="13.140625" style="652" customWidth="1"/>
    <col min="13836" max="13836" width="13.7109375" style="652" customWidth="1"/>
    <col min="13837" max="14082" width="9.140625" style="652"/>
    <col min="14083" max="14083" width="4.28515625" style="652" customWidth="1"/>
    <col min="14084" max="14085" width="9.140625" style="652"/>
    <col min="14086" max="14086" width="14.42578125" style="652" customWidth="1"/>
    <col min="14087" max="14088" width="13.140625" style="652" customWidth="1"/>
    <col min="14089" max="14090" width="15.7109375" style="652" customWidth="1"/>
    <col min="14091" max="14091" width="13.140625" style="652" customWidth="1"/>
    <col min="14092" max="14092" width="13.7109375" style="652" customWidth="1"/>
    <col min="14093" max="14338" width="9.140625" style="652"/>
    <col min="14339" max="14339" width="4.28515625" style="652" customWidth="1"/>
    <col min="14340" max="14341" width="9.140625" style="652"/>
    <col min="14342" max="14342" width="14.42578125" style="652" customWidth="1"/>
    <col min="14343" max="14344" width="13.140625" style="652" customWidth="1"/>
    <col min="14345" max="14346" width="15.7109375" style="652" customWidth="1"/>
    <col min="14347" max="14347" width="13.140625" style="652" customWidth="1"/>
    <col min="14348" max="14348" width="13.7109375" style="652" customWidth="1"/>
    <col min="14349" max="14594" width="9.140625" style="652"/>
    <col min="14595" max="14595" width="4.28515625" style="652" customWidth="1"/>
    <col min="14596" max="14597" width="9.140625" style="652"/>
    <col min="14598" max="14598" width="14.42578125" style="652" customWidth="1"/>
    <col min="14599" max="14600" width="13.140625" style="652" customWidth="1"/>
    <col min="14601" max="14602" width="15.7109375" style="652" customWidth="1"/>
    <col min="14603" max="14603" width="13.140625" style="652" customWidth="1"/>
    <col min="14604" max="14604" width="13.7109375" style="652" customWidth="1"/>
    <col min="14605" max="14850" width="9.140625" style="652"/>
    <col min="14851" max="14851" width="4.28515625" style="652" customWidth="1"/>
    <col min="14852" max="14853" width="9.140625" style="652"/>
    <col min="14854" max="14854" width="14.42578125" style="652" customWidth="1"/>
    <col min="14855" max="14856" width="13.140625" style="652" customWidth="1"/>
    <col min="14857" max="14858" width="15.7109375" style="652" customWidth="1"/>
    <col min="14859" max="14859" width="13.140625" style="652" customWidth="1"/>
    <col min="14860" max="14860" width="13.7109375" style="652" customWidth="1"/>
    <col min="14861" max="15106" width="9.140625" style="652"/>
    <col min="15107" max="15107" width="4.28515625" style="652" customWidth="1"/>
    <col min="15108" max="15109" width="9.140625" style="652"/>
    <col min="15110" max="15110" width="14.42578125" style="652" customWidth="1"/>
    <col min="15111" max="15112" width="13.140625" style="652" customWidth="1"/>
    <col min="15113" max="15114" width="15.7109375" style="652" customWidth="1"/>
    <col min="15115" max="15115" width="13.140625" style="652" customWidth="1"/>
    <col min="15116" max="15116" width="13.7109375" style="652" customWidth="1"/>
    <col min="15117" max="15362" width="9.140625" style="652"/>
    <col min="15363" max="15363" width="4.28515625" style="652" customWidth="1"/>
    <col min="15364" max="15365" width="9.140625" style="652"/>
    <col min="15366" max="15366" width="14.42578125" style="652" customWidth="1"/>
    <col min="15367" max="15368" width="13.140625" style="652" customWidth="1"/>
    <col min="15369" max="15370" width="15.7109375" style="652" customWidth="1"/>
    <col min="15371" max="15371" width="13.140625" style="652" customWidth="1"/>
    <col min="15372" max="15372" width="13.7109375" style="652" customWidth="1"/>
    <col min="15373" max="15618" width="9.140625" style="652"/>
    <col min="15619" max="15619" width="4.28515625" style="652" customWidth="1"/>
    <col min="15620" max="15621" width="9.140625" style="652"/>
    <col min="15622" max="15622" width="14.42578125" style="652" customWidth="1"/>
    <col min="15623" max="15624" width="13.140625" style="652" customWidth="1"/>
    <col min="15625" max="15626" width="15.7109375" style="652" customWidth="1"/>
    <col min="15627" max="15627" width="13.140625" style="652" customWidth="1"/>
    <col min="15628" max="15628" width="13.7109375" style="652" customWidth="1"/>
    <col min="15629" max="15874" width="9.140625" style="652"/>
    <col min="15875" max="15875" width="4.28515625" style="652" customWidth="1"/>
    <col min="15876" max="15877" width="9.140625" style="652"/>
    <col min="15878" max="15878" width="14.42578125" style="652" customWidth="1"/>
    <col min="15879" max="15880" width="13.140625" style="652" customWidth="1"/>
    <col min="15881" max="15882" width="15.7109375" style="652" customWidth="1"/>
    <col min="15883" max="15883" width="13.140625" style="652" customWidth="1"/>
    <col min="15884" max="15884" width="13.7109375" style="652" customWidth="1"/>
    <col min="15885" max="16130" width="9.140625" style="652"/>
    <col min="16131" max="16131" width="4.28515625" style="652" customWidth="1"/>
    <col min="16132" max="16133" width="9.140625" style="652"/>
    <col min="16134" max="16134" width="14.42578125" style="652" customWidth="1"/>
    <col min="16135" max="16136" width="13.140625" style="652" customWidth="1"/>
    <col min="16137" max="16138" width="15.7109375" style="652" customWidth="1"/>
    <col min="16139" max="16139" width="13.140625" style="652" customWidth="1"/>
    <col min="16140" max="16140" width="13.7109375" style="652" customWidth="1"/>
    <col min="16141" max="16384" width="9.140625" style="652"/>
  </cols>
  <sheetData>
    <row r="1" spans="1:12" ht="32.25" customHeight="1" x14ac:dyDescent="0.2">
      <c r="A1" s="860" t="s">
        <v>1371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</row>
    <row r="2" spans="1:12" x14ac:dyDescent="0.2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</row>
    <row r="3" spans="1:12" x14ac:dyDescent="0.2">
      <c r="A3" s="470" t="s">
        <v>1331</v>
      </c>
      <c r="B3" s="470"/>
      <c r="C3" s="470"/>
      <c r="D3" s="470"/>
      <c r="E3" s="470"/>
      <c r="F3" s="471"/>
      <c r="G3" s="471"/>
      <c r="H3" s="472"/>
      <c r="I3" s="472"/>
      <c r="J3" s="472"/>
      <c r="K3" s="472"/>
      <c r="L3" s="473" t="s">
        <v>1156</v>
      </c>
    </row>
    <row r="4" spans="1:12" ht="65.25" customHeight="1" x14ac:dyDescent="0.2">
      <c r="A4" s="541" t="s">
        <v>1332</v>
      </c>
      <c r="B4" s="858" t="s">
        <v>1333</v>
      </c>
      <c r="C4" s="858"/>
      <c r="D4" s="859"/>
      <c r="E4" s="475" t="s">
        <v>1334</v>
      </c>
      <c r="F4" s="542" t="s">
        <v>1335</v>
      </c>
      <c r="G4" s="542" t="s">
        <v>1355</v>
      </c>
      <c r="H4" s="476" t="s">
        <v>1372</v>
      </c>
      <c r="I4" s="476" t="s">
        <v>1336</v>
      </c>
      <c r="J4" s="477" t="s">
        <v>1355</v>
      </c>
      <c r="K4" s="579" t="s">
        <v>1337</v>
      </c>
      <c r="L4" s="477" t="s">
        <v>1338</v>
      </c>
    </row>
    <row r="5" spans="1:12" ht="15" customHeight="1" x14ac:dyDescent="0.2">
      <c r="A5" s="543" t="s">
        <v>12</v>
      </c>
      <c r="B5" s="861" t="s">
        <v>1339</v>
      </c>
      <c r="C5" s="861"/>
      <c r="D5" s="862"/>
      <c r="E5" s="544">
        <v>0</v>
      </c>
      <c r="F5" s="545">
        <f>E5</f>
        <v>0</v>
      </c>
      <c r="G5" s="545"/>
      <c r="H5" s="546">
        <v>5500000</v>
      </c>
      <c r="I5" s="546">
        <f>H5</f>
        <v>5500000</v>
      </c>
      <c r="J5" s="581">
        <v>5624000</v>
      </c>
      <c r="K5" s="547">
        <v>0</v>
      </c>
      <c r="L5" s="548">
        <v>0</v>
      </c>
    </row>
    <row r="6" spans="1:12" ht="15" customHeight="1" x14ac:dyDescent="0.2">
      <c r="A6" s="549" t="s">
        <v>17</v>
      </c>
      <c r="B6" s="863" t="s">
        <v>1340</v>
      </c>
      <c r="C6" s="863"/>
      <c r="D6" s="864"/>
      <c r="E6" s="550">
        <v>0</v>
      </c>
      <c r="F6" s="551">
        <f>E6</f>
        <v>0</v>
      </c>
      <c r="G6" s="551"/>
      <c r="H6" s="551">
        <v>0</v>
      </c>
      <c r="I6" s="552">
        <f>H6</f>
        <v>0</v>
      </c>
      <c r="J6" s="552"/>
      <c r="K6" s="553">
        <v>0</v>
      </c>
      <c r="L6" s="554">
        <v>0</v>
      </c>
    </row>
    <row r="7" spans="1:12" ht="15" customHeight="1" x14ac:dyDescent="0.2">
      <c r="A7" s="555" t="s">
        <v>20</v>
      </c>
      <c r="B7" s="865" t="s">
        <v>1341</v>
      </c>
      <c r="C7" s="865"/>
      <c r="D7" s="866"/>
      <c r="E7" s="556">
        <v>0</v>
      </c>
      <c r="F7" s="557">
        <f>E7</f>
        <v>0</v>
      </c>
      <c r="G7" s="557"/>
      <c r="H7" s="557">
        <v>0</v>
      </c>
      <c r="I7" s="558">
        <f>H7</f>
        <v>0</v>
      </c>
      <c r="J7" s="558"/>
      <c r="K7" s="559">
        <v>0</v>
      </c>
      <c r="L7" s="560">
        <v>0</v>
      </c>
    </row>
    <row r="8" spans="1:12" ht="15" customHeight="1" x14ac:dyDescent="0.2">
      <c r="A8" s="867" t="s">
        <v>1342</v>
      </c>
      <c r="B8" s="868"/>
      <c r="C8" s="868"/>
      <c r="D8" s="869"/>
      <c r="E8" s="478">
        <f t="shared" ref="E8:L8" si="0">SUM(E5:E7)</f>
        <v>0</v>
      </c>
      <c r="F8" s="478">
        <f t="shared" si="0"/>
        <v>0</v>
      </c>
      <c r="G8" s="478"/>
      <c r="H8" s="478">
        <f t="shared" si="0"/>
        <v>5500000</v>
      </c>
      <c r="I8" s="478">
        <f t="shared" si="0"/>
        <v>5500000</v>
      </c>
      <c r="J8" s="478">
        <f t="shared" si="0"/>
        <v>5624000</v>
      </c>
      <c r="K8" s="479">
        <f t="shared" si="0"/>
        <v>0</v>
      </c>
      <c r="L8" s="480">
        <f t="shared" si="0"/>
        <v>0</v>
      </c>
    </row>
    <row r="9" spans="1:12" x14ac:dyDescent="0.2">
      <c r="A9" s="481"/>
      <c r="B9" s="481"/>
      <c r="C9" s="481"/>
      <c r="D9" s="482"/>
      <c r="E9" s="483"/>
      <c r="F9" s="483"/>
      <c r="G9" s="483"/>
      <c r="H9" s="484"/>
      <c r="I9" s="484"/>
      <c r="J9" s="484"/>
      <c r="K9" s="484"/>
      <c r="L9" s="469"/>
    </row>
    <row r="10" spans="1:12" x14ac:dyDescent="0.2">
      <c r="A10" s="471" t="s">
        <v>1343</v>
      </c>
      <c r="B10" s="485"/>
      <c r="C10" s="485"/>
      <c r="D10" s="485"/>
      <c r="E10" s="485"/>
      <c r="F10" s="471"/>
      <c r="G10" s="471"/>
      <c r="H10" s="484"/>
      <c r="I10" s="484"/>
      <c r="J10" s="484"/>
      <c r="K10" s="484"/>
      <c r="L10" s="469"/>
    </row>
    <row r="11" spans="1:12" x14ac:dyDescent="0.2">
      <c r="A11" s="486"/>
      <c r="B11" s="486"/>
      <c r="C11" s="486"/>
      <c r="D11" s="486"/>
      <c r="E11" s="486"/>
      <c r="F11" s="486"/>
      <c r="G11" s="486"/>
      <c r="H11" s="484"/>
      <c r="I11" s="484"/>
      <c r="J11" s="484"/>
      <c r="K11" s="484"/>
      <c r="L11" s="469"/>
    </row>
    <row r="12" spans="1:12" x14ac:dyDescent="0.2">
      <c r="A12" s="684" t="s">
        <v>1344</v>
      </c>
      <c r="B12" s="684"/>
      <c r="C12" s="684"/>
      <c r="D12" s="684"/>
      <c r="E12" s="684"/>
      <c r="F12" s="471"/>
      <c r="G12" s="471"/>
      <c r="H12" s="472"/>
      <c r="I12" s="472"/>
      <c r="J12" s="472"/>
      <c r="K12" s="472"/>
      <c r="L12" s="469"/>
    </row>
    <row r="13" spans="1:12" ht="67.5" customHeight="1" x14ac:dyDescent="0.2">
      <c r="A13" s="487" t="s">
        <v>1332</v>
      </c>
      <c r="B13" s="870" t="s">
        <v>1333</v>
      </c>
      <c r="C13" s="870"/>
      <c r="D13" s="870"/>
      <c r="E13" s="475" t="s">
        <v>1334</v>
      </c>
      <c r="F13" s="542" t="s">
        <v>1335</v>
      </c>
      <c r="G13" s="542" t="s">
        <v>1355</v>
      </c>
      <c r="H13" s="477" t="s">
        <v>1372</v>
      </c>
      <c r="I13" s="477" t="s">
        <v>1336</v>
      </c>
      <c r="J13" s="477" t="s">
        <v>1355</v>
      </c>
      <c r="K13" s="579" t="s">
        <v>1337</v>
      </c>
      <c r="L13" s="477" t="s">
        <v>1338</v>
      </c>
    </row>
    <row r="14" spans="1:12" x14ac:dyDescent="0.2">
      <c r="A14" s="871" t="s">
        <v>1345</v>
      </c>
      <c r="B14" s="871"/>
      <c r="C14" s="871"/>
      <c r="D14" s="871"/>
      <c r="E14" s="488"/>
      <c r="F14" s="488"/>
      <c r="G14" s="488"/>
      <c r="H14" s="489"/>
      <c r="I14" s="489"/>
      <c r="J14" s="489"/>
      <c r="K14" s="489"/>
      <c r="L14" s="477"/>
    </row>
    <row r="15" spans="1:12" ht="15.75" customHeight="1" x14ac:dyDescent="0.2">
      <c r="A15" s="561" t="s">
        <v>12</v>
      </c>
      <c r="B15" s="872" t="s">
        <v>1293</v>
      </c>
      <c r="C15" s="872"/>
      <c r="D15" s="873"/>
      <c r="E15" s="562">
        <v>0</v>
      </c>
      <c r="F15" s="563">
        <f>E15</f>
        <v>0</v>
      </c>
      <c r="G15" s="563"/>
      <c r="H15" s="564">
        <v>5000000</v>
      </c>
      <c r="I15" s="564">
        <f>H15</f>
        <v>5000000</v>
      </c>
      <c r="J15" s="564">
        <v>2388930</v>
      </c>
      <c r="K15" s="563">
        <v>0</v>
      </c>
      <c r="L15" s="565">
        <v>0</v>
      </c>
    </row>
    <row r="16" spans="1:12" ht="15.75" customHeight="1" x14ac:dyDescent="0.2">
      <c r="A16" s="566" t="s">
        <v>17</v>
      </c>
      <c r="B16" s="850" t="s">
        <v>1346</v>
      </c>
      <c r="C16" s="850"/>
      <c r="D16" s="851"/>
      <c r="E16" s="567">
        <v>0</v>
      </c>
      <c r="F16" s="551">
        <f t="shared" ref="F16:F21" si="1">E16</f>
        <v>0</v>
      </c>
      <c r="G16" s="551"/>
      <c r="H16" s="568">
        <v>35000000</v>
      </c>
      <c r="I16" s="568">
        <f t="shared" ref="I16:I21" si="2">H16</f>
        <v>35000000</v>
      </c>
      <c r="J16" s="568">
        <v>3454630</v>
      </c>
      <c r="K16" s="551">
        <v>0</v>
      </c>
      <c r="L16" s="569">
        <v>0</v>
      </c>
    </row>
    <row r="17" spans="1:14" ht="15.75" customHeight="1" x14ac:dyDescent="0.2">
      <c r="A17" s="566" t="s">
        <v>20</v>
      </c>
      <c r="B17" s="850" t="s">
        <v>1347</v>
      </c>
      <c r="C17" s="850"/>
      <c r="D17" s="851"/>
      <c r="E17" s="567">
        <v>0</v>
      </c>
      <c r="F17" s="551">
        <f t="shared" si="1"/>
        <v>0</v>
      </c>
      <c r="G17" s="551"/>
      <c r="H17" s="568">
        <v>400000</v>
      </c>
      <c r="I17" s="568">
        <f t="shared" si="2"/>
        <v>400000</v>
      </c>
      <c r="J17" s="568">
        <v>5126367</v>
      </c>
      <c r="K17" s="551">
        <v>0</v>
      </c>
      <c r="L17" s="569">
        <v>0</v>
      </c>
    </row>
    <row r="18" spans="1:14" ht="15.75" customHeight="1" x14ac:dyDescent="0.2">
      <c r="A18" s="566" t="s">
        <v>22</v>
      </c>
      <c r="B18" s="850" t="s">
        <v>1305</v>
      </c>
      <c r="C18" s="850"/>
      <c r="D18" s="851"/>
      <c r="E18" s="567">
        <v>0</v>
      </c>
      <c r="F18" s="551">
        <f t="shared" si="1"/>
        <v>0</v>
      </c>
      <c r="G18" s="551"/>
      <c r="H18" s="568">
        <v>4000000</v>
      </c>
      <c r="I18" s="568">
        <f t="shared" si="2"/>
        <v>4000000</v>
      </c>
      <c r="J18" s="568"/>
      <c r="K18" s="551">
        <v>0</v>
      </c>
      <c r="L18" s="569">
        <v>0</v>
      </c>
    </row>
    <row r="19" spans="1:14" ht="15.75" customHeight="1" x14ac:dyDescent="0.2">
      <c r="A19" s="566" t="s">
        <v>24</v>
      </c>
      <c r="B19" s="850" t="s">
        <v>1348</v>
      </c>
      <c r="C19" s="850"/>
      <c r="D19" s="851"/>
      <c r="E19" s="567">
        <v>0</v>
      </c>
      <c r="F19" s="551">
        <f t="shared" si="1"/>
        <v>0</v>
      </c>
      <c r="G19" s="551"/>
      <c r="H19" s="568">
        <v>110000</v>
      </c>
      <c r="I19" s="568">
        <f t="shared" si="2"/>
        <v>110000</v>
      </c>
      <c r="J19" s="568">
        <v>296414</v>
      </c>
      <c r="K19" s="551">
        <v>0</v>
      </c>
      <c r="L19" s="569">
        <v>0</v>
      </c>
    </row>
    <row r="20" spans="1:14" ht="15.75" customHeight="1" x14ac:dyDescent="0.2">
      <c r="A20" s="566" t="s">
        <v>86</v>
      </c>
      <c r="B20" s="850" t="s">
        <v>1349</v>
      </c>
      <c r="C20" s="850"/>
      <c r="D20" s="851"/>
      <c r="E20" s="567">
        <v>0</v>
      </c>
      <c r="F20" s="551">
        <f t="shared" si="1"/>
        <v>0</v>
      </c>
      <c r="G20" s="551"/>
      <c r="H20" s="568">
        <v>11000</v>
      </c>
      <c r="I20" s="568">
        <f t="shared" si="2"/>
        <v>11000</v>
      </c>
      <c r="J20" s="568">
        <v>738286</v>
      </c>
      <c r="K20" s="551">
        <v>0</v>
      </c>
      <c r="L20" s="569">
        <v>0</v>
      </c>
    </row>
    <row r="21" spans="1:14" ht="15.75" customHeight="1" x14ac:dyDescent="0.2">
      <c r="A21" s="570" t="s">
        <v>88</v>
      </c>
      <c r="B21" s="852" t="s">
        <v>1350</v>
      </c>
      <c r="C21" s="852"/>
      <c r="D21" s="853"/>
      <c r="E21" s="571">
        <v>0</v>
      </c>
      <c r="F21" s="557">
        <f t="shared" si="1"/>
        <v>0</v>
      </c>
      <c r="G21" s="557"/>
      <c r="H21" s="572">
        <v>125000</v>
      </c>
      <c r="I21" s="572">
        <f t="shared" si="2"/>
        <v>125000</v>
      </c>
      <c r="J21" s="572">
        <v>508852</v>
      </c>
      <c r="K21" s="557">
        <v>0</v>
      </c>
      <c r="L21" s="573">
        <v>0</v>
      </c>
    </row>
    <row r="22" spans="1:14" ht="15.75" customHeight="1" x14ac:dyDescent="0.2">
      <c r="A22" s="854" t="s">
        <v>1342</v>
      </c>
      <c r="B22" s="855"/>
      <c r="C22" s="855"/>
      <c r="D22" s="856"/>
      <c r="E22" s="490">
        <f t="shared" ref="E22:L22" si="3">SUM(E15:E21)</f>
        <v>0</v>
      </c>
      <c r="F22" s="491">
        <f t="shared" si="3"/>
        <v>0</v>
      </c>
      <c r="G22" s="491"/>
      <c r="H22" s="491">
        <f t="shared" si="3"/>
        <v>44646000</v>
      </c>
      <c r="I22" s="491">
        <f t="shared" si="3"/>
        <v>44646000</v>
      </c>
      <c r="J22" s="491">
        <f t="shared" si="3"/>
        <v>12513479</v>
      </c>
      <c r="K22" s="492">
        <f t="shared" si="3"/>
        <v>0</v>
      </c>
      <c r="L22" s="492">
        <f t="shared" si="3"/>
        <v>0</v>
      </c>
    </row>
    <row r="23" spans="1:14" x14ac:dyDescent="0.2">
      <c r="A23" s="486"/>
      <c r="B23" s="486"/>
      <c r="C23" s="486"/>
      <c r="D23" s="486"/>
      <c r="E23" s="486"/>
      <c r="F23" s="486"/>
      <c r="G23" s="486"/>
      <c r="H23" s="484"/>
      <c r="I23" s="484"/>
      <c r="J23" s="484"/>
      <c r="K23" s="484"/>
      <c r="L23" s="469"/>
    </row>
    <row r="24" spans="1:14" x14ac:dyDescent="0.2">
      <c r="A24" s="857" t="s">
        <v>1351</v>
      </c>
      <c r="B24" s="857"/>
      <c r="C24" s="857"/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</row>
    <row r="25" spans="1:14" ht="66" customHeight="1" x14ac:dyDescent="0.2">
      <c r="A25" s="474" t="s">
        <v>1332</v>
      </c>
      <c r="B25" s="858" t="s">
        <v>1333</v>
      </c>
      <c r="C25" s="858"/>
      <c r="D25" s="859"/>
      <c r="E25" s="475" t="s">
        <v>1334</v>
      </c>
      <c r="F25" s="542" t="s">
        <v>1335</v>
      </c>
      <c r="G25" s="542" t="s">
        <v>1355</v>
      </c>
      <c r="H25" s="476" t="s">
        <v>1372</v>
      </c>
      <c r="I25" s="476" t="s">
        <v>1336</v>
      </c>
      <c r="J25" s="477" t="s">
        <v>1355</v>
      </c>
      <c r="K25" s="579" t="s">
        <v>1337</v>
      </c>
      <c r="L25" s="477" t="s">
        <v>1338</v>
      </c>
    </row>
    <row r="26" spans="1:14" ht="20.25" customHeight="1" x14ac:dyDescent="0.2">
      <c r="A26" s="493" t="s">
        <v>12</v>
      </c>
      <c r="B26" s="847" t="s">
        <v>1352</v>
      </c>
      <c r="C26" s="847"/>
      <c r="D26" s="847"/>
      <c r="E26" s="494">
        <v>0</v>
      </c>
      <c r="F26" s="574">
        <f>E26</f>
        <v>0</v>
      </c>
      <c r="G26" s="574"/>
      <c r="H26" s="575">
        <v>0</v>
      </c>
      <c r="I26" s="575">
        <f>H26</f>
        <v>0</v>
      </c>
      <c r="J26" s="575"/>
      <c r="K26" s="494">
        <v>0</v>
      </c>
      <c r="L26" s="494">
        <v>0</v>
      </c>
    </row>
    <row r="27" spans="1:14" ht="20.25" customHeight="1" x14ac:dyDescent="0.2">
      <c r="A27" s="495" t="s">
        <v>17</v>
      </c>
      <c r="B27" s="848" t="s">
        <v>1353</v>
      </c>
      <c r="C27" s="848"/>
      <c r="D27" s="848"/>
      <c r="E27" s="496"/>
      <c r="F27" s="496">
        <f>E27</f>
        <v>0</v>
      </c>
      <c r="G27" s="496"/>
      <c r="H27" s="497">
        <v>4000000</v>
      </c>
      <c r="I27" s="497">
        <f>H27</f>
        <v>4000000</v>
      </c>
      <c r="J27" s="497">
        <v>6738000</v>
      </c>
      <c r="K27" s="496"/>
      <c r="L27" s="496"/>
    </row>
    <row r="28" spans="1:14" ht="15.75" customHeight="1" x14ac:dyDescent="0.2">
      <c r="A28" s="849" t="s">
        <v>1342</v>
      </c>
      <c r="B28" s="849"/>
      <c r="C28" s="849"/>
      <c r="D28" s="849"/>
      <c r="E28" s="498">
        <f t="shared" ref="E28:L28" si="4">SUM(E26:E27)</f>
        <v>0</v>
      </c>
      <c r="F28" s="498">
        <f t="shared" si="4"/>
        <v>0</v>
      </c>
      <c r="G28" s="498"/>
      <c r="H28" s="499">
        <f t="shared" si="4"/>
        <v>4000000</v>
      </c>
      <c r="I28" s="499">
        <f t="shared" si="4"/>
        <v>4000000</v>
      </c>
      <c r="J28" s="499">
        <f t="shared" si="4"/>
        <v>6738000</v>
      </c>
      <c r="K28" s="498">
        <f t="shared" si="4"/>
        <v>0</v>
      </c>
      <c r="L28" s="498">
        <f t="shared" si="4"/>
        <v>0</v>
      </c>
    </row>
    <row r="29" spans="1:14" x14ac:dyDescent="0.2">
      <c r="A29" s="576"/>
      <c r="B29" s="576"/>
      <c r="C29" s="577"/>
      <c r="D29" s="578"/>
      <c r="E29" s="578"/>
      <c r="F29" s="578"/>
      <c r="G29" s="578"/>
      <c r="H29" s="484"/>
      <c r="I29" s="484"/>
      <c r="J29" s="484"/>
      <c r="K29" s="484"/>
      <c r="L29" s="469"/>
    </row>
    <row r="30" spans="1:14" x14ac:dyDescent="0.2">
      <c r="A30" s="471" t="s">
        <v>1354</v>
      </c>
      <c r="B30" s="471"/>
      <c r="C30" s="471"/>
      <c r="D30" s="471"/>
      <c r="E30" s="471"/>
      <c r="F30" s="471"/>
      <c r="G30" s="471"/>
      <c r="H30" s="500"/>
      <c r="I30" s="500"/>
      <c r="J30" s="500"/>
      <c r="K30" s="500"/>
      <c r="L30" s="469"/>
    </row>
  </sheetData>
  <mergeCells count="21">
    <mergeCell ref="B18:D18"/>
    <mergeCell ref="A1:L1"/>
    <mergeCell ref="B4:D4"/>
    <mergeCell ref="B5:D5"/>
    <mergeCell ref="B6:D6"/>
    <mergeCell ref="B7:D7"/>
    <mergeCell ref="A8:D8"/>
    <mergeCell ref="B13:D13"/>
    <mergeCell ref="A14:D14"/>
    <mergeCell ref="B15:D15"/>
    <mergeCell ref="B16:D16"/>
    <mergeCell ref="B17:D17"/>
    <mergeCell ref="B26:D26"/>
    <mergeCell ref="B27:D27"/>
    <mergeCell ref="A28:D28"/>
    <mergeCell ref="B19:D19"/>
    <mergeCell ref="B20:D20"/>
    <mergeCell ref="B21:D21"/>
    <mergeCell ref="A22:D22"/>
    <mergeCell ref="A24:N24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&amp;C2017. évi zárszámadás&amp;R&amp;A</oddHeader>
    <oddFooter xml:space="preserve">&amp;C&amp;P/&amp;N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Layout" zoomScaleNormal="100" zoomScaleSheetLayoutView="75" workbookViewId="0">
      <selection activeCell="K9" sqref="K9"/>
    </sheetView>
  </sheetViews>
  <sheetFormatPr defaultRowHeight="15" x14ac:dyDescent="0.25"/>
  <cols>
    <col min="1" max="1" width="2.5703125" bestFit="1" customWidth="1"/>
    <col min="2" max="2" width="36.42578125" bestFit="1" customWidth="1"/>
    <col min="3" max="3" width="22.140625" customWidth="1"/>
    <col min="4" max="4" width="21.85546875" bestFit="1" customWidth="1"/>
    <col min="5" max="5" width="16.140625" customWidth="1"/>
  </cols>
  <sheetData>
    <row r="1" spans="1:5" ht="24" customHeight="1" x14ac:dyDescent="0.3">
      <c r="B1" s="876" t="s">
        <v>1377</v>
      </c>
      <c r="C1" s="876"/>
      <c r="D1" s="876"/>
      <c r="E1" s="876"/>
    </row>
    <row r="2" spans="1:5" x14ac:dyDescent="0.25">
      <c r="B2" s="877" t="s">
        <v>1378</v>
      </c>
      <c r="C2" s="877"/>
      <c r="D2" s="877"/>
      <c r="E2" s="877"/>
    </row>
    <row r="3" spans="1:5" ht="15.75" x14ac:dyDescent="0.25">
      <c r="B3" s="878" t="s">
        <v>1379</v>
      </c>
      <c r="C3" s="878"/>
      <c r="D3" s="878"/>
      <c r="E3" s="878"/>
    </row>
    <row r="5" spans="1:5" ht="15.75" x14ac:dyDescent="0.25">
      <c r="B5" s="582"/>
      <c r="C5" s="583"/>
    </row>
    <row r="6" spans="1:5" ht="16.5" thickBot="1" x14ac:dyDescent="0.3">
      <c r="B6" s="582"/>
      <c r="C6" s="583"/>
    </row>
    <row r="7" spans="1:5" ht="37.5" customHeight="1" x14ac:dyDescent="0.25">
      <c r="A7" s="879" t="s">
        <v>1380</v>
      </c>
      <c r="B7" s="880"/>
      <c r="C7" s="584" t="s">
        <v>1381</v>
      </c>
      <c r="D7" s="584" t="s">
        <v>1382</v>
      </c>
      <c r="E7" s="585" t="s">
        <v>1383</v>
      </c>
    </row>
    <row r="8" spans="1:5" ht="37.5" customHeight="1" thickBot="1" x14ac:dyDescent="0.3">
      <c r="A8" s="881" t="s">
        <v>1384</v>
      </c>
      <c r="B8" s="882"/>
      <c r="C8" s="586">
        <v>9000000</v>
      </c>
      <c r="D8" s="586">
        <v>9000000</v>
      </c>
      <c r="E8" s="587">
        <v>0</v>
      </c>
    </row>
    <row r="9" spans="1:5" ht="31.5" customHeight="1" x14ac:dyDescent="0.25">
      <c r="A9" s="883" t="s">
        <v>1385</v>
      </c>
      <c r="B9" s="884"/>
      <c r="C9" s="588" t="s">
        <v>1386</v>
      </c>
      <c r="D9" s="584" t="s">
        <v>1387</v>
      </c>
      <c r="E9" s="585" t="s">
        <v>1383</v>
      </c>
    </row>
    <row r="10" spans="1:5" ht="24" customHeight="1" x14ac:dyDescent="0.25">
      <c r="A10" s="589" t="s">
        <v>12</v>
      </c>
      <c r="B10" s="590" t="s">
        <v>1388</v>
      </c>
      <c r="C10" s="591">
        <v>225000</v>
      </c>
      <c r="D10" s="592">
        <v>0</v>
      </c>
      <c r="E10" s="593">
        <v>225000</v>
      </c>
    </row>
    <row r="11" spans="1:5" ht="24" customHeight="1" x14ac:dyDescent="0.25">
      <c r="A11" s="589" t="s">
        <v>17</v>
      </c>
      <c r="B11" s="590" t="s">
        <v>1389</v>
      </c>
      <c r="C11" s="591">
        <v>2160000</v>
      </c>
      <c r="D11" s="592">
        <v>0</v>
      </c>
      <c r="E11" s="593">
        <v>2160000</v>
      </c>
    </row>
    <row r="12" spans="1:5" ht="24" customHeight="1" x14ac:dyDescent="0.25">
      <c r="A12" s="589" t="s">
        <v>20</v>
      </c>
      <c r="B12" s="590" t="s">
        <v>1390</v>
      </c>
      <c r="C12" s="591">
        <v>6230000</v>
      </c>
      <c r="D12" s="592">
        <v>0</v>
      </c>
      <c r="E12" s="593">
        <v>6230000</v>
      </c>
    </row>
    <row r="13" spans="1:5" ht="24" customHeight="1" x14ac:dyDescent="0.25">
      <c r="A13" s="589" t="s">
        <v>22</v>
      </c>
      <c r="B13" s="590" t="s">
        <v>1391</v>
      </c>
      <c r="C13" s="591">
        <v>270000</v>
      </c>
      <c r="D13" s="592">
        <v>0</v>
      </c>
      <c r="E13" s="593">
        <v>270000</v>
      </c>
    </row>
    <row r="14" spans="1:5" ht="24" customHeight="1" x14ac:dyDescent="0.25">
      <c r="A14" s="589" t="s">
        <v>24</v>
      </c>
      <c r="B14" s="590" t="s">
        <v>1392</v>
      </c>
      <c r="C14" s="591">
        <v>45000</v>
      </c>
      <c r="D14" s="592">
        <v>0</v>
      </c>
      <c r="E14" s="593">
        <v>45000</v>
      </c>
    </row>
    <row r="15" spans="1:5" ht="24" customHeight="1" thickBot="1" x14ac:dyDescent="0.3">
      <c r="A15" s="649" t="s">
        <v>86</v>
      </c>
      <c r="B15" s="650" t="s">
        <v>1393</v>
      </c>
      <c r="C15" s="586">
        <v>70000</v>
      </c>
      <c r="D15" s="651">
        <v>0</v>
      </c>
      <c r="E15" s="587">
        <v>70000</v>
      </c>
    </row>
    <row r="16" spans="1:5" ht="24" customHeight="1" thickBot="1" x14ac:dyDescent="0.3">
      <c r="A16" s="874" t="s">
        <v>1394</v>
      </c>
      <c r="B16" s="875"/>
      <c r="C16" s="646">
        <f>SUM(C10:C15)</f>
        <v>9000000</v>
      </c>
      <c r="D16" s="647">
        <v>0</v>
      </c>
      <c r="E16" s="648">
        <f>SUM(E10:E15)</f>
        <v>9000000</v>
      </c>
    </row>
  </sheetData>
  <mergeCells count="7">
    <mergeCell ref="A16:B16"/>
    <mergeCell ref="B1:E1"/>
    <mergeCell ref="B2:E2"/>
    <mergeCell ref="B3:E3"/>
    <mergeCell ref="A7:B7"/>
    <mergeCell ref="A8:B8"/>
    <mergeCell ref="A9:B9"/>
  </mergeCells>
  <pageMargins left="0.7" right="0.7" top="0.75" bottom="0.75" header="0.3" footer="0.3"/>
  <pageSetup paperSize="9" scale="88" orientation="portrait" r:id="rId1"/>
  <headerFooter>
    <oddHeader>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60" zoomScaleNormal="100" workbookViewId="0">
      <selection activeCell="L14" sqref="L14"/>
    </sheetView>
  </sheetViews>
  <sheetFormatPr defaultRowHeight="15" x14ac:dyDescent="0.25"/>
  <cols>
    <col min="1" max="1" width="3.5703125" bestFit="1" customWidth="1"/>
    <col min="2" max="2" width="36.42578125" bestFit="1" customWidth="1"/>
    <col min="3" max="3" width="22.140625" customWidth="1"/>
    <col min="4" max="4" width="21.85546875" bestFit="1" customWidth="1"/>
    <col min="5" max="5" width="21.85546875" customWidth="1"/>
    <col min="6" max="6" width="19.7109375" customWidth="1"/>
    <col min="7" max="7" width="13.140625" bestFit="1" customWidth="1"/>
  </cols>
  <sheetData>
    <row r="1" spans="1:6" ht="24" customHeight="1" x14ac:dyDescent="0.3">
      <c r="A1" s="876" t="s">
        <v>1419</v>
      </c>
      <c r="B1" s="876"/>
      <c r="C1" s="876"/>
      <c r="D1" s="876"/>
      <c r="E1" s="876"/>
      <c r="F1" s="876"/>
    </row>
    <row r="2" spans="1:6" x14ac:dyDescent="0.25">
      <c r="A2" s="877" t="s">
        <v>1420</v>
      </c>
      <c r="B2" s="877"/>
      <c r="C2" s="877"/>
      <c r="D2" s="877"/>
      <c r="E2" s="877"/>
      <c r="F2" s="877"/>
    </row>
    <row r="3" spans="1:6" ht="15.75" x14ac:dyDescent="0.25">
      <c r="A3" s="878" t="s">
        <v>1421</v>
      </c>
      <c r="B3" s="878"/>
      <c r="C3" s="878"/>
      <c r="D3" s="878"/>
      <c r="E3" s="878"/>
      <c r="F3" s="878"/>
    </row>
    <row r="5" spans="1:6" ht="15.75" x14ac:dyDescent="0.25">
      <c r="B5" s="582"/>
      <c r="C5" s="583"/>
    </row>
    <row r="6" spans="1:6" ht="16.5" thickBot="1" x14ac:dyDescent="0.3">
      <c r="B6" s="582"/>
      <c r="C6" s="583"/>
    </row>
    <row r="7" spans="1:6" ht="37.5" customHeight="1" x14ac:dyDescent="0.25">
      <c r="A7" s="879" t="s">
        <v>1398</v>
      </c>
      <c r="B7" s="880"/>
      <c r="C7" s="584" t="s">
        <v>1381</v>
      </c>
      <c r="D7" s="584" t="s">
        <v>1382</v>
      </c>
      <c r="E7" s="585" t="s">
        <v>1383</v>
      </c>
    </row>
    <row r="8" spans="1:6" ht="37.5" customHeight="1" thickBot="1" x14ac:dyDescent="0.3">
      <c r="A8" s="881" t="s">
        <v>1384</v>
      </c>
      <c r="B8" s="882"/>
      <c r="C8" s="586">
        <v>393174188</v>
      </c>
      <c r="D8" s="586">
        <v>369494188</v>
      </c>
      <c r="E8" s="587">
        <f>C8-D8</f>
        <v>23680000</v>
      </c>
    </row>
    <row r="9" spans="1:6" ht="37.5" customHeight="1" thickBot="1" x14ac:dyDescent="0.3">
      <c r="A9" s="601"/>
      <c r="B9" s="602"/>
      <c r="C9" s="603"/>
      <c r="D9" s="603"/>
      <c r="E9" s="603"/>
    </row>
    <row r="10" spans="1:6" ht="31.5" customHeight="1" x14ac:dyDescent="0.25">
      <c r="A10" s="883" t="s">
        <v>1385</v>
      </c>
      <c r="B10" s="884"/>
      <c r="C10" s="588" t="s">
        <v>1386</v>
      </c>
      <c r="D10" s="604" t="s">
        <v>1422</v>
      </c>
      <c r="E10" s="584" t="s">
        <v>1387</v>
      </c>
      <c r="F10" s="585" t="s">
        <v>1383</v>
      </c>
    </row>
    <row r="11" spans="1:6" ht="24" customHeight="1" x14ac:dyDescent="0.25">
      <c r="A11" s="589" t="s">
        <v>12</v>
      </c>
      <c r="B11" s="594" t="s">
        <v>1423</v>
      </c>
      <c r="C11" s="591">
        <v>3789045</v>
      </c>
      <c r="D11" s="605">
        <v>0</v>
      </c>
      <c r="E11" s="591">
        <v>0</v>
      </c>
      <c r="F11" s="593">
        <v>3789045</v>
      </c>
    </row>
    <row r="12" spans="1:6" ht="24" customHeight="1" x14ac:dyDescent="0.25">
      <c r="A12" s="589" t="s">
        <v>17</v>
      </c>
      <c r="B12" s="594" t="s">
        <v>1424</v>
      </c>
      <c r="C12" s="591">
        <v>5000000</v>
      </c>
      <c r="D12" s="605">
        <v>0</v>
      </c>
      <c r="E12" s="591">
        <v>2928430</v>
      </c>
      <c r="F12" s="593">
        <f>C12-E12</f>
        <v>2071570</v>
      </c>
    </row>
    <row r="13" spans="1:6" ht="24" customHeight="1" x14ac:dyDescent="0.25">
      <c r="A13" s="589" t="s">
        <v>20</v>
      </c>
      <c r="B13" s="594" t="s">
        <v>1425</v>
      </c>
      <c r="C13" s="591">
        <v>4000000</v>
      </c>
      <c r="D13" s="605">
        <v>3937000</v>
      </c>
      <c r="E13" s="591">
        <v>0</v>
      </c>
      <c r="F13" s="593">
        <f>C13-D13</f>
        <v>63000</v>
      </c>
    </row>
    <row r="14" spans="1:6" ht="24" customHeight="1" x14ac:dyDescent="0.25">
      <c r="A14" s="589" t="s">
        <v>22</v>
      </c>
      <c r="B14" s="594" t="s">
        <v>1426</v>
      </c>
      <c r="C14" s="591">
        <v>800100</v>
      </c>
      <c r="D14" s="605">
        <v>400050</v>
      </c>
      <c r="E14" s="591">
        <v>0</v>
      </c>
      <c r="F14" s="593">
        <f>C14-D14</f>
        <v>400050</v>
      </c>
    </row>
    <row r="15" spans="1:6" ht="24" customHeight="1" x14ac:dyDescent="0.25">
      <c r="A15" s="589" t="s">
        <v>24</v>
      </c>
      <c r="B15" s="594" t="s">
        <v>1427</v>
      </c>
      <c r="C15" s="591">
        <v>999998</v>
      </c>
      <c r="D15" s="605">
        <v>999998</v>
      </c>
      <c r="E15" s="591">
        <v>0</v>
      </c>
      <c r="F15" s="593">
        <f>C15-D15</f>
        <v>0</v>
      </c>
    </row>
    <row r="16" spans="1:6" ht="24" customHeight="1" x14ac:dyDescent="0.25">
      <c r="A16" s="589" t="s">
        <v>86</v>
      </c>
      <c r="B16" s="594" t="s">
        <v>1428</v>
      </c>
      <c r="C16" s="591">
        <v>176000</v>
      </c>
      <c r="D16" s="605">
        <v>174110</v>
      </c>
      <c r="E16" s="591">
        <v>0</v>
      </c>
      <c r="F16" s="593">
        <f>C16-D16</f>
        <v>1890</v>
      </c>
    </row>
    <row r="17" spans="1:7" ht="24" customHeight="1" x14ac:dyDescent="0.25">
      <c r="A17" s="589" t="s">
        <v>88</v>
      </c>
      <c r="B17" s="594" t="s">
        <v>1429</v>
      </c>
      <c r="C17" s="591">
        <v>1600000</v>
      </c>
      <c r="D17" s="605">
        <v>0</v>
      </c>
      <c r="E17" s="591">
        <v>0</v>
      </c>
      <c r="F17" s="593">
        <f t="shared" ref="F17:F25" si="0">C17-E17</f>
        <v>1600000</v>
      </c>
    </row>
    <row r="18" spans="1:7" ht="24" customHeight="1" x14ac:dyDescent="0.25">
      <c r="A18" s="589" t="s">
        <v>89</v>
      </c>
      <c r="B18" s="594" t="s">
        <v>1430</v>
      </c>
      <c r="C18" s="591">
        <v>3789045</v>
      </c>
      <c r="D18" s="605">
        <v>0</v>
      </c>
      <c r="E18" s="591">
        <v>0</v>
      </c>
      <c r="F18" s="593">
        <f t="shared" si="0"/>
        <v>3789045</v>
      </c>
    </row>
    <row r="19" spans="1:7" ht="24" customHeight="1" x14ac:dyDescent="0.25">
      <c r="A19" s="589" t="s">
        <v>90</v>
      </c>
      <c r="B19" s="594" t="s">
        <v>1425</v>
      </c>
      <c r="C19" s="591">
        <v>12970000</v>
      </c>
      <c r="D19" s="605">
        <v>0</v>
      </c>
      <c r="E19" s="591">
        <v>12155706</v>
      </c>
      <c r="F19" s="593">
        <f t="shared" si="0"/>
        <v>814294</v>
      </c>
    </row>
    <row r="20" spans="1:7" ht="24" customHeight="1" x14ac:dyDescent="0.25">
      <c r="A20" s="589" t="s">
        <v>763</v>
      </c>
      <c r="B20" s="594" t="s">
        <v>1431</v>
      </c>
      <c r="C20" s="591">
        <v>9470000</v>
      </c>
      <c r="D20" s="605">
        <v>0</v>
      </c>
      <c r="E20" s="591">
        <v>0</v>
      </c>
      <c r="F20" s="593">
        <f t="shared" si="0"/>
        <v>9470000</v>
      </c>
    </row>
    <row r="21" spans="1:7" ht="24" customHeight="1" x14ac:dyDescent="0.25">
      <c r="A21" s="589" t="s">
        <v>767</v>
      </c>
      <c r="B21" s="594" t="s">
        <v>1432</v>
      </c>
      <c r="C21" s="591">
        <v>277000000</v>
      </c>
      <c r="D21" s="605">
        <v>0</v>
      </c>
      <c r="E21" s="591">
        <v>0</v>
      </c>
      <c r="F21" s="593">
        <f t="shared" si="0"/>
        <v>277000000</v>
      </c>
    </row>
    <row r="22" spans="1:7" ht="24" customHeight="1" x14ac:dyDescent="0.25">
      <c r="A22" s="589" t="s">
        <v>769</v>
      </c>
      <c r="B22" s="594" t="s">
        <v>1433</v>
      </c>
      <c r="C22" s="591">
        <v>1000000</v>
      </c>
      <c r="D22" s="605">
        <v>0</v>
      </c>
      <c r="E22" s="591">
        <v>0</v>
      </c>
      <c r="F22" s="593">
        <f t="shared" si="0"/>
        <v>1000000</v>
      </c>
    </row>
    <row r="23" spans="1:7" ht="24" customHeight="1" x14ac:dyDescent="0.25">
      <c r="A23" s="589" t="s">
        <v>771</v>
      </c>
      <c r="B23" s="594" t="s">
        <v>1434</v>
      </c>
      <c r="C23" s="591">
        <v>18945000</v>
      </c>
      <c r="D23" s="605">
        <v>0</v>
      </c>
      <c r="E23" s="591">
        <v>0</v>
      </c>
      <c r="F23" s="593">
        <f t="shared" si="0"/>
        <v>18945000</v>
      </c>
    </row>
    <row r="24" spans="1:7" ht="24" customHeight="1" x14ac:dyDescent="0.25">
      <c r="A24" s="589" t="s">
        <v>773</v>
      </c>
      <c r="B24" s="594" t="s">
        <v>1435</v>
      </c>
      <c r="C24" s="591">
        <v>370000</v>
      </c>
      <c r="D24" s="605">
        <v>0</v>
      </c>
      <c r="E24" s="591">
        <v>157034</v>
      </c>
      <c r="F24" s="593">
        <f t="shared" si="0"/>
        <v>212966</v>
      </c>
    </row>
    <row r="25" spans="1:7" ht="24" customHeight="1" x14ac:dyDescent="0.25">
      <c r="A25" s="589" t="s">
        <v>775</v>
      </c>
      <c r="B25" s="594" t="s">
        <v>1436</v>
      </c>
      <c r="C25" s="591">
        <v>58000000</v>
      </c>
      <c r="D25" s="605">
        <v>0</v>
      </c>
      <c r="E25" s="591">
        <v>0</v>
      </c>
      <c r="F25" s="593">
        <f t="shared" si="0"/>
        <v>58000000</v>
      </c>
    </row>
    <row r="26" spans="1:7" ht="24" customHeight="1" thickBot="1" x14ac:dyDescent="0.3">
      <c r="A26" s="885" t="s">
        <v>1394</v>
      </c>
      <c r="B26" s="886"/>
      <c r="C26" s="606">
        <f>SUM(C11:C25)</f>
        <v>397909188</v>
      </c>
      <c r="D26" s="606">
        <f>SUM(D11:D25)</f>
        <v>5511158</v>
      </c>
      <c r="E26" s="606">
        <f>SUM(E11:E25)</f>
        <v>15241170</v>
      </c>
      <c r="F26" s="606">
        <f t="shared" ref="F26" si="1">SUM(F11:F25)</f>
        <v>377156860</v>
      </c>
      <c r="G26" s="607"/>
    </row>
  </sheetData>
  <mergeCells count="7">
    <mergeCell ref="A26:B26"/>
    <mergeCell ref="A1:F1"/>
    <mergeCell ref="A2:F2"/>
    <mergeCell ref="A3:F3"/>
    <mergeCell ref="A7:B7"/>
    <mergeCell ref="A8:B8"/>
    <mergeCell ref="A10:B10"/>
  </mergeCells>
  <pageMargins left="0.7" right="0.7" top="0.75" bottom="0.75" header="0.3" footer="0.3"/>
  <pageSetup paperSize="9" scale="69" orientation="portrait" r:id="rId1"/>
  <headerFooter>
    <oddHeader>&amp;R&amp;A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60" zoomScaleNormal="100" workbookViewId="0">
      <selection activeCell="C16" sqref="C16"/>
    </sheetView>
  </sheetViews>
  <sheetFormatPr defaultRowHeight="15" x14ac:dyDescent="0.25"/>
  <cols>
    <col min="1" max="1" width="2.5703125" bestFit="1" customWidth="1"/>
    <col min="2" max="2" width="45.140625" bestFit="1" customWidth="1"/>
    <col min="3" max="3" width="22.140625" customWidth="1"/>
    <col min="4" max="4" width="21.85546875" bestFit="1" customWidth="1"/>
    <col min="5" max="5" width="16.140625" customWidth="1"/>
    <col min="6" max="6" width="14.5703125" bestFit="1" customWidth="1"/>
  </cols>
  <sheetData>
    <row r="1" spans="1:6" ht="24" customHeight="1" x14ac:dyDescent="0.3">
      <c r="A1" s="876" t="s">
        <v>1395</v>
      </c>
      <c r="B1" s="876"/>
      <c r="C1" s="876"/>
      <c r="D1" s="876"/>
      <c r="E1" s="876"/>
    </row>
    <row r="2" spans="1:6" x14ac:dyDescent="0.25">
      <c r="A2" s="877" t="s">
        <v>1396</v>
      </c>
      <c r="B2" s="877"/>
      <c r="C2" s="877"/>
      <c r="D2" s="877"/>
      <c r="E2" s="877"/>
    </row>
    <row r="3" spans="1:6" ht="15.75" x14ac:dyDescent="0.25">
      <c r="A3" s="878" t="s">
        <v>1397</v>
      </c>
      <c r="B3" s="878"/>
      <c r="C3" s="878"/>
      <c r="D3" s="878"/>
      <c r="E3" s="878"/>
    </row>
    <row r="5" spans="1:6" ht="15.75" x14ac:dyDescent="0.25">
      <c r="B5" s="582"/>
      <c r="C5" s="583"/>
    </row>
    <row r="6" spans="1:6" ht="16.5" thickBot="1" x14ac:dyDescent="0.3">
      <c r="B6" s="582"/>
      <c r="C6" s="583"/>
    </row>
    <row r="7" spans="1:6" ht="51" customHeight="1" x14ac:dyDescent="0.25">
      <c r="A7" s="879" t="s">
        <v>1398</v>
      </c>
      <c r="B7" s="880"/>
      <c r="C7" s="584" t="s">
        <v>1381</v>
      </c>
      <c r="D7" s="584" t="s">
        <v>1382</v>
      </c>
      <c r="E7" s="585" t="s">
        <v>1383</v>
      </c>
    </row>
    <row r="8" spans="1:6" ht="37.5" customHeight="1" thickBot="1" x14ac:dyDescent="0.3">
      <c r="A8" s="889" t="s">
        <v>1399</v>
      </c>
      <c r="B8" s="882"/>
      <c r="C8" s="586">
        <v>106905920</v>
      </c>
      <c r="D8" s="586">
        <v>53452960</v>
      </c>
      <c r="E8" s="587">
        <v>53452960</v>
      </c>
    </row>
    <row r="9" spans="1:6" ht="61.5" customHeight="1" x14ac:dyDescent="0.25">
      <c r="A9" s="883" t="s">
        <v>1385</v>
      </c>
      <c r="B9" s="884"/>
      <c r="C9" s="588" t="s">
        <v>1386</v>
      </c>
      <c r="D9" s="584" t="s">
        <v>1387</v>
      </c>
      <c r="E9" s="585" t="s">
        <v>1383</v>
      </c>
    </row>
    <row r="10" spans="1:6" ht="24" customHeight="1" x14ac:dyDescent="0.25">
      <c r="A10" s="589" t="s">
        <v>12</v>
      </c>
      <c r="B10" s="594" t="s">
        <v>1400</v>
      </c>
      <c r="C10" s="591">
        <v>5134000</v>
      </c>
      <c r="D10" s="591">
        <v>5134000</v>
      </c>
      <c r="E10" s="593">
        <v>0</v>
      </c>
    </row>
    <row r="11" spans="1:6" ht="24" customHeight="1" x14ac:dyDescent="0.25">
      <c r="A11" s="589" t="s">
        <v>17</v>
      </c>
      <c r="B11" s="594" t="s">
        <v>1401</v>
      </c>
      <c r="C11" s="591">
        <v>1244600</v>
      </c>
      <c r="D11" s="591">
        <v>1244600</v>
      </c>
      <c r="E11" s="593">
        <v>0</v>
      </c>
    </row>
    <row r="12" spans="1:6" ht="24" customHeight="1" x14ac:dyDescent="0.25">
      <c r="A12" s="589" t="s">
        <v>20</v>
      </c>
      <c r="B12" s="594" t="s">
        <v>1402</v>
      </c>
      <c r="C12" s="591">
        <f>57444640+57444640-89164</f>
        <v>114800116</v>
      </c>
      <c r="D12" s="591">
        <f>57444640+57444640-89164</f>
        <v>114800116</v>
      </c>
      <c r="E12" s="593">
        <v>0</v>
      </c>
    </row>
    <row r="13" spans="1:6" ht="24" customHeight="1" x14ac:dyDescent="0.25">
      <c r="A13" s="589" t="s">
        <v>22</v>
      </c>
      <c r="B13" s="594" t="s">
        <v>1403</v>
      </c>
      <c r="C13" s="591">
        <v>1244600</v>
      </c>
      <c r="D13" s="591">
        <v>1244600</v>
      </c>
      <c r="E13" s="593">
        <v>0</v>
      </c>
    </row>
    <row r="14" spans="1:6" ht="24" customHeight="1" x14ac:dyDescent="0.25">
      <c r="A14" s="589" t="s">
        <v>24</v>
      </c>
      <c r="B14" s="594" t="s">
        <v>1404</v>
      </c>
      <c r="C14" s="591">
        <f>1524000+1524000</f>
        <v>3048000</v>
      </c>
      <c r="D14" s="595">
        <f>C14-E14</f>
        <v>2813051</v>
      </c>
      <c r="E14" s="593">
        <f>219821+15128</f>
        <v>234949</v>
      </c>
    </row>
    <row r="15" spans="1:6" ht="24" customHeight="1" thickBot="1" x14ac:dyDescent="0.3">
      <c r="A15" s="589" t="s">
        <v>86</v>
      </c>
      <c r="B15" s="594" t="s">
        <v>1392</v>
      </c>
      <c r="C15" s="596">
        <v>300355</v>
      </c>
      <c r="D15" s="596">
        <v>300355</v>
      </c>
      <c r="E15" s="597">
        <v>0</v>
      </c>
    </row>
    <row r="16" spans="1:6" ht="24" customHeight="1" thickBot="1" x14ac:dyDescent="0.3">
      <c r="A16" s="887" t="s">
        <v>1394</v>
      </c>
      <c r="B16" s="888"/>
      <c r="C16" s="598">
        <f>SUM(C10:C15)</f>
        <v>125771671</v>
      </c>
      <c r="D16" s="598">
        <f>SUM(D10:D15)</f>
        <v>125536722</v>
      </c>
      <c r="E16" s="599">
        <f>SUM(E10:E15)</f>
        <v>234949</v>
      </c>
      <c r="F16" s="600"/>
    </row>
  </sheetData>
  <mergeCells count="7">
    <mergeCell ref="A16:B16"/>
    <mergeCell ref="A1:E1"/>
    <mergeCell ref="A2:E2"/>
    <mergeCell ref="A3:E3"/>
    <mergeCell ref="A7:B7"/>
    <mergeCell ref="A8:B8"/>
    <mergeCell ref="A9:B9"/>
  </mergeCells>
  <pageMargins left="0.7" right="0.7" top="0.75" bottom="0.75" header="0.3" footer="0.3"/>
  <pageSetup paperSize="9" orientation="landscape" r:id="rId1"/>
  <headerFooter>
    <oddHeader>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60" zoomScaleNormal="100" workbookViewId="0">
      <selection activeCell="E9" sqref="E9"/>
    </sheetView>
  </sheetViews>
  <sheetFormatPr defaultRowHeight="15" x14ac:dyDescent="0.25"/>
  <cols>
    <col min="1" max="1" width="2.5703125" bestFit="1" customWidth="1"/>
    <col min="2" max="2" width="45.140625" bestFit="1" customWidth="1"/>
    <col min="3" max="3" width="22.140625" customWidth="1"/>
    <col min="4" max="4" width="21.85546875" bestFit="1" customWidth="1"/>
    <col min="5" max="5" width="21.85546875" customWidth="1"/>
    <col min="6" max="6" width="14.5703125" bestFit="1" customWidth="1"/>
  </cols>
  <sheetData>
    <row r="1" spans="1:6" ht="24" customHeight="1" x14ac:dyDescent="0.3">
      <c r="A1" s="876" t="s">
        <v>1405</v>
      </c>
      <c r="B1" s="876"/>
      <c r="C1" s="876"/>
      <c r="D1" s="876"/>
      <c r="E1" s="876"/>
    </row>
    <row r="2" spans="1:6" x14ac:dyDescent="0.25">
      <c r="A2" s="877" t="s">
        <v>1406</v>
      </c>
      <c r="B2" s="877"/>
      <c r="C2" s="877"/>
      <c r="D2" s="877"/>
      <c r="E2" s="877"/>
    </row>
    <row r="3" spans="1:6" ht="15.75" x14ac:dyDescent="0.25">
      <c r="A3" s="878" t="s">
        <v>1407</v>
      </c>
      <c r="B3" s="878"/>
      <c r="C3" s="878"/>
      <c r="D3" s="878"/>
      <c r="E3" s="878"/>
    </row>
    <row r="5" spans="1:6" ht="15.75" x14ac:dyDescent="0.25">
      <c r="B5" s="582"/>
      <c r="C5" s="583"/>
    </row>
    <row r="6" spans="1:6" ht="16.5" thickBot="1" x14ac:dyDescent="0.3">
      <c r="B6" s="582"/>
      <c r="C6" s="583"/>
    </row>
    <row r="7" spans="1:6" ht="37.5" customHeight="1" x14ac:dyDescent="0.25">
      <c r="A7" s="879" t="s">
        <v>1398</v>
      </c>
      <c r="B7" s="880"/>
      <c r="C7" s="584" t="s">
        <v>1381</v>
      </c>
      <c r="D7" s="584" t="s">
        <v>1382</v>
      </c>
      <c r="E7" s="585" t="s">
        <v>1383</v>
      </c>
    </row>
    <row r="8" spans="1:6" ht="37.5" customHeight="1" thickBot="1" x14ac:dyDescent="0.3">
      <c r="A8" s="889" t="s">
        <v>1408</v>
      </c>
      <c r="B8" s="882"/>
      <c r="C8" s="586">
        <v>2760000</v>
      </c>
      <c r="D8" s="586">
        <v>2760000</v>
      </c>
      <c r="E8" s="587">
        <v>0</v>
      </c>
    </row>
    <row r="9" spans="1:6" ht="48.75" customHeight="1" x14ac:dyDescent="0.25">
      <c r="A9" s="883" t="s">
        <v>1385</v>
      </c>
      <c r="B9" s="884"/>
      <c r="C9" s="588" t="s">
        <v>1386</v>
      </c>
      <c r="D9" s="584" t="s">
        <v>1387</v>
      </c>
      <c r="E9" s="585" t="s">
        <v>1383</v>
      </c>
    </row>
    <row r="10" spans="1:6" ht="24" customHeight="1" x14ac:dyDescent="0.25">
      <c r="A10" s="589" t="s">
        <v>12</v>
      </c>
      <c r="B10" s="594" t="s">
        <v>1409</v>
      </c>
      <c r="C10" s="591">
        <v>3000000</v>
      </c>
      <c r="D10" s="591">
        <v>0</v>
      </c>
      <c r="E10" s="593">
        <v>3000000</v>
      </c>
    </row>
    <row r="11" spans="1:6" ht="24" customHeight="1" x14ac:dyDescent="0.25">
      <c r="A11" s="589" t="s">
        <v>17</v>
      </c>
      <c r="B11" s="594" t="s">
        <v>1410</v>
      </c>
      <c r="C11" s="591">
        <v>1435608</v>
      </c>
      <c r="D11" s="591">
        <v>0</v>
      </c>
      <c r="E11" s="593">
        <v>1435608</v>
      </c>
    </row>
    <row r="12" spans="1:6" ht="24" customHeight="1" thickBot="1" x14ac:dyDescent="0.3">
      <c r="A12" s="589" t="s">
        <v>20</v>
      </c>
      <c r="B12" s="594" t="s">
        <v>1411</v>
      </c>
      <c r="C12" s="591">
        <v>800000</v>
      </c>
      <c r="D12" s="591">
        <v>0</v>
      </c>
      <c r="E12" s="593">
        <v>800000</v>
      </c>
    </row>
    <row r="13" spans="1:6" ht="24" customHeight="1" thickBot="1" x14ac:dyDescent="0.3">
      <c r="A13" s="887" t="s">
        <v>1394</v>
      </c>
      <c r="B13" s="888"/>
      <c r="C13" s="598">
        <f>SUM(C10:C12)</f>
        <v>5235608</v>
      </c>
      <c r="D13" s="598">
        <f>SUM(D10:D12)</f>
        <v>0</v>
      </c>
      <c r="E13" s="599">
        <f>SUM(E10:E12)</f>
        <v>5235608</v>
      </c>
      <c r="F13" s="600"/>
    </row>
  </sheetData>
  <mergeCells count="7">
    <mergeCell ref="A13:B13"/>
    <mergeCell ref="A1:E1"/>
    <mergeCell ref="A2:E2"/>
    <mergeCell ref="A3:E3"/>
    <mergeCell ref="A7:B7"/>
    <mergeCell ref="A8:B8"/>
    <mergeCell ref="A9:B9"/>
  </mergeCells>
  <pageMargins left="0.7" right="0.7" top="0.75" bottom="0.75" header="0.3" footer="0.3"/>
  <pageSetup paperSize="9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4"/>
  <sheetViews>
    <sheetView view="pageBreakPreview" topLeftCell="A16" zoomScale="60" zoomScaleNormal="100" zoomScalePageLayoutView="70" workbookViewId="0">
      <selection activeCell="E31" sqref="E31"/>
    </sheetView>
  </sheetViews>
  <sheetFormatPr defaultColWidth="9.140625" defaultRowHeight="15" x14ac:dyDescent="0.25"/>
  <cols>
    <col min="1" max="1" width="8.140625" style="192" customWidth="1"/>
    <col min="2" max="2" width="9.140625" style="192"/>
    <col min="3" max="3" width="51.42578125" style="192" customWidth="1"/>
    <col min="4" max="11" width="23.85546875" style="192" customWidth="1"/>
    <col min="12" max="12" width="22.42578125" style="192" customWidth="1"/>
    <col min="13" max="13" width="25.7109375" style="192" customWidth="1"/>
    <col min="14" max="16384" width="9.140625" style="192"/>
  </cols>
  <sheetData>
    <row r="1" spans="1:13" ht="36.75" customHeight="1" x14ac:dyDescent="0.35">
      <c r="A1" s="701" t="s">
        <v>751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</row>
    <row r="2" spans="1:13" ht="40.5" customHeight="1" x14ac:dyDescent="0.25"/>
    <row r="3" spans="1:13" ht="19.5" customHeight="1" x14ac:dyDescent="0.3">
      <c r="A3" s="702" t="s">
        <v>752</v>
      </c>
      <c r="B3" s="703" t="s">
        <v>32</v>
      </c>
      <c r="C3" s="704"/>
      <c r="D3" s="193" t="s">
        <v>12</v>
      </c>
      <c r="E3" s="193" t="s">
        <v>17</v>
      </c>
      <c r="F3" s="193" t="s">
        <v>20</v>
      </c>
      <c r="G3" s="193" t="s">
        <v>22</v>
      </c>
      <c r="H3" s="193" t="s">
        <v>24</v>
      </c>
      <c r="I3" s="193" t="s">
        <v>86</v>
      </c>
      <c r="J3" s="193" t="s">
        <v>88</v>
      </c>
      <c r="K3" s="193" t="s">
        <v>89</v>
      </c>
      <c r="L3" s="193" t="s">
        <v>90</v>
      </c>
      <c r="M3" s="705" t="s">
        <v>753</v>
      </c>
    </row>
    <row r="4" spans="1:13" ht="78" x14ac:dyDescent="0.25">
      <c r="A4" s="702"/>
      <c r="B4" s="693"/>
      <c r="C4" s="694"/>
      <c r="D4" s="194" t="s">
        <v>76</v>
      </c>
      <c r="E4" s="194" t="s">
        <v>77</v>
      </c>
      <c r="F4" s="194" t="s">
        <v>78</v>
      </c>
      <c r="G4" s="194" t="s">
        <v>79</v>
      </c>
      <c r="H4" s="194" t="s">
        <v>81</v>
      </c>
      <c r="I4" s="194" t="s">
        <v>748</v>
      </c>
      <c r="J4" s="194" t="s">
        <v>744</v>
      </c>
      <c r="K4" s="194" t="s">
        <v>746</v>
      </c>
      <c r="L4" s="194" t="s">
        <v>80</v>
      </c>
      <c r="M4" s="706"/>
    </row>
    <row r="5" spans="1:13" ht="23.25" x14ac:dyDescent="0.3">
      <c r="A5" s="195" t="s">
        <v>12</v>
      </c>
      <c r="B5" s="699" t="s">
        <v>754</v>
      </c>
      <c r="C5" s="700"/>
      <c r="D5" s="196">
        <v>14849664</v>
      </c>
      <c r="E5" s="196">
        <v>10759276</v>
      </c>
      <c r="F5" s="196">
        <v>207520915</v>
      </c>
      <c r="G5" s="196">
        <v>481570</v>
      </c>
      <c r="H5" s="196">
        <v>933874</v>
      </c>
      <c r="I5" s="196">
        <v>18498</v>
      </c>
      <c r="J5" s="196">
        <v>7162921</v>
      </c>
      <c r="K5" s="196">
        <v>3563878</v>
      </c>
      <c r="L5" s="196">
        <v>3059875</v>
      </c>
      <c r="M5" s="197">
        <f t="shared" ref="M5:M24" si="0">SUM(D5:L5)</f>
        <v>248350471</v>
      </c>
    </row>
    <row r="6" spans="1:13" ht="23.25" customHeight="1" x14ac:dyDescent="0.3">
      <c r="A6" s="195" t="s">
        <v>17</v>
      </c>
      <c r="B6" s="699" t="s">
        <v>755</v>
      </c>
      <c r="C6" s="700"/>
      <c r="D6" s="196">
        <v>459681320</v>
      </c>
      <c r="E6" s="196">
        <v>137966151</v>
      </c>
      <c r="F6" s="196">
        <v>563726521</v>
      </c>
      <c r="G6" s="196">
        <v>339062953</v>
      </c>
      <c r="H6" s="196">
        <v>326464537</v>
      </c>
      <c r="I6" s="196">
        <v>74870386</v>
      </c>
      <c r="J6" s="196">
        <v>59407385</v>
      </c>
      <c r="K6" s="196">
        <v>31411973</v>
      </c>
      <c r="L6" s="196">
        <v>53696969</v>
      </c>
      <c r="M6" s="197">
        <f t="shared" si="0"/>
        <v>2046288195</v>
      </c>
    </row>
    <row r="7" spans="1:13" ht="81" customHeight="1" x14ac:dyDescent="0.3">
      <c r="A7" s="198" t="s">
        <v>20</v>
      </c>
      <c r="B7" s="707" t="s">
        <v>756</v>
      </c>
      <c r="C7" s="708"/>
      <c r="D7" s="199">
        <f t="shared" ref="D7:L7" si="1">+D5-D6</f>
        <v>-444831656</v>
      </c>
      <c r="E7" s="199">
        <f t="shared" si="1"/>
        <v>-127206875</v>
      </c>
      <c r="F7" s="199">
        <f>+F5-F6</f>
        <v>-356205606</v>
      </c>
      <c r="G7" s="199">
        <f>+G5-G6</f>
        <v>-338581383</v>
      </c>
      <c r="H7" s="199">
        <f t="shared" si="1"/>
        <v>-325530663</v>
      </c>
      <c r="I7" s="199">
        <f t="shared" si="1"/>
        <v>-74851888</v>
      </c>
      <c r="J7" s="199">
        <f t="shared" si="1"/>
        <v>-52244464</v>
      </c>
      <c r="K7" s="199">
        <f t="shared" si="1"/>
        <v>-27848095</v>
      </c>
      <c r="L7" s="199">
        <f t="shared" si="1"/>
        <v>-50637094</v>
      </c>
      <c r="M7" s="200">
        <f t="shared" si="0"/>
        <v>-1797937724</v>
      </c>
    </row>
    <row r="8" spans="1:13" ht="23.25" customHeight="1" x14ac:dyDescent="0.3">
      <c r="A8" s="195" t="s">
        <v>22</v>
      </c>
      <c r="B8" s="699" t="s">
        <v>757</v>
      </c>
      <c r="C8" s="700"/>
      <c r="D8" s="196">
        <v>474659543</v>
      </c>
      <c r="E8" s="196">
        <v>131244391</v>
      </c>
      <c r="F8" s="196">
        <v>415016873</v>
      </c>
      <c r="G8" s="196">
        <v>344633258</v>
      </c>
      <c r="H8" s="196">
        <v>332646710</v>
      </c>
      <c r="I8" s="196">
        <v>81517944</v>
      </c>
      <c r="J8" s="196">
        <v>54828959</v>
      </c>
      <c r="K8" s="196">
        <v>29326195</v>
      </c>
      <c r="L8" s="196">
        <v>52858535</v>
      </c>
      <c r="M8" s="197">
        <f t="shared" si="0"/>
        <v>1916732408</v>
      </c>
    </row>
    <row r="9" spans="1:13" ht="23.25" customHeight="1" x14ac:dyDescent="0.3">
      <c r="A9" s="195" t="s">
        <v>24</v>
      </c>
      <c r="B9" s="699" t="s">
        <v>758</v>
      </c>
      <c r="C9" s="700"/>
      <c r="D9" s="196">
        <v>0</v>
      </c>
      <c r="E9" s="196">
        <v>0</v>
      </c>
      <c r="F9" s="196">
        <v>0</v>
      </c>
      <c r="G9" s="196">
        <v>0</v>
      </c>
      <c r="H9" s="196"/>
      <c r="I9" s="196"/>
      <c r="J9" s="196"/>
      <c r="K9" s="196"/>
      <c r="L9" s="196"/>
      <c r="M9" s="197">
        <f t="shared" si="0"/>
        <v>0</v>
      </c>
    </row>
    <row r="10" spans="1:13" ht="88.5" customHeight="1" x14ac:dyDescent="0.3">
      <c r="A10" s="201" t="s">
        <v>86</v>
      </c>
      <c r="B10" s="693" t="s">
        <v>759</v>
      </c>
      <c r="C10" s="694"/>
      <c r="D10" s="202">
        <f t="shared" ref="D10:L10" si="2">+D8-D9</f>
        <v>474659543</v>
      </c>
      <c r="E10" s="202">
        <f t="shared" si="2"/>
        <v>131244391</v>
      </c>
      <c r="F10" s="202">
        <f t="shared" si="2"/>
        <v>415016873</v>
      </c>
      <c r="G10" s="202">
        <f t="shared" si="2"/>
        <v>344633258</v>
      </c>
      <c r="H10" s="202">
        <f t="shared" si="2"/>
        <v>332646710</v>
      </c>
      <c r="I10" s="202">
        <f t="shared" si="2"/>
        <v>81517944</v>
      </c>
      <c r="J10" s="202">
        <f t="shared" si="2"/>
        <v>54828959</v>
      </c>
      <c r="K10" s="202">
        <f t="shared" si="2"/>
        <v>29326195</v>
      </c>
      <c r="L10" s="202">
        <f t="shared" si="2"/>
        <v>52858535</v>
      </c>
      <c r="M10" s="197">
        <f t="shared" si="0"/>
        <v>1916732408</v>
      </c>
    </row>
    <row r="11" spans="1:13" ht="73.900000000000006" customHeight="1" x14ac:dyDescent="0.3">
      <c r="A11" s="201" t="s">
        <v>88</v>
      </c>
      <c r="B11" s="693" t="s">
        <v>760</v>
      </c>
      <c r="C11" s="694"/>
      <c r="D11" s="202">
        <f t="shared" ref="D11:L11" si="3">+D7+D10</f>
        <v>29827887</v>
      </c>
      <c r="E11" s="202">
        <f t="shared" si="3"/>
        <v>4037516</v>
      </c>
      <c r="F11" s="202">
        <f t="shared" si="3"/>
        <v>58811267</v>
      </c>
      <c r="G11" s="202">
        <f t="shared" si="3"/>
        <v>6051875</v>
      </c>
      <c r="H11" s="202">
        <f t="shared" si="3"/>
        <v>7116047</v>
      </c>
      <c r="I11" s="202">
        <f t="shared" si="3"/>
        <v>6666056</v>
      </c>
      <c r="J11" s="202">
        <f t="shared" si="3"/>
        <v>2584495</v>
      </c>
      <c r="K11" s="202">
        <f t="shared" si="3"/>
        <v>1478100</v>
      </c>
      <c r="L11" s="202">
        <f t="shared" si="3"/>
        <v>2221441</v>
      </c>
      <c r="M11" s="197">
        <f t="shared" si="0"/>
        <v>118794684</v>
      </c>
    </row>
    <row r="12" spans="1:13" ht="23.25" customHeight="1" x14ac:dyDescent="0.3">
      <c r="A12" s="201" t="s">
        <v>89</v>
      </c>
      <c r="B12" s="693" t="s">
        <v>761</v>
      </c>
      <c r="C12" s="694"/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/>
      <c r="J12" s="202">
        <v>0</v>
      </c>
      <c r="K12" s="202">
        <v>0</v>
      </c>
      <c r="L12" s="202">
        <v>0</v>
      </c>
      <c r="M12" s="197">
        <f t="shared" si="0"/>
        <v>0</v>
      </c>
    </row>
    <row r="13" spans="1:13" ht="60.75" customHeight="1" x14ac:dyDescent="0.3">
      <c r="A13" s="201" t="s">
        <v>90</v>
      </c>
      <c r="B13" s="695" t="s">
        <v>762</v>
      </c>
      <c r="C13" s="696"/>
      <c r="D13" s="203">
        <f>+D11+D12</f>
        <v>29827887</v>
      </c>
      <c r="E13" s="203">
        <f t="shared" ref="E13:L13" si="4">+E11+E12</f>
        <v>4037516</v>
      </c>
      <c r="F13" s="203">
        <f t="shared" si="4"/>
        <v>58811267</v>
      </c>
      <c r="G13" s="203">
        <f t="shared" si="4"/>
        <v>6051875</v>
      </c>
      <c r="H13" s="203">
        <f t="shared" si="4"/>
        <v>7116047</v>
      </c>
      <c r="I13" s="203">
        <f t="shared" si="4"/>
        <v>6666056</v>
      </c>
      <c r="J13" s="203">
        <f t="shared" si="4"/>
        <v>2584495</v>
      </c>
      <c r="K13" s="203">
        <f t="shared" si="4"/>
        <v>1478100</v>
      </c>
      <c r="L13" s="203">
        <f t="shared" si="4"/>
        <v>2221441</v>
      </c>
      <c r="M13" s="197">
        <f t="shared" si="0"/>
        <v>118794684</v>
      </c>
    </row>
    <row r="14" spans="1:13" ht="42.75" customHeight="1" x14ac:dyDescent="0.3">
      <c r="A14" s="201" t="s">
        <v>763</v>
      </c>
      <c r="B14" s="697" t="s">
        <v>764</v>
      </c>
      <c r="C14" s="698"/>
      <c r="D14" s="204">
        <v>1809150</v>
      </c>
      <c r="E14" s="204">
        <v>514126</v>
      </c>
      <c r="F14" s="204">
        <v>20423049</v>
      </c>
      <c r="G14" s="204">
        <v>1196326</v>
      </c>
      <c r="H14" s="204">
        <v>362712</v>
      </c>
      <c r="I14" s="204">
        <v>159125</v>
      </c>
      <c r="J14" s="204">
        <v>47180</v>
      </c>
      <c r="K14" s="204">
        <v>393085</v>
      </c>
      <c r="L14" s="204">
        <v>137908</v>
      </c>
      <c r="M14" s="197">
        <f t="shared" si="0"/>
        <v>25042661</v>
      </c>
    </row>
    <row r="15" spans="1:13" ht="23.25" customHeight="1" x14ac:dyDescent="0.25">
      <c r="A15" s="709"/>
      <c r="B15" s="711" t="s">
        <v>765</v>
      </c>
      <c r="C15" s="712"/>
      <c r="D15" s="205">
        <v>1809150</v>
      </c>
      <c r="E15" s="205">
        <v>514126</v>
      </c>
      <c r="F15" s="205">
        <f>+'13.c.sz.m.Kötött maradvány'!C192</f>
        <v>20423049</v>
      </c>
      <c r="G15" s="205">
        <f>+'13.c.sz.m.Kötött maradvány'!C211</f>
        <v>1196326</v>
      </c>
      <c r="H15" s="205">
        <f>+'13.c.sz.m.Kötött maradvány'!C252</f>
        <v>362712</v>
      </c>
      <c r="I15" s="205">
        <f>+'13.c.sz.m.Kötött maradvány'!C283</f>
        <v>159125</v>
      </c>
      <c r="J15" s="205">
        <f>+'13.c.sz.m.Kötött maradvány'!C291</f>
        <v>47180</v>
      </c>
      <c r="K15" s="205">
        <f>+'13.c.sz.m.Kötött maradvány'!C273</f>
        <v>393085</v>
      </c>
      <c r="L15" s="205">
        <f>+'13.c.sz.m.Kötött maradvány'!C263</f>
        <v>137908</v>
      </c>
      <c r="M15" s="200">
        <f t="shared" si="0"/>
        <v>25042661</v>
      </c>
    </row>
    <row r="16" spans="1:13" ht="23.25" customHeight="1" x14ac:dyDescent="0.25">
      <c r="A16" s="710"/>
      <c r="B16" s="711" t="s">
        <v>766</v>
      </c>
      <c r="C16" s="712"/>
      <c r="D16" s="205">
        <v>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/>
      <c r="L16" s="205">
        <v>0</v>
      </c>
      <c r="M16" s="200">
        <f t="shared" si="0"/>
        <v>0</v>
      </c>
    </row>
    <row r="17" spans="1:13" ht="59.25" customHeight="1" x14ac:dyDescent="0.3">
      <c r="A17" s="201" t="s">
        <v>767</v>
      </c>
      <c r="B17" s="695" t="s">
        <v>768</v>
      </c>
      <c r="C17" s="696"/>
      <c r="D17" s="203">
        <f t="shared" ref="D17:L17" si="5">+D11-D14</f>
        <v>28018737</v>
      </c>
      <c r="E17" s="203">
        <f t="shared" si="5"/>
        <v>3523390</v>
      </c>
      <c r="F17" s="203">
        <f t="shared" si="5"/>
        <v>38388218</v>
      </c>
      <c r="G17" s="203">
        <f t="shared" si="5"/>
        <v>4855549</v>
      </c>
      <c r="H17" s="203">
        <f t="shared" si="5"/>
        <v>6753335</v>
      </c>
      <c r="I17" s="203">
        <f t="shared" si="5"/>
        <v>6506931</v>
      </c>
      <c r="J17" s="203">
        <f t="shared" si="5"/>
        <v>2537315</v>
      </c>
      <c r="K17" s="203">
        <f t="shared" si="5"/>
        <v>1085015</v>
      </c>
      <c r="L17" s="203">
        <f t="shared" si="5"/>
        <v>2083533</v>
      </c>
      <c r="M17" s="197">
        <f t="shared" si="0"/>
        <v>93752023</v>
      </c>
    </row>
    <row r="18" spans="1:13" ht="23.25" customHeight="1" x14ac:dyDescent="0.3">
      <c r="A18" s="201" t="s">
        <v>769</v>
      </c>
      <c r="B18" s="694" t="s">
        <v>770</v>
      </c>
      <c r="C18" s="694"/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197">
        <f t="shared" si="0"/>
        <v>0</v>
      </c>
    </row>
    <row r="19" spans="1:13" ht="23.25" customHeight="1" x14ac:dyDescent="0.3">
      <c r="A19" s="201" t="s">
        <v>771</v>
      </c>
      <c r="B19" s="715" t="s">
        <v>772</v>
      </c>
      <c r="C19" s="716"/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f>SUM(J20:J21)</f>
        <v>337075</v>
      </c>
      <c r="K19" s="203">
        <f>SUM(K20:K21)</f>
        <v>0</v>
      </c>
      <c r="L19" s="203">
        <v>0</v>
      </c>
      <c r="M19" s="197">
        <f t="shared" si="0"/>
        <v>337075</v>
      </c>
    </row>
    <row r="20" spans="1:13" ht="23.25" customHeight="1" x14ac:dyDescent="0.25">
      <c r="A20" s="709"/>
      <c r="B20" s="711" t="s">
        <v>765</v>
      </c>
      <c r="C20" s="712"/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f>+'13.c.sz.m.Kötött maradvány'!C294</f>
        <v>337075</v>
      </c>
      <c r="K20" s="206">
        <v>0</v>
      </c>
      <c r="L20" s="206">
        <v>0</v>
      </c>
      <c r="M20" s="200">
        <f t="shared" si="0"/>
        <v>337075</v>
      </c>
    </row>
    <row r="21" spans="1:13" ht="23.25" customHeight="1" x14ac:dyDescent="0.25">
      <c r="A21" s="710"/>
      <c r="B21" s="711" t="s">
        <v>766</v>
      </c>
      <c r="C21" s="712"/>
      <c r="D21" s="206">
        <v>0</v>
      </c>
      <c r="E21" s="206">
        <v>0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0">
        <f t="shared" si="0"/>
        <v>0</v>
      </c>
    </row>
    <row r="22" spans="1:13" ht="47.45" customHeight="1" x14ac:dyDescent="0.3">
      <c r="A22" s="201" t="s">
        <v>773</v>
      </c>
      <c r="B22" s="715" t="s">
        <v>774</v>
      </c>
      <c r="C22" s="716"/>
      <c r="D22" s="203">
        <f>+D17-D18-D19</f>
        <v>28018737</v>
      </c>
      <c r="E22" s="203">
        <f t="shared" ref="E22:L22" si="6">+E17-E18-E19</f>
        <v>3523390</v>
      </c>
      <c r="F22" s="203">
        <f t="shared" si="6"/>
        <v>38388218</v>
      </c>
      <c r="G22" s="203">
        <f t="shared" si="6"/>
        <v>4855549</v>
      </c>
      <c r="H22" s="203">
        <f t="shared" si="6"/>
        <v>6753335</v>
      </c>
      <c r="I22" s="203">
        <f t="shared" si="6"/>
        <v>6506931</v>
      </c>
      <c r="J22" s="203">
        <f t="shared" si="6"/>
        <v>2200240</v>
      </c>
      <c r="K22" s="203">
        <f t="shared" si="6"/>
        <v>1085015</v>
      </c>
      <c r="L22" s="203">
        <f t="shared" si="6"/>
        <v>2083533</v>
      </c>
      <c r="M22" s="197">
        <f t="shared" si="0"/>
        <v>93414948</v>
      </c>
    </row>
    <row r="23" spans="1:13" s="210" customFormat="1" ht="47.45" customHeight="1" x14ac:dyDescent="0.3">
      <c r="A23" s="207" t="s">
        <v>775</v>
      </c>
      <c r="B23" s="713" t="s">
        <v>776</v>
      </c>
      <c r="C23" s="714"/>
      <c r="D23" s="208">
        <f>+'13.d.sz.m.Szabad maradvány'!D71+'13.d.sz.m.Szabad maradvány'!D72</f>
        <v>9555670</v>
      </c>
      <c r="E23" s="208">
        <f>+'13.d.sz.m.Szabad maradvány'!D75</f>
        <v>375000</v>
      </c>
      <c r="F23" s="208">
        <f>+'13.d.sz.m.Szabad maradvány'!D77</f>
        <v>1750125</v>
      </c>
      <c r="G23" s="208">
        <f>+'13.d.sz.m.Szabad maradvány'!D74</f>
        <v>1942500</v>
      </c>
      <c r="H23" s="208">
        <f>+'13.d.sz.m.Szabad maradvány'!D73</f>
        <v>1143000</v>
      </c>
      <c r="I23" s="208">
        <f>+'13.d.sz.m.Szabad maradvány'!D80</f>
        <v>1381125</v>
      </c>
      <c r="J23" s="208">
        <f>+'13.d.sz.m.Szabad maradvány'!D78</f>
        <v>538125</v>
      </c>
      <c r="K23" s="208">
        <f>+'13.d.sz.m.Szabad maradvány'!D79</f>
        <v>565500</v>
      </c>
      <c r="L23" s="208">
        <f>+'13.d.sz.m.Szabad maradvány'!D76</f>
        <v>660750</v>
      </c>
      <c r="M23" s="209">
        <f t="shared" si="0"/>
        <v>17911795</v>
      </c>
    </row>
    <row r="24" spans="1:13" ht="23.25" customHeight="1" x14ac:dyDescent="0.3">
      <c r="A24" s="201" t="s">
        <v>777</v>
      </c>
      <c r="B24" s="697" t="s">
        <v>778</v>
      </c>
      <c r="C24" s="698"/>
      <c r="D24" s="211">
        <f>+D22-D23</f>
        <v>18463067</v>
      </c>
      <c r="E24" s="211">
        <f t="shared" ref="E24:L24" si="7">+E22-E23</f>
        <v>3148390</v>
      </c>
      <c r="F24" s="211">
        <f t="shared" si="7"/>
        <v>36638093</v>
      </c>
      <c r="G24" s="211">
        <f t="shared" si="7"/>
        <v>2913049</v>
      </c>
      <c r="H24" s="211">
        <f t="shared" si="7"/>
        <v>5610335</v>
      </c>
      <c r="I24" s="211">
        <f t="shared" si="7"/>
        <v>5125806</v>
      </c>
      <c r="J24" s="211">
        <f t="shared" si="7"/>
        <v>1662115</v>
      </c>
      <c r="K24" s="211">
        <f t="shared" si="7"/>
        <v>519515</v>
      </c>
      <c r="L24" s="211">
        <f t="shared" si="7"/>
        <v>1422783</v>
      </c>
      <c r="M24" s="197">
        <f t="shared" si="0"/>
        <v>75503153</v>
      </c>
    </row>
  </sheetData>
  <mergeCells count="26">
    <mergeCell ref="A15:A16"/>
    <mergeCell ref="B15:C15"/>
    <mergeCell ref="B16:C16"/>
    <mergeCell ref="B23:C23"/>
    <mergeCell ref="B24:C24"/>
    <mergeCell ref="B18:C18"/>
    <mergeCell ref="B19:C19"/>
    <mergeCell ref="A20:A21"/>
    <mergeCell ref="B20:C20"/>
    <mergeCell ref="B21:C21"/>
    <mergeCell ref="B22:C22"/>
    <mergeCell ref="B17:C17"/>
    <mergeCell ref="B12:C12"/>
    <mergeCell ref="B13:C13"/>
    <mergeCell ref="B14:C14"/>
    <mergeCell ref="B6:C6"/>
    <mergeCell ref="A1:M1"/>
    <mergeCell ref="A3:A4"/>
    <mergeCell ref="B3:C4"/>
    <mergeCell ref="M3:M4"/>
    <mergeCell ref="B5:C5"/>
    <mergeCell ref="B7:C7"/>
    <mergeCell ref="B8:C8"/>
    <mergeCell ref="B9:C9"/>
    <mergeCell ref="B10:C10"/>
    <mergeCell ref="B11:C11"/>
  </mergeCells>
  <pageMargins left="0.31496062992125984" right="0.23622047244094491" top="0.59055118110236227" bottom="0.74803149606299213" header="0.31496062992125984" footer="0.31496062992125984"/>
  <pageSetup paperSize="9" scale="46" orientation="landscape" r:id="rId1"/>
  <headerFooter>
    <oddHeader>&amp;CDunaharaszti Város Önkormányzat 2017. évi zárszámadás&amp;R&amp;A</oddHeader>
    <oddFooter xml:space="preserve">&amp;C&amp;P/&amp;N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60" zoomScaleNormal="100" workbookViewId="0">
      <selection activeCell="E7" sqref="E7"/>
    </sheetView>
  </sheetViews>
  <sheetFormatPr defaultRowHeight="15" x14ac:dyDescent="0.25"/>
  <cols>
    <col min="1" max="1" width="2.5703125" bestFit="1" customWidth="1"/>
    <col min="2" max="2" width="51" customWidth="1"/>
    <col min="3" max="3" width="22.140625" customWidth="1"/>
    <col min="4" max="4" width="21.85546875" bestFit="1" customWidth="1"/>
    <col min="5" max="5" width="22.28515625" customWidth="1"/>
    <col min="6" max="6" width="14.5703125" bestFit="1" customWidth="1"/>
  </cols>
  <sheetData>
    <row r="1" spans="1:6" ht="24" customHeight="1" x14ac:dyDescent="0.3">
      <c r="A1" s="876" t="s">
        <v>1412</v>
      </c>
      <c r="B1" s="876"/>
      <c r="C1" s="876"/>
      <c r="D1" s="876"/>
      <c r="E1" s="876"/>
    </row>
    <row r="2" spans="1:6" x14ac:dyDescent="0.25">
      <c r="A2" s="877" t="s">
        <v>1413</v>
      </c>
      <c r="B2" s="877"/>
      <c r="C2" s="877"/>
      <c r="D2" s="877"/>
      <c r="E2" s="877"/>
    </row>
    <row r="3" spans="1:6" ht="15.75" x14ac:dyDescent="0.25">
      <c r="A3" s="878" t="s">
        <v>1414</v>
      </c>
      <c r="B3" s="878"/>
      <c r="C3" s="878"/>
      <c r="D3" s="878"/>
      <c r="E3" s="878"/>
    </row>
    <row r="5" spans="1:6" ht="15.75" x14ac:dyDescent="0.25">
      <c r="B5" s="582"/>
      <c r="C5" s="583"/>
    </row>
    <row r="6" spans="1:6" ht="16.5" thickBot="1" x14ac:dyDescent="0.3">
      <c r="B6" s="582"/>
      <c r="C6" s="583"/>
    </row>
    <row r="7" spans="1:6" ht="51" customHeight="1" x14ac:dyDescent="0.25">
      <c r="A7" s="879" t="s">
        <v>1398</v>
      </c>
      <c r="B7" s="880"/>
      <c r="C7" s="584" t="s">
        <v>1381</v>
      </c>
      <c r="D7" s="584" t="s">
        <v>1382</v>
      </c>
      <c r="E7" s="585" t="s">
        <v>1383</v>
      </c>
    </row>
    <row r="8" spans="1:6" ht="37.5" customHeight="1" thickBot="1" x14ac:dyDescent="0.3">
      <c r="A8" s="889" t="s">
        <v>1415</v>
      </c>
      <c r="B8" s="882"/>
      <c r="C8" s="586">
        <v>3000000</v>
      </c>
      <c r="D8" s="586">
        <v>3000000</v>
      </c>
      <c r="E8" s="587">
        <v>0</v>
      </c>
    </row>
    <row r="9" spans="1:6" ht="50.25" customHeight="1" x14ac:dyDescent="0.25">
      <c r="A9" s="883" t="s">
        <v>1385</v>
      </c>
      <c r="B9" s="884"/>
      <c r="C9" s="588" t="s">
        <v>1386</v>
      </c>
      <c r="D9" s="584" t="s">
        <v>1387</v>
      </c>
      <c r="E9" s="585" t="s">
        <v>1383</v>
      </c>
    </row>
    <row r="10" spans="1:6" ht="45" x14ac:dyDescent="0.25">
      <c r="A10" s="589" t="s">
        <v>12</v>
      </c>
      <c r="B10" s="594" t="s">
        <v>1416</v>
      </c>
      <c r="C10" s="591">
        <v>3000000</v>
      </c>
      <c r="D10" s="591">
        <v>0</v>
      </c>
      <c r="E10" s="593">
        <v>3000000</v>
      </c>
    </row>
    <row r="11" spans="1:6" ht="24" customHeight="1" x14ac:dyDescent="0.25">
      <c r="A11" s="589" t="s">
        <v>17</v>
      </c>
      <c r="B11" s="594" t="s">
        <v>1417</v>
      </c>
      <c r="C11" s="591">
        <v>4620000</v>
      </c>
      <c r="D11" s="591">
        <v>0</v>
      </c>
      <c r="E11" s="593">
        <v>4620000</v>
      </c>
    </row>
    <row r="12" spans="1:6" ht="24" customHeight="1" thickBot="1" x14ac:dyDescent="0.3">
      <c r="A12" s="589" t="s">
        <v>20</v>
      </c>
      <c r="B12" s="594" t="s">
        <v>1418</v>
      </c>
      <c r="C12" s="591">
        <v>1143000</v>
      </c>
      <c r="D12" s="591">
        <v>0</v>
      </c>
      <c r="E12" s="593">
        <v>1143000</v>
      </c>
    </row>
    <row r="13" spans="1:6" ht="24" customHeight="1" thickBot="1" x14ac:dyDescent="0.3">
      <c r="A13" s="887" t="s">
        <v>1394</v>
      </c>
      <c r="B13" s="888"/>
      <c r="C13" s="598">
        <f>SUM(C10:C12)</f>
        <v>8763000</v>
      </c>
      <c r="D13" s="598">
        <f>SUM(D10:D12)</f>
        <v>0</v>
      </c>
      <c r="E13" s="599">
        <f>SUM(E10:E12)</f>
        <v>8763000</v>
      </c>
      <c r="F13" s="600"/>
    </row>
  </sheetData>
  <mergeCells count="7">
    <mergeCell ref="A13:B13"/>
    <mergeCell ref="A1:E1"/>
    <mergeCell ref="A2:E2"/>
    <mergeCell ref="A3:E3"/>
    <mergeCell ref="A7:B7"/>
    <mergeCell ref="A8:B8"/>
    <mergeCell ref="A9:B9"/>
  </mergeCells>
  <pageMargins left="0.7" right="0.7" top="0.75" bottom="0.75" header="0.3" footer="0.3"/>
  <pageSetup paperSize="9" orientation="landscape" r:id="rId1"/>
  <headerFooter>
    <oddHeader>&amp;R&amp;A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zoomScaleNormal="100" workbookViewId="0">
      <selection activeCell="E9" sqref="E9"/>
    </sheetView>
  </sheetViews>
  <sheetFormatPr defaultRowHeight="15" x14ac:dyDescent="0.25"/>
  <cols>
    <col min="1" max="1" width="2.5703125" bestFit="1" customWidth="1"/>
    <col min="2" max="2" width="45.140625" bestFit="1" customWidth="1"/>
    <col min="3" max="3" width="22.140625" customWidth="1"/>
    <col min="4" max="4" width="21.85546875" bestFit="1" customWidth="1"/>
    <col min="5" max="5" width="18.28515625" customWidth="1"/>
    <col min="6" max="6" width="14.5703125" bestFit="1" customWidth="1"/>
  </cols>
  <sheetData>
    <row r="1" spans="1:6" ht="24" customHeight="1" x14ac:dyDescent="0.3">
      <c r="A1" s="876" t="s">
        <v>1437</v>
      </c>
      <c r="B1" s="876"/>
      <c r="C1" s="876"/>
      <c r="D1" s="876"/>
      <c r="E1" s="876"/>
    </row>
    <row r="2" spans="1:6" x14ac:dyDescent="0.25">
      <c r="A2" s="877" t="s">
        <v>1438</v>
      </c>
      <c r="B2" s="877"/>
      <c r="C2" s="877"/>
      <c r="D2" s="877"/>
      <c r="E2" s="877"/>
    </row>
    <row r="3" spans="1:6" ht="15.75" x14ac:dyDescent="0.25">
      <c r="A3" s="608"/>
      <c r="B3" s="608"/>
      <c r="C3" s="608"/>
      <c r="D3" s="608"/>
      <c r="E3" s="608"/>
    </row>
    <row r="5" spans="1:6" ht="15.75" x14ac:dyDescent="0.25">
      <c r="B5" s="582"/>
      <c r="C5" s="583"/>
    </row>
    <row r="6" spans="1:6" ht="16.5" thickBot="1" x14ac:dyDescent="0.3">
      <c r="B6" s="582"/>
      <c r="C6" s="583"/>
    </row>
    <row r="7" spans="1:6" ht="45" customHeight="1" x14ac:dyDescent="0.25">
      <c r="A7" s="879" t="s">
        <v>1439</v>
      </c>
      <c r="B7" s="880"/>
      <c r="C7" s="584" t="s">
        <v>1381</v>
      </c>
      <c r="D7" s="584" t="s">
        <v>1382</v>
      </c>
      <c r="E7" s="585" t="s">
        <v>1383</v>
      </c>
    </row>
    <row r="8" spans="1:6" ht="37.5" customHeight="1" thickBot="1" x14ac:dyDescent="0.3">
      <c r="A8" s="889" t="s">
        <v>1384</v>
      </c>
      <c r="B8" s="882"/>
      <c r="C8" s="586">
        <v>150000000</v>
      </c>
      <c r="D8" s="586">
        <v>150000000</v>
      </c>
      <c r="E8" s="587">
        <v>0</v>
      </c>
    </row>
    <row r="9" spans="1:6" ht="54" customHeight="1" x14ac:dyDescent="0.25">
      <c r="A9" s="883" t="s">
        <v>1385</v>
      </c>
      <c r="B9" s="884"/>
      <c r="C9" s="588" t="s">
        <v>1386</v>
      </c>
      <c r="D9" s="584" t="s">
        <v>1387</v>
      </c>
      <c r="E9" s="585" t="s">
        <v>1383</v>
      </c>
    </row>
    <row r="10" spans="1:6" ht="24" customHeight="1" x14ac:dyDescent="0.25">
      <c r="A10" s="589" t="s">
        <v>12</v>
      </c>
      <c r="B10" s="594" t="s">
        <v>1440</v>
      </c>
      <c r="C10" s="591">
        <v>13500000</v>
      </c>
      <c r="D10" s="591">
        <v>0</v>
      </c>
      <c r="E10" s="593">
        <v>13500000</v>
      </c>
    </row>
    <row r="11" spans="1:6" ht="24" customHeight="1" x14ac:dyDescent="0.25">
      <c r="A11" s="589" t="s">
        <v>17</v>
      </c>
      <c r="B11" s="594" t="s">
        <v>1441</v>
      </c>
      <c r="C11" s="591">
        <v>98500000</v>
      </c>
      <c r="D11" s="591">
        <v>0</v>
      </c>
      <c r="E11" s="593">
        <v>98500000</v>
      </c>
    </row>
    <row r="12" spans="1:6" ht="24" customHeight="1" x14ac:dyDescent="0.25">
      <c r="A12" s="589" t="s">
        <v>20</v>
      </c>
      <c r="B12" s="594" t="s">
        <v>1442</v>
      </c>
      <c r="C12" s="591">
        <v>30500000</v>
      </c>
      <c r="D12" s="591">
        <v>0</v>
      </c>
      <c r="E12" s="593">
        <v>30500000</v>
      </c>
    </row>
    <row r="13" spans="1:6" ht="24" customHeight="1" x14ac:dyDescent="0.25">
      <c r="A13" s="589" t="s">
        <v>22</v>
      </c>
      <c r="B13" s="594" t="s">
        <v>1443</v>
      </c>
      <c r="C13" s="591">
        <v>3500000</v>
      </c>
      <c r="D13" s="591">
        <v>0</v>
      </c>
      <c r="E13" s="593">
        <v>3500000</v>
      </c>
    </row>
    <row r="14" spans="1:6" ht="24" customHeight="1" thickBot="1" x14ac:dyDescent="0.3">
      <c r="A14" s="589" t="s">
        <v>24</v>
      </c>
      <c r="B14" s="594" t="s">
        <v>1444</v>
      </c>
      <c r="C14" s="591">
        <v>4000000</v>
      </c>
      <c r="D14" s="595">
        <v>0</v>
      </c>
      <c r="E14" s="593">
        <v>4000000</v>
      </c>
    </row>
    <row r="15" spans="1:6" ht="24" customHeight="1" thickBot="1" x14ac:dyDescent="0.3">
      <c r="A15" s="887" t="s">
        <v>1394</v>
      </c>
      <c r="B15" s="888"/>
      <c r="C15" s="598">
        <f>SUM(C10:C14)</f>
        <v>150000000</v>
      </c>
      <c r="D15" s="598">
        <f>SUM(D10:D14)</f>
        <v>0</v>
      </c>
      <c r="E15" s="599">
        <f>SUM(E10:E14)</f>
        <v>150000000</v>
      </c>
      <c r="F15" s="600"/>
    </row>
  </sheetData>
  <mergeCells count="6">
    <mergeCell ref="A15:B15"/>
    <mergeCell ref="A1:E1"/>
    <mergeCell ref="A2:E2"/>
    <mergeCell ref="A7:B7"/>
    <mergeCell ref="A8:B8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="60" zoomScaleNormal="100" workbookViewId="0">
      <selection activeCell="I28" sqref="I28"/>
    </sheetView>
  </sheetViews>
  <sheetFormatPr defaultRowHeight="15" x14ac:dyDescent="0.25"/>
  <cols>
    <col min="1" max="1" width="67.7109375" bestFit="1" customWidth="1"/>
    <col min="2" max="6" width="12" bestFit="1" customWidth="1"/>
  </cols>
  <sheetData>
    <row r="1" spans="1:17" ht="17.25" x14ac:dyDescent="0.3">
      <c r="A1" s="890" t="s">
        <v>1445</v>
      </c>
      <c r="B1" s="890"/>
      <c r="C1" s="890"/>
      <c r="D1" s="890"/>
      <c r="E1" s="890"/>
      <c r="F1" s="890"/>
      <c r="G1" s="890"/>
      <c r="H1" s="609"/>
      <c r="I1" s="609"/>
      <c r="J1" s="609"/>
      <c r="K1" s="609"/>
      <c r="L1" s="609"/>
      <c r="M1" s="609"/>
      <c r="N1" s="609"/>
      <c r="O1" s="609"/>
      <c r="P1" s="609"/>
      <c r="Q1" s="609"/>
    </row>
    <row r="2" spans="1:17" ht="15.75" x14ac:dyDescent="0.2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</row>
    <row r="3" spans="1:17" x14ac:dyDescent="0.25">
      <c r="A3" s="611"/>
      <c r="B3" s="611"/>
      <c r="C3" s="611"/>
      <c r="D3" s="611"/>
      <c r="E3" s="611"/>
      <c r="F3" s="611"/>
      <c r="G3" s="611"/>
      <c r="H3" s="611"/>
      <c r="I3" s="611"/>
      <c r="J3" s="611"/>
      <c r="L3" s="611"/>
      <c r="M3" s="611"/>
      <c r="N3" s="611"/>
      <c r="O3" s="611"/>
      <c r="P3" s="611"/>
      <c r="Q3" s="611"/>
    </row>
    <row r="4" spans="1:17" ht="15.75" x14ac:dyDescent="0.25">
      <c r="A4" s="891" t="s">
        <v>1446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611"/>
      <c r="N4" s="611"/>
      <c r="O4" s="611"/>
      <c r="P4" s="611"/>
      <c r="Q4" s="611"/>
    </row>
    <row r="5" spans="1:17" ht="15.75" x14ac:dyDescent="0.25">
      <c r="A5" s="612" t="s">
        <v>1447</v>
      </c>
      <c r="B5" s="612"/>
      <c r="C5" s="613"/>
      <c r="D5" s="613"/>
      <c r="E5" s="613"/>
      <c r="F5" s="613"/>
      <c r="G5" s="613"/>
      <c r="H5" s="613"/>
      <c r="I5" s="613"/>
      <c r="J5" s="613"/>
      <c r="L5" s="611"/>
      <c r="M5" s="611"/>
      <c r="N5" s="611"/>
      <c r="O5" s="611"/>
      <c r="P5" s="611"/>
      <c r="Q5" s="611"/>
    </row>
    <row r="6" spans="1:17" ht="15.75" x14ac:dyDescent="0.25">
      <c r="A6" s="614" t="s">
        <v>1448</v>
      </c>
      <c r="B6" s="615"/>
      <c r="C6" s="613"/>
      <c r="D6" s="613"/>
      <c r="E6" s="613"/>
      <c r="F6" s="613"/>
      <c r="G6" s="613"/>
      <c r="H6" s="613"/>
      <c r="I6" s="613"/>
      <c r="J6" s="613"/>
      <c r="L6" s="611"/>
      <c r="M6" s="611"/>
      <c r="N6" s="611"/>
      <c r="O6" s="611"/>
      <c r="P6" s="611"/>
      <c r="Q6" s="611"/>
    </row>
    <row r="7" spans="1:17" ht="15.75" x14ac:dyDescent="0.25">
      <c r="A7" s="616" t="s">
        <v>1449</v>
      </c>
      <c r="B7" s="616"/>
      <c r="C7" s="613"/>
      <c r="D7" s="613"/>
      <c r="E7" s="613"/>
      <c r="F7" s="613"/>
      <c r="G7" s="613"/>
      <c r="H7" s="613"/>
      <c r="I7" s="613"/>
      <c r="J7" s="613"/>
      <c r="L7" s="611"/>
      <c r="M7" s="611"/>
      <c r="N7" s="611"/>
      <c r="O7" s="611"/>
      <c r="P7" s="611"/>
      <c r="Q7" s="611"/>
    </row>
    <row r="10" spans="1:17" x14ac:dyDescent="0.25">
      <c r="A10" s="592"/>
      <c r="B10" s="617">
        <v>41887</v>
      </c>
      <c r="C10" s="617">
        <f>B10+365</f>
        <v>42252</v>
      </c>
      <c r="D10" s="617">
        <f>C10+365</f>
        <v>42617</v>
      </c>
      <c r="E10" s="617">
        <f>D10+365</f>
        <v>42982</v>
      </c>
      <c r="F10" s="617">
        <f>E10+365</f>
        <v>43347</v>
      </c>
    </row>
    <row r="11" spans="1:17" x14ac:dyDescent="0.25">
      <c r="A11" s="618" t="s">
        <v>1450</v>
      </c>
      <c r="B11" s="592">
        <v>65</v>
      </c>
      <c r="C11" s="592">
        <v>65</v>
      </c>
      <c r="D11" s="592">
        <v>65</v>
      </c>
      <c r="E11" s="592">
        <v>65</v>
      </c>
      <c r="F11" s="592">
        <v>65</v>
      </c>
    </row>
    <row r="12" spans="1:17" ht="30" x14ac:dyDescent="0.25">
      <c r="A12" s="618" t="s">
        <v>1451</v>
      </c>
      <c r="B12" s="592">
        <v>242</v>
      </c>
      <c r="C12" s="592">
        <v>242</v>
      </c>
      <c r="D12" s="592">
        <v>242</v>
      </c>
      <c r="E12" s="592">
        <v>242</v>
      </c>
      <c r="F12" s="592">
        <v>242</v>
      </c>
    </row>
    <row r="13" spans="1:17" x14ac:dyDescent="0.25">
      <c r="A13" s="618" t="s">
        <v>1452</v>
      </c>
      <c r="B13" s="592">
        <v>19</v>
      </c>
      <c r="C13" s="592">
        <v>19</v>
      </c>
      <c r="D13" s="592">
        <v>19</v>
      </c>
      <c r="E13" s="592">
        <v>19</v>
      </c>
      <c r="F13" s="592">
        <v>19</v>
      </c>
    </row>
    <row r="15" spans="1:17" ht="15.75" x14ac:dyDescent="0.25">
      <c r="A15" s="616" t="s">
        <v>1453</v>
      </c>
    </row>
    <row r="16" spans="1:17" x14ac:dyDescent="0.25">
      <c r="A16" s="619" t="s">
        <v>1454</v>
      </c>
      <c r="B16" s="592">
        <v>86</v>
      </c>
      <c r="C16" s="592">
        <v>86</v>
      </c>
      <c r="D16" s="592">
        <v>86</v>
      </c>
      <c r="E16" s="592">
        <v>86</v>
      </c>
      <c r="F16" s="592">
        <v>86</v>
      </c>
    </row>
    <row r="17" spans="1:6" x14ac:dyDescent="0.25">
      <c r="A17" s="619" t="s">
        <v>1455</v>
      </c>
      <c r="B17" s="592">
        <v>57</v>
      </c>
      <c r="C17" s="592">
        <v>57</v>
      </c>
      <c r="D17" s="592">
        <v>57</v>
      </c>
      <c r="E17" s="592">
        <v>57</v>
      </c>
      <c r="F17" s="592">
        <v>57</v>
      </c>
    </row>
    <row r="18" spans="1:6" x14ac:dyDescent="0.25">
      <c r="A18" s="619" t="s">
        <v>1456</v>
      </c>
      <c r="B18" s="592">
        <v>16350</v>
      </c>
      <c r="C18" s="592">
        <v>16350</v>
      </c>
      <c r="D18" s="592">
        <v>16350</v>
      </c>
      <c r="E18" s="592">
        <v>16350</v>
      </c>
      <c r="F18" s="592">
        <v>16350</v>
      </c>
    </row>
    <row r="19" spans="1:6" x14ac:dyDescent="0.25">
      <c r="A19" s="619" t="s">
        <v>1457</v>
      </c>
      <c r="B19" s="592">
        <v>8530</v>
      </c>
      <c r="C19" s="592">
        <v>8530</v>
      </c>
      <c r="D19" s="592">
        <v>8530</v>
      </c>
      <c r="E19" s="592">
        <v>8530</v>
      </c>
      <c r="F19" s="592">
        <v>8530</v>
      </c>
    </row>
    <row r="20" spans="1:6" x14ac:dyDescent="0.25">
      <c r="A20" s="619" t="s">
        <v>1458</v>
      </c>
      <c r="B20" s="592">
        <v>350</v>
      </c>
      <c r="C20" s="592">
        <v>350</v>
      </c>
      <c r="D20" s="592">
        <v>350</v>
      </c>
      <c r="E20" s="592">
        <v>350</v>
      </c>
      <c r="F20" s="592">
        <v>350</v>
      </c>
    </row>
    <row r="21" spans="1:6" x14ac:dyDescent="0.25">
      <c r="A21" s="619" t="s">
        <v>1459</v>
      </c>
      <c r="B21" s="592">
        <v>350</v>
      </c>
      <c r="C21" s="592">
        <v>350</v>
      </c>
      <c r="D21" s="592">
        <v>350</v>
      </c>
      <c r="E21" s="592">
        <v>350</v>
      </c>
      <c r="F21" s="592">
        <v>350</v>
      </c>
    </row>
    <row r="22" spans="1:6" ht="30" x14ac:dyDescent="0.25">
      <c r="A22" s="619" t="s">
        <v>1460</v>
      </c>
      <c r="B22" s="620" t="s">
        <v>1461</v>
      </c>
      <c r="C22" s="620" t="s">
        <v>1461</v>
      </c>
      <c r="D22" s="620" t="s">
        <v>1461</v>
      </c>
      <c r="E22" s="620" t="s">
        <v>1461</v>
      </c>
      <c r="F22" s="620" t="s">
        <v>1461</v>
      </c>
    </row>
    <row r="23" spans="1:6" x14ac:dyDescent="0.25">
      <c r="A23" s="619" t="s">
        <v>1462</v>
      </c>
      <c r="B23" s="592">
        <v>24</v>
      </c>
      <c r="C23" s="592">
        <v>24</v>
      </c>
      <c r="D23" s="592">
        <v>24</v>
      </c>
      <c r="E23" s="592">
        <v>24</v>
      </c>
      <c r="F23" s="592">
        <v>24</v>
      </c>
    </row>
    <row r="24" spans="1:6" x14ac:dyDescent="0.25">
      <c r="A24" s="619" t="s">
        <v>1463</v>
      </c>
      <c r="B24" s="592">
        <v>1</v>
      </c>
      <c r="C24" s="592">
        <v>1</v>
      </c>
      <c r="D24" s="592">
        <v>1</v>
      </c>
      <c r="E24" s="592">
        <v>1</v>
      </c>
      <c r="F24" s="592">
        <v>1</v>
      </c>
    </row>
    <row r="25" spans="1:6" x14ac:dyDescent="0.25">
      <c r="A25" s="592"/>
      <c r="B25" s="592"/>
      <c r="C25" s="592"/>
      <c r="D25" s="592"/>
      <c r="E25" s="592"/>
      <c r="F25" s="592"/>
    </row>
    <row r="26" spans="1:6" x14ac:dyDescent="0.25">
      <c r="A26" s="592"/>
      <c r="B26" s="592"/>
      <c r="C26" s="592"/>
      <c r="D26" s="592"/>
      <c r="E26" s="592"/>
      <c r="F26" s="592"/>
    </row>
    <row r="27" spans="1:6" ht="30" x14ac:dyDescent="0.25">
      <c r="A27" s="619" t="s">
        <v>1464</v>
      </c>
      <c r="B27" s="592">
        <v>20</v>
      </c>
      <c r="C27" s="592">
        <v>20</v>
      </c>
      <c r="D27" s="592">
        <v>20</v>
      </c>
      <c r="E27" s="592">
        <v>20</v>
      </c>
      <c r="F27" s="592">
        <v>20</v>
      </c>
    </row>
    <row r="28" spans="1:6" ht="30" x14ac:dyDescent="0.25">
      <c r="A28" s="619" t="s">
        <v>1465</v>
      </c>
      <c r="B28" s="592">
        <v>86</v>
      </c>
      <c r="C28" s="592">
        <v>86</v>
      </c>
      <c r="D28" s="592">
        <v>86</v>
      </c>
      <c r="E28" s="592">
        <v>86</v>
      </c>
      <c r="F28" s="592">
        <v>86</v>
      </c>
    </row>
    <row r="29" spans="1:6" ht="30" x14ac:dyDescent="0.25">
      <c r="A29" s="619" t="s">
        <v>1466</v>
      </c>
      <c r="B29" s="620" t="s">
        <v>1461</v>
      </c>
      <c r="C29" s="620" t="s">
        <v>1461</v>
      </c>
      <c r="D29" s="620" t="s">
        <v>1461</v>
      </c>
      <c r="E29" s="620" t="s">
        <v>1461</v>
      </c>
      <c r="F29" s="620" t="s">
        <v>1461</v>
      </c>
    </row>
    <row r="30" spans="1:6" ht="30" x14ac:dyDescent="0.25">
      <c r="A30" s="619" t="s">
        <v>1467</v>
      </c>
      <c r="B30" s="620" t="s">
        <v>1461</v>
      </c>
      <c r="C30" s="620" t="s">
        <v>1461</v>
      </c>
      <c r="D30" s="620" t="s">
        <v>1461</v>
      </c>
      <c r="E30" s="620" t="s">
        <v>1461</v>
      </c>
      <c r="F30" s="620" t="s">
        <v>1461</v>
      </c>
    </row>
  </sheetData>
  <mergeCells count="2">
    <mergeCell ref="A1:G1"/>
    <mergeCell ref="A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&amp;CDunaharaszti Város Önkormányzat 2015. évi zárszámadás&amp;R&amp;A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60" zoomScaleNormal="100" workbookViewId="0">
      <selection activeCell="F21" sqref="F21"/>
    </sheetView>
  </sheetViews>
  <sheetFormatPr defaultRowHeight="15" x14ac:dyDescent="0.25"/>
  <cols>
    <col min="1" max="1" width="94.140625" bestFit="1" customWidth="1"/>
    <col min="2" max="3" width="10.140625" bestFit="1" customWidth="1"/>
  </cols>
  <sheetData>
    <row r="1" spans="1:11" ht="17.25" x14ac:dyDescent="0.3">
      <c r="A1" s="890" t="s">
        <v>1445</v>
      </c>
      <c r="B1" s="890"/>
      <c r="C1" s="890"/>
      <c r="D1" s="890"/>
      <c r="E1" s="890"/>
      <c r="F1" s="890"/>
      <c r="G1" s="890"/>
      <c r="H1" s="609"/>
      <c r="I1" s="609"/>
      <c r="J1" s="609"/>
      <c r="K1" s="621"/>
    </row>
    <row r="2" spans="1:11" ht="16.5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1"/>
    </row>
    <row r="3" spans="1:11" x14ac:dyDescent="0.25">
      <c r="H3" s="623"/>
      <c r="I3" s="623"/>
    </row>
    <row r="4" spans="1:11" x14ac:dyDescent="0.25">
      <c r="H4" s="623"/>
      <c r="I4" s="623"/>
    </row>
    <row r="5" spans="1:11" ht="15.75" x14ac:dyDescent="0.25">
      <c r="A5" s="624" t="s">
        <v>1468</v>
      </c>
      <c r="B5" s="625"/>
      <c r="C5" s="625"/>
      <c r="D5" s="625"/>
      <c r="E5" s="625"/>
      <c r="F5" s="623"/>
      <c r="G5" s="623"/>
      <c r="H5" s="623"/>
      <c r="I5" s="623"/>
    </row>
    <row r="6" spans="1:11" ht="15.75" x14ac:dyDescent="0.25">
      <c r="A6" s="626" t="s">
        <v>1469</v>
      </c>
      <c r="B6" s="626"/>
      <c r="C6" s="626"/>
      <c r="D6" s="626"/>
      <c r="E6" s="626"/>
      <c r="F6" s="623"/>
      <c r="G6" s="623"/>
      <c r="H6" s="623"/>
      <c r="I6" s="623"/>
    </row>
    <row r="7" spans="1:11" x14ac:dyDescent="0.25">
      <c r="A7" s="627" t="s">
        <v>1470</v>
      </c>
      <c r="B7" s="623"/>
      <c r="C7" s="623"/>
      <c r="D7" s="623"/>
      <c r="E7" s="623"/>
      <c r="F7" s="623"/>
      <c r="G7" s="623"/>
      <c r="H7" s="623"/>
      <c r="I7" s="623"/>
    </row>
    <row r="10" spans="1:11" ht="15.75" x14ac:dyDescent="0.25">
      <c r="A10" s="616" t="s">
        <v>1449</v>
      </c>
      <c r="B10" s="616"/>
      <c r="C10" s="613"/>
      <c r="D10" s="613"/>
      <c r="E10" s="613"/>
      <c r="F10" s="613"/>
    </row>
    <row r="12" spans="1:11" x14ac:dyDescent="0.25">
      <c r="A12" s="592"/>
      <c r="B12" s="628" t="s">
        <v>49</v>
      </c>
      <c r="C12" s="628" t="s">
        <v>50</v>
      </c>
      <c r="D12" s="628" t="s">
        <v>51</v>
      </c>
      <c r="E12" s="628" t="s">
        <v>52</v>
      </c>
      <c r="F12" s="628" t="s">
        <v>53</v>
      </c>
      <c r="G12" s="629" t="s">
        <v>27</v>
      </c>
    </row>
    <row r="13" spans="1:11" ht="45" x14ac:dyDescent="0.25">
      <c r="A13" s="618" t="s">
        <v>1471</v>
      </c>
      <c r="B13" s="592">
        <v>138.6</v>
      </c>
      <c r="C13" s="592">
        <v>138.6</v>
      </c>
      <c r="D13" s="592">
        <v>138.6</v>
      </c>
      <c r="E13" s="592">
        <v>138.6</v>
      </c>
      <c r="F13" s="592">
        <v>138.6</v>
      </c>
      <c r="G13" s="592">
        <f>SUM(B13:F13)</f>
        <v>693</v>
      </c>
    </row>
    <row r="14" spans="1:11" x14ac:dyDescent="0.25">
      <c r="A14" s="618" t="s">
        <v>1450</v>
      </c>
      <c r="B14" s="592">
        <v>3.85E-2</v>
      </c>
      <c r="C14" s="592">
        <v>3.85E-2</v>
      </c>
      <c r="D14" s="592">
        <v>3.85E-2</v>
      </c>
      <c r="E14" s="592">
        <v>3.85E-2</v>
      </c>
      <c r="F14" s="592">
        <v>3.85E-2</v>
      </c>
      <c r="G14" s="592">
        <f>SUM(B14:F14)</f>
        <v>0.1925</v>
      </c>
    </row>
    <row r="15" spans="1:11" x14ac:dyDescent="0.25">
      <c r="A15" s="618" t="s">
        <v>1452</v>
      </c>
      <c r="B15" s="592">
        <v>35.989800000000002</v>
      </c>
      <c r="C15" s="592">
        <v>35.989800000000002</v>
      </c>
      <c r="D15" s="592">
        <v>35.989800000000002</v>
      </c>
      <c r="E15" s="592">
        <v>35.989800000000002</v>
      </c>
      <c r="F15" s="592">
        <v>35.989800000000002</v>
      </c>
      <c r="G15" s="592">
        <f>SUM(B15:F15)</f>
        <v>179.94900000000001</v>
      </c>
    </row>
    <row r="17" spans="1:6" ht="15.75" x14ac:dyDescent="0.25">
      <c r="A17" s="616" t="s">
        <v>1453</v>
      </c>
    </row>
    <row r="18" spans="1:6" x14ac:dyDescent="0.25">
      <c r="A18" s="619" t="s">
        <v>1460</v>
      </c>
      <c r="B18" s="620" t="s">
        <v>1461</v>
      </c>
      <c r="C18" s="620" t="s">
        <v>1461</v>
      </c>
      <c r="D18" s="620" t="s">
        <v>1461</v>
      </c>
      <c r="E18" s="620" t="s">
        <v>1461</v>
      </c>
      <c r="F18" s="620" t="s">
        <v>1461</v>
      </c>
    </row>
    <row r="19" spans="1:6" x14ac:dyDescent="0.25">
      <c r="A19" s="592" t="s">
        <v>1472</v>
      </c>
      <c r="B19" s="592">
        <v>2</v>
      </c>
      <c r="C19" s="592">
        <v>2</v>
      </c>
      <c r="D19" s="592">
        <v>2</v>
      </c>
      <c r="E19" s="592">
        <v>2</v>
      </c>
      <c r="F19" s="592">
        <v>2</v>
      </c>
    </row>
    <row r="20" spans="1:6" x14ac:dyDescent="0.25">
      <c r="A20" s="592"/>
      <c r="B20" s="592"/>
      <c r="C20" s="592"/>
      <c r="D20" s="592"/>
      <c r="E20" s="592"/>
      <c r="F20" s="592"/>
    </row>
    <row r="21" spans="1:6" x14ac:dyDescent="0.25">
      <c r="A21" s="619" t="s">
        <v>1466</v>
      </c>
      <c r="B21" s="620" t="s">
        <v>1461</v>
      </c>
      <c r="C21" s="620" t="s">
        <v>1461</v>
      </c>
      <c r="D21" s="620" t="s">
        <v>1461</v>
      </c>
      <c r="E21" s="620" t="s">
        <v>1461</v>
      </c>
      <c r="F21" s="620" t="s">
        <v>1461</v>
      </c>
    </row>
    <row r="22" spans="1:6" x14ac:dyDescent="0.25">
      <c r="A22" s="619" t="s">
        <v>1467</v>
      </c>
      <c r="B22" s="620" t="s">
        <v>1461</v>
      </c>
      <c r="C22" s="620" t="s">
        <v>1461</v>
      </c>
      <c r="D22" s="620" t="s">
        <v>1461</v>
      </c>
      <c r="E22" s="620" t="s">
        <v>1461</v>
      </c>
      <c r="F22" s="620" t="s">
        <v>1461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activeCell="A25" sqref="A25"/>
    </sheetView>
  </sheetViews>
  <sheetFormatPr defaultRowHeight="15" x14ac:dyDescent="0.25"/>
  <cols>
    <col min="1" max="1" width="92.42578125" customWidth="1"/>
  </cols>
  <sheetData>
    <row r="1" spans="1:11" ht="17.25" x14ac:dyDescent="0.3">
      <c r="A1" s="890" t="s">
        <v>1445</v>
      </c>
      <c r="B1" s="890"/>
      <c r="C1" s="890"/>
      <c r="D1" s="890"/>
      <c r="E1" s="890"/>
      <c r="F1" s="890"/>
      <c r="G1" s="890"/>
      <c r="H1" s="609"/>
      <c r="I1" s="609"/>
      <c r="J1" s="609"/>
      <c r="K1" s="621"/>
    </row>
    <row r="2" spans="1:11" ht="15" customHeight="1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1"/>
    </row>
    <row r="3" spans="1:11" x14ac:dyDescent="0.25">
      <c r="H3" s="623"/>
      <c r="I3" s="623"/>
    </row>
    <row r="4" spans="1:11" x14ac:dyDescent="0.25">
      <c r="H4" s="623"/>
      <c r="I4" s="623"/>
    </row>
    <row r="5" spans="1:11" ht="15.75" x14ac:dyDescent="0.25">
      <c r="A5" s="624" t="s">
        <v>1473</v>
      </c>
      <c r="B5" s="625"/>
      <c r="C5" s="625"/>
      <c r="D5" s="625"/>
      <c r="E5" s="625"/>
      <c r="F5" s="623"/>
      <c r="G5" s="623"/>
      <c r="H5" s="623"/>
      <c r="I5" s="623"/>
    </row>
    <row r="6" spans="1:11" ht="15.75" x14ac:dyDescent="0.25">
      <c r="A6" s="626" t="s">
        <v>1474</v>
      </c>
      <c r="B6" s="626"/>
      <c r="C6" s="626"/>
      <c r="D6" s="626"/>
      <c r="E6" s="626"/>
      <c r="F6" s="623"/>
      <c r="G6" s="623"/>
      <c r="H6" s="623"/>
      <c r="I6" s="623"/>
    </row>
    <row r="7" spans="1:11" x14ac:dyDescent="0.25">
      <c r="A7" s="627" t="s">
        <v>1470</v>
      </c>
      <c r="B7" s="623"/>
      <c r="C7" s="623"/>
      <c r="D7" s="623"/>
      <c r="E7" s="623"/>
      <c r="F7" s="623"/>
      <c r="G7" s="623"/>
      <c r="H7" s="623"/>
      <c r="I7" s="623"/>
    </row>
    <row r="9" spans="1:11" ht="15.75" x14ac:dyDescent="0.25">
      <c r="A9" s="616" t="s">
        <v>1449</v>
      </c>
      <c r="B9" s="616"/>
      <c r="C9" s="613"/>
      <c r="D9" s="613"/>
      <c r="E9" s="613"/>
      <c r="F9" s="613"/>
    </row>
    <row r="11" spans="1:11" x14ac:dyDescent="0.25">
      <c r="A11" s="592"/>
      <c r="B11" s="628" t="s">
        <v>49</v>
      </c>
      <c r="C11" s="628" t="s">
        <v>50</v>
      </c>
      <c r="D11" s="628" t="s">
        <v>51</v>
      </c>
      <c r="E11" s="628" t="s">
        <v>52</v>
      </c>
      <c r="F11" s="628" t="s">
        <v>53</v>
      </c>
      <c r="G11" s="629" t="s">
        <v>27</v>
      </c>
    </row>
    <row r="12" spans="1:11" ht="45" x14ac:dyDescent="0.25">
      <c r="A12" s="618" t="s">
        <v>1471</v>
      </c>
      <c r="B12" s="592">
        <v>203.76</v>
      </c>
      <c r="C12" s="630">
        <f>B12</f>
        <v>203.76</v>
      </c>
      <c r="D12" s="630">
        <f t="shared" ref="D12:F13" si="0">C12</f>
        <v>203.76</v>
      </c>
      <c r="E12" s="630">
        <f t="shared" si="0"/>
        <v>203.76</v>
      </c>
      <c r="F12" s="630">
        <f t="shared" si="0"/>
        <v>203.76</v>
      </c>
      <c r="G12" s="631">
        <f>SUM(B12:F12)</f>
        <v>1018.8</v>
      </c>
    </row>
    <row r="13" spans="1:11" x14ac:dyDescent="0.25">
      <c r="A13" s="618" t="s">
        <v>1450</v>
      </c>
      <c r="B13" s="630">
        <v>5.6599999999999998E-2</v>
      </c>
      <c r="C13" s="630">
        <f>B13</f>
        <v>5.6599999999999998E-2</v>
      </c>
      <c r="D13" s="630">
        <f t="shared" si="0"/>
        <v>5.6599999999999998E-2</v>
      </c>
      <c r="E13" s="630">
        <f t="shared" si="0"/>
        <v>5.6599999999999998E-2</v>
      </c>
      <c r="F13" s="630">
        <f t="shared" si="0"/>
        <v>5.6599999999999998E-2</v>
      </c>
      <c r="G13" s="592">
        <f>SUM(B13:F13)</f>
        <v>0.28299999999999997</v>
      </c>
    </row>
    <row r="14" spans="1:11" x14ac:dyDescent="0.25">
      <c r="A14" s="618" t="s">
        <v>1452</v>
      </c>
      <c r="B14" s="592">
        <v>52.91</v>
      </c>
      <c r="C14" s="592">
        <v>52.91</v>
      </c>
      <c r="D14" s="592">
        <v>52.91</v>
      </c>
      <c r="E14" s="592">
        <v>52.91</v>
      </c>
      <c r="F14" s="592">
        <v>52.91</v>
      </c>
      <c r="G14" s="592">
        <f>SUM(B14:F14)</f>
        <v>264.54999999999995</v>
      </c>
    </row>
    <row r="16" spans="1:11" ht="15.75" x14ac:dyDescent="0.25">
      <c r="A16" s="616" t="s">
        <v>1453</v>
      </c>
    </row>
    <row r="17" spans="1:6" ht="30" x14ac:dyDescent="0.25">
      <c r="A17" s="619" t="s">
        <v>1460</v>
      </c>
      <c r="B17" s="620" t="s">
        <v>1461</v>
      </c>
      <c r="C17" s="620" t="s">
        <v>1461</v>
      </c>
      <c r="D17" s="620" t="s">
        <v>1461</v>
      </c>
      <c r="E17" s="620" t="s">
        <v>1461</v>
      </c>
      <c r="F17" s="620" t="s">
        <v>1461</v>
      </c>
    </row>
    <row r="18" spans="1:6" x14ac:dyDescent="0.25">
      <c r="A18" s="592" t="s">
        <v>1472</v>
      </c>
      <c r="B18" s="592">
        <v>2</v>
      </c>
      <c r="C18" s="592">
        <v>2</v>
      </c>
      <c r="D18" s="592">
        <v>2</v>
      </c>
      <c r="E18" s="592">
        <v>2</v>
      </c>
      <c r="F18" s="592">
        <v>2</v>
      </c>
    </row>
    <row r="19" spans="1:6" x14ac:dyDescent="0.25">
      <c r="A19" s="592"/>
      <c r="B19" s="592"/>
      <c r="C19" s="592"/>
      <c r="D19" s="592"/>
      <c r="E19" s="592"/>
      <c r="F19" s="592"/>
    </row>
    <row r="20" spans="1:6" x14ac:dyDescent="0.25">
      <c r="A20" s="619" t="s">
        <v>1466</v>
      </c>
      <c r="B20" s="620" t="s">
        <v>1461</v>
      </c>
      <c r="C20" s="620" t="s">
        <v>1461</v>
      </c>
      <c r="D20" s="620" t="s">
        <v>1461</v>
      </c>
      <c r="E20" s="620" t="s">
        <v>1461</v>
      </c>
      <c r="F20" s="620" t="s">
        <v>1461</v>
      </c>
    </row>
    <row r="21" spans="1:6" x14ac:dyDescent="0.25">
      <c r="A21" s="619" t="s">
        <v>1467</v>
      </c>
      <c r="B21" s="620" t="s">
        <v>1461</v>
      </c>
      <c r="C21" s="620" t="s">
        <v>1461</v>
      </c>
      <c r="D21" s="620" t="s">
        <v>1461</v>
      </c>
      <c r="E21" s="620" t="s">
        <v>1461</v>
      </c>
      <c r="F21" s="620" t="s">
        <v>1461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zoomScaleNormal="100" workbookViewId="0">
      <selection activeCell="O18" sqref="O18"/>
    </sheetView>
  </sheetViews>
  <sheetFormatPr defaultRowHeight="15" x14ac:dyDescent="0.25"/>
  <cols>
    <col min="1" max="1" width="49.140625" customWidth="1"/>
    <col min="2" max="2" width="12.7109375" customWidth="1"/>
    <col min="8" max="8" width="11.140625" customWidth="1"/>
    <col min="10" max="10" width="11.28515625" customWidth="1"/>
  </cols>
  <sheetData>
    <row r="1" spans="1:11" ht="17.25" x14ac:dyDescent="0.3">
      <c r="A1" s="890" t="s">
        <v>1445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</row>
    <row r="2" spans="1:11" x14ac:dyDescent="0.25">
      <c r="A2" s="632"/>
      <c r="B2" s="632"/>
      <c r="C2" s="632"/>
      <c r="D2" s="632"/>
      <c r="E2" s="632"/>
      <c r="F2" s="633"/>
      <c r="G2" s="633"/>
      <c r="H2" s="633"/>
      <c r="I2" s="633"/>
      <c r="J2" s="633"/>
    </row>
    <row r="3" spans="1:11" ht="18.75" x14ac:dyDescent="0.25">
      <c r="A3" s="893"/>
      <c r="B3" s="893"/>
      <c r="C3" s="893"/>
      <c r="D3" s="893"/>
      <c r="E3" s="893"/>
      <c r="F3" s="893"/>
      <c r="G3" s="893"/>
      <c r="H3" s="633"/>
      <c r="I3" s="633"/>
      <c r="J3" s="633"/>
    </row>
    <row r="4" spans="1:11" x14ac:dyDescent="0.25">
      <c r="A4" s="633"/>
      <c r="B4" s="633"/>
      <c r="C4" s="633"/>
      <c r="D4" s="633"/>
      <c r="E4" s="633"/>
      <c r="F4" s="633"/>
      <c r="G4" s="633"/>
      <c r="H4" s="633"/>
      <c r="I4" s="633"/>
      <c r="J4" s="633"/>
    </row>
    <row r="5" spans="1:11" ht="31.5" customHeight="1" x14ac:dyDescent="0.25">
      <c r="A5" s="894" t="s">
        <v>1475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</row>
    <row r="6" spans="1:11" ht="15.75" x14ac:dyDescent="0.25">
      <c r="A6" s="634" t="s">
        <v>1476</v>
      </c>
      <c r="B6" s="634"/>
      <c r="C6" s="634"/>
      <c r="D6" s="634"/>
      <c r="E6" s="634"/>
      <c r="F6" s="633"/>
      <c r="G6" s="633"/>
      <c r="H6" s="633"/>
      <c r="I6" s="633"/>
      <c r="J6" s="633"/>
    </row>
    <row r="7" spans="1:11" ht="15.75" x14ac:dyDescent="0.25">
      <c r="A7" s="634" t="s">
        <v>1477</v>
      </c>
      <c r="B7" s="634"/>
      <c r="C7" s="634"/>
      <c r="D7" s="634"/>
      <c r="E7" s="634"/>
      <c r="F7" s="633"/>
      <c r="G7" s="633"/>
      <c r="H7" s="633"/>
      <c r="I7" s="633"/>
      <c r="J7" s="633"/>
    </row>
    <row r="8" spans="1:11" ht="15.75" x14ac:dyDescent="0.25">
      <c r="A8" s="635" t="s">
        <v>1449</v>
      </c>
      <c r="B8" s="635"/>
      <c r="C8" s="635"/>
      <c r="D8" s="635"/>
      <c r="E8" s="635"/>
      <c r="F8" s="633"/>
      <c r="G8" s="633"/>
      <c r="H8" s="633"/>
      <c r="I8" s="633"/>
      <c r="J8" s="633"/>
    </row>
    <row r="9" spans="1:11" ht="25.5" customHeight="1" x14ac:dyDescent="0.25">
      <c r="A9" s="895" t="s">
        <v>1478</v>
      </c>
      <c r="B9" s="895"/>
      <c r="C9" s="895"/>
      <c r="D9" s="895"/>
      <c r="E9" s="895"/>
      <c r="F9" s="895"/>
      <c r="G9" s="895"/>
      <c r="H9" s="895"/>
      <c r="I9" s="895"/>
      <c r="J9" s="895"/>
      <c r="K9" s="895"/>
    </row>
    <row r="10" spans="1:11" s="637" customFormat="1" ht="15.75" x14ac:dyDescent="0.25">
      <c r="A10" s="896" t="s">
        <v>1479</v>
      </c>
      <c r="B10" s="636" t="s">
        <v>1480</v>
      </c>
      <c r="C10" s="896" t="s">
        <v>1481</v>
      </c>
      <c r="D10" s="896" t="s">
        <v>1482</v>
      </c>
      <c r="E10" s="896"/>
      <c r="F10" s="896"/>
      <c r="G10" s="896" t="s">
        <v>1483</v>
      </c>
      <c r="H10" s="896"/>
      <c r="I10" s="896"/>
      <c r="J10" s="896"/>
      <c r="K10" s="896"/>
    </row>
    <row r="11" spans="1:11" s="637" customFormat="1" ht="32.25" customHeight="1" x14ac:dyDescent="0.25">
      <c r="A11" s="896"/>
      <c r="B11" s="636" t="s">
        <v>1484</v>
      </c>
      <c r="C11" s="896"/>
      <c r="D11" s="896" t="s">
        <v>1485</v>
      </c>
      <c r="E11" s="896"/>
      <c r="F11" s="896"/>
      <c r="G11" s="896"/>
      <c r="H11" s="896"/>
      <c r="I11" s="896"/>
      <c r="J11" s="896"/>
      <c r="K11" s="896"/>
    </row>
    <row r="12" spans="1:11" s="637" customFormat="1" ht="15.75" x14ac:dyDescent="0.25">
      <c r="A12" s="896"/>
      <c r="B12" s="636" t="s">
        <v>1486</v>
      </c>
      <c r="C12" s="638">
        <v>2012</v>
      </c>
      <c r="D12" s="638">
        <v>2013</v>
      </c>
      <c r="E12" s="638">
        <v>2014</v>
      </c>
      <c r="F12" s="638" t="s">
        <v>15</v>
      </c>
      <c r="G12" s="638">
        <v>2015</v>
      </c>
      <c r="H12" s="638">
        <v>2016</v>
      </c>
      <c r="I12" s="638">
        <v>2017</v>
      </c>
      <c r="J12" s="638">
        <v>2018</v>
      </c>
      <c r="K12" s="638">
        <v>2019</v>
      </c>
    </row>
    <row r="13" spans="1:11" s="637" customFormat="1" ht="15.75" x14ac:dyDescent="0.25">
      <c r="A13" s="892" t="s">
        <v>1487</v>
      </c>
      <c r="B13" s="892"/>
      <c r="C13" s="892"/>
      <c r="D13" s="892"/>
      <c r="E13" s="892"/>
      <c r="F13" s="892"/>
      <c r="G13" s="892"/>
      <c r="H13" s="892"/>
      <c r="I13" s="892"/>
      <c r="J13" s="892"/>
      <c r="K13" s="892"/>
    </row>
    <row r="14" spans="1:11" s="637" customFormat="1" ht="31.5" x14ac:dyDescent="0.25">
      <c r="A14" s="639" t="s">
        <v>1488</v>
      </c>
      <c r="B14" s="640" t="s">
        <v>1489</v>
      </c>
      <c r="C14" s="641">
        <v>0</v>
      </c>
      <c r="D14" s="641">
        <v>0</v>
      </c>
      <c r="E14" s="641">
        <v>1</v>
      </c>
      <c r="F14" s="641" t="s">
        <v>15</v>
      </c>
      <c r="G14" s="642"/>
      <c r="H14" s="642"/>
      <c r="I14" s="642"/>
      <c r="J14" s="642"/>
      <c r="K14" s="642"/>
    </row>
    <row r="15" spans="1:11" s="637" customFormat="1" ht="47.25" x14ac:dyDescent="0.25">
      <c r="A15" s="639" t="s">
        <v>1490</v>
      </c>
      <c r="B15" s="640" t="s">
        <v>1489</v>
      </c>
      <c r="C15" s="641">
        <v>0</v>
      </c>
      <c r="D15" s="641">
        <v>0</v>
      </c>
      <c r="E15" s="641">
        <v>6</v>
      </c>
      <c r="F15" s="641" t="s">
        <v>15</v>
      </c>
      <c r="G15" s="641">
        <v>6</v>
      </c>
      <c r="H15" s="641">
        <v>6</v>
      </c>
      <c r="I15" s="641">
        <v>6</v>
      </c>
      <c r="J15" s="641">
        <v>6</v>
      </c>
      <c r="K15" s="641">
        <v>6</v>
      </c>
    </row>
    <row r="16" spans="1:11" s="637" customFormat="1" ht="47.25" x14ac:dyDescent="0.25">
      <c r="A16" s="639" t="s">
        <v>1491</v>
      </c>
      <c r="B16" s="640" t="s">
        <v>1489</v>
      </c>
      <c r="C16" s="641">
        <v>0</v>
      </c>
      <c r="D16" s="641">
        <v>0</v>
      </c>
      <c r="E16" s="641">
        <v>120</v>
      </c>
      <c r="F16" s="641" t="s">
        <v>15</v>
      </c>
      <c r="G16" s="641">
        <v>120</v>
      </c>
      <c r="H16" s="641">
        <v>120</v>
      </c>
      <c r="I16" s="641">
        <v>120</v>
      </c>
      <c r="J16" s="641">
        <v>120</v>
      </c>
      <c r="K16" s="641">
        <v>120</v>
      </c>
    </row>
    <row r="17" spans="1:11" s="637" customFormat="1" ht="31.5" x14ac:dyDescent="0.25">
      <c r="A17" s="639" t="s">
        <v>1492</v>
      </c>
      <c r="B17" s="640" t="s">
        <v>1489</v>
      </c>
      <c r="C17" s="641">
        <v>0</v>
      </c>
      <c r="D17" s="641">
        <v>0</v>
      </c>
      <c r="E17" s="641">
        <v>20</v>
      </c>
      <c r="F17" s="640" t="s">
        <v>15</v>
      </c>
      <c r="G17" s="638"/>
      <c r="H17" s="638"/>
      <c r="I17" s="638"/>
      <c r="J17" s="638"/>
      <c r="K17" s="638"/>
    </row>
    <row r="18" spans="1:11" s="637" customFormat="1" ht="15.75" x14ac:dyDescent="0.25">
      <c r="A18" s="639" t="s">
        <v>1493</v>
      </c>
      <c r="B18" s="640" t="s">
        <v>1489</v>
      </c>
      <c r="C18" s="641">
        <v>0</v>
      </c>
      <c r="D18" s="641">
        <v>0</v>
      </c>
      <c r="E18" s="641">
        <v>1</v>
      </c>
      <c r="F18" s="641" t="s">
        <v>15</v>
      </c>
      <c r="G18" s="638"/>
      <c r="H18" s="638"/>
      <c r="I18" s="638"/>
      <c r="J18" s="638"/>
      <c r="K18" s="638"/>
    </row>
    <row r="19" spans="1:11" s="637" customFormat="1" ht="15.75" x14ac:dyDescent="0.25">
      <c r="A19" s="892" t="s">
        <v>1494</v>
      </c>
      <c r="B19" s="892"/>
      <c r="C19" s="892"/>
      <c r="D19" s="892"/>
      <c r="E19" s="892"/>
      <c r="F19" s="892"/>
      <c r="G19" s="892"/>
      <c r="H19" s="892"/>
      <c r="I19" s="892"/>
      <c r="J19" s="892"/>
      <c r="K19" s="892"/>
    </row>
    <row r="20" spans="1:11" s="637" customFormat="1" ht="31.5" x14ac:dyDescent="0.25">
      <c r="A20" s="639" t="s">
        <v>1495</v>
      </c>
      <c r="B20" s="640" t="s">
        <v>1496</v>
      </c>
      <c r="C20" s="641">
        <v>0</v>
      </c>
      <c r="D20" s="643"/>
      <c r="E20" s="643"/>
      <c r="F20" s="643"/>
      <c r="G20" s="641">
        <v>120</v>
      </c>
      <c r="H20" s="641">
        <v>120</v>
      </c>
      <c r="I20" s="641">
        <v>120</v>
      </c>
      <c r="J20" s="641">
        <v>120</v>
      </c>
      <c r="K20" s="641">
        <v>120</v>
      </c>
    </row>
    <row r="21" spans="1:11" s="637" customFormat="1" ht="47.25" x14ac:dyDescent="0.25">
      <c r="A21" s="639" t="s">
        <v>1497</v>
      </c>
      <c r="B21" s="640" t="s">
        <v>1496</v>
      </c>
      <c r="C21" s="641">
        <v>0</v>
      </c>
      <c r="D21" s="643"/>
      <c r="E21" s="643"/>
      <c r="F21" s="643"/>
      <c r="G21" s="641">
        <v>1</v>
      </c>
      <c r="H21" s="641">
        <v>1</v>
      </c>
      <c r="I21" s="641">
        <v>1</v>
      </c>
      <c r="J21" s="641">
        <v>1</v>
      </c>
      <c r="K21" s="641">
        <v>1</v>
      </c>
    </row>
    <row r="22" spans="1:11" s="637" customFormat="1" ht="47.25" x14ac:dyDescent="0.25">
      <c r="A22" s="639" t="s">
        <v>1498</v>
      </c>
      <c r="B22" s="640" t="s">
        <v>1496</v>
      </c>
      <c r="C22" s="641">
        <v>0</v>
      </c>
      <c r="D22" s="643"/>
      <c r="E22" s="643"/>
      <c r="F22" s="643"/>
      <c r="G22" s="641">
        <v>0</v>
      </c>
      <c r="H22" s="641">
        <v>0</v>
      </c>
      <c r="I22" s="641">
        <v>0</v>
      </c>
      <c r="J22" s="641">
        <v>0</v>
      </c>
      <c r="K22" s="641">
        <v>0</v>
      </c>
    </row>
    <row r="23" spans="1:11" s="637" customFormat="1" ht="47.25" x14ac:dyDescent="0.25">
      <c r="A23" s="639" t="s">
        <v>1499</v>
      </c>
      <c r="B23" s="640" t="s">
        <v>1496</v>
      </c>
      <c r="C23" s="640">
        <v>0</v>
      </c>
      <c r="D23" s="644"/>
      <c r="E23" s="644"/>
      <c r="F23" s="644"/>
      <c r="G23" s="640">
        <v>0</v>
      </c>
      <c r="H23" s="640">
        <v>0</v>
      </c>
      <c r="I23" s="640">
        <v>0</v>
      </c>
      <c r="J23" s="640">
        <v>0</v>
      </c>
      <c r="K23" s="640">
        <v>0</v>
      </c>
    </row>
    <row r="24" spans="1:11" s="645" customFormat="1" x14ac:dyDescent="0.25"/>
  </sheetData>
  <mergeCells count="11">
    <mergeCell ref="A13:K13"/>
    <mergeCell ref="A19:K19"/>
    <mergeCell ref="A1:K1"/>
    <mergeCell ref="A3:G3"/>
    <mergeCell ref="A5:K5"/>
    <mergeCell ref="A9:K9"/>
    <mergeCell ref="A10:A12"/>
    <mergeCell ref="C10:C11"/>
    <mergeCell ref="D10:F10"/>
    <mergeCell ref="G10:K11"/>
    <mergeCell ref="D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45"/>
  <sheetViews>
    <sheetView view="pageBreakPreview" zoomScale="60" zoomScaleNormal="100" zoomScalePageLayoutView="69" workbookViewId="0">
      <selection activeCell="H7" sqref="H7"/>
    </sheetView>
  </sheetViews>
  <sheetFormatPr defaultColWidth="9.140625" defaultRowHeight="15" x14ac:dyDescent="0.25"/>
  <cols>
    <col min="1" max="2" width="9.140625" style="192"/>
    <col min="3" max="3" width="78.42578125" style="192" customWidth="1"/>
    <col min="4" max="11" width="31.7109375" style="192" customWidth="1"/>
    <col min="12" max="16384" width="9.140625" style="192"/>
  </cols>
  <sheetData>
    <row r="2" spans="1:11" ht="36" customHeight="1" x14ac:dyDescent="0.35">
      <c r="A2" s="717" t="s">
        <v>779</v>
      </c>
      <c r="B2" s="717"/>
      <c r="C2" s="717"/>
      <c r="D2" s="717"/>
      <c r="E2" s="717"/>
      <c r="F2" s="717"/>
    </row>
    <row r="5" spans="1:11" ht="40.5" customHeight="1" x14ac:dyDescent="0.35">
      <c r="A5" s="718" t="s">
        <v>752</v>
      </c>
      <c r="B5" s="704" t="s">
        <v>32</v>
      </c>
      <c r="C5" s="704"/>
      <c r="D5" s="704" t="s">
        <v>780</v>
      </c>
      <c r="E5" s="719" t="s">
        <v>7</v>
      </c>
      <c r="F5" s="721" t="s">
        <v>781</v>
      </c>
      <c r="G5" s="212"/>
      <c r="H5" s="212"/>
      <c r="I5" s="212"/>
      <c r="J5" s="212"/>
      <c r="K5" s="212"/>
    </row>
    <row r="6" spans="1:11" ht="66.75" customHeight="1" x14ac:dyDescent="0.35">
      <c r="A6" s="699"/>
      <c r="B6" s="694"/>
      <c r="C6" s="694"/>
      <c r="D6" s="694"/>
      <c r="E6" s="720"/>
      <c r="F6" s="722"/>
      <c r="G6" s="212"/>
      <c r="H6" s="212"/>
      <c r="I6" s="212"/>
      <c r="J6" s="212"/>
      <c r="K6" s="212"/>
    </row>
    <row r="7" spans="1:11" ht="42" customHeight="1" x14ac:dyDescent="0.35">
      <c r="A7" s="213" t="s">
        <v>12</v>
      </c>
      <c r="B7" s="700" t="s">
        <v>754</v>
      </c>
      <c r="C7" s="700"/>
      <c r="D7" s="214">
        <f>+'13.a.sz.m.Maradvány - int'!M5</f>
        <v>248350471</v>
      </c>
      <c r="E7" s="214">
        <v>5279264659</v>
      </c>
      <c r="F7" s="215">
        <f>+D7+E7</f>
        <v>5527615130</v>
      </c>
      <c r="G7" s="212"/>
      <c r="H7" s="212"/>
      <c r="I7" s="212"/>
      <c r="J7" s="212"/>
      <c r="K7" s="212"/>
    </row>
    <row r="8" spans="1:11" ht="42" customHeight="1" x14ac:dyDescent="0.35">
      <c r="A8" s="213" t="s">
        <v>17</v>
      </c>
      <c r="B8" s="700" t="s">
        <v>755</v>
      </c>
      <c r="C8" s="700"/>
      <c r="D8" s="214">
        <f>+'13.a.sz.m.Maradvány - int'!M6</f>
        <v>2046288195</v>
      </c>
      <c r="E8" s="214">
        <v>2733270935</v>
      </c>
      <c r="F8" s="215">
        <f t="shared" ref="F8:F32" si="0">+D8+E8</f>
        <v>4779559130</v>
      </c>
      <c r="G8" s="212"/>
      <c r="H8" s="212"/>
      <c r="I8" s="212"/>
      <c r="J8" s="212"/>
      <c r="K8" s="212"/>
    </row>
    <row r="9" spans="1:11" ht="81.75" customHeight="1" x14ac:dyDescent="0.35">
      <c r="A9" s="216" t="s">
        <v>20</v>
      </c>
      <c r="B9" s="708" t="s">
        <v>756</v>
      </c>
      <c r="C9" s="708"/>
      <c r="D9" s="214">
        <f>+D7-D8</f>
        <v>-1797937724</v>
      </c>
      <c r="E9" s="214">
        <f>+E7-E8</f>
        <v>2545993724</v>
      </c>
      <c r="F9" s="215">
        <f t="shared" si="0"/>
        <v>748056000</v>
      </c>
      <c r="G9" s="217"/>
      <c r="H9" s="217"/>
      <c r="I9" s="217"/>
      <c r="J9" s="217"/>
      <c r="K9" s="217"/>
    </row>
    <row r="10" spans="1:11" ht="41.25" customHeight="1" x14ac:dyDescent="0.35">
      <c r="A10" s="213" t="s">
        <v>22</v>
      </c>
      <c r="B10" s="700" t="s">
        <v>757</v>
      </c>
      <c r="C10" s="700"/>
      <c r="D10" s="214">
        <f>+'13.a.sz.m.Maradvány - int'!M8</f>
        <v>1916732408</v>
      </c>
      <c r="E10" s="214">
        <v>6064361743</v>
      </c>
      <c r="F10" s="215">
        <f t="shared" si="0"/>
        <v>7981094151</v>
      </c>
      <c r="G10" s="212"/>
      <c r="H10" s="212"/>
      <c r="I10" s="212"/>
      <c r="J10" s="212"/>
      <c r="K10" s="212"/>
    </row>
    <row r="11" spans="1:11" ht="41.25" customHeight="1" x14ac:dyDescent="0.35">
      <c r="A11" s="213" t="s">
        <v>24</v>
      </c>
      <c r="B11" s="700" t="s">
        <v>758</v>
      </c>
      <c r="C11" s="700"/>
      <c r="D11" s="214">
        <f>+'13.a.sz.m.Maradvány - int'!M9</f>
        <v>0</v>
      </c>
      <c r="E11" s="214">
        <v>6960367498</v>
      </c>
      <c r="F11" s="215">
        <f t="shared" si="0"/>
        <v>6960367498</v>
      </c>
      <c r="G11" s="212"/>
      <c r="H11" s="212"/>
      <c r="I11" s="212"/>
      <c r="J11" s="212"/>
      <c r="K11" s="212"/>
    </row>
    <row r="12" spans="1:11" ht="81" customHeight="1" x14ac:dyDescent="0.35">
      <c r="A12" s="218" t="s">
        <v>86</v>
      </c>
      <c r="B12" s="694" t="s">
        <v>759</v>
      </c>
      <c r="C12" s="694"/>
      <c r="D12" s="214">
        <f>+D10-D11</f>
        <v>1916732408</v>
      </c>
      <c r="E12" s="214">
        <f>+E10-E11</f>
        <v>-896005755</v>
      </c>
      <c r="F12" s="215">
        <f t="shared" si="0"/>
        <v>1020726653</v>
      </c>
      <c r="G12" s="219"/>
      <c r="H12" s="219"/>
      <c r="I12" s="219"/>
      <c r="J12" s="219"/>
      <c r="K12" s="219"/>
    </row>
    <row r="13" spans="1:11" ht="81" customHeight="1" x14ac:dyDescent="0.35">
      <c r="A13" s="218" t="s">
        <v>88</v>
      </c>
      <c r="B13" s="694" t="s">
        <v>760</v>
      </c>
      <c r="C13" s="694"/>
      <c r="D13" s="214">
        <f>+D9+D12</f>
        <v>118794684</v>
      </c>
      <c r="E13" s="214">
        <f>+E9+E12</f>
        <v>1649987969</v>
      </c>
      <c r="F13" s="215">
        <f t="shared" si="0"/>
        <v>1768782653</v>
      </c>
      <c r="G13" s="219"/>
      <c r="H13" s="219"/>
      <c r="I13" s="219"/>
      <c r="J13" s="219"/>
      <c r="K13" s="219"/>
    </row>
    <row r="14" spans="1:11" ht="40.5" customHeight="1" x14ac:dyDescent="0.35">
      <c r="A14" s="218" t="s">
        <v>89</v>
      </c>
      <c r="B14" s="694" t="s">
        <v>761</v>
      </c>
      <c r="C14" s="694"/>
      <c r="D14" s="214">
        <f>+'13.a.sz.m.Maradvány - int'!M12</f>
        <v>0</v>
      </c>
      <c r="E14" s="214">
        <v>0</v>
      </c>
      <c r="F14" s="215">
        <f t="shared" si="0"/>
        <v>0</v>
      </c>
      <c r="G14" s="219"/>
      <c r="H14" s="219"/>
      <c r="I14" s="219"/>
      <c r="J14" s="219"/>
      <c r="K14" s="219"/>
    </row>
    <row r="15" spans="1:11" ht="81.75" customHeight="1" x14ac:dyDescent="0.35">
      <c r="A15" s="220" t="s">
        <v>763</v>
      </c>
      <c r="B15" s="724" t="s">
        <v>782</v>
      </c>
      <c r="C15" s="724"/>
      <c r="D15" s="221">
        <f>SUM(D13:D14)</f>
        <v>118794684</v>
      </c>
      <c r="E15" s="221">
        <f>SUM(E13:E14)</f>
        <v>1649987969</v>
      </c>
      <c r="F15" s="222">
        <f t="shared" si="0"/>
        <v>1768782653</v>
      </c>
      <c r="G15" s="219"/>
      <c r="H15" s="219"/>
      <c r="I15" s="219"/>
      <c r="J15" s="219"/>
      <c r="K15" s="219"/>
    </row>
    <row r="16" spans="1:11" ht="51.75" customHeight="1" x14ac:dyDescent="0.35">
      <c r="A16" s="218" t="s">
        <v>767</v>
      </c>
      <c r="B16" s="700" t="s">
        <v>783</v>
      </c>
      <c r="C16" s="700"/>
      <c r="D16" s="214">
        <f>+'13.a.sz.m.Maradvány - int'!M14</f>
        <v>25042661</v>
      </c>
      <c r="E16" s="214">
        <v>142771084</v>
      </c>
      <c r="F16" s="223">
        <f>SUM(D16:E16)</f>
        <v>167813745</v>
      </c>
      <c r="G16" s="224">
        <f>+E17+E18</f>
        <v>142771084</v>
      </c>
      <c r="H16" s="225">
        <f>+'13.c.sz.m.Kötött maradvány'!C301</f>
        <v>168150820</v>
      </c>
      <c r="I16" s="224">
        <f>+H16-F16</f>
        <v>337075</v>
      </c>
      <c r="J16" s="225"/>
      <c r="K16" s="225"/>
    </row>
    <row r="17" spans="1:11" ht="32.25" customHeight="1" x14ac:dyDescent="0.35">
      <c r="A17" s="216"/>
      <c r="B17" s="723" t="s">
        <v>765</v>
      </c>
      <c r="C17" s="723"/>
      <c r="D17" s="226">
        <f>+'13.a.sz.m.Maradvány - int'!M15</f>
        <v>25042661</v>
      </c>
      <c r="E17" s="226">
        <f>+'13.c.sz.m.Kötött maradvány'!E13</f>
        <v>26941485</v>
      </c>
      <c r="F17" s="227">
        <f t="shared" si="0"/>
        <v>51984146</v>
      </c>
      <c r="G17" s="228"/>
      <c r="H17" s="228"/>
      <c r="I17" s="228"/>
      <c r="J17" s="228"/>
      <c r="K17" s="228"/>
    </row>
    <row r="18" spans="1:11" ht="32.25" customHeight="1" x14ac:dyDescent="0.35">
      <c r="A18" s="216"/>
      <c r="B18" s="723" t="s">
        <v>766</v>
      </c>
      <c r="C18" s="723"/>
      <c r="D18" s="226">
        <v>0</v>
      </c>
      <c r="E18" s="226">
        <f>+'13.c.sz.m.Kötött maradvány'!E14</f>
        <v>115829599</v>
      </c>
      <c r="F18" s="227">
        <f t="shared" si="0"/>
        <v>115829599</v>
      </c>
      <c r="G18" s="228"/>
      <c r="H18" s="229">
        <f>SUM(E17:E18)</f>
        <v>142771084</v>
      </c>
      <c r="I18" s="228"/>
      <c r="J18" s="228"/>
      <c r="K18" s="228"/>
    </row>
    <row r="19" spans="1:11" ht="84" customHeight="1" x14ac:dyDescent="0.35">
      <c r="A19" s="218" t="s">
        <v>769</v>
      </c>
      <c r="B19" s="694" t="s">
        <v>784</v>
      </c>
      <c r="C19" s="694"/>
      <c r="D19" s="214">
        <f>+D15-D16</f>
        <v>93752023</v>
      </c>
      <c r="E19" s="214">
        <f>+E15-E16</f>
        <v>1507216885</v>
      </c>
      <c r="F19" s="215">
        <f t="shared" si="0"/>
        <v>1600968908</v>
      </c>
      <c r="G19" s="230" t="s">
        <v>785</v>
      </c>
      <c r="H19" s="230"/>
      <c r="I19" s="225" t="s">
        <v>786</v>
      </c>
      <c r="J19" s="231">
        <v>725133</v>
      </c>
      <c r="K19" s="230"/>
    </row>
    <row r="20" spans="1:11" ht="53.25" customHeight="1" x14ac:dyDescent="0.35">
      <c r="A20" s="218" t="s">
        <v>771</v>
      </c>
      <c r="B20" s="694" t="s">
        <v>770</v>
      </c>
      <c r="C20" s="694"/>
      <c r="D20" s="214">
        <f>+'[1]13.a.sz.m.Maradvány - int'!K18</f>
        <v>0</v>
      </c>
      <c r="E20" s="214">
        <f>+E21+E22</f>
        <v>0</v>
      </c>
      <c r="F20" s="215">
        <f t="shared" si="0"/>
        <v>0</v>
      </c>
      <c r="G20" s="230"/>
      <c r="H20" s="230"/>
      <c r="I20" s="230"/>
      <c r="J20" s="230"/>
      <c r="K20" s="230"/>
    </row>
    <row r="21" spans="1:11" ht="30.75" customHeight="1" x14ac:dyDescent="0.35">
      <c r="A21" s="216"/>
      <c r="B21" s="723" t="s">
        <v>765</v>
      </c>
      <c r="C21" s="723"/>
      <c r="D21" s="226">
        <v>0</v>
      </c>
      <c r="E21" s="226">
        <v>0</v>
      </c>
      <c r="F21" s="227">
        <f>+E21+D21</f>
        <v>0</v>
      </c>
      <c r="G21" s="232"/>
      <c r="H21" s="232"/>
      <c r="I21" s="232"/>
      <c r="J21" s="232"/>
      <c r="K21" s="232"/>
    </row>
    <row r="22" spans="1:11" ht="30.75" customHeight="1" x14ac:dyDescent="0.35">
      <c r="A22" s="216"/>
      <c r="B22" s="723" t="s">
        <v>766</v>
      </c>
      <c r="C22" s="723"/>
      <c r="D22" s="226">
        <v>0</v>
      </c>
      <c r="E22" s="226">
        <v>0</v>
      </c>
      <c r="F22" s="227">
        <f>+E22+D22</f>
        <v>0</v>
      </c>
      <c r="G22" s="232"/>
      <c r="H22" s="232"/>
      <c r="I22" s="232"/>
      <c r="J22" s="232"/>
      <c r="K22" s="232"/>
    </row>
    <row r="23" spans="1:11" ht="59.25" customHeight="1" x14ac:dyDescent="0.35">
      <c r="A23" s="218" t="s">
        <v>773</v>
      </c>
      <c r="B23" s="694" t="s">
        <v>787</v>
      </c>
      <c r="C23" s="694"/>
      <c r="D23" s="214">
        <f>+'13.a.sz.m.Maradvány - int'!M19</f>
        <v>337075</v>
      </c>
      <c r="E23" s="214">
        <f>SUM(E24:E25)</f>
        <v>0</v>
      </c>
      <c r="F23" s="223">
        <f t="shared" si="0"/>
        <v>337075</v>
      </c>
      <c r="G23" s="230"/>
      <c r="H23" s="230"/>
      <c r="I23" s="230"/>
      <c r="J23" s="230"/>
      <c r="K23" s="230"/>
    </row>
    <row r="24" spans="1:11" ht="34.5" customHeight="1" x14ac:dyDescent="0.35">
      <c r="A24" s="216"/>
      <c r="B24" s="723" t="s">
        <v>765</v>
      </c>
      <c r="C24" s="723"/>
      <c r="D24" s="226">
        <f>+'13.a.sz.m.Maradvány - int'!M20</f>
        <v>337075</v>
      </c>
      <c r="E24" s="226"/>
      <c r="F24" s="227">
        <f>+D24+E24</f>
        <v>337075</v>
      </c>
      <c r="G24" s="232"/>
      <c r="H24" s="233">
        <f>+E19-E20-E23</f>
        <v>1507216885</v>
      </c>
      <c r="I24" s="232"/>
      <c r="J24" s="232"/>
      <c r="K24" s="232"/>
    </row>
    <row r="25" spans="1:11" ht="34.5" customHeight="1" x14ac:dyDescent="0.35">
      <c r="A25" s="216"/>
      <c r="B25" s="723" t="s">
        <v>766</v>
      </c>
      <c r="C25" s="723"/>
      <c r="D25" s="226">
        <v>0</v>
      </c>
      <c r="E25" s="226"/>
      <c r="F25" s="227">
        <f>+E25+D25</f>
        <v>0</v>
      </c>
      <c r="G25" s="233">
        <f>SUM(E24:E25)</f>
        <v>0</v>
      </c>
      <c r="H25" s="232"/>
      <c r="I25" s="232"/>
      <c r="J25" s="233">
        <f>+F16+F20+F23</f>
        <v>168150820</v>
      </c>
      <c r="K25" s="232"/>
    </row>
    <row r="26" spans="1:11" ht="68.25" customHeight="1" x14ac:dyDescent="0.35">
      <c r="A26" s="218" t="s">
        <v>775</v>
      </c>
      <c r="B26" s="694" t="s">
        <v>788</v>
      </c>
      <c r="C26" s="694"/>
      <c r="D26" s="214">
        <f>D19-D20-D23</f>
        <v>93414948</v>
      </c>
      <c r="E26" s="214">
        <f>+E19-E20-E23</f>
        <v>1507216885</v>
      </c>
      <c r="F26" s="215">
        <f t="shared" si="0"/>
        <v>1600631833</v>
      </c>
      <c r="G26" s="234">
        <f>SUM(D26:E26)</f>
        <v>1600631833</v>
      </c>
      <c r="H26" s="230"/>
      <c r="I26" s="230"/>
      <c r="J26" s="230"/>
      <c r="K26" s="230"/>
    </row>
    <row r="27" spans="1:11" s="238" customFormat="1" ht="32.25" customHeight="1" x14ac:dyDescent="0.35">
      <c r="A27" s="235" t="s">
        <v>777</v>
      </c>
      <c r="B27" s="727" t="s">
        <v>778</v>
      </c>
      <c r="C27" s="727"/>
      <c r="D27" s="236">
        <f>-+'13.a.sz.m.Maradvány - int'!M24</f>
        <v>-75503153</v>
      </c>
      <c r="E27" s="236">
        <v>0</v>
      </c>
      <c r="F27" s="237">
        <f t="shared" si="0"/>
        <v>-75503153</v>
      </c>
      <c r="G27" s="225"/>
      <c r="H27" s="225"/>
      <c r="I27" s="225"/>
      <c r="J27" s="225"/>
      <c r="K27" s="225"/>
    </row>
    <row r="28" spans="1:11" s="238" customFormat="1" ht="32.25" customHeight="1" x14ac:dyDescent="0.35">
      <c r="A28" s="235" t="s">
        <v>789</v>
      </c>
      <c r="B28" s="727" t="s">
        <v>790</v>
      </c>
      <c r="C28" s="727"/>
      <c r="D28" s="236">
        <v>0</v>
      </c>
      <c r="E28" s="236">
        <f>-D27</f>
        <v>75503153</v>
      </c>
      <c r="F28" s="237">
        <f t="shared" si="0"/>
        <v>75503153</v>
      </c>
      <c r="G28" s="225"/>
      <c r="H28" s="225"/>
      <c r="I28" s="224">
        <f>+F29+F23+F16</f>
        <v>1768782653</v>
      </c>
      <c r="J28" s="225"/>
      <c r="K28" s="225"/>
    </row>
    <row r="29" spans="1:11" ht="63" customHeight="1" x14ac:dyDescent="0.35">
      <c r="A29" s="218" t="s">
        <v>791</v>
      </c>
      <c r="B29" s="694" t="s">
        <v>792</v>
      </c>
      <c r="C29" s="694"/>
      <c r="D29" s="214">
        <f>+'13.a.sz.m.Maradvány - int'!M23</f>
        <v>17911795</v>
      </c>
      <c r="E29" s="214">
        <f>+E26+E28</f>
        <v>1582720038</v>
      </c>
      <c r="F29" s="223">
        <f>+D29+E29</f>
        <v>1600631833</v>
      </c>
      <c r="G29" s="225">
        <f>+'13.d.sz.m.Szabad maradvány'!D66+'13.d.sz.m.Szabad maradvány'!D81</f>
        <v>1403158737</v>
      </c>
      <c r="H29" s="224">
        <f>SUM(E31:E32)</f>
        <v>1385246942</v>
      </c>
      <c r="I29" s="225"/>
      <c r="J29" s="225"/>
      <c r="K29" s="225"/>
    </row>
    <row r="30" spans="1:11" ht="63" customHeight="1" x14ac:dyDescent="0.35">
      <c r="A30" s="218"/>
      <c r="B30" s="725" t="s">
        <v>793</v>
      </c>
      <c r="C30" s="726"/>
      <c r="D30" s="214"/>
      <c r="E30" s="214"/>
      <c r="F30" s="223">
        <f>+'13.d.sz.m.Szabad maradvány'!D83</f>
        <v>1403158737</v>
      </c>
      <c r="G30" s="225"/>
      <c r="H30" s="224"/>
      <c r="I30" s="225"/>
      <c r="J30" s="225"/>
      <c r="K30" s="225"/>
    </row>
    <row r="31" spans="1:11" ht="34.5" customHeight="1" x14ac:dyDescent="0.35">
      <c r="A31" s="216"/>
      <c r="B31" s="723" t="s">
        <v>794</v>
      </c>
      <c r="C31" s="723"/>
      <c r="D31" s="226">
        <f>+'13.d.sz.m.Szabad maradvány'!D72</f>
        <v>3352800</v>
      </c>
      <c r="E31" s="226">
        <f>+'13.d.sz.m.Szabad maradvány'!H19</f>
        <v>357467453</v>
      </c>
      <c r="F31" s="215">
        <f t="shared" si="0"/>
        <v>360820253</v>
      </c>
      <c r="G31" s="233">
        <f>SUM(F31:F32)</f>
        <v>1403158737</v>
      </c>
      <c r="H31" s="232"/>
      <c r="I31" s="233">
        <f>+F16+F23+F36</f>
        <v>168150820</v>
      </c>
      <c r="J31" s="232"/>
      <c r="K31" s="232"/>
    </row>
    <row r="32" spans="1:11" ht="34.5" customHeight="1" x14ac:dyDescent="0.35">
      <c r="A32" s="216"/>
      <c r="B32" s="723" t="s">
        <v>795</v>
      </c>
      <c r="C32" s="723"/>
      <c r="D32" s="226">
        <f>+'13.d.sz.m.Szabad maradvány'!D71+'13.d.sz.m.Szabad maradvány'!D73+'13.d.sz.m.Szabad maradvány'!D74+'13.d.sz.m.Szabad maradvány'!D75+'13.d.sz.m.Szabad maradvány'!D76+'13.d.sz.m.Szabad maradvány'!D77+'13.d.sz.m.Szabad maradvány'!D78+'13.d.sz.m.Szabad maradvány'!D79+'13.d.sz.m.Szabad maradvány'!D80</f>
        <v>14558995</v>
      </c>
      <c r="E32" s="226">
        <f>SUM('13.d.sz.m.Szabad maradvány'!D39:D65)</f>
        <v>1027779489</v>
      </c>
      <c r="F32" s="215">
        <f t="shared" si="0"/>
        <v>1042338484</v>
      </c>
      <c r="G32" s="232"/>
      <c r="H32" s="232"/>
      <c r="I32" s="232"/>
      <c r="J32" s="232"/>
      <c r="K32" s="232"/>
    </row>
    <row r="33" spans="1:11" ht="46.5" customHeight="1" x14ac:dyDescent="0.35">
      <c r="A33" s="216"/>
      <c r="B33" s="728" t="s">
        <v>796</v>
      </c>
      <c r="C33" s="728"/>
      <c r="D33" s="214"/>
      <c r="E33" s="214"/>
      <c r="F33" s="223">
        <f>+F29-F30</f>
        <v>197473096</v>
      </c>
      <c r="G33" s="233"/>
      <c r="H33" s="232"/>
      <c r="I33" s="232"/>
      <c r="J33" s="232"/>
      <c r="K33" s="232"/>
    </row>
    <row r="34" spans="1:11" ht="34.5" customHeight="1" x14ac:dyDescent="0.35">
      <c r="A34" s="216"/>
      <c r="B34" s="723" t="s">
        <v>794</v>
      </c>
      <c r="C34" s="723"/>
      <c r="D34" s="226">
        <v>473096</v>
      </c>
      <c r="E34" s="226"/>
      <c r="F34" s="215">
        <f t="shared" ref="F34" si="1">+D34+E34</f>
        <v>473096</v>
      </c>
      <c r="G34" s="232"/>
      <c r="H34" s="232"/>
      <c r="I34" s="232"/>
      <c r="J34" s="232"/>
      <c r="K34" s="232"/>
    </row>
    <row r="35" spans="1:11" ht="34.5" customHeight="1" x14ac:dyDescent="0.35">
      <c r="A35" s="239"/>
      <c r="B35" s="729" t="s">
        <v>795</v>
      </c>
      <c r="C35" s="729"/>
      <c r="D35" s="240"/>
      <c r="E35" s="240">
        <v>197000000</v>
      </c>
      <c r="F35" s="241">
        <f>+D35+E35</f>
        <v>197000000</v>
      </c>
      <c r="G35" s="232"/>
      <c r="H35" s="232"/>
      <c r="I35" s="232"/>
      <c r="J35" s="232"/>
      <c r="K35" s="232"/>
    </row>
    <row r="36" spans="1:11" ht="23.25" x14ac:dyDescent="0.35">
      <c r="A36" s="242"/>
      <c r="B36" s="243"/>
      <c r="C36" s="243"/>
      <c r="D36" s="244"/>
      <c r="E36" s="244"/>
      <c r="F36" s="244"/>
      <c r="G36" s="225" t="s">
        <v>797</v>
      </c>
      <c r="H36" s="224">
        <f>+F17+F21+F24+F31</f>
        <v>413141474</v>
      </c>
      <c r="I36" s="225"/>
      <c r="J36" s="225"/>
      <c r="K36" s="225"/>
    </row>
    <row r="37" spans="1:11" ht="23.25" x14ac:dyDescent="0.35">
      <c r="A37" s="245" t="s">
        <v>798</v>
      </c>
      <c r="B37" s="243"/>
      <c r="C37" s="243"/>
      <c r="D37" s="244"/>
      <c r="E37" s="244"/>
      <c r="F37" s="246"/>
      <c r="G37" s="225" t="s">
        <v>799</v>
      </c>
      <c r="H37" s="224">
        <f>+F32+F25+F22+F18</f>
        <v>1158168083</v>
      </c>
      <c r="I37" s="225"/>
      <c r="J37" s="225"/>
      <c r="K37" s="225"/>
    </row>
    <row r="38" spans="1:11" ht="23.25" x14ac:dyDescent="0.35">
      <c r="A38" s="242"/>
      <c r="B38" s="243"/>
      <c r="C38" s="243"/>
      <c r="D38" s="244"/>
      <c r="E38" s="244"/>
      <c r="F38" s="244">
        <v>197810171</v>
      </c>
      <c r="G38" s="225" t="s">
        <v>800</v>
      </c>
      <c r="H38" s="224">
        <f>SUM(H36:H37)</f>
        <v>1571309557</v>
      </c>
      <c r="I38" s="225"/>
      <c r="J38" s="225"/>
      <c r="K38" s="225"/>
    </row>
    <row r="39" spans="1:11" x14ac:dyDescent="0.25">
      <c r="F39" s="247"/>
    </row>
    <row r="40" spans="1:11" x14ac:dyDescent="0.25">
      <c r="D40" s="247"/>
      <c r="E40" s="247">
        <f>+E31+E32</f>
        <v>1385246942</v>
      </c>
      <c r="F40" s="247">
        <f>+F38-F37</f>
        <v>197810171</v>
      </c>
    </row>
    <row r="41" spans="1:11" x14ac:dyDescent="0.25">
      <c r="E41" s="247"/>
    </row>
    <row r="43" spans="1:11" x14ac:dyDescent="0.25">
      <c r="G43" s="192" t="s">
        <v>801</v>
      </c>
      <c r="H43" s="247">
        <f>+F16+F20+F23</f>
        <v>168150820</v>
      </c>
    </row>
    <row r="44" spans="1:11" x14ac:dyDescent="0.25">
      <c r="G44" s="192" t="s">
        <v>802</v>
      </c>
      <c r="H44" s="247">
        <f>+F29</f>
        <v>1600631833</v>
      </c>
    </row>
    <row r="45" spans="1:11" x14ac:dyDescent="0.25">
      <c r="G45" s="192" t="s">
        <v>803</v>
      </c>
      <c r="H45" s="247">
        <f>SUM(H43:H44)</f>
        <v>1768782653</v>
      </c>
    </row>
  </sheetData>
  <mergeCells count="35">
    <mergeCell ref="B31:C31"/>
    <mergeCell ref="B32:C32"/>
    <mergeCell ref="B33:C33"/>
    <mergeCell ref="B34:C34"/>
    <mergeCell ref="B35:C35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2:F2"/>
    <mergeCell ref="A5:A6"/>
    <mergeCell ref="B5:C6"/>
    <mergeCell ref="D5:D6"/>
    <mergeCell ref="E5:E6"/>
    <mergeCell ref="F5:F6"/>
  </mergeCells>
  <pageMargins left="0.27559055118110237" right="0.27559055118110237" top="0.74803149606299213" bottom="0.63" header="0.31496062992125984" footer="0.31496062992125984"/>
  <pageSetup paperSize="9" scale="46" orientation="portrait" r:id="rId1"/>
  <headerFooter>
    <oddHeader>&amp;CDunaharaszti Város Önkormányzat 2017. évi zárszámadás&amp;R&amp;A</oddHeader>
    <oddFooter xml:space="preserve">&amp;C&amp;P/&amp;N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6"/>
  <sheetViews>
    <sheetView view="pageBreakPreview" zoomScale="80" zoomScaleNormal="50" zoomScaleSheetLayoutView="80" zoomScalePageLayoutView="78" workbookViewId="0">
      <selection activeCell="H7" sqref="H7"/>
    </sheetView>
  </sheetViews>
  <sheetFormatPr defaultColWidth="9.140625" defaultRowHeight="15" x14ac:dyDescent="0.25"/>
  <cols>
    <col min="1" max="1" width="9.140625" style="176"/>
    <col min="2" max="2" width="96.28515625" style="176" customWidth="1"/>
    <col min="3" max="3" width="33" style="326" customWidth="1"/>
    <col min="4" max="4" width="30.85546875" style="176" customWidth="1"/>
    <col min="5" max="5" width="24.42578125" style="176" bestFit="1" customWidth="1"/>
    <col min="6" max="6" width="71.42578125" style="176" customWidth="1"/>
    <col min="7" max="7" width="28.42578125" style="176" customWidth="1"/>
    <col min="8" max="258" width="9.140625" style="176"/>
    <col min="259" max="259" width="96.28515625" style="176" customWidth="1"/>
    <col min="260" max="260" width="33" style="176" customWidth="1"/>
    <col min="261" max="261" width="22.5703125" style="176" customWidth="1"/>
    <col min="262" max="262" width="13.42578125" style="176" bestFit="1" customWidth="1"/>
    <col min="263" max="514" width="9.140625" style="176"/>
    <col min="515" max="515" width="96.28515625" style="176" customWidth="1"/>
    <col min="516" max="516" width="33" style="176" customWidth="1"/>
    <col min="517" max="517" width="22.5703125" style="176" customWidth="1"/>
    <col min="518" max="518" width="13.42578125" style="176" bestFit="1" customWidth="1"/>
    <col min="519" max="770" width="9.140625" style="176"/>
    <col min="771" max="771" width="96.28515625" style="176" customWidth="1"/>
    <col min="772" max="772" width="33" style="176" customWidth="1"/>
    <col min="773" max="773" width="22.5703125" style="176" customWidth="1"/>
    <col min="774" max="774" width="13.42578125" style="176" bestFit="1" customWidth="1"/>
    <col min="775" max="1026" width="9.140625" style="176"/>
    <col min="1027" max="1027" width="96.28515625" style="176" customWidth="1"/>
    <col min="1028" max="1028" width="33" style="176" customWidth="1"/>
    <col min="1029" max="1029" width="22.5703125" style="176" customWidth="1"/>
    <col min="1030" max="1030" width="13.42578125" style="176" bestFit="1" customWidth="1"/>
    <col min="1031" max="1282" width="9.140625" style="176"/>
    <col min="1283" max="1283" width="96.28515625" style="176" customWidth="1"/>
    <col min="1284" max="1284" width="33" style="176" customWidth="1"/>
    <col min="1285" max="1285" width="22.5703125" style="176" customWidth="1"/>
    <col min="1286" max="1286" width="13.42578125" style="176" bestFit="1" customWidth="1"/>
    <col min="1287" max="1538" width="9.140625" style="176"/>
    <col min="1539" max="1539" width="96.28515625" style="176" customWidth="1"/>
    <col min="1540" max="1540" width="33" style="176" customWidth="1"/>
    <col min="1541" max="1541" width="22.5703125" style="176" customWidth="1"/>
    <col min="1542" max="1542" width="13.42578125" style="176" bestFit="1" customWidth="1"/>
    <col min="1543" max="1794" width="9.140625" style="176"/>
    <col min="1795" max="1795" width="96.28515625" style="176" customWidth="1"/>
    <col min="1796" max="1796" width="33" style="176" customWidth="1"/>
    <col min="1797" max="1797" width="22.5703125" style="176" customWidth="1"/>
    <col min="1798" max="1798" width="13.42578125" style="176" bestFit="1" customWidth="1"/>
    <col min="1799" max="2050" width="9.140625" style="176"/>
    <col min="2051" max="2051" width="96.28515625" style="176" customWidth="1"/>
    <col min="2052" max="2052" width="33" style="176" customWidth="1"/>
    <col min="2053" max="2053" width="22.5703125" style="176" customWidth="1"/>
    <col min="2054" max="2054" width="13.42578125" style="176" bestFit="1" customWidth="1"/>
    <col min="2055" max="2306" width="9.140625" style="176"/>
    <col min="2307" max="2307" width="96.28515625" style="176" customWidth="1"/>
    <col min="2308" max="2308" width="33" style="176" customWidth="1"/>
    <col min="2309" max="2309" width="22.5703125" style="176" customWidth="1"/>
    <col min="2310" max="2310" width="13.42578125" style="176" bestFit="1" customWidth="1"/>
    <col min="2311" max="2562" width="9.140625" style="176"/>
    <col min="2563" max="2563" width="96.28515625" style="176" customWidth="1"/>
    <col min="2564" max="2564" width="33" style="176" customWidth="1"/>
    <col min="2565" max="2565" width="22.5703125" style="176" customWidth="1"/>
    <col min="2566" max="2566" width="13.42578125" style="176" bestFit="1" customWidth="1"/>
    <col min="2567" max="2818" width="9.140625" style="176"/>
    <col min="2819" max="2819" width="96.28515625" style="176" customWidth="1"/>
    <col min="2820" max="2820" width="33" style="176" customWidth="1"/>
    <col min="2821" max="2821" width="22.5703125" style="176" customWidth="1"/>
    <col min="2822" max="2822" width="13.42578125" style="176" bestFit="1" customWidth="1"/>
    <col min="2823" max="3074" width="9.140625" style="176"/>
    <col min="3075" max="3075" width="96.28515625" style="176" customWidth="1"/>
    <col min="3076" max="3076" width="33" style="176" customWidth="1"/>
    <col min="3077" max="3077" width="22.5703125" style="176" customWidth="1"/>
    <col min="3078" max="3078" width="13.42578125" style="176" bestFit="1" customWidth="1"/>
    <col min="3079" max="3330" width="9.140625" style="176"/>
    <col min="3331" max="3331" width="96.28515625" style="176" customWidth="1"/>
    <col min="3332" max="3332" width="33" style="176" customWidth="1"/>
    <col min="3333" max="3333" width="22.5703125" style="176" customWidth="1"/>
    <col min="3334" max="3334" width="13.42578125" style="176" bestFit="1" customWidth="1"/>
    <col min="3335" max="3586" width="9.140625" style="176"/>
    <col min="3587" max="3587" width="96.28515625" style="176" customWidth="1"/>
    <col min="3588" max="3588" width="33" style="176" customWidth="1"/>
    <col min="3589" max="3589" width="22.5703125" style="176" customWidth="1"/>
    <col min="3590" max="3590" width="13.42578125" style="176" bestFit="1" customWidth="1"/>
    <col min="3591" max="3842" width="9.140625" style="176"/>
    <col min="3843" max="3843" width="96.28515625" style="176" customWidth="1"/>
    <col min="3844" max="3844" width="33" style="176" customWidth="1"/>
    <col min="3845" max="3845" width="22.5703125" style="176" customWidth="1"/>
    <col min="3846" max="3846" width="13.42578125" style="176" bestFit="1" customWidth="1"/>
    <col min="3847" max="4098" width="9.140625" style="176"/>
    <col min="4099" max="4099" width="96.28515625" style="176" customWidth="1"/>
    <col min="4100" max="4100" width="33" style="176" customWidth="1"/>
    <col min="4101" max="4101" width="22.5703125" style="176" customWidth="1"/>
    <col min="4102" max="4102" width="13.42578125" style="176" bestFit="1" customWidth="1"/>
    <col min="4103" max="4354" width="9.140625" style="176"/>
    <col min="4355" max="4355" width="96.28515625" style="176" customWidth="1"/>
    <col min="4356" max="4356" width="33" style="176" customWidth="1"/>
    <col min="4357" max="4357" width="22.5703125" style="176" customWidth="1"/>
    <col min="4358" max="4358" width="13.42578125" style="176" bestFit="1" customWidth="1"/>
    <col min="4359" max="4610" width="9.140625" style="176"/>
    <col min="4611" max="4611" width="96.28515625" style="176" customWidth="1"/>
    <col min="4612" max="4612" width="33" style="176" customWidth="1"/>
    <col min="4613" max="4613" width="22.5703125" style="176" customWidth="1"/>
    <col min="4614" max="4614" width="13.42578125" style="176" bestFit="1" customWidth="1"/>
    <col min="4615" max="4866" width="9.140625" style="176"/>
    <col min="4867" max="4867" width="96.28515625" style="176" customWidth="1"/>
    <col min="4868" max="4868" width="33" style="176" customWidth="1"/>
    <col min="4869" max="4869" width="22.5703125" style="176" customWidth="1"/>
    <col min="4870" max="4870" width="13.42578125" style="176" bestFit="1" customWidth="1"/>
    <col min="4871" max="5122" width="9.140625" style="176"/>
    <col min="5123" max="5123" width="96.28515625" style="176" customWidth="1"/>
    <col min="5124" max="5124" width="33" style="176" customWidth="1"/>
    <col min="5125" max="5125" width="22.5703125" style="176" customWidth="1"/>
    <col min="5126" max="5126" width="13.42578125" style="176" bestFit="1" customWidth="1"/>
    <col min="5127" max="5378" width="9.140625" style="176"/>
    <col min="5379" max="5379" width="96.28515625" style="176" customWidth="1"/>
    <col min="5380" max="5380" width="33" style="176" customWidth="1"/>
    <col min="5381" max="5381" width="22.5703125" style="176" customWidth="1"/>
    <col min="5382" max="5382" width="13.42578125" style="176" bestFit="1" customWidth="1"/>
    <col min="5383" max="5634" width="9.140625" style="176"/>
    <col min="5635" max="5635" width="96.28515625" style="176" customWidth="1"/>
    <col min="5636" max="5636" width="33" style="176" customWidth="1"/>
    <col min="5637" max="5637" width="22.5703125" style="176" customWidth="1"/>
    <col min="5638" max="5638" width="13.42578125" style="176" bestFit="1" customWidth="1"/>
    <col min="5639" max="5890" width="9.140625" style="176"/>
    <col min="5891" max="5891" width="96.28515625" style="176" customWidth="1"/>
    <col min="5892" max="5892" width="33" style="176" customWidth="1"/>
    <col min="5893" max="5893" width="22.5703125" style="176" customWidth="1"/>
    <col min="5894" max="5894" width="13.42578125" style="176" bestFit="1" customWidth="1"/>
    <col min="5895" max="6146" width="9.140625" style="176"/>
    <col min="6147" max="6147" width="96.28515625" style="176" customWidth="1"/>
    <col min="6148" max="6148" width="33" style="176" customWidth="1"/>
    <col min="6149" max="6149" width="22.5703125" style="176" customWidth="1"/>
    <col min="6150" max="6150" width="13.42578125" style="176" bestFit="1" customWidth="1"/>
    <col min="6151" max="6402" width="9.140625" style="176"/>
    <col min="6403" max="6403" width="96.28515625" style="176" customWidth="1"/>
    <col min="6404" max="6404" width="33" style="176" customWidth="1"/>
    <col min="6405" max="6405" width="22.5703125" style="176" customWidth="1"/>
    <col min="6406" max="6406" width="13.42578125" style="176" bestFit="1" customWidth="1"/>
    <col min="6407" max="6658" width="9.140625" style="176"/>
    <col min="6659" max="6659" width="96.28515625" style="176" customWidth="1"/>
    <col min="6660" max="6660" width="33" style="176" customWidth="1"/>
    <col min="6661" max="6661" width="22.5703125" style="176" customWidth="1"/>
    <col min="6662" max="6662" width="13.42578125" style="176" bestFit="1" customWidth="1"/>
    <col min="6663" max="6914" width="9.140625" style="176"/>
    <col min="6915" max="6915" width="96.28515625" style="176" customWidth="1"/>
    <col min="6916" max="6916" width="33" style="176" customWidth="1"/>
    <col min="6917" max="6917" width="22.5703125" style="176" customWidth="1"/>
    <col min="6918" max="6918" width="13.42578125" style="176" bestFit="1" customWidth="1"/>
    <col min="6919" max="7170" width="9.140625" style="176"/>
    <col min="7171" max="7171" width="96.28515625" style="176" customWidth="1"/>
    <col min="7172" max="7172" width="33" style="176" customWidth="1"/>
    <col min="7173" max="7173" width="22.5703125" style="176" customWidth="1"/>
    <col min="7174" max="7174" width="13.42578125" style="176" bestFit="1" customWidth="1"/>
    <col min="7175" max="7426" width="9.140625" style="176"/>
    <col min="7427" max="7427" width="96.28515625" style="176" customWidth="1"/>
    <col min="7428" max="7428" width="33" style="176" customWidth="1"/>
    <col min="7429" max="7429" width="22.5703125" style="176" customWidth="1"/>
    <col min="7430" max="7430" width="13.42578125" style="176" bestFit="1" customWidth="1"/>
    <col min="7431" max="7682" width="9.140625" style="176"/>
    <col min="7683" max="7683" width="96.28515625" style="176" customWidth="1"/>
    <col min="7684" max="7684" width="33" style="176" customWidth="1"/>
    <col min="7685" max="7685" width="22.5703125" style="176" customWidth="1"/>
    <col min="7686" max="7686" width="13.42578125" style="176" bestFit="1" customWidth="1"/>
    <col min="7687" max="7938" width="9.140625" style="176"/>
    <col min="7939" max="7939" width="96.28515625" style="176" customWidth="1"/>
    <col min="7940" max="7940" width="33" style="176" customWidth="1"/>
    <col min="7941" max="7941" width="22.5703125" style="176" customWidth="1"/>
    <col min="7942" max="7942" width="13.42578125" style="176" bestFit="1" customWidth="1"/>
    <col min="7943" max="8194" width="9.140625" style="176"/>
    <col min="8195" max="8195" width="96.28515625" style="176" customWidth="1"/>
    <col min="8196" max="8196" width="33" style="176" customWidth="1"/>
    <col min="8197" max="8197" width="22.5703125" style="176" customWidth="1"/>
    <col min="8198" max="8198" width="13.42578125" style="176" bestFit="1" customWidth="1"/>
    <col min="8199" max="8450" width="9.140625" style="176"/>
    <col min="8451" max="8451" width="96.28515625" style="176" customWidth="1"/>
    <col min="8452" max="8452" width="33" style="176" customWidth="1"/>
    <col min="8453" max="8453" width="22.5703125" style="176" customWidth="1"/>
    <col min="8454" max="8454" width="13.42578125" style="176" bestFit="1" customWidth="1"/>
    <col min="8455" max="8706" width="9.140625" style="176"/>
    <col min="8707" max="8707" width="96.28515625" style="176" customWidth="1"/>
    <col min="8708" max="8708" width="33" style="176" customWidth="1"/>
    <col min="8709" max="8709" width="22.5703125" style="176" customWidth="1"/>
    <col min="8710" max="8710" width="13.42578125" style="176" bestFit="1" customWidth="1"/>
    <col min="8711" max="8962" width="9.140625" style="176"/>
    <col min="8963" max="8963" width="96.28515625" style="176" customWidth="1"/>
    <col min="8964" max="8964" width="33" style="176" customWidth="1"/>
    <col min="8965" max="8965" width="22.5703125" style="176" customWidth="1"/>
    <col min="8966" max="8966" width="13.42578125" style="176" bestFit="1" customWidth="1"/>
    <col min="8967" max="9218" width="9.140625" style="176"/>
    <col min="9219" max="9219" width="96.28515625" style="176" customWidth="1"/>
    <col min="9220" max="9220" width="33" style="176" customWidth="1"/>
    <col min="9221" max="9221" width="22.5703125" style="176" customWidth="1"/>
    <col min="9222" max="9222" width="13.42578125" style="176" bestFit="1" customWidth="1"/>
    <col min="9223" max="9474" width="9.140625" style="176"/>
    <col min="9475" max="9475" width="96.28515625" style="176" customWidth="1"/>
    <col min="9476" max="9476" width="33" style="176" customWidth="1"/>
    <col min="9477" max="9477" width="22.5703125" style="176" customWidth="1"/>
    <col min="9478" max="9478" width="13.42578125" style="176" bestFit="1" customWidth="1"/>
    <col min="9479" max="9730" width="9.140625" style="176"/>
    <col min="9731" max="9731" width="96.28515625" style="176" customWidth="1"/>
    <col min="9732" max="9732" width="33" style="176" customWidth="1"/>
    <col min="9733" max="9733" width="22.5703125" style="176" customWidth="1"/>
    <col min="9734" max="9734" width="13.42578125" style="176" bestFit="1" customWidth="1"/>
    <col min="9735" max="9986" width="9.140625" style="176"/>
    <col min="9987" max="9987" width="96.28515625" style="176" customWidth="1"/>
    <col min="9988" max="9988" width="33" style="176" customWidth="1"/>
    <col min="9989" max="9989" width="22.5703125" style="176" customWidth="1"/>
    <col min="9990" max="9990" width="13.42578125" style="176" bestFit="1" customWidth="1"/>
    <col min="9991" max="10242" width="9.140625" style="176"/>
    <col min="10243" max="10243" width="96.28515625" style="176" customWidth="1"/>
    <col min="10244" max="10244" width="33" style="176" customWidth="1"/>
    <col min="10245" max="10245" width="22.5703125" style="176" customWidth="1"/>
    <col min="10246" max="10246" width="13.42578125" style="176" bestFit="1" customWidth="1"/>
    <col min="10247" max="10498" width="9.140625" style="176"/>
    <col min="10499" max="10499" width="96.28515625" style="176" customWidth="1"/>
    <col min="10500" max="10500" width="33" style="176" customWidth="1"/>
    <col min="10501" max="10501" width="22.5703125" style="176" customWidth="1"/>
    <col min="10502" max="10502" width="13.42578125" style="176" bestFit="1" customWidth="1"/>
    <col min="10503" max="10754" width="9.140625" style="176"/>
    <col min="10755" max="10755" width="96.28515625" style="176" customWidth="1"/>
    <col min="10756" max="10756" width="33" style="176" customWidth="1"/>
    <col min="10757" max="10757" width="22.5703125" style="176" customWidth="1"/>
    <col min="10758" max="10758" width="13.42578125" style="176" bestFit="1" customWidth="1"/>
    <col min="10759" max="11010" width="9.140625" style="176"/>
    <col min="11011" max="11011" width="96.28515625" style="176" customWidth="1"/>
    <col min="11012" max="11012" width="33" style="176" customWidth="1"/>
    <col min="11013" max="11013" width="22.5703125" style="176" customWidth="1"/>
    <col min="11014" max="11014" width="13.42578125" style="176" bestFit="1" customWidth="1"/>
    <col min="11015" max="11266" width="9.140625" style="176"/>
    <col min="11267" max="11267" width="96.28515625" style="176" customWidth="1"/>
    <col min="11268" max="11268" width="33" style="176" customWidth="1"/>
    <col min="11269" max="11269" width="22.5703125" style="176" customWidth="1"/>
    <col min="11270" max="11270" width="13.42578125" style="176" bestFit="1" customWidth="1"/>
    <col min="11271" max="11522" width="9.140625" style="176"/>
    <col min="11523" max="11523" width="96.28515625" style="176" customWidth="1"/>
    <col min="11524" max="11524" width="33" style="176" customWidth="1"/>
    <col min="11525" max="11525" width="22.5703125" style="176" customWidth="1"/>
    <col min="11526" max="11526" width="13.42578125" style="176" bestFit="1" customWidth="1"/>
    <col min="11527" max="11778" width="9.140625" style="176"/>
    <col min="11779" max="11779" width="96.28515625" style="176" customWidth="1"/>
    <col min="11780" max="11780" width="33" style="176" customWidth="1"/>
    <col min="11781" max="11781" width="22.5703125" style="176" customWidth="1"/>
    <col min="11782" max="11782" width="13.42578125" style="176" bestFit="1" customWidth="1"/>
    <col min="11783" max="12034" width="9.140625" style="176"/>
    <col min="12035" max="12035" width="96.28515625" style="176" customWidth="1"/>
    <col min="12036" max="12036" width="33" style="176" customWidth="1"/>
    <col min="12037" max="12037" width="22.5703125" style="176" customWidth="1"/>
    <col min="12038" max="12038" width="13.42578125" style="176" bestFit="1" customWidth="1"/>
    <col min="12039" max="12290" width="9.140625" style="176"/>
    <col min="12291" max="12291" width="96.28515625" style="176" customWidth="1"/>
    <col min="12292" max="12292" width="33" style="176" customWidth="1"/>
    <col min="12293" max="12293" width="22.5703125" style="176" customWidth="1"/>
    <col min="12294" max="12294" width="13.42578125" style="176" bestFit="1" customWidth="1"/>
    <col min="12295" max="12546" width="9.140625" style="176"/>
    <col min="12547" max="12547" width="96.28515625" style="176" customWidth="1"/>
    <col min="12548" max="12548" width="33" style="176" customWidth="1"/>
    <col min="12549" max="12549" width="22.5703125" style="176" customWidth="1"/>
    <col min="12550" max="12550" width="13.42578125" style="176" bestFit="1" customWidth="1"/>
    <col min="12551" max="12802" width="9.140625" style="176"/>
    <col min="12803" max="12803" width="96.28515625" style="176" customWidth="1"/>
    <col min="12804" max="12804" width="33" style="176" customWidth="1"/>
    <col min="12805" max="12805" width="22.5703125" style="176" customWidth="1"/>
    <col min="12806" max="12806" width="13.42578125" style="176" bestFit="1" customWidth="1"/>
    <col min="12807" max="13058" width="9.140625" style="176"/>
    <col min="13059" max="13059" width="96.28515625" style="176" customWidth="1"/>
    <col min="13060" max="13060" width="33" style="176" customWidth="1"/>
    <col min="13061" max="13061" width="22.5703125" style="176" customWidth="1"/>
    <col min="13062" max="13062" width="13.42578125" style="176" bestFit="1" customWidth="1"/>
    <col min="13063" max="13314" width="9.140625" style="176"/>
    <col min="13315" max="13315" width="96.28515625" style="176" customWidth="1"/>
    <col min="13316" max="13316" width="33" style="176" customWidth="1"/>
    <col min="13317" max="13317" width="22.5703125" style="176" customWidth="1"/>
    <col min="13318" max="13318" width="13.42578125" style="176" bestFit="1" customWidth="1"/>
    <col min="13319" max="13570" width="9.140625" style="176"/>
    <col min="13571" max="13571" width="96.28515625" style="176" customWidth="1"/>
    <col min="13572" max="13572" width="33" style="176" customWidth="1"/>
    <col min="13573" max="13573" width="22.5703125" style="176" customWidth="1"/>
    <col min="13574" max="13574" width="13.42578125" style="176" bestFit="1" customWidth="1"/>
    <col min="13575" max="13826" width="9.140625" style="176"/>
    <col min="13827" max="13827" width="96.28515625" style="176" customWidth="1"/>
    <col min="13828" max="13828" width="33" style="176" customWidth="1"/>
    <col min="13829" max="13829" width="22.5703125" style="176" customWidth="1"/>
    <col min="13830" max="13830" width="13.42578125" style="176" bestFit="1" customWidth="1"/>
    <col min="13831" max="14082" width="9.140625" style="176"/>
    <col min="14083" max="14083" width="96.28515625" style="176" customWidth="1"/>
    <col min="14084" max="14084" width="33" style="176" customWidth="1"/>
    <col min="14085" max="14085" width="22.5703125" style="176" customWidth="1"/>
    <col min="14086" max="14086" width="13.42578125" style="176" bestFit="1" customWidth="1"/>
    <col min="14087" max="14338" width="9.140625" style="176"/>
    <col min="14339" max="14339" width="96.28515625" style="176" customWidth="1"/>
    <col min="14340" max="14340" width="33" style="176" customWidth="1"/>
    <col min="14341" max="14341" width="22.5703125" style="176" customWidth="1"/>
    <col min="14342" max="14342" width="13.42578125" style="176" bestFit="1" customWidth="1"/>
    <col min="14343" max="14594" width="9.140625" style="176"/>
    <col min="14595" max="14595" width="96.28515625" style="176" customWidth="1"/>
    <col min="14596" max="14596" width="33" style="176" customWidth="1"/>
    <col min="14597" max="14597" width="22.5703125" style="176" customWidth="1"/>
    <col min="14598" max="14598" width="13.42578125" style="176" bestFit="1" customWidth="1"/>
    <col min="14599" max="14850" width="9.140625" style="176"/>
    <col min="14851" max="14851" width="96.28515625" style="176" customWidth="1"/>
    <col min="14852" max="14852" width="33" style="176" customWidth="1"/>
    <col min="14853" max="14853" width="22.5703125" style="176" customWidth="1"/>
    <col min="14854" max="14854" width="13.42578125" style="176" bestFit="1" customWidth="1"/>
    <col min="14855" max="15106" width="9.140625" style="176"/>
    <col min="15107" max="15107" width="96.28515625" style="176" customWidth="1"/>
    <col min="15108" max="15108" width="33" style="176" customWidth="1"/>
    <col min="15109" max="15109" width="22.5703125" style="176" customWidth="1"/>
    <col min="15110" max="15110" width="13.42578125" style="176" bestFit="1" customWidth="1"/>
    <col min="15111" max="15362" width="9.140625" style="176"/>
    <col min="15363" max="15363" width="96.28515625" style="176" customWidth="1"/>
    <col min="15364" max="15364" width="33" style="176" customWidth="1"/>
    <col min="15365" max="15365" width="22.5703125" style="176" customWidth="1"/>
    <col min="15366" max="15366" width="13.42578125" style="176" bestFit="1" customWidth="1"/>
    <col min="15367" max="15618" width="9.140625" style="176"/>
    <col min="15619" max="15619" width="96.28515625" style="176" customWidth="1"/>
    <col min="15620" max="15620" width="33" style="176" customWidth="1"/>
    <col min="15621" max="15621" width="22.5703125" style="176" customWidth="1"/>
    <col min="15622" max="15622" width="13.42578125" style="176" bestFit="1" customWidth="1"/>
    <col min="15623" max="15874" width="9.140625" style="176"/>
    <col min="15875" max="15875" width="96.28515625" style="176" customWidth="1"/>
    <col min="15876" max="15876" width="33" style="176" customWidth="1"/>
    <col min="15877" max="15877" width="22.5703125" style="176" customWidth="1"/>
    <col min="15878" max="15878" width="13.42578125" style="176" bestFit="1" customWidth="1"/>
    <col min="15879" max="16130" width="9.140625" style="176"/>
    <col min="16131" max="16131" width="96.28515625" style="176" customWidth="1"/>
    <col min="16132" max="16132" width="33" style="176" customWidth="1"/>
    <col min="16133" max="16133" width="22.5703125" style="176" customWidth="1"/>
    <col min="16134" max="16134" width="13.42578125" style="176" bestFit="1" customWidth="1"/>
    <col min="16135" max="16384" width="9.140625" style="176"/>
  </cols>
  <sheetData>
    <row r="1" spans="1:14" s="249" customFormat="1" ht="48.75" customHeight="1" x14ac:dyDescent="0.25">
      <c r="A1" s="732" t="s">
        <v>804</v>
      </c>
      <c r="B1" s="732"/>
      <c r="C1" s="732"/>
      <c r="D1" s="732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s="254" customFormat="1" ht="23.25" x14ac:dyDescent="0.35">
      <c r="A2" s="250"/>
      <c r="B2" s="251" t="s">
        <v>185</v>
      </c>
      <c r="C2" s="252"/>
      <c r="D2" s="253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 ht="23.25" x14ac:dyDescent="0.35">
      <c r="A3" s="255"/>
      <c r="B3" s="256" t="s">
        <v>805</v>
      </c>
      <c r="C3" s="257"/>
      <c r="D3" s="255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4" ht="23.25" x14ac:dyDescent="0.35">
      <c r="A4" s="255"/>
      <c r="B4" s="259" t="s">
        <v>806</v>
      </c>
      <c r="C4" s="260" t="s">
        <v>807</v>
      </c>
      <c r="D4" s="261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4" ht="23.25" customHeight="1" x14ac:dyDescent="0.35">
      <c r="A5" s="733" t="s">
        <v>808</v>
      </c>
      <c r="B5" s="262" t="s">
        <v>809</v>
      </c>
      <c r="C5" s="263">
        <v>4573898</v>
      </c>
      <c r="D5" s="735" t="s">
        <v>810</v>
      </c>
      <c r="E5" s="258"/>
      <c r="F5" s="264">
        <f>SUM(C4:C6)</f>
        <v>9573898</v>
      </c>
      <c r="G5" s="258"/>
      <c r="H5" s="258"/>
      <c r="I5" s="258"/>
      <c r="J5" s="258"/>
      <c r="K5" s="258"/>
      <c r="L5" s="258"/>
      <c r="M5" s="258"/>
      <c r="N5" s="258"/>
    </row>
    <row r="6" spans="1:14" ht="23.45" customHeight="1" x14ac:dyDescent="0.35">
      <c r="A6" s="734"/>
      <c r="B6" s="262" t="s">
        <v>809</v>
      </c>
      <c r="C6" s="263">
        <v>5000000</v>
      </c>
      <c r="D6" s="736"/>
      <c r="E6" s="258"/>
      <c r="F6" s="258"/>
      <c r="G6" s="258"/>
      <c r="H6" s="258"/>
      <c r="I6" s="258"/>
      <c r="J6" s="258"/>
      <c r="K6" s="258"/>
      <c r="L6" s="258"/>
      <c r="M6" s="258"/>
      <c r="N6" s="258"/>
    </row>
    <row r="7" spans="1:14" ht="23.25" x14ac:dyDescent="0.35">
      <c r="A7" s="734"/>
      <c r="B7" s="262" t="s">
        <v>811</v>
      </c>
      <c r="C7" s="263">
        <v>4053662</v>
      </c>
      <c r="D7" s="736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4" ht="23.25" x14ac:dyDescent="0.35">
      <c r="A8" s="734"/>
      <c r="B8" s="262" t="s">
        <v>812</v>
      </c>
      <c r="C8" s="263">
        <v>7000000</v>
      </c>
      <c r="D8" s="736"/>
      <c r="E8" s="258"/>
      <c r="F8" s="258"/>
      <c r="G8" s="258"/>
      <c r="H8" s="258"/>
      <c r="I8" s="258"/>
      <c r="J8" s="258"/>
      <c r="K8" s="258"/>
      <c r="L8" s="258"/>
      <c r="M8" s="258"/>
      <c r="N8" s="258"/>
    </row>
    <row r="9" spans="1:14" ht="23.25" x14ac:dyDescent="0.35">
      <c r="A9" s="734"/>
      <c r="B9" s="262" t="s">
        <v>813</v>
      </c>
      <c r="C9" s="263">
        <v>26623</v>
      </c>
      <c r="D9" s="736"/>
      <c r="E9" s="258"/>
      <c r="F9" s="258"/>
      <c r="G9" s="258"/>
      <c r="H9" s="258"/>
      <c r="I9" s="258"/>
      <c r="J9" s="258"/>
      <c r="K9" s="258"/>
      <c r="L9" s="258"/>
      <c r="M9" s="258"/>
      <c r="N9" s="258"/>
    </row>
    <row r="10" spans="1:14" ht="24.75" customHeight="1" x14ac:dyDescent="0.35">
      <c r="A10" s="734"/>
      <c r="B10" s="262" t="s">
        <v>814</v>
      </c>
      <c r="C10" s="263">
        <v>4557</v>
      </c>
      <c r="D10" s="736"/>
      <c r="E10" s="258"/>
      <c r="F10" s="264">
        <f>+C6+C7+C8</f>
        <v>16053662</v>
      </c>
      <c r="G10" s="258"/>
      <c r="H10" s="258"/>
      <c r="I10" s="258"/>
      <c r="J10" s="258"/>
      <c r="K10" s="258"/>
      <c r="L10" s="258"/>
      <c r="M10" s="258"/>
      <c r="N10" s="258"/>
    </row>
    <row r="11" spans="1:14" ht="23.25" x14ac:dyDescent="0.35">
      <c r="A11" s="734"/>
      <c r="B11" s="262" t="s">
        <v>815</v>
      </c>
      <c r="C11" s="263">
        <v>6660</v>
      </c>
      <c r="D11" s="736"/>
      <c r="E11" s="258"/>
      <c r="F11" s="258"/>
      <c r="G11" s="258"/>
      <c r="H11" s="258"/>
      <c r="I11" s="258"/>
      <c r="J11" s="258"/>
      <c r="K11" s="258"/>
      <c r="L11" s="258"/>
      <c r="M11" s="258"/>
      <c r="N11" s="258"/>
    </row>
    <row r="12" spans="1:14" ht="23.25" x14ac:dyDescent="0.35">
      <c r="A12" s="734"/>
      <c r="B12" s="262" t="s">
        <v>816</v>
      </c>
      <c r="C12" s="263">
        <v>5959</v>
      </c>
      <c r="D12" s="736"/>
      <c r="E12" s="258"/>
      <c r="F12" s="258"/>
      <c r="G12" s="258"/>
      <c r="H12" s="258"/>
      <c r="I12" s="258"/>
      <c r="J12" s="258"/>
      <c r="K12" s="258"/>
      <c r="L12" s="258"/>
      <c r="M12" s="258"/>
      <c r="N12" s="258"/>
    </row>
    <row r="13" spans="1:14" ht="23.25" x14ac:dyDescent="0.35">
      <c r="A13" s="734"/>
      <c r="B13" s="262" t="s">
        <v>817</v>
      </c>
      <c r="C13" s="263">
        <v>312420</v>
      </c>
      <c r="D13" s="736"/>
      <c r="E13" s="264">
        <f>SUM(C5:C37)</f>
        <v>26941485</v>
      </c>
      <c r="F13" s="258"/>
      <c r="G13" s="258"/>
      <c r="H13" s="258"/>
      <c r="I13" s="258"/>
      <c r="J13" s="258"/>
      <c r="K13" s="258"/>
      <c r="L13" s="258"/>
      <c r="M13" s="258"/>
      <c r="N13" s="258"/>
    </row>
    <row r="14" spans="1:14" ht="23.25" x14ac:dyDescent="0.35">
      <c r="A14" s="734"/>
      <c r="B14" s="262" t="s">
        <v>818</v>
      </c>
      <c r="C14" s="263">
        <v>254000</v>
      </c>
      <c r="D14" s="736"/>
      <c r="E14" s="264">
        <f>SUM(C38:C47)</f>
        <v>115829599</v>
      </c>
      <c r="F14" s="258"/>
      <c r="G14" s="258"/>
      <c r="H14" s="258"/>
      <c r="I14" s="258"/>
      <c r="J14" s="258"/>
      <c r="K14" s="258"/>
      <c r="L14" s="258"/>
      <c r="M14" s="258"/>
      <c r="N14" s="258"/>
    </row>
    <row r="15" spans="1:14" ht="23.25" x14ac:dyDescent="0.35">
      <c r="A15" s="734"/>
      <c r="B15" s="262" t="s">
        <v>819</v>
      </c>
      <c r="C15" s="263">
        <v>285627</v>
      </c>
      <c r="D15" s="736"/>
      <c r="E15" s="258"/>
      <c r="F15" s="258"/>
      <c r="G15" s="258"/>
      <c r="H15" s="258"/>
      <c r="I15" s="258"/>
      <c r="J15" s="258"/>
      <c r="K15" s="258"/>
      <c r="L15" s="258"/>
      <c r="M15" s="258"/>
      <c r="N15" s="258"/>
    </row>
    <row r="16" spans="1:14" ht="23.25" x14ac:dyDescent="0.35">
      <c r="A16" s="734"/>
      <c r="B16" s="262" t="s">
        <v>820</v>
      </c>
      <c r="C16" s="263">
        <v>107171</v>
      </c>
      <c r="D16" s="736"/>
      <c r="E16" s="258"/>
      <c r="F16" s="258"/>
      <c r="G16" s="258"/>
      <c r="H16" s="258"/>
      <c r="I16" s="258"/>
      <c r="J16" s="258"/>
      <c r="K16" s="258"/>
      <c r="L16" s="258"/>
      <c r="M16" s="258"/>
      <c r="N16" s="258"/>
    </row>
    <row r="17" spans="1:14" ht="22.5" customHeight="1" x14ac:dyDescent="0.35">
      <c r="A17" s="734"/>
      <c r="B17" s="262" t="s">
        <v>821</v>
      </c>
      <c r="C17" s="263">
        <v>88900</v>
      </c>
      <c r="D17" s="736"/>
      <c r="E17" s="258"/>
      <c r="F17" s="258"/>
      <c r="G17" s="258"/>
      <c r="H17" s="258"/>
      <c r="I17" s="258"/>
      <c r="J17" s="258"/>
      <c r="K17" s="258"/>
      <c r="L17" s="258"/>
      <c r="M17" s="258"/>
      <c r="N17" s="258"/>
    </row>
    <row r="18" spans="1:14" ht="24" customHeight="1" x14ac:dyDescent="0.35">
      <c r="A18" s="734"/>
      <c r="B18" s="262" t="s">
        <v>822</v>
      </c>
      <c r="C18" s="263">
        <v>29548</v>
      </c>
      <c r="D18" s="736"/>
      <c r="E18" s="258"/>
      <c r="F18" s="258"/>
      <c r="G18" s="258"/>
      <c r="H18" s="258"/>
      <c r="I18" s="258"/>
      <c r="J18" s="258"/>
      <c r="K18" s="258"/>
      <c r="L18" s="258"/>
      <c r="M18" s="258"/>
      <c r="N18" s="258"/>
    </row>
    <row r="19" spans="1:14" ht="24" customHeight="1" x14ac:dyDescent="0.35">
      <c r="A19" s="734"/>
      <c r="B19" s="262" t="s">
        <v>813</v>
      </c>
      <c r="C19" s="263">
        <v>16228</v>
      </c>
      <c r="D19" s="736"/>
      <c r="E19" s="258"/>
      <c r="F19" s="258"/>
      <c r="G19" s="258"/>
      <c r="H19" s="258"/>
      <c r="I19" s="258"/>
      <c r="J19" s="258"/>
      <c r="K19" s="258"/>
      <c r="L19" s="258"/>
      <c r="M19" s="258"/>
      <c r="N19" s="258"/>
    </row>
    <row r="20" spans="1:14" ht="23.25" x14ac:dyDescent="0.35">
      <c r="A20" s="734"/>
      <c r="B20" s="262" t="s">
        <v>823</v>
      </c>
      <c r="C20" s="263">
        <v>33791</v>
      </c>
      <c r="D20" s="736"/>
      <c r="E20" s="258"/>
      <c r="F20" s="258"/>
      <c r="G20" s="258"/>
      <c r="H20" s="258"/>
      <c r="I20" s="258"/>
      <c r="J20" s="258"/>
      <c r="K20" s="258"/>
      <c r="L20" s="258"/>
      <c r="M20" s="258"/>
      <c r="N20" s="258"/>
    </row>
    <row r="21" spans="1:14" ht="23.25" x14ac:dyDescent="0.35">
      <c r="A21" s="734"/>
      <c r="B21" s="262" t="s">
        <v>824</v>
      </c>
      <c r="C21" s="263">
        <v>313817</v>
      </c>
      <c r="D21" s="736"/>
      <c r="E21" s="258"/>
      <c r="F21" s="258"/>
      <c r="G21" s="258"/>
      <c r="H21" s="258"/>
      <c r="I21" s="258"/>
      <c r="J21" s="258"/>
      <c r="K21" s="258"/>
      <c r="L21" s="258"/>
      <c r="M21" s="258"/>
      <c r="N21" s="258"/>
    </row>
    <row r="22" spans="1:14" ht="23.25" x14ac:dyDescent="0.35">
      <c r="A22" s="734"/>
      <c r="B22" s="262" t="s">
        <v>825</v>
      </c>
      <c r="C22" s="263">
        <v>11303</v>
      </c>
      <c r="D22" s="736"/>
      <c r="E22" s="258"/>
      <c r="F22" s="258" t="s">
        <v>826</v>
      </c>
      <c r="G22" s="264" t="e">
        <f>+E28+#REF!+#REF!+C67+#REF!+#REF!+C243</f>
        <v>#REF!</v>
      </c>
      <c r="H22" s="258"/>
      <c r="I22" s="258"/>
      <c r="J22" s="258"/>
      <c r="K22" s="258"/>
      <c r="L22" s="258"/>
      <c r="M22" s="258"/>
      <c r="N22" s="258"/>
    </row>
    <row r="23" spans="1:14" ht="23.25" x14ac:dyDescent="0.35">
      <c r="A23" s="734"/>
      <c r="B23" s="262" t="s">
        <v>827</v>
      </c>
      <c r="C23" s="263">
        <v>31618</v>
      </c>
      <c r="D23" s="736"/>
      <c r="E23" s="258"/>
      <c r="F23" s="258" t="s">
        <v>828</v>
      </c>
      <c r="G23" s="264" t="e">
        <f>+#REF!+#REF!+#REF!+#REF!+#REF!+#REF!+#REF!+#REF!+#REF!+#REF!+C295</f>
        <v>#REF!</v>
      </c>
      <c r="H23" s="258"/>
      <c r="I23" s="258"/>
      <c r="J23" s="258"/>
      <c r="K23" s="258"/>
      <c r="L23" s="258"/>
      <c r="M23" s="258"/>
      <c r="N23" s="258"/>
    </row>
    <row r="24" spans="1:14" ht="23.25" customHeight="1" x14ac:dyDescent="0.35">
      <c r="A24" s="734"/>
      <c r="B24" s="262" t="s">
        <v>829</v>
      </c>
      <c r="C24" s="263">
        <v>13716</v>
      </c>
      <c r="D24" s="736"/>
      <c r="E24" s="258"/>
      <c r="F24" s="258" t="s">
        <v>830</v>
      </c>
      <c r="G24" s="264">
        <f>+'[1]13.d.sz.m.Szabad maradvány'!D74</f>
        <v>3756000</v>
      </c>
      <c r="H24" s="258"/>
      <c r="I24" s="258"/>
      <c r="J24" s="258"/>
      <c r="K24" s="258"/>
      <c r="L24" s="258"/>
      <c r="M24" s="258"/>
      <c r="N24" s="258"/>
    </row>
    <row r="25" spans="1:14" ht="23.25" x14ac:dyDescent="0.35">
      <c r="A25" s="734"/>
      <c r="B25" s="262" t="s">
        <v>813</v>
      </c>
      <c r="C25" s="263">
        <v>22639</v>
      </c>
      <c r="D25" s="736"/>
      <c r="E25" s="258"/>
      <c r="F25" s="258" t="s">
        <v>831</v>
      </c>
      <c r="G25" s="264" t="e">
        <f>SUM(G22:G24)</f>
        <v>#REF!</v>
      </c>
      <c r="H25" s="258"/>
      <c r="I25" s="258"/>
      <c r="J25" s="258"/>
      <c r="K25" s="258"/>
      <c r="L25" s="258"/>
      <c r="M25" s="258"/>
      <c r="N25" s="258"/>
    </row>
    <row r="26" spans="1:14" ht="23.25" x14ac:dyDescent="0.35">
      <c r="A26" s="734"/>
      <c r="B26" s="262" t="s">
        <v>832</v>
      </c>
      <c r="C26" s="263">
        <v>17323</v>
      </c>
      <c r="D26" s="736"/>
      <c r="E26" s="258"/>
      <c r="F26" s="258"/>
      <c r="G26" s="258"/>
      <c r="H26" s="258"/>
      <c r="I26" s="258"/>
      <c r="J26" s="258"/>
      <c r="K26" s="258"/>
      <c r="L26" s="258"/>
      <c r="M26" s="258"/>
      <c r="N26" s="258"/>
    </row>
    <row r="27" spans="1:14" ht="23.25" x14ac:dyDescent="0.35">
      <c r="A27" s="734"/>
      <c r="B27" s="262" t="s">
        <v>833</v>
      </c>
      <c r="C27" s="263">
        <v>29627</v>
      </c>
      <c r="D27" s="736"/>
      <c r="E27" s="258"/>
      <c r="F27" s="258"/>
      <c r="G27" s="258"/>
      <c r="H27" s="258"/>
      <c r="I27" s="258"/>
      <c r="J27" s="258"/>
      <c r="K27" s="258"/>
      <c r="L27" s="258"/>
      <c r="M27" s="258"/>
      <c r="N27" s="258"/>
    </row>
    <row r="28" spans="1:14" ht="23.25" x14ac:dyDescent="0.35">
      <c r="A28" s="734"/>
      <c r="B28" s="262" t="s">
        <v>834</v>
      </c>
      <c r="C28" s="263">
        <v>7404</v>
      </c>
      <c r="D28" s="736"/>
      <c r="E28" s="264">
        <f>SUM(C6:C28)</f>
        <v>17672593</v>
      </c>
      <c r="F28" s="258"/>
      <c r="G28" s="258"/>
      <c r="H28" s="258"/>
      <c r="I28" s="258"/>
      <c r="J28" s="258"/>
      <c r="K28" s="258"/>
      <c r="L28" s="258"/>
      <c r="M28" s="258"/>
      <c r="N28" s="258"/>
    </row>
    <row r="29" spans="1:14" ht="23.25" x14ac:dyDescent="0.35">
      <c r="A29" s="734"/>
      <c r="B29" s="262" t="s">
        <v>835</v>
      </c>
      <c r="C29" s="263">
        <v>64524</v>
      </c>
      <c r="D29" s="736"/>
      <c r="E29" s="264"/>
      <c r="F29" s="258"/>
      <c r="G29" s="258"/>
      <c r="H29" s="258"/>
      <c r="I29" s="258"/>
      <c r="J29" s="258"/>
      <c r="K29" s="258"/>
      <c r="L29" s="258"/>
      <c r="M29" s="258"/>
      <c r="N29" s="258"/>
    </row>
    <row r="30" spans="1:14" ht="23.25" x14ac:dyDescent="0.35">
      <c r="A30" s="734"/>
      <c r="B30" s="262" t="s">
        <v>836</v>
      </c>
      <c r="C30" s="263">
        <v>25165</v>
      </c>
      <c r="D30" s="736"/>
      <c r="E30" s="264"/>
      <c r="F30" s="258"/>
      <c r="G30" s="258"/>
      <c r="H30" s="258"/>
      <c r="I30" s="258"/>
      <c r="J30" s="258"/>
      <c r="K30" s="258"/>
      <c r="L30" s="258"/>
      <c r="M30" s="258"/>
      <c r="N30" s="258"/>
    </row>
    <row r="31" spans="1:14" ht="23.25" x14ac:dyDescent="0.35">
      <c r="A31" s="734"/>
      <c r="B31" s="262" t="s">
        <v>837</v>
      </c>
      <c r="C31" s="263">
        <v>3746500</v>
      </c>
      <c r="D31" s="736"/>
      <c r="E31" s="264"/>
      <c r="F31" s="258"/>
      <c r="G31" s="258"/>
      <c r="H31" s="258"/>
      <c r="I31" s="258"/>
      <c r="J31" s="258"/>
      <c r="K31" s="258"/>
      <c r="L31" s="258"/>
      <c r="M31" s="258"/>
      <c r="N31" s="258"/>
    </row>
    <row r="32" spans="1:14" ht="23.25" x14ac:dyDescent="0.35">
      <c r="A32" s="734"/>
      <c r="B32" s="262" t="s">
        <v>813</v>
      </c>
      <c r="C32" s="263">
        <v>50410</v>
      </c>
      <c r="D32" s="736"/>
      <c r="E32" s="264"/>
      <c r="F32" s="258"/>
      <c r="G32" s="258"/>
      <c r="H32" s="258"/>
      <c r="I32" s="258"/>
      <c r="J32" s="258"/>
      <c r="K32" s="258"/>
      <c r="L32" s="258"/>
      <c r="M32" s="258"/>
      <c r="N32" s="258"/>
    </row>
    <row r="33" spans="1:14" ht="23.25" x14ac:dyDescent="0.35">
      <c r="A33" s="734"/>
      <c r="B33" s="262" t="s">
        <v>838</v>
      </c>
      <c r="C33" s="263">
        <f>18782+5071</f>
        <v>23853</v>
      </c>
      <c r="D33" s="736"/>
      <c r="E33" s="264"/>
      <c r="F33" s="258"/>
      <c r="G33" s="258"/>
      <c r="H33" s="258"/>
      <c r="I33" s="258"/>
      <c r="J33" s="258"/>
      <c r="K33" s="258"/>
      <c r="L33" s="258"/>
      <c r="M33" s="258"/>
      <c r="N33" s="258"/>
    </row>
    <row r="34" spans="1:14" ht="23.25" customHeight="1" x14ac:dyDescent="0.35">
      <c r="A34" s="734"/>
      <c r="B34" s="262" t="s">
        <v>823</v>
      </c>
      <c r="C34" s="263">
        <f>15248+4117</f>
        <v>19365</v>
      </c>
      <c r="D34" s="736"/>
      <c r="E34" s="264"/>
      <c r="F34" s="258"/>
      <c r="G34" s="258"/>
      <c r="H34" s="258"/>
      <c r="I34" s="258"/>
      <c r="J34" s="258"/>
      <c r="K34" s="258"/>
      <c r="L34" s="258"/>
      <c r="M34" s="258"/>
      <c r="N34" s="258"/>
    </row>
    <row r="35" spans="1:14" ht="23.25" x14ac:dyDescent="0.35">
      <c r="A35" s="734"/>
      <c r="B35" s="262" t="s">
        <v>839</v>
      </c>
      <c r="C35" s="263">
        <v>1787</v>
      </c>
      <c r="D35" s="736"/>
      <c r="E35" s="264"/>
      <c r="F35" s="258"/>
      <c r="G35" s="258"/>
      <c r="H35" s="258"/>
      <c r="I35" s="258"/>
      <c r="J35" s="258"/>
      <c r="K35" s="258"/>
      <c r="L35" s="258"/>
      <c r="M35" s="258"/>
      <c r="N35" s="258"/>
    </row>
    <row r="36" spans="1:14" ht="23.25" x14ac:dyDescent="0.35">
      <c r="A36" s="734"/>
      <c r="B36" s="262" t="s">
        <v>840</v>
      </c>
      <c r="C36" s="263">
        <v>1390</v>
      </c>
      <c r="D36" s="736"/>
      <c r="E36" s="264"/>
      <c r="F36" s="258"/>
      <c r="G36" s="258"/>
      <c r="H36" s="258"/>
      <c r="I36" s="258"/>
      <c r="J36" s="258"/>
      <c r="K36" s="258"/>
      <c r="L36" s="258"/>
      <c r="M36" s="258"/>
      <c r="N36" s="258"/>
    </row>
    <row r="37" spans="1:14" ht="23.25" x14ac:dyDescent="0.35">
      <c r="A37" s="734"/>
      <c r="B37" s="262" t="s">
        <v>841</v>
      </c>
      <c r="C37" s="263">
        <v>762000</v>
      </c>
      <c r="D37" s="736"/>
      <c r="E37" s="264"/>
      <c r="F37" s="258"/>
      <c r="G37" s="258"/>
      <c r="H37" s="258"/>
      <c r="I37" s="258"/>
      <c r="J37" s="258"/>
      <c r="K37" s="258"/>
      <c r="L37" s="258"/>
      <c r="M37" s="258"/>
      <c r="N37" s="258"/>
    </row>
    <row r="38" spans="1:14" ht="23.25" customHeight="1" x14ac:dyDescent="0.35">
      <c r="A38" s="733" t="s">
        <v>842</v>
      </c>
      <c r="B38" s="262" t="s">
        <v>843</v>
      </c>
      <c r="C38" s="263">
        <v>200000</v>
      </c>
      <c r="D38" s="736"/>
      <c r="E38" s="265"/>
      <c r="F38" s="264">
        <f>SUM(C5:C47)</f>
        <v>142771084</v>
      </c>
      <c r="G38" s="258"/>
      <c r="H38" s="258"/>
      <c r="I38" s="258"/>
      <c r="J38" s="258"/>
      <c r="K38" s="258"/>
      <c r="L38" s="258"/>
      <c r="M38" s="258"/>
      <c r="N38" s="258"/>
    </row>
    <row r="39" spans="1:14" ht="23.25" customHeight="1" x14ac:dyDescent="0.35">
      <c r="A39" s="734"/>
      <c r="B39" s="262" t="s">
        <v>844</v>
      </c>
      <c r="C39" s="263">
        <v>2435898</v>
      </c>
      <c r="D39" s="736"/>
      <c r="E39" s="265"/>
      <c r="F39" s="264"/>
      <c r="G39" s="258"/>
      <c r="H39" s="258"/>
      <c r="I39" s="258"/>
      <c r="J39" s="258"/>
      <c r="K39" s="258"/>
      <c r="L39" s="258"/>
      <c r="M39" s="258"/>
      <c r="N39" s="258"/>
    </row>
    <row r="40" spans="1:14" ht="23.25" customHeight="1" x14ac:dyDescent="0.35">
      <c r="A40" s="734"/>
      <c r="B40" s="262" t="s">
        <v>844</v>
      </c>
      <c r="C40" s="263">
        <v>1094000</v>
      </c>
      <c r="D40" s="736"/>
      <c r="E40" s="265"/>
      <c r="F40" s="264"/>
      <c r="G40" s="258"/>
      <c r="H40" s="258"/>
      <c r="I40" s="258"/>
      <c r="J40" s="258"/>
      <c r="K40" s="258"/>
      <c r="L40" s="258"/>
      <c r="M40" s="258"/>
      <c r="N40" s="258"/>
    </row>
    <row r="41" spans="1:14" ht="23.25" customHeight="1" x14ac:dyDescent="0.35">
      <c r="A41" s="734"/>
      <c r="B41" s="262" t="s">
        <v>845</v>
      </c>
      <c r="C41" s="263">
        <v>54164</v>
      </c>
      <c r="D41" s="736"/>
      <c r="E41" s="265"/>
      <c r="F41" s="264"/>
      <c r="G41" s="258"/>
      <c r="H41" s="258"/>
      <c r="I41" s="258"/>
      <c r="J41" s="258"/>
      <c r="K41" s="258"/>
      <c r="L41" s="258"/>
      <c r="M41" s="258"/>
      <c r="N41" s="258"/>
    </row>
    <row r="42" spans="1:14" ht="23.25" customHeight="1" x14ac:dyDescent="0.35">
      <c r="A42" s="734"/>
      <c r="B42" s="262" t="s">
        <v>846</v>
      </c>
      <c r="C42" s="263">
        <v>1206500</v>
      </c>
      <c r="D42" s="736"/>
      <c r="E42" s="265"/>
      <c r="F42" s="264"/>
      <c r="G42" s="258"/>
      <c r="H42" s="258"/>
      <c r="I42" s="258"/>
      <c r="J42" s="258"/>
      <c r="K42" s="258"/>
      <c r="L42" s="258"/>
      <c r="M42" s="258"/>
      <c r="N42" s="258"/>
    </row>
    <row r="43" spans="1:14" ht="23.25" customHeight="1" x14ac:dyDescent="0.35">
      <c r="A43" s="734"/>
      <c r="B43" s="262" t="s">
        <v>847</v>
      </c>
      <c r="C43" s="263">
        <v>3048000</v>
      </c>
      <c r="D43" s="736"/>
      <c r="E43" s="265"/>
      <c r="F43" s="264"/>
      <c r="G43" s="258"/>
      <c r="H43" s="258"/>
      <c r="I43" s="258"/>
      <c r="J43" s="258"/>
      <c r="K43" s="258"/>
      <c r="L43" s="258"/>
      <c r="M43" s="258"/>
      <c r="N43" s="258"/>
    </row>
    <row r="44" spans="1:14" ht="23.25" customHeight="1" x14ac:dyDescent="0.35">
      <c r="A44" s="734"/>
      <c r="B44" s="262" t="s">
        <v>848</v>
      </c>
      <c r="C44" s="263">
        <v>99322740</v>
      </c>
      <c r="D44" s="736"/>
      <c r="E44" s="265"/>
      <c r="F44" s="264"/>
      <c r="G44" s="258"/>
      <c r="H44" s="258"/>
      <c r="I44" s="258"/>
      <c r="J44" s="258"/>
      <c r="K44" s="258"/>
      <c r="L44" s="258"/>
      <c r="M44" s="258"/>
      <c r="N44" s="258"/>
    </row>
    <row r="45" spans="1:14" ht="23.25" customHeight="1" x14ac:dyDescent="0.35">
      <c r="A45" s="734"/>
      <c r="B45" s="262" t="s">
        <v>849</v>
      </c>
      <c r="C45" s="263">
        <v>5228797</v>
      </c>
      <c r="D45" s="736"/>
      <c r="E45" s="265"/>
      <c r="F45" s="264"/>
      <c r="G45" s="258"/>
      <c r="H45" s="258"/>
      <c r="I45" s="258"/>
      <c r="J45" s="258"/>
      <c r="K45" s="258"/>
      <c r="L45" s="258"/>
      <c r="M45" s="258"/>
      <c r="N45" s="258"/>
    </row>
    <row r="46" spans="1:14" ht="23.25" customHeight="1" x14ac:dyDescent="0.35">
      <c r="A46" s="734"/>
      <c r="B46" s="262" t="s">
        <v>850</v>
      </c>
      <c r="C46" s="263">
        <v>2160000</v>
      </c>
      <c r="D46" s="736"/>
      <c r="E46" s="265"/>
      <c r="F46" s="264"/>
      <c r="G46" s="258"/>
      <c r="H46" s="258"/>
      <c r="I46" s="258"/>
      <c r="J46" s="258"/>
      <c r="K46" s="258"/>
      <c r="L46" s="258"/>
      <c r="M46" s="258"/>
      <c r="N46" s="258"/>
    </row>
    <row r="47" spans="1:14" ht="23.25" customHeight="1" x14ac:dyDescent="0.35">
      <c r="A47" s="734"/>
      <c r="B47" s="262" t="s">
        <v>851</v>
      </c>
      <c r="C47" s="263">
        <v>1079500</v>
      </c>
      <c r="D47" s="736"/>
      <c r="E47" s="265"/>
      <c r="F47" s="264"/>
      <c r="G47" s="258"/>
      <c r="H47" s="258"/>
      <c r="I47" s="258"/>
      <c r="J47" s="258"/>
      <c r="K47" s="258"/>
      <c r="L47" s="258"/>
      <c r="M47" s="258"/>
      <c r="N47" s="258"/>
    </row>
    <row r="48" spans="1:14" ht="23.25" x14ac:dyDescent="0.35">
      <c r="A48" s="737" t="s">
        <v>852</v>
      </c>
      <c r="B48" s="738"/>
      <c r="C48" s="260">
        <f>SUM(C5:C47)</f>
        <v>142771084</v>
      </c>
      <c r="D48" s="261"/>
      <c r="E48" s="266"/>
      <c r="F48" s="266"/>
      <c r="G48" s="266"/>
      <c r="H48" s="266"/>
      <c r="I48" s="266"/>
      <c r="J48" s="266"/>
      <c r="K48" s="266"/>
      <c r="L48" s="266"/>
      <c r="M48" s="266"/>
      <c r="N48" s="266"/>
    </row>
    <row r="49" spans="1:14" ht="23.25" x14ac:dyDescent="0.35">
      <c r="A49" s="267"/>
      <c r="B49" s="268" t="s">
        <v>853</v>
      </c>
      <c r="C49" s="269">
        <v>0</v>
      </c>
      <c r="D49" s="270"/>
      <c r="E49" s="258"/>
      <c r="F49" s="258"/>
      <c r="G49" s="258"/>
      <c r="H49" s="258"/>
      <c r="I49" s="258"/>
      <c r="J49" s="258"/>
      <c r="K49" s="258"/>
      <c r="L49" s="258"/>
      <c r="M49" s="258"/>
      <c r="N49" s="258"/>
    </row>
    <row r="50" spans="1:14" s="192" customFormat="1" ht="23.25" x14ac:dyDescent="0.35">
      <c r="A50" s="271"/>
      <c r="B50" s="272" t="s">
        <v>854</v>
      </c>
      <c r="C50" s="273">
        <v>0</v>
      </c>
      <c r="D50" s="274"/>
      <c r="E50" s="245"/>
      <c r="F50" s="245"/>
      <c r="G50" s="245"/>
      <c r="H50" s="245"/>
      <c r="I50" s="245"/>
      <c r="J50" s="245"/>
      <c r="K50" s="245"/>
      <c r="L50" s="245"/>
      <c r="M50" s="245"/>
      <c r="N50" s="245"/>
    </row>
    <row r="51" spans="1:14" ht="23.25" x14ac:dyDescent="0.35">
      <c r="A51" s="275"/>
      <c r="B51" s="275"/>
      <c r="C51" s="276"/>
      <c r="D51" s="277"/>
      <c r="E51" s="258"/>
      <c r="F51" s="258"/>
      <c r="G51" s="258"/>
      <c r="H51" s="258"/>
      <c r="I51" s="258"/>
      <c r="J51" s="258"/>
      <c r="K51" s="258"/>
      <c r="L51" s="258"/>
      <c r="M51" s="258"/>
      <c r="N51" s="258"/>
    </row>
    <row r="52" spans="1:14" s="254" customFormat="1" ht="23.25" x14ac:dyDescent="0.35">
      <c r="A52" s="250"/>
      <c r="B52" s="251" t="s">
        <v>77</v>
      </c>
      <c r="C52" s="252"/>
      <c r="D52" s="253"/>
      <c r="E52" s="250"/>
      <c r="F52" s="250"/>
      <c r="G52" s="250"/>
      <c r="H52" s="250"/>
      <c r="I52" s="250"/>
      <c r="J52" s="250"/>
      <c r="K52" s="250"/>
      <c r="L52" s="250"/>
      <c r="M52" s="250"/>
      <c r="N52" s="250"/>
    </row>
    <row r="53" spans="1:14" ht="23.25" x14ac:dyDescent="0.35">
      <c r="A53" s="255"/>
      <c r="B53" s="256" t="s">
        <v>805</v>
      </c>
      <c r="C53" s="257"/>
      <c r="D53" s="255"/>
      <c r="E53" s="258"/>
      <c r="F53" s="258"/>
      <c r="G53" s="258"/>
      <c r="H53" s="258"/>
      <c r="I53" s="258"/>
      <c r="J53" s="258"/>
      <c r="K53" s="258"/>
      <c r="L53" s="258"/>
      <c r="M53" s="258"/>
      <c r="N53" s="258"/>
    </row>
    <row r="54" spans="1:14" ht="23.25" x14ac:dyDescent="0.35">
      <c r="A54" s="733" t="s">
        <v>808</v>
      </c>
      <c r="B54" s="255" t="s">
        <v>855</v>
      </c>
      <c r="C54" s="278">
        <v>13360</v>
      </c>
      <c r="D54" s="731" t="s">
        <v>856</v>
      </c>
      <c r="E54" s="258"/>
      <c r="F54" s="258"/>
      <c r="G54" s="258"/>
      <c r="H54" s="258"/>
      <c r="I54" s="258"/>
      <c r="J54" s="258"/>
      <c r="K54" s="258"/>
      <c r="L54" s="258"/>
      <c r="M54" s="258"/>
      <c r="N54" s="258"/>
    </row>
    <row r="55" spans="1:14" ht="23.25" x14ac:dyDescent="0.35">
      <c r="A55" s="734"/>
      <c r="B55" s="255" t="s">
        <v>857</v>
      </c>
      <c r="C55" s="278">
        <v>18900</v>
      </c>
      <c r="D55" s="731"/>
      <c r="E55" s="258"/>
      <c r="F55" s="258"/>
      <c r="G55" s="258"/>
      <c r="H55" s="258"/>
      <c r="I55" s="258"/>
      <c r="J55" s="258"/>
      <c r="K55" s="258"/>
      <c r="L55" s="258"/>
      <c r="M55" s="258"/>
      <c r="N55" s="258"/>
    </row>
    <row r="56" spans="1:14" ht="23.25" x14ac:dyDescent="0.35">
      <c r="A56" s="734"/>
      <c r="B56" s="255" t="s">
        <v>858</v>
      </c>
      <c r="C56" s="278">
        <v>8287</v>
      </c>
      <c r="D56" s="731"/>
      <c r="E56" s="258"/>
      <c r="F56" s="258"/>
      <c r="G56" s="258"/>
      <c r="H56" s="258"/>
      <c r="I56" s="258"/>
      <c r="J56" s="258"/>
      <c r="K56" s="258"/>
      <c r="L56" s="258"/>
      <c r="M56" s="258"/>
      <c r="N56" s="258"/>
    </row>
    <row r="57" spans="1:14" ht="23.25" x14ac:dyDescent="0.35">
      <c r="A57" s="734"/>
      <c r="B57" s="255" t="s">
        <v>859</v>
      </c>
      <c r="C57" s="278">
        <v>65108</v>
      </c>
      <c r="D57" s="731"/>
      <c r="E57" s="258"/>
      <c r="F57" s="258"/>
      <c r="G57" s="258"/>
      <c r="H57" s="258"/>
      <c r="I57" s="258"/>
      <c r="J57" s="258"/>
      <c r="K57" s="258"/>
      <c r="L57" s="258"/>
      <c r="M57" s="258"/>
      <c r="N57" s="258"/>
    </row>
    <row r="58" spans="1:14" ht="23.25" x14ac:dyDescent="0.35">
      <c r="A58" s="734"/>
      <c r="B58" s="255" t="s">
        <v>860</v>
      </c>
      <c r="C58" s="278">
        <v>42477</v>
      </c>
      <c r="D58" s="731"/>
      <c r="E58" s="258"/>
      <c r="F58" s="258"/>
      <c r="G58" s="258"/>
      <c r="H58" s="258"/>
      <c r="I58" s="258"/>
      <c r="J58" s="258"/>
      <c r="K58" s="258"/>
      <c r="L58" s="258"/>
      <c r="M58" s="258"/>
      <c r="N58" s="258"/>
    </row>
    <row r="59" spans="1:14" ht="23.25" x14ac:dyDescent="0.35">
      <c r="A59" s="734"/>
      <c r="B59" s="255" t="s">
        <v>861</v>
      </c>
      <c r="C59" s="278">
        <v>46149</v>
      </c>
      <c r="D59" s="731"/>
      <c r="E59" s="258"/>
      <c r="F59" s="258"/>
      <c r="G59" s="258"/>
      <c r="H59" s="258"/>
      <c r="I59" s="258"/>
      <c r="J59" s="258"/>
      <c r="K59" s="258"/>
      <c r="L59" s="258"/>
      <c r="M59" s="258"/>
      <c r="N59" s="258"/>
    </row>
    <row r="60" spans="1:14" ht="23.25" x14ac:dyDescent="0.35">
      <c r="A60" s="734"/>
      <c r="B60" s="255" t="s">
        <v>862</v>
      </c>
      <c r="C60" s="278">
        <v>9266</v>
      </c>
      <c r="D60" s="731"/>
      <c r="E60" s="258"/>
      <c r="F60" s="258"/>
      <c r="G60" s="258"/>
      <c r="H60" s="258"/>
      <c r="I60" s="258"/>
      <c r="J60" s="258"/>
      <c r="K60" s="258"/>
      <c r="L60" s="258"/>
      <c r="M60" s="258"/>
      <c r="N60" s="258"/>
    </row>
    <row r="61" spans="1:14" ht="23.25" x14ac:dyDescent="0.35">
      <c r="A61" s="734"/>
      <c r="B61" s="255" t="s">
        <v>863</v>
      </c>
      <c r="C61" s="278">
        <v>17645</v>
      </c>
      <c r="D61" s="731"/>
      <c r="E61" s="258"/>
      <c r="F61" s="258"/>
      <c r="G61" s="258"/>
      <c r="H61" s="258"/>
      <c r="I61" s="258"/>
      <c r="J61" s="258"/>
      <c r="K61" s="258"/>
      <c r="L61" s="258"/>
      <c r="M61" s="258"/>
      <c r="N61" s="258"/>
    </row>
    <row r="62" spans="1:14" ht="23.25" x14ac:dyDescent="0.35">
      <c r="A62" s="734"/>
      <c r="B62" s="255" t="s">
        <v>864</v>
      </c>
      <c r="C62" s="278">
        <f>6693+1205</f>
        <v>7898</v>
      </c>
      <c r="D62" s="731"/>
      <c r="E62" s="258"/>
      <c r="F62" s="258"/>
      <c r="G62" s="258"/>
      <c r="H62" s="258"/>
      <c r="I62" s="258"/>
      <c r="J62" s="258"/>
      <c r="K62" s="258"/>
      <c r="L62" s="258"/>
      <c r="M62" s="258"/>
      <c r="N62" s="258"/>
    </row>
    <row r="63" spans="1:14" ht="23.25" x14ac:dyDescent="0.35">
      <c r="A63" s="734"/>
      <c r="B63" s="255" t="s">
        <v>862</v>
      </c>
      <c r="C63" s="278">
        <f>65662+17729</f>
        <v>83391</v>
      </c>
      <c r="D63" s="731"/>
      <c r="E63" s="258"/>
      <c r="F63" s="258"/>
      <c r="G63" s="258"/>
      <c r="H63" s="258"/>
      <c r="I63" s="258"/>
      <c r="J63" s="258"/>
      <c r="K63" s="258"/>
      <c r="L63" s="258"/>
      <c r="M63" s="258"/>
      <c r="N63" s="258"/>
    </row>
    <row r="64" spans="1:14" ht="23.25" x14ac:dyDescent="0.35">
      <c r="A64" s="734"/>
      <c r="B64" s="255" t="s">
        <v>863</v>
      </c>
      <c r="C64" s="278">
        <f>125051+33764</f>
        <v>158815</v>
      </c>
      <c r="D64" s="731"/>
      <c r="E64" s="258"/>
      <c r="F64" s="258"/>
      <c r="G64" s="258"/>
      <c r="H64" s="258"/>
      <c r="I64" s="258"/>
      <c r="J64" s="258"/>
      <c r="K64" s="258"/>
      <c r="L64" s="258"/>
      <c r="M64" s="258"/>
      <c r="N64" s="258"/>
    </row>
    <row r="65" spans="1:14" ht="23.25" x14ac:dyDescent="0.35">
      <c r="A65" s="734"/>
      <c r="B65" s="255" t="s">
        <v>864</v>
      </c>
      <c r="C65" s="278">
        <f>224+61</f>
        <v>285</v>
      </c>
      <c r="D65" s="731"/>
      <c r="E65" s="258"/>
      <c r="F65" s="258"/>
      <c r="G65" s="258"/>
      <c r="H65" s="258"/>
      <c r="I65" s="258"/>
      <c r="J65" s="258"/>
      <c r="K65" s="258"/>
      <c r="L65" s="258"/>
      <c r="M65" s="258"/>
      <c r="N65" s="258"/>
    </row>
    <row r="66" spans="1:14" ht="23.25" x14ac:dyDescent="0.35">
      <c r="A66" s="734"/>
      <c r="B66" s="255" t="s">
        <v>865</v>
      </c>
      <c r="C66" s="278">
        <f>33500+9045</f>
        <v>42545</v>
      </c>
      <c r="D66" s="731"/>
      <c r="E66" s="258"/>
      <c r="F66" s="258"/>
      <c r="G66" s="258"/>
      <c r="H66" s="258"/>
      <c r="I66" s="258"/>
      <c r="J66" s="258"/>
      <c r="K66" s="258"/>
      <c r="L66" s="258"/>
      <c r="M66" s="258"/>
      <c r="N66" s="258"/>
    </row>
    <row r="67" spans="1:14" ht="23.25" x14ac:dyDescent="0.35">
      <c r="A67" s="738" t="s">
        <v>852</v>
      </c>
      <c r="B67" s="738"/>
      <c r="C67" s="260">
        <f>SUM(C54:C66)</f>
        <v>514126</v>
      </c>
      <c r="D67" s="269"/>
      <c r="E67" s="258"/>
      <c r="F67" s="258"/>
      <c r="G67" s="258"/>
      <c r="H67" s="258"/>
      <c r="I67" s="258"/>
      <c r="J67" s="258"/>
      <c r="K67" s="258"/>
      <c r="L67" s="258"/>
      <c r="M67" s="258"/>
      <c r="N67" s="258"/>
    </row>
    <row r="68" spans="1:14" ht="23.25" x14ac:dyDescent="0.35">
      <c r="A68" s="279"/>
      <c r="B68" s="268" t="s">
        <v>853</v>
      </c>
      <c r="C68" s="280">
        <v>0</v>
      </c>
      <c r="D68" s="269"/>
      <c r="E68" s="258"/>
      <c r="F68" s="258"/>
      <c r="G68" s="258"/>
      <c r="H68" s="258"/>
      <c r="I68" s="258"/>
      <c r="J68" s="258"/>
      <c r="K68" s="258"/>
      <c r="L68" s="258"/>
      <c r="M68" s="258"/>
      <c r="N68" s="258"/>
    </row>
    <row r="69" spans="1:14" ht="23.25" x14ac:dyDescent="0.35">
      <c r="A69" s="281"/>
      <c r="B69" s="268" t="s">
        <v>866</v>
      </c>
      <c r="C69" s="280">
        <v>0</v>
      </c>
      <c r="D69" s="269"/>
      <c r="E69" s="258"/>
      <c r="F69" s="258"/>
      <c r="G69" s="258"/>
      <c r="H69" s="258"/>
      <c r="I69" s="258"/>
      <c r="J69" s="258"/>
      <c r="K69" s="258"/>
      <c r="L69" s="258"/>
      <c r="M69" s="258"/>
      <c r="N69" s="258"/>
    </row>
    <row r="70" spans="1:14" ht="23.25" x14ac:dyDescent="0.35">
      <c r="A70" s="258"/>
      <c r="B70" s="282"/>
      <c r="C70" s="282"/>
      <c r="D70" s="283"/>
      <c r="E70" s="258"/>
      <c r="F70" s="258"/>
      <c r="G70" s="258"/>
      <c r="H70" s="258"/>
      <c r="I70" s="258"/>
      <c r="J70" s="258"/>
      <c r="K70" s="258"/>
      <c r="L70" s="258"/>
      <c r="M70" s="258"/>
      <c r="N70" s="258"/>
    </row>
    <row r="71" spans="1:14" s="254" customFormat="1" ht="23.25" x14ac:dyDescent="0.35">
      <c r="A71" s="250"/>
      <c r="B71" s="251" t="s">
        <v>78</v>
      </c>
      <c r="C71" s="252"/>
      <c r="D71" s="253"/>
      <c r="E71" s="250"/>
      <c r="F71" s="250"/>
      <c r="G71" s="250"/>
      <c r="H71" s="250"/>
      <c r="I71" s="250"/>
      <c r="J71" s="250"/>
      <c r="K71" s="250"/>
      <c r="L71" s="250"/>
      <c r="M71" s="250"/>
      <c r="N71" s="250"/>
    </row>
    <row r="72" spans="1:14" ht="23.25" x14ac:dyDescent="0.35">
      <c r="A72" s="255"/>
      <c r="B72" s="256" t="s">
        <v>805</v>
      </c>
      <c r="C72" s="257"/>
      <c r="D72" s="255"/>
      <c r="E72" s="258"/>
      <c r="F72" s="258"/>
      <c r="G72" s="258"/>
      <c r="H72" s="258"/>
      <c r="I72" s="258"/>
      <c r="J72" s="258"/>
      <c r="K72" s="258"/>
      <c r="L72" s="258"/>
      <c r="M72" s="258"/>
      <c r="N72" s="258"/>
    </row>
    <row r="73" spans="1:14" ht="23.25" customHeight="1" x14ac:dyDescent="0.35">
      <c r="A73" s="730" t="s">
        <v>808</v>
      </c>
      <c r="B73" s="255" t="s">
        <v>867</v>
      </c>
      <c r="C73" s="278">
        <f>32225+8860</f>
        <v>41085</v>
      </c>
      <c r="D73" s="731" t="s">
        <v>856</v>
      </c>
      <c r="E73" s="258"/>
      <c r="F73" s="258"/>
      <c r="G73" s="258"/>
      <c r="H73" s="258"/>
      <c r="I73" s="258"/>
      <c r="J73" s="258"/>
      <c r="K73" s="258"/>
      <c r="L73" s="258"/>
      <c r="M73" s="258"/>
      <c r="N73" s="258"/>
    </row>
    <row r="74" spans="1:14" ht="23.25" x14ac:dyDescent="0.35">
      <c r="A74" s="730"/>
      <c r="B74" s="255" t="s">
        <v>868</v>
      </c>
      <c r="C74" s="278">
        <f>29596+7991</f>
        <v>37587</v>
      </c>
      <c r="D74" s="731"/>
      <c r="E74" s="258"/>
      <c r="F74" s="258"/>
      <c r="G74" s="258"/>
      <c r="H74" s="258"/>
      <c r="I74" s="258"/>
      <c r="J74" s="258"/>
      <c r="K74" s="258"/>
      <c r="L74" s="258"/>
      <c r="M74" s="258"/>
      <c r="N74" s="258"/>
    </row>
    <row r="75" spans="1:14" ht="23.25" x14ac:dyDescent="0.35">
      <c r="A75" s="730"/>
      <c r="B75" s="255" t="s">
        <v>869</v>
      </c>
      <c r="C75" s="278">
        <f>42622+11508</f>
        <v>54130</v>
      </c>
      <c r="D75" s="731"/>
      <c r="E75" s="258"/>
      <c r="F75" s="258"/>
      <c r="G75" s="258"/>
      <c r="H75" s="258"/>
      <c r="I75" s="258"/>
      <c r="J75" s="258"/>
      <c r="K75" s="258"/>
      <c r="L75" s="258"/>
      <c r="M75" s="258"/>
      <c r="N75" s="258"/>
    </row>
    <row r="76" spans="1:14" ht="23.25" x14ac:dyDescent="0.35">
      <c r="A76" s="730"/>
      <c r="B76" s="255" t="s">
        <v>870</v>
      </c>
      <c r="C76" s="278">
        <f>24793+3189</f>
        <v>27982</v>
      </c>
      <c r="D76" s="731"/>
      <c r="E76" s="258"/>
      <c r="F76" s="258"/>
      <c r="G76" s="258"/>
      <c r="H76" s="258"/>
      <c r="I76" s="258"/>
      <c r="J76" s="258"/>
      <c r="K76" s="258"/>
      <c r="L76" s="258"/>
      <c r="M76" s="258"/>
      <c r="N76" s="258"/>
    </row>
    <row r="77" spans="1:14" ht="23.25" x14ac:dyDescent="0.35">
      <c r="A77" s="730"/>
      <c r="B77" s="255" t="s">
        <v>871</v>
      </c>
      <c r="C77" s="278">
        <f>46375+12521</f>
        <v>58896</v>
      </c>
      <c r="D77" s="731"/>
      <c r="E77" s="258"/>
      <c r="F77" s="258"/>
      <c r="G77" s="258"/>
      <c r="H77" s="258"/>
      <c r="I77" s="258"/>
      <c r="J77" s="258"/>
      <c r="K77" s="258"/>
      <c r="L77" s="258"/>
      <c r="M77" s="258"/>
      <c r="N77" s="258"/>
    </row>
    <row r="78" spans="1:14" ht="23.25" x14ac:dyDescent="0.35">
      <c r="A78" s="730"/>
      <c r="B78" s="255" t="s">
        <v>872</v>
      </c>
      <c r="C78" s="278">
        <f>46375+12521</f>
        <v>58896</v>
      </c>
      <c r="D78" s="731"/>
      <c r="E78" s="284">
        <f>SUM(C73:C75)</f>
        <v>132802</v>
      </c>
      <c r="F78" s="258"/>
      <c r="G78" s="258"/>
      <c r="H78" s="258"/>
      <c r="I78" s="258"/>
      <c r="J78" s="258"/>
      <c r="K78" s="258"/>
      <c r="L78" s="258"/>
      <c r="M78" s="258"/>
      <c r="N78" s="258"/>
    </row>
    <row r="79" spans="1:14" ht="23.25" x14ac:dyDescent="0.35">
      <c r="A79" s="730"/>
      <c r="B79" s="255" t="s">
        <v>873</v>
      </c>
      <c r="C79" s="278">
        <f>27792+7503</f>
        <v>35295</v>
      </c>
      <c r="D79" s="731"/>
      <c r="E79" s="258"/>
      <c r="F79" s="284">
        <f>SUM(C77:C78)</f>
        <v>117792</v>
      </c>
      <c r="G79" s="258"/>
      <c r="H79" s="258"/>
      <c r="I79" s="258"/>
      <c r="J79" s="258"/>
      <c r="K79" s="258"/>
      <c r="L79" s="258"/>
      <c r="M79" s="258"/>
      <c r="N79" s="258"/>
    </row>
    <row r="80" spans="1:14" ht="23.25" x14ac:dyDescent="0.35">
      <c r="A80" s="730"/>
      <c r="B80" s="255" t="s">
        <v>874</v>
      </c>
      <c r="C80" s="278">
        <f>32935+8892</f>
        <v>41827</v>
      </c>
      <c r="D80" s="731"/>
      <c r="E80" s="284">
        <f>SUM(C79:C80)</f>
        <v>77122</v>
      </c>
      <c r="F80" s="258"/>
      <c r="G80" s="258"/>
      <c r="H80" s="258"/>
      <c r="I80" s="258"/>
      <c r="J80" s="258"/>
      <c r="K80" s="258"/>
      <c r="L80" s="258"/>
      <c r="M80" s="258"/>
      <c r="N80" s="258"/>
    </row>
    <row r="81" spans="1:14" ht="23.25" x14ac:dyDescent="0.35">
      <c r="A81" s="730"/>
      <c r="B81" s="255" t="s">
        <v>875</v>
      </c>
      <c r="C81" s="278">
        <v>2250</v>
      </c>
      <c r="D81" s="731"/>
      <c r="E81" s="284"/>
      <c r="F81" s="258"/>
      <c r="G81" s="258"/>
      <c r="H81" s="258"/>
      <c r="I81" s="258"/>
      <c r="J81" s="258"/>
      <c r="K81" s="258"/>
      <c r="L81" s="258"/>
      <c r="M81" s="258"/>
      <c r="N81" s="258"/>
    </row>
    <row r="82" spans="1:14" ht="23.25" x14ac:dyDescent="0.35">
      <c r="A82" s="730"/>
      <c r="B82" s="255" t="s">
        <v>876</v>
      </c>
      <c r="C82" s="278">
        <v>30000</v>
      </c>
      <c r="D82" s="731"/>
      <c r="E82" s="284"/>
      <c r="F82" s="258"/>
      <c r="G82" s="258"/>
      <c r="H82" s="258"/>
      <c r="I82" s="258"/>
      <c r="J82" s="258"/>
      <c r="K82" s="258"/>
      <c r="L82" s="258"/>
      <c r="M82" s="258"/>
      <c r="N82" s="258"/>
    </row>
    <row r="83" spans="1:14" ht="23.25" x14ac:dyDescent="0.35">
      <c r="A83" s="730"/>
      <c r="B83" s="255" t="s">
        <v>867</v>
      </c>
      <c r="C83" s="278">
        <v>591</v>
      </c>
      <c r="D83" s="731"/>
      <c r="E83" s="284"/>
      <c r="F83" s="258"/>
      <c r="G83" s="258"/>
      <c r="H83" s="258"/>
      <c r="I83" s="258"/>
      <c r="J83" s="258"/>
      <c r="K83" s="258"/>
      <c r="L83" s="258"/>
      <c r="M83" s="258"/>
      <c r="N83" s="258"/>
    </row>
    <row r="84" spans="1:14" ht="23.25" x14ac:dyDescent="0.35">
      <c r="A84" s="730"/>
      <c r="B84" s="255" t="s">
        <v>871</v>
      </c>
      <c r="C84" s="278">
        <f>152746+41242</f>
        <v>193988</v>
      </c>
      <c r="D84" s="731"/>
      <c r="E84" s="284"/>
      <c r="F84" s="258"/>
      <c r="G84" s="258"/>
      <c r="H84" s="258"/>
      <c r="I84" s="258"/>
      <c r="J84" s="258"/>
      <c r="K84" s="258"/>
      <c r="L84" s="258"/>
      <c r="M84" s="258"/>
      <c r="N84" s="258"/>
    </row>
    <row r="85" spans="1:14" ht="23.25" x14ac:dyDescent="0.35">
      <c r="A85" s="730"/>
      <c r="B85" s="255" t="s">
        <v>872</v>
      </c>
      <c r="C85" s="278">
        <f>153936+41563</f>
        <v>195499</v>
      </c>
      <c r="D85" s="731"/>
      <c r="E85" s="284"/>
      <c r="F85" s="258"/>
      <c r="G85" s="258"/>
      <c r="H85" s="258"/>
      <c r="I85" s="258"/>
      <c r="J85" s="258"/>
      <c r="K85" s="258"/>
      <c r="L85" s="258"/>
      <c r="M85" s="258"/>
      <c r="N85" s="258"/>
    </row>
    <row r="86" spans="1:14" ht="23.25" x14ac:dyDescent="0.35">
      <c r="A86" s="730"/>
      <c r="B86" s="255" t="s">
        <v>877</v>
      </c>
      <c r="C86" s="278">
        <v>168021</v>
      </c>
      <c r="D86" s="731"/>
      <c r="E86" s="284"/>
      <c r="F86" s="258"/>
      <c r="G86" s="258"/>
      <c r="H86" s="258"/>
      <c r="I86" s="258"/>
      <c r="J86" s="258"/>
      <c r="K86" s="258"/>
      <c r="L86" s="258"/>
      <c r="M86" s="258"/>
      <c r="N86" s="258"/>
    </row>
    <row r="87" spans="1:14" ht="23.25" x14ac:dyDescent="0.35">
      <c r="A87" s="730"/>
      <c r="B87" s="255" t="s">
        <v>867</v>
      </c>
      <c r="C87" s="278">
        <f>8643+2333</f>
        <v>10976</v>
      </c>
      <c r="D87" s="731"/>
      <c r="E87" s="284"/>
      <c r="F87" s="258"/>
      <c r="G87" s="258"/>
      <c r="H87" s="258"/>
      <c r="I87" s="258"/>
      <c r="J87" s="258"/>
      <c r="K87" s="258"/>
      <c r="L87" s="258"/>
      <c r="M87" s="258"/>
      <c r="N87" s="258"/>
    </row>
    <row r="88" spans="1:14" ht="23.25" x14ac:dyDescent="0.35">
      <c r="A88" s="730"/>
      <c r="B88" s="255" t="s">
        <v>868</v>
      </c>
      <c r="C88" s="278">
        <f>85764+23158</f>
        <v>108922</v>
      </c>
      <c r="D88" s="731"/>
      <c r="E88" s="284"/>
      <c r="F88" s="258"/>
      <c r="G88" s="258"/>
      <c r="H88" s="258"/>
      <c r="I88" s="258"/>
      <c r="J88" s="258"/>
      <c r="K88" s="258"/>
      <c r="L88" s="258"/>
      <c r="M88" s="258"/>
      <c r="N88" s="258"/>
    </row>
    <row r="89" spans="1:14" ht="23.25" x14ac:dyDescent="0.35">
      <c r="A89" s="730"/>
      <c r="B89" s="255" t="s">
        <v>878</v>
      </c>
      <c r="C89" s="278">
        <f>27495+7424</f>
        <v>34919</v>
      </c>
      <c r="D89" s="731"/>
      <c r="E89" s="284"/>
      <c r="F89" s="258"/>
      <c r="G89" s="258"/>
      <c r="H89" s="258"/>
      <c r="I89" s="258"/>
      <c r="J89" s="258"/>
      <c r="K89" s="258"/>
      <c r="L89" s="258"/>
      <c r="M89" s="258"/>
      <c r="N89" s="258"/>
    </row>
    <row r="90" spans="1:14" ht="23.25" x14ac:dyDescent="0.35">
      <c r="A90" s="730"/>
      <c r="B90" s="255" t="s">
        <v>879</v>
      </c>
      <c r="C90" s="278">
        <f>23810+6429</f>
        <v>30239</v>
      </c>
      <c r="D90" s="731"/>
      <c r="E90" s="258"/>
      <c r="F90" s="258"/>
      <c r="G90" s="258"/>
      <c r="H90" s="258"/>
      <c r="I90" s="258"/>
      <c r="J90" s="258"/>
      <c r="K90" s="258"/>
      <c r="L90" s="258"/>
      <c r="M90" s="258"/>
      <c r="N90" s="258"/>
    </row>
    <row r="91" spans="1:14" ht="23.25" x14ac:dyDescent="0.35">
      <c r="A91" s="730"/>
      <c r="B91" s="255" t="s">
        <v>868</v>
      </c>
      <c r="C91" s="278">
        <f>31403+8479</f>
        <v>39882</v>
      </c>
      <c r="D91" s="731"/>
      <c r="E91" s="258"/>
      <c r="F91" s="258"/>
      <c r="G91" s="258"/>
      <c r="H91" s="258"/>
      <c r="I91" s="258"/>
      <c r="J91" s="258"/>
      <c r="K91" s="258"/>
      <c r="L91" s="258"/>
      <c r="M91" s="258"/>
      <c r="N91" s="258"/>
    </row>
    <row r="92" spans="1:14" ht="23.25" x14ac:dyDescent="0.35">
      <c r="A92" s="730"/>
      <c r="B92" s="255" t="s">
        <v>880</v>
      </c>
      <c r="C92" s="278">
        <f>854+231</f>
        <v>1085</v>
      </c>
      <c r="D92" s="731"/>
      <c r="E92" s="258"/>
      <c r="F92" s="258"/>
      <c r="G92" s="258"/>
      <c r="H92" s="258"/>
      <c r="I92" s="258"/>
      <c r="J92" s="258"/>
      <c r="K92" s="258"/>
      <c r="L92" s="258"/>
      <c r="M92" s="258"/>
      <c r="N92" s="258"/>
    </row>
    <row r="93" spans="1:14" ht="23.25" x14ac:dyDescent="0.35">
      <c r="A93" s="730"/>
      <c r="B93" s="255" t="s">
        <v>881</v>
      </c>
      <c r="C93" s="278">
        <f>23518+5628</f>
        <v>29146</v>
      </c>
      <c r="D93" s="731"/>
      <c r="E93" s="258"/>
      <c r="F93" s="258"/>
      <c r="G93" s="258"/>
      <c r="H93" s="258"/>
      <c r="I93" s="258"/>
      <c r="J93" s="258"/>
      <c r="K93" s="258"/>
      <c r="L93" s="258"/>
      <c r="M93" s="258"/>
      <c r="N93" s="258"/>
    </row>
    <row r="94" spans="1:14" ht="23.25" x14ac:dyDescent="0.35">
      <c r="A94" s="730"/>
      <c r="B94" s="255" t="s">
        <v>882</v>
      </c>
      <c r="C94" s="278">
        <f>91298+24650</f>
        <v>115948</v>
      </c>
      <c r="D94" s="731"/>
      <c r="E94" s="258"/>
      <c r="F94" s="258"/>
      <c r="G94" s="258"/>
      <c r="H94" s="258"/>
      <c r="I94" s="258"/>
      <c r="J94" s="258"/>
      <c r="K94" s="258"/>
      <c r="L94" s="258"/>
      <c r="M94" s="258"/>
      <c r="N94" s="258"/>
    </row>
    <row r="95" spans="1:14" ht="23.25" x14ac:dyDescent="0.35">
      <c r="A95" s="730"/>
      <c r="B95" s="255" t="s">
        <v>883</v>
      </c>
      <c r="C95" s="278">
        <f>89729+24227</f>
        <v>113956</v>
      </c>
      <c r="D95" s="731"/>
      <c r="E95" s="258"/>
      <c r="F95" s="258"/>
      <c r="G95" s="258"/>
      <c r="H95" s="258"/>
      <c r="I95" s="258"/>
      <c r="J95" s="258"/>
      <c r="K95" s="258"/>
      <c r="L95" s="258"/>
      <c r="M95" s="258"/>
      <c r="N95" s="258"/>
    </row>
    <row r="96" spans="1:14" ht="23.25" x14ac:dyDescent="0.35">
      <c r="A96" s="730"/>
      <c r="B96" s="255" t="s">
        <v>878</v>
      </c>
      <c r="C96" s="278">
        <f>10905+2944</f>
        <v>13849</v>
      </c>
      <c r="D96" s="731"/>
      <c r="E96" s="258"/>
      <c r="F96" s="258"/>
      <c r="G96" s="258"/>
      <c r="H96" s="258"/>
      <c r="I96" s="258"/>
      <c r="J96" s="258"/>
      <c r="K96" s="258"/>
      <c r="L96" s="258"/>
      <c r="M96" s="258"/>
      <c r="N96" s="258"/>
    </row>
    <row r="97" spans="1:14" ht="23.25" x14ac:dyDescent="0.35">
      <c r="A97" s="730"/>
      <c r="B97" s="255" t="s">
        <v>879</v>
      </c>
      <c r="C97" s="278">
        <f>10675+2882</f>
        <v>13557</v>
      </c>
      <c r="D97" s="731"/>
      <c r="E97" s="258"/>
      <c r="F97" s="258"/>
      <c r="G97" s="258"/>
      <c r="H97" s="258"/>
      <c r="I97" s="258"/>
      <c r="J97" s="258"/>
      <c r="K97" s="258"/>
      <c r="L97" s="258"/>
      <c r="M97" s="258"/>
      <c r="N97" s="258"/>
    </row>
    <row r="98" spans="1:14" ht="23.25" x14ac:dyDescent="0.35">
      <c r="A98" s="730"/>
      <c r="B98" s="255" t="s">
        <v>867</v>
      </c>
      <c r="C98" s="278">
        <f>8643+2333</f>
        <v>10976</v>
      </c>
      <c r="D98" s="731"/>
      <c r="E98" s="258"/>
      <c r="F98" s="258"/>
      <c r="G98" s="258"/>
      <c r="H98" s="258"/>
      <c r="I98" s="258"/>
      <c r="J98" s="258"/>
      <c r="K98" s="258"/>
      <c r="L98" s="258"/>
      <c r="M98" s="258"/>
      <c r="N98" s="258"/>
    </row>
    <row r="99" spans="1:14" ht="23.25" x14ac:dyDescent="0.35">
      <c r="A99" s="730"/>
      <c r="B99" s="255" t="s">
        <v>878</v>
      </c>
      <c r="C99" s="278">
        <f>1015+274</f>
        <v>1289</v>
      </c>
      <c r="D99" s="731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1:14" ht="23.25" x14ac:dyDescent="0.35">
      <c r="A100" s="730"/>
      <c r="B100" s="255" t="s">
        <v>879</v>
      </c>
      <c r="C100" s="278">
        <f>1015+274</f>
        <v>1289</v>
      </c>
      <c r="D100" s="731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1:14" ht="23.25" x14ac:dyDescent="0.35">
      <c r="A101" s="730"/>
      <c r="B101" s="255" t="s">
        <v>867</v>
      </c>
      <c r="C101" s="278">
        <f>8643+2334</f>
        <v>10977</v>
      </c>
      <c r="D101" s="731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</row>
    <row r="102" spans="1:14" ht="23.25" x14ac:dyDescent="0.35">
      <c r="A102" s="730"/>
      <c r="B102" s="255" t="s">
        <v>867</v>
      </c>
      <c r="C102" s="278">
        <f>8643+2334</f>
        <v>10977</v>
      </c>
      <c r="D102" s="731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</row>
    <row r="103" spans="1:14" ht="23.25" x14ac:dyDescent="0.35">
      <c r="A103" s="730"/>
      <c r="B103" s="255" t="s">
        <v>884</v>
      </c>
      <c r="C103" s="278">
        <f>8002+1948</f>
        <v>9950</v>
      </c>
      <c r="D103" s="731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</row>
    <row r="104" spans="1:14" ht="23.25" x14ac:dyDescent="0.35">
      <c r="A104" s="730"/>
      <c r="B104" s="255" t="s">
        <v>884</v>
      </c>
      <c r="C104" s="278">
        <f>473+112</f>
        <v>585</v>
      </c>
      <c r="D104" s="731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</row>
    <row r="105" spans="1:14" ht="23.25" x14ac:dyDescent="0.35">
      <c r="A105" s="730"/>
      <c r="B105" s="255" t="s">
        <v>885</v>
      </c>
      <c r="C105" s="278">
        <f>22184+5990</f>
        <v>28174</v>
      </c>
      <c r="D105" s="731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</row>
    <row r="106" spans="1:14" ht="23.25" x14ac:dyDescent="0.35">
      <c r="A106" s="730"/>
      <c r="B106" s="255" t="s">
        <v>886</v>
      </c>
      <c r="C106" s="278">
        <f>21844+5898</f>
        <v>27742</v>
      </c>
      <c r="D106" s="731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</row>
    <row r="107" spans="1:14" ht="23.25" x14ac:dyDescent="0.35">
      <c r="A107" s="730"/>
      <c r="B107" s="255" t="s">
        <v>887</v>
      </c>
      <c r="C107" s="278">
        <v>9580</v>
      </c>
      <c r="D107" s="731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</row>
    <row r="108" spans="1:14" ht="23.25" x14ac:dyDescent="0.35">
      <c r="A108" s="730"/>
      <c r="B108" s="255" t="s">
        <v>867</v>
      </c>
      <c r="C108" s="278">
        <f>8643+2334</f>
        <v>10977</v>
      </c>
      <c r="D108" s="731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</row>
    <row r="109" spans="1:14" ht="23.25" x14ac:dyDescent="0.35">
      <c r="A109" s="730"/>
      <c r="B109" s="255" t="s">
        <v>888</v>
      </c>
      <c r="C109" s="278">
        <f>87110+23520</f>
        <v>110630</v>
      </c>
      <c r="D109" s="731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</row>
    <row r="110" spans="1:14" ht="23.25" x14ac:dyDescent="0.35">
      <c r="A110" s="730"/>
      <c r="B110" s="255" t="s">
        <v>889</v>
      </c>
      <c r="C110" s="278">
        <f>139293+37609</f>
        <v>176902</v>
      </c>
      <c r="D110" s="731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</row>
    <row r="111" spans="1:14" ht="23.25" x14ac:dyDescent="0.35">
      <c r="A111" s="730"/>
      <c r="B111" s="255" t="s">
        <v>890</v>
      </c>
      <c r="C111" s="278">
        <f>54975+14843</f>
        <v>69818</v>
      </c>
      <c r="D111" s="731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</row>
    <row r="112" spans="1:14" ht="23.25" x14ac:dyDescent="0.35">
      <c r="A112" s="730"/>
      <c r="B112" s="255" t="s">
        <v>891</v>
      </c>
      <c r="C112" s="278">
        <f>127909+34535</f>
        <v>162444</v>
      </c>
      <c r="D112" s="731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</row>
    <row r="113" spans="1:14" ht="23.25" x14ac:dyDescent="0.35">
      <c r="A113" s="730"/>
      <c r="B113" s="255" t="s">
        <v>892</v>
      </c>
      <c r="C113" s="278">
        <f>148405+40069</f>
        <v>188474</v>
      </c>
      <c r="D113" s="731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</row>
    <row r="114" spans="1:14" ht="23.25" x14ac:dyDescent="0.35">
      <c r="A114" s="730"/>
      <c r="B114" s="255" t="s">
        <v>893</v>
      </c>
      <c r="C114" s="278">
        <f>47273+12764</f>
        <v>60037</v>
      </c>
      <c r="D114" s="731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</row>
    <row r="115" spans="1:14" ht="23.25" x14ac:dyDescent="0.35">
      <c r="A115" s="730"/>
      <c r="B115" s="255" t="s">
        <v>894</v>
      </c>
      <c r="C115" s="278">
        <f>686271+185293</f>
        <v>871564</v>
      </c>
      <c r="D115" s="731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</row>
    <row r="116" spans="1:14" ht="23.25" x14ac:dyDescent="0.35">
      <c r="A116" s="730"/>
      <c r="B116" s="255" t="s">
        <v>895</v>
      </c>
      <c r="C116" s="278">
        <f>337304+91072</f>
        <v>428376</v>
      </c>
      <c r="D116" s="731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</row>
    <row r="117" spans="1:14" ht="23.25" x14ac:dyDescent="0.35">
      <c r="A117" s="730"/>
      <c r="B117" s="255" t="s">
        <v>896</v>
      </c>
      <c r="C117" s="278">
        <f>457670+123571</f>
        <v>581241</v>
      </c>
      <c r="D117" s="731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</row>
    <row r="118" spans="1:14" ht="23.25" x14ac:dyDescent="0.35">
      <c r="A118" s="730"/>
      <c r="B118" s="255" t="s">
        <v>897</v>
      </c>
      <c r="C118" s="278">
        <f>255697+69038</f>
        <v>324735</v>
      </c>
      <c r="D118" s="731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</row>
    <row r="119" spans="1:14" ht="23.25" x14ac:dyDescent="0.35">
      <c r="A119" s="730"/>
      <c r="B119" s="255" t="s">
        <v>898</v>
      </c>
      <c r="C119" s="278">
        <f>814197+219833</f>
        <v>1034030</v>
      </c>
      <c r="D119" s="731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</row>
    <row r="120" spans="1:14" ht="23.25" x14ac:dyDescent="0.35">
      <c r="A120" s="730"/>
      <c r="B120" s="255" t="s">
        <v>899</v>
      </c>
      <c r="C120" s="278">
        <f>767338+207181</f>
        <v>974519</v>
      </c>
      <c r="D120" s="731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</row>
    <row r="121" spans="1:14" ht="23.25" x14ac:dyDescent="0.35">
      <c r="A121" s="730"/>
      <c r="B121" s="255" t="s">
        <v>900</v>
      </c>
      <c r="C121" s="278">
        <f>221191+59722</f>
        <v>280913</v>
      </c>
      <c r="D121" s="731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</row>
    <row r="122" spans="1:14" ht="23.25" x14ac:dyDescent="0.35">
      <c r="A122" s="730"/>
      <c r="B122" s="255" t="s">
        <v>901</v>
      </c>
      <c r="C122" s="278">
        <f>433881+117148</f>
        <v>551029</v>
      </c>
      <c r="D122" s="731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</row>
    <row r="123" spans="1:14" ht="23.25" x14ac:dyDescent="0.35">
      <c r="A123" s="730"/>
      <c r="B123" s="255" t="s">
        <v>902</v>
      </c>
      <c r="C123" s="278">
        <f>669234+180693</f>
        <v>849927</v>
      </c>
      <c r="D123" s="731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</row>
    <row r="124" spans="1:14" ht="23.25" x14ac:dyDescent="0.35">
      <c r="A124" s="730"/>
      <c r="B124" s="255" t="s">
        <v>903</v>
      </c>
      <c r="C124" s="278">
        <f>309626+83599</f>
        <v>393225</v>
      </c>
      <c r="D124" s="731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</row>
    <row r="125" spans="1:14" ht="23.25" x14ac:dyDescent="0.35">
      <c r="A125" s="730"/>
      <c r="B125" s="255" t="s">
        <v>904</v>
      </c>
      <c r="C125" s="278">
        <f>84112+20470</f>
        <v>104582</v>
      </c>
      <c r="D125" s="731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</row>
    <row r="126" spans="1:14" ht="23.25" x14ac:dyDescent="0.35">
      <c r="A126" s="730"/>
      <c r="B126" s="255" t="s">
        <v>904</v>
      </c>
      <c r="C126" s="278">
        <f>40+11</f>
        <v>51</v>
      </c>
      <c r="D126" s="731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</row>
    <row r="127" spans="1:14" ht="23.25" x14ac:dyDescent="0.35">
      <c r="A127" s="730"/>
      <c r="B127" s="255" t="s">
        <v>905</v>
      </c>
      <c r="C127" s="278">
        <f>18762+4561</f>
        <v>23323</v>
      </c>
      <c r="D127" s="731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</row>
    <row r="128" spans="1:14" ht="23.25" x14ac:dyDescent="0.35">
      <c r="A128" s="730"/>
      <c r="B128" s="255" t="s">
        <v>906</v>
      </c>
      <c r="C128" s="278">
        <f>9907+2429</f>
        <v>12336</v>
      </c>
      <c r="D128" s="731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</row>
    <row r="129" spans="1:14" ht="23.25" x14ac:dyDescent="0.35">
      <c r="A129" s="730"/>
      <c r="B129" s="255" t="s">
        <v>907</v>
      </c>
      <c r="C129" s="278">
        <f>11650+2859</f>
        <v>14509</v>
      </c>
      <c r="D129" s="731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</row>
    <row r="130" spans="1:14" ht="23.25" x14ac:dyDescent="0.35">
      <c r="A130" s="730"/>
      <c r="B130" s="255" t="s">
        <v>908</v>
      </c>
      <c r="C130" s="278">
        <f>11839+2859</f>
        <v>14698</v>
      </c>
      <c r="D130" s="731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</row>
    <row r="131" spans="1:14" ht="23.25" x14ac:dyDescent="0.35">
      <c r="A131" s="730"/>
      <c r="B131" s="255" t="s">
        <v>909</v>
      </c>
      <c r="C131" s="278">
        <f>5751+1553</f>
        <v>7304</v>
      </c>
      <c r="D131" s="731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</row>
    <row r="132" spans="1:14" ht="23.25" x14ac:dyDescent="0.35">
      <c r="A132" s="730"/>
      <c r="B132" s="255" t="s">
        <v>910</v>
      </c>
      <c r="C132" s="278">
        <f>5231+1413</f>
        <v>6644</v>
      </c>
      <c r="D132" s="731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</row>
    <row r="133" spans="1:14" ht="23.25" x14ac:dyDescent="0.35">
      <c r="A133" s="730"/>
      <c r="B133" s="255" t="s">
        <v>911</v>
      </c>
      <c r="C133" s="278">
        <f>7743+2090</f>
        <v>9833</v>
      </c>
      <c r="D133" s="731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</row>
    <row r="134" spans="1:14" ht="23.25" x14ac:dyDescent="0.35">
      <c r="A134" s="730"/>
      <c r="B134" s="255" t="s">
        <v>910</v>
      </c>
      <c r="C134" s="278">
        <f>9965+2691</f>
        <v>12656</v>
      </c>
      <c r="D134" s="731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</row>
    <row r="135" spans="1:14" ht="23.25" x14ac:dyDescent="0.35">
      <c r="A135" s="730"/>
      <c r="B135" s="255" t="s">
        <v>912</v>
      </c>
      <c r="C135" s="278">
        <f>4998+1350</f>
        <v>6348</v>
      </c>
      <c r="D135" s="731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</row>
    <row r="136" spans="1:14" ht="23.25" x14ac:dyDescent="0.35">
      <c r="A136" s="730"/>
      <c r="B136" s="255" t="s">
        <v>913</v>
      </c>
      <c r="C136" s="278">
        <f>295+80</f>
        <v>375</v>
      </c>
      <c r="D136" s="731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</row>
    <row r="137" spans="1:14" ht="23.25" x14ac:dyDescent="0.35">
      <c r="A137" s="730"/>
      <c r="B137" s="255" t="s">
        <v>914</v>
      </c>
      <c r="C137" s="278">
        <f>129+35</f>
        <v>164</v>
      </c>
      <c r="D137" s="731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</row>
    <row r="138" spans="1:14" ht="23.25" x14ac:dyDescent="0.35">
      <c r="A138" s="730"/>
      <c r="B138" s="255" t="s">
        <v>915</v>
      </c>
      <c r="C138" s="278">
        <f>137+37</f>
        <v>174</v>
      </c>
      <c r="D138" s="731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</row>
    <row r="139" spans="1:14" ht="23.25" x14ac:dyDescent="0.35">
      <c r="A139" s="730"/>
      <c r="B139" s="255" t="s">
        <v>916</v>
      </c>
      <c r="C139" s="278">
        <f>254+68</f>
        <v>322</v>
      </c>
      <c r="D139" s="731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</row>
    <row r="140" spans="1:14" ht="23.25" x14ac:dyDescent="0.35">
      <c r="A140" s="730"/>
      <c r="B140" s="255" t="s">
        <v>917</v>
      </c>
      <c r="C140" s="278">
        <f>335+90</f>
        <v>425</v>
      </c>
      <c r="D140" s="731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</row>
    <row r="141" spans="1:14" ht="23.25" x14ac:dyDescent="0.35">
      <c r="A141" s="730"/>
      <c r="B141" s="255" t="s">
        <v>918</v>
      </c>
      <c r="C141" s="278">
        <f>3726+1006</f>
        <v>4732</v>
      </c>
      <c r="D141" s="731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</row>
    <row r="142" spans="1:14" ht="23.25" x14ac:dyDescent="0.35">
      <c r="A142" s="730"/>
      <c r="B142" s="255" t="s">
        <v>919</v>
      </c>
      <c r="C142" s="278">
        <f>5759+1555</f>
        <v>7314</v>
      </c>
      <c r="D142" s="731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</row>
    <row r="143" spans="1:14" ht="23.25" x14ac:dyDescent="0.35">
      <c r="A143" s="730"/>
      <c r="B143" s="255" t="s">
        <v>920</v>
      </c>
      <c r="C143" s="278">
        <f>11769+3177</f>
        <v>14946</v>
      </c>
      <c r="D143" s="731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</row>
    <row r="144" spans="1:14" ht="23.25" x14ac:dyDescent="0.35">
      <c r="A144" s="730"/>
      <c r="B144" s="255" t="s">
        <v>921</v>
      </c>
      <c r="C144" s="278">
        <f>7039+1900</f>
        <v>8939</v>
      </c>
      <c r="D144" s="731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</row>
    <row r="145" spans="1:14" ht="23.25" x14ac:dyDescent="0.35">
      <c r="A145" s="730"/>
      <c r="B145" s="255" t="s">
        <v>922</v>
      </c>
      <c r="C145" s="278">
        <f>10898+2942</f>
        <v>13840</v>
      </c>
      <c r="D145" s="731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</row>
    <row r="146" spans="1:14" ht="23.25" x14ac:dyDescent="0.35">
      <c r="A146" s="730"/>
      <c r="B146" s="255" t="s">
        <v>923</v>
      </c>
      <c r="C146" s="278">
        <f>29342+7922</f>
        <v>37264</v>
      </c>
      <c r="D146" s="731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</row>
    <row r="147" spans="1:14" ht="23.25" x14ac:dyDescent="0.35">
      <c r="A147" s="730"/>
      <c r="B147" s="255" t="s">
        <v>924</v>
      </c>
      <c r="C147" s="278">
        <f>189981+51295</f>
        <v>241276</v>
      </c>
      <c r="D147" s="731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</row>
    <row r="148" spans="1:14" ht="23.25" x14ac:dyDescent="0.35">
      <c r="A148" s="730"/>
      <c r="B148" s="255" t="s">
        <v>925</v>
      </c>
      <c r="C148" s="278">
        <f>205760+55555</f>
        <v>261315</v>
      </c>
      <c r="D148" s="731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</row>
    <row r="149" spans="1:14" ht="27" customHeight="1" x14ac:dyDescent="0.35">
      <c r="A149" s="730" t="s">
        <v>808</v>
      </c>
      <c r="B149" s="255" t="s">
        <v>926</v>
      </c>
      <c r="C149" s="278">
        <f>116403+31428</f>
        <v>147831</v>
      </c>
      <c r="D149" s="731" t="s">
        <v>856</v>
      </c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</row>
    <row r="150" spans="1:14" ht="23.25" x14ac:dyDescent="0.35">
      <c r="A150" s="730"/>
      <c r="B150" s="255" t="s">
        <v>927</v>
      </c>
      <c r="C150" s="278">
        <f>84202+22734</f>
        <v>106936</v>
      </c>
      <c r="D150" s="731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</row>
    <row r="151" spans="1:14" ht="23.25" x14ac:dyDescent="0.35">
      <c r="A151" s="730"/>
      <c r="B151" s="255" t="s">
        <v>928</v>
      </c>
      <c r="C151" s="278">
        <f>593431+160226</f>
        <v>753657</v>
      </c>
      <c r="D151" s="731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</row>
    <row r="152" spans="1:14" ht="23.25" x14ac:dyDescent="0.35">
      <c r="A152" s="730"/>
      <c r="B152" s="255" t="s">
        <v>929</v>
      </c>
      <c r="C152" s="278">
        <f>1032061+278657</f>
        <v>1310718</v>
      </c>
      <c r="D152" s="731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</row>
    <row r="153" spans="1:14" ht="23.25" x14ac:dyDescent="0.35">
      <c r="A153" s="730"/>
      <c r="B153" s="255" t="s">
        <v>930</v>
      </c>
      <c r="C153" s="278">
        <f>702544+189687</f>
        <v>892231</v>
      </c>
      <c r="D153" s="731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</row>
    <row r="154" spans="1:14" ht="23.25" x14ac:dyDescent="0.35">
      <c r="A154" s="730"/>
      <c r="B154" s="255" t="s">
        <v>931</v>
      </c>
      <c r="C154" s="278">
        <f>424329+114569</f>
        <v>538898</v>
      </c>
      <c r="D154" s="731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</row>
    <row r="155" spans="1:14" ht="23.25" x14ac:dyDescent="0.35">
      <c r="A155" s="730"/>
      <c r="B155" s="255" t="s">
        <v>932</v>
      </c>
      <c r="C155" s="278">
        <f>943328+254698</f>
        <v>1198026</v>
      </c>
      <c r="D155" s="731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</row>
    <row r="156" spans="1:14" ht="23.25" x14ac:dyDescent="0.35">
      <c r="A156" s="730"/>
      <c r="B156" s="255" t="s">
        <v>933</v>
      </c>
      <c r="C156" s="278">
        <f>707245+190956</f>
        <v>898201</v>
      </c>
      <c r="D156" s="731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</row>
    <row r="157" spans="1:14" ht="23.25" x14ac:dyDescent="0.35">
      <c r="A157" s="730"/>
      <c r="B157" s="255" t="s">
        <v>934</v>
      </c>
      <c r="C157" s="278">
        <f>426477+115148</f>
        <v>541625</v>
      </c>
      <c r="D157" s="731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</row>
    <row r="158" spans="1:14" ht="23.25" x14ac:dyDescent="0.35">
      <c r="A158" s="730"/>
      <c r="B158" s="255" t="s">
        <v>935</v>
      </c>
      <c r="C158" s="278">
        <f>590650+159475</f>
        <v>750125</v>
      </c>
      <c r="D158" s="731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</row>
    <row r="159" spans="1:14" ht="23.25" x14ac:dyDescent="0.35">
      <c r="A159" s="730"/>
      <c r="B159" s="255" t="s">
        <v>936</v>
      </c>
      <c r="C159" s="278">
        <f>972996+262709</f>
        <v>1235705</v>
      </c>
      <c r="D159" s="731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</row>
    <row r="160" spans="1:14" ht="23.25" x14ac:dyDescent="0.35">
      <c r="A160" s="730"/>
      <c r="B160" s="255" t="s">
        <v>937</v>
      </c>
      <c r="C160" s="278">
        <f>1016646+274495</f>
        <v>1291141</v>
      </c>
      <c r="D160" s="731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</row>
    <row r="161" spans="1:14" ht="23.25" x14ac:dyDescent="0.35">
      <c r="A161" s="730"/>
      <c r="B161" s="255" t="s">
        <v>938</v>
      </c>
      <c r="C161" s="278">
        <f>13203+3240</f>
        <v>16443</v>
      </c>
      <c r="D161" s="731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</row>
    <row r="162" spans="1:14" ht="23.25" x14ac:dyDescent="0.35">
      <c r="A162" s="730"/>
      <c r="B162" s="255" t="s">
        <v>939</v>
      </c>
      <c r="C162" s="278">
        <f>8703+2350</f>
        <v>11053</v>
      </c>
      <c r="D162" s="731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</row>
    <row r="163" spans="1:14" ht="23.25" x14ac:dyDescent="0.35">
      <c r="A163" s="730"/>
      <c r="B163" s="255" t="s">
        <v>940</v>
      </c>
      <c r="C163" s="278">
        <f>26919+7268</f>
        <v>34187</v>
      </c>
      <c r="D163" s="731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</row>
    <row r="164" spans="1:14" ht="23.25" x14ac:dyDescent="0.35">
      <c r="A164" s="730"/>
      <c r="B164" s="255" t="s">
        <v>941</v>
      </c>
      <c r="C164" s="278">
        <f>39150+10570</f>
        <v>49720</v>
      </c>
      <c r="D164" s="731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</row>
    <row r="165" spans="1:14" ht="23.25" x14ac:dyDescent="0.35">
      <c r="A165" s="730"/>
      <c r="B165" s="255" t="s">
        <v>942</v>
      </c>
      <c r="C165" s="278">
        <f>192150+51881</f>
        <v>244031</v>
      </c>
      <c r="D165" s="731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</row>
    <row r="166" spans="1:14" ht="23.25" x14ac:dyDescent="0.35">
      <c r="A166" s="730"/>
      <c r="B166" s="255" t="s">
        <v>943</v>
      </c>
      <c r="C166" s="278">
        <f>196200+52974</f>
        <v>249174</v>
      </c>
      <c r="D166" s="731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</row>
    <row r="167" spans="1:14" ht="23.25" x14ac:dyDescent="0.35">
      <c r="A167" s="730"/>
      <c r="B167" s="255" t="s">
        <v>944</v>
      </c>
      <c r="C167" s="278">
        <f>622+168</f>
        <v>790</v>
      </c>
      <c r="D167" s="731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</row>
    <row r="168" spans="1:14" ht="23.25" x14ac:dyDescent="0.35">
      <c r="A168" s="730"/>
      <c r="B168" s="255" t="s">
        <v>924</v>
      </c>
      <c r="C168" s="278">
        <f>3732+1008</f>
        <v>4740</v>
      </c>
      <c r="D168" s="731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</row>
    <row r="169" spans="1:14" ht="23.25" x14ac:dyDescent="0.35">
      <c r="A169" s="730"/>
      <c r="B169" s="255" t="s">
        <v>941</v>
      </c>
      <c r="C169" s="278">
        <f>1244+336</f>
        <v>1580</v>
      </c>
      <c r="D169" s="731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</row>
    <row r="170" spans="1:14" ht="23.25" x14ac:dyDescent="0.35">
      <c r="A170" s="730"/>
      <c r="B170" s="255" t="s">
        <v>925</v>
      </c>
      <c r="C170" s="278">
        <f>1866+504</f>
        <v>2370</v>
      </c>
      <c r="D170" s="731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</row>
    <row r="171" spans="1:14" ht="23.25" x14ac:dyDescent="0.35">
      <c r="A171" s="730"/>
      <c r="B171" s="255" t="s">
        <v>926</v>
      </c>
      <c r="C171" s="278">
        <f>4976+1344</f>
        <v>6320</v>
      </c>
      <c r="D171" s="731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</row>
    <row r="172" spans="1:14" ht="23.25" x14ac:dyDescent="0.35">
      <c r="A172" s="730"/>
      <c r="B172" s="255" t="s">
        <v>927</v>
      </c>
      <c r="C172" s="278">
        <f>2488+672</f>
        <v>3160</v>
      </c>
      <c r="D172" s="731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</row>
    <row r="173" spans="1:14" ht="23.25" x14ac:dyDescent="0.35">
      <c r="A173" s="730"/>
      <c r="B173" s="255" t="s">
        <v>928</v>
      </c>
      <c r="C173" s="278">
        <f>23014+6214</f>
        <v>29228</v>
      </c>
      <c r="D173" s="731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</row>
    <row r="174" spans="1:14" ht="23.25" x14ac:dyDescent="0.35">
      <c r="A174" s="730"/>
      <c r="B174" s="255" t="s">
        <v>945</v>
      </c>
      <c r="C174" s="278">
        <f>3110+840</f>
        <v>3950</v>
      </c>
      <c r="D174" s="731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</row>
    <row r="175" spans="1:14" ht="23.25" x14ac:dyDescent="0.35">
      <c r="A175" s="730"/>
      <c r="B175" s="255" t="s">
        <v>942</v>
      </c>
      <c r="C175" s="278">
        <f>8086+2183</f>
        <v>10269</v>
      </c>
      <c r="D175" s="731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</row>
    <row r="176" spans="1:14" ht="23.25" x14ac:dyDescent="0.35">
      <c r="A176" s="730"/>
      <c r="B176" s="255" t="s">
        <v>929</v>
      </c>
      <c r="C176" s="278">
        <f>7464+2015</f>
        <v>9479</v>
      </c>
      <c r="D176" s="731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</row>
    <row r="177" spans="1:14" ht="23.25" x14ac:dyDescent="0.35">
      <c r="A177" s="730"/>
      <c r="B177" s="255" t="s">
        <v>931</v>
      </c>
      <c r="C177" s="278">
        <f>13062+3527</f>
        <v>16589</v>
      </c>
      <c r="D177" s="731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</row>
    <row r="178" spans="1:14" ht="23.25" x14ac:dyDescent="0.35">
      <c r="A178" s="730"/>
      <c r="B178" s="255" t="s">
        <v>932</v>
      </c>
      <c r="C178" s="278">
        <f>15550+4199</f>
        <v>19749</v>
      </c>
      <c r="D178" s="731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</row>
    <row r="179" spans="1:14" ht="23.25" x14ac:dyDescent="0.35">
      <c r="A179" s="730"/>
      <c r="B179" s="255" t="s">
        <v>934</v>
      </c>
      <c r="C179" s="278">
        <f>14306+3863</f>
        <v>18169</v>
      </c>
      <c r="D179" s="731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</row>
    <row r="180" spans="1:14" ht="23.25" x14ac:dyDescent="0.35">
      <c r="A180" s="730"/>
      <c r="B180" s="255" t="s">
        <v>935</v>
      </c>
      <c r="C180" s="278">
        <f>21770+5878</f>
        <v>27648</v>
      </c>
      <c r="D180" s="731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</row>
    <row r="181" spans="1:14" ht="23.25" x14ac:dyDescent="0.35">
      <c r="A181" s="730"/>
      <c r="B181" s="255" t="s">
        <v>936</v>
      </c>
      <c r="C181" s="278">
        <f>16172+4366</f>
        <v>20538</v>
      </c>
      <c r="D181" s="731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</row>
    <row r="182" spans="1:14" ht="23.25" x14ac:dyDescent="0.35">
      <c r="A182" s="730"/>
      <c r="B182" s="255" t="s">
        <v>937</v>
      </c>
      <c r="C182" s="278">
        <f>6220+1679</f>
        <v>7899</v>
      </c>
      <c r="D182" s="731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</row>
    <row r="183" spans="1:14" ht="23.25" x14ac:dyDescent="0.35">
      <c r="A183" s="730"/>
      <c r="B183" s="255" t="s">
        <v>943</v>
      </c>
      <c r="C183" s="278">
        <f>8086+2183</f>
        <v>10269</v>
      </c>
      <c r="D183" s="731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</row>
    <row r="184" spans="1:14" ht="23.25" x14ac:dyDescent="0.35">
      <c r="A184" s="730"/>
      <c r="B184" s="255" t="s">
        <v>946</v>
      </c>
      <c r="C184" s="278">
        <f>3732+1008</f>
        <v>4740</v>
      </c>
      <c r="D184" s="731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</row>
    <row r="185" spans="1:14" ht="23.25" x14ac:dyDescent="0.35">
      <c r="A185" s="730"/>
      <c r="B185" s="255" t="s">
        <v>947</v>
      </c>
      <c r="C185" s="278">
        <v>278418</v>
      </c>
      <c r="D185" s="731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</row>
    <row r="186" spans="1:14" ht="23.25" x14ac:dyDescent="0.35">
      <c r="A186" s="730"/>
      <c r="B186" s="255" t="s">
        <v>885</v>
      </c>
      <c r="C186" s="278">
        <f>51764+13976</f>
        <v>65740</v>
      </c>
      <c r="D186" s="731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</row>
    <row r="187" spans="1:14" ht="23.25" x14ac:dyDescent="0.35">
      <c r="A187" s="730"/>
      <c r="B187" s="255" t="s">
        <v>886</v>
      </c>
      <c r="C187" s="278">
        <f>50972+13762</f>
        <v>64734</v>
      </c>
      <c r="D187" s="731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</row>
    <row r="188" spans="1:14" ht="23.25" x14ac:dyDescent="0.35">
      <c r="A188" s="730"/>
      <c r="B188" s="255" t="s">
        <v>884</v>
      </c>
      <c r="C188" s="278">
        <f>18673+4546</f>
        <v>23219</v>
      </c>
      <c r="D188" s="731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</row>
    <row r="189" spans="1:14" ht="23.25" x14ac:dyDescent="0.35">
      <c r="A189" s="730"/>
      <c r="B189" s="255" t="s">
        <v>884</v>
      </c>
      <c r="C189" s="278">
        <f>1108+263</f>
        <v>1371</v>
      </c>
      <c r="D189" s="731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</row>
    <row r="190" spans="1:14" ht="23.25" x14ac:dyDescent="0.35">
      <c r="A190" s="730"/>
      <c r="B190" s="255" t="s">
        <v>947</v>
      </c>
      <c r="C190" s="278">
        <v>66782</v>
      </c>
      <c r="D190" s="731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</row>
    <row r="191" spans="1:14" ht="23.25" x14ac:dyDescent="0.35">
      <c r="A191" s="730"/>
      <c r="B191" s="255" t="s">
        <v>948</v>
      </c>
      <c r="C191" s="278">
        <v>13320</v>
      </c>
      <c r="D191" s="731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</row>
    <row r="192" spans="1:14" ht="23.25" x14ac:dyDescent="0.35">
      <c r="A192" s="738" t="s">
        <v>852</v>
      </c>
      <c r="B192" s="738"/>
      <c r="C192" s="260">
        <f>SUM(C73:C191)</f>
        <v>20423049</v>
      </c>
      <c r="D192" s="269"/>
      <c r="E192" s="258"/>
      <c r="F192" s="258"/>
      <c r="G192" s="258"/>
      <c r="H192" s="258"/>
      <c r="I192" s="258"/>
      <c r="J192" s="258"/>
      <c r="K192" s="258"/>
      <c r="L192" s="258"/>
      <c r="M192" s="258"/>
      <c r="N192" s="258"/>
    </row>
    <row r="193" spans="1:14" ht="23.25" x14ac:dyDescent="0.35">
      <c r="A193" s="279"/>
      <c r="B193" s="268" t="s">
        <v>853</v>
      </c>
      <c r="C193" s="285">
        <v>0</v>
      </c>
      <c r="D193" s="286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</row>
    <row r="194" spans="1:14" ht="23.25" x14ac:dyDescent="0.35">
      <c r="A194" s="281"/>
      <c r="B194" s="268" t="s">
        <v>866</v>
      </c>
      <c r="C194" s="285">
        <v>0</v>
      </c>
      <c r="D194" s="287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</row>
    <row r="195" spans="1:14" ht="23.25" x14ac:dyDescent="0.35">
      <c r="A195" s="258"/>
      <c r="B195" s="258"/>
      <c r="C195" s="288"/>
      <c r="D195" s="289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</row>
    <row r="196" spans="1:14" s="294" customFormat="1" ht="23.25" x14ac:dyDescent="0.35">
      <c r="A196" s="290"/>
      <c r="B196" s="291" t="s">
        <v>79</v>
      </c>
      <c r="C196" s="292"/>
      <c r="D196" s="293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</row>
    <row r="197" spans="1:14" ht="23.25" x14ac:dyDescent="0.35">
      <c r="A197" s="255"/>
      <c r="B197" s="256" t="s">
        <v>805</v>
      </c>
      <c r="C197" s="295"/>
      <c r="D197" s="295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</row>
    <row r="198" spans="1:14" ht="23.25" customHeight="1" x14ac:dyDescent="0.35">
      <c r="A198" s="739" t="s">
        <v>808</v>
      </c>
      <c r="B198" s="255" t="s">
        <v>949</v>
      </c>
      <c r="C198" s="278">
        <f>35800+1790</f>
        <v>37590</v>
      </c>
      <c r="D198" s="742" t="s">
        <v>856</v>
      </c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</row>
    <row r="199" spans="1:14" ht="23.25" x14ac:dyDescent="0.35">
      <c r="A199" s="740"/>
      <c r="B199" s="255" t="s">
        <v>950</v>
      </c>
      <c r="C199" s="278">
        <f>17900+895</f>
        <v>18795</v>
      </c>
      <c r="D199" s="742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</row>
    <row r="200" spans="1:14" ht="23.25" x14ac:dyDescent="0.35">
      <c r="A200" s="740"/>
      <c r="B200" s="255" t="s">
        <v>951</v>
      </c>
      <c r="C200" s="278">
        <f>139768+37737</f>
        <v>177505</v>
      </c>
      <c r="D200" s="742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</row>
    <row r="201" spans="1:14" ht="23.25" x14ac:dyDescent="0.35">
      <c r="A201" s="740"/>
      <c r="B201" s="255" t="s">
        <v>952</v>
      </c>
      <c r="C201" s="278">
        <f>94417+25493</f>
        <v>119910</v>
      </c>
      <c r="D201" s="742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</row>
    <row r="202" spans="1:14" ht="23.25" x14ac:dyDescent="0.35">
      <c r="A202" s="740"/>
      <c r="B202" s="255" t="s">
        <v>953</v>
      </c>
      <c r="C202" s="278">
        <f>383980+103675</f>
        <v>487655</v>
      </c>
      <c r="D202" s="742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</row>
    <row r="203" spans="1:14" ht="23.25" x14ac:dyDescent="0.35">
      <c r="A203" s="740"/>
      <c r="B203" s="255" t="s">
        <v>954</v>
      </c>
      <c r="C203" s="278">
        <f>33500+9045</f>
        <v>42545</v>
      </c>
      <c r="D203" s="742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</row>
    <row r="204" spans="1:14" ht="23.25" x14ac:dyDescent="0.35">
      <c r="A204" s="740"/>
      <c r="B204" s="255" t="s">
        <v>949</v>
      </c>
      <c r="C204" s="278">
        <f>105+2100</f>
        <v>2205</v>
      </c>
      <c r="D204" s="742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</row>
    <row r="205" spans="1:14" ht="23.25" x14ac:dyDescent="0.35">
      <c r="A205" s="740"/>
      <c r="B205" s="255" t="s">
        <v>955</v>
      </c>
      <c r="C205" s="278">
        <f>2100+105</f>
        <v>2205</v>
      </c>
      <c r="D205" s="742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</row>
    <row r="206" spans="1:14" ht="23.25" x14ac:dyDescent="0.35">
      <c r="A206" s="740"/>
      <c r="B206" s="255" t="s">
        <v>956</v>
      </c>
      <c r="C206" s="278">
        <v>9290</v>
      </c>
      <c r="D206" s="742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</row>
    <row r="207" spans="1:14" ht="23.25" x14ac:dyDescent="0.35">
      <c r="A207" s="740"/>
      <c r="B207" s="255" t="s">
        <v>949</v>
      </c>
      <c r="C207" s="278">
        <f>2100+105</f>
        <v>2205</v>
      </c>
      <c r="D207" s="742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</row>
    <row r="208" spans="1:14" ht="23.25" x14ac:dyDescent="0.35">
      <c r="A208" s="740"/>
      <c r="B208" s="255" t="s">
        <v>957</v>
      </c>
      <c r="C208" s="278">
        <f>2100+105</f>
        <v>2205</v>
      </c>
      <c r="D208" s="742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</row>
    <row r="209" spans="1:14" ht="23.25" x14ac:dyDescent="0.35">
      <c r="A209" s="740"/>
      <c r="B209" s="255" t="s">
        <v>958</v>
      </c>
      <c r="C209" s="278">
        <f>115980+31315</f>
        <v>147295</v>
      </c>
      <c r="D209" s="742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</row>
    <row r="210" spans="1:14" ht="23.25" x14ac:dyDescent="0.35">
      <c r="A210" s="741"/>
      <c r="B210" s="255" t="s">
        <v>959</v>
      </c>
      <c r="C210" s="278">
        <f>115686+31235</f>
        <v>146921</v>
      </c>
      <c r="D210" s="742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</row>
    <row r="211" spans="1:14" ht="23.25" x14ac:dyDescent="0.35">
      <c r="A211" s="738" t="s">
        <v>852</v>
      </c>
      <c r="B211" s="738"/>
      <c r="C211" s="260">
        <f>SUM(C195:C210)</f>
        <v>1196326</v>
      </c>
      <c r="D211" s="269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</row>
    <row r="212" spans="1:14" ht="23.25" x14ac:dyDescent="0.35">
      <c r="A212" s="279"/>
      <c r="B212" s="268" t="s">
        <v>853</v>
      </c>
      <c r="C212" s="296">
        <v>0</v>
      </c>
      <c r="D212" s="297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</row>
    <row r="213" spans="1:14" ht="23.25" x14ac:dyDescent="0.35">
      <c r="A213" s="281"/>
      <c r="B213" s="268" t="s">
        <v>866</v>
      </c>
      <c r="C213" s="285">
        <v>0</v>
      </c>
      <c r="D213" s="286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</row>
    <row r="214" spans="1:14" ht="23.25" x14ac:dyDescent="0.35">
      <c r="A214" s="258"/>
      <c r="B214" s="258"/>
      <c r="C214" s="288"/>
      <c r="D214" s="289"/>
      <c r="E214" s="258"/>
      <c r="F214" s="258"/>
      <c r="G214" s="258"/>
      <c r="H214" s="258"/>
      <c r="I214" s="258"/>
      <c r="J214" s="258"/>
      <c r="K214" s="258"/>
      <c r="L214" s="258"/>
      <c r="M214" s="258"/>
      <c r="N214" s="258"/>
    </row>
    <row r="215" spans="1:14" s="254" customFormat="1" ht="23.25" x14ac:dyDescent="0.35">
      <c r="A215" s="250"/>
      <c r="B215" s="251" t="s">
        <v>76</v>
      </c>
      <c r="C215" s="252"/>
      <c r="D215" s="293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</row>
    <row r="216" spans="1:14" ht="23.25" x14ac:dyDescent="0.35">
      <c r="A216" s="255"/>
      <c r="B216" s="256" t="s">
        <v>805</v>
      </c>
      <c r="C216" s="257"/>
      <c r="D216" s="255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</row>
    <row r="217" spans="1:14" ht="23.25" x14ac:dyDescent="0.35">
      <c r="A217" s="733" t="s">
        <v>808</v>
      </c>
      <c r="B217" s="255" t="s">
        <v>960</v>
      </c>
      <c r="C217" s="278">
        <f>104389+28185</f>
        <v>132574</v>
      </c>
      <c r="D217" s="731" t="s">
        <v>856</v>
      </c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</row>
    <row r="218" spans="1:14" ht="23.25" x14ac:dyDescent="0.35">
      <c r="A218" s="734"/>
      <c r="B218" s="255" t="s">
        <v>961</v>
      </c>
      <c r="C218" s="278">
        <f>10157+2743</f>
        <v>12900</v>
      </c>
      <c r="D218" s="731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</row>
    <row r="219" spans="1:14" ht="23.25" x14ac:dyDescent="0.35">
      <c r="A219" s="734"/>
      <c r="B219" s="255" t="s">
        <v>962</v>
      </c>
      <c r="C219" s="278">
        <f>11643+2725</f>
        <v>14368</v>
      </c>
      <c r="D219" s="731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</row>
    <row r="220" spans="1:14" ht="23.25" x14ac:dyDescent="0.35">
      <c r="A220" s="734"/>
      <c r="B220" s="255" t="s">
        <v>963</v>
      </c>
      <c r="C220" s="278">
        <f>32035+8650</f>
        <v>40685</v>
      </c>
      <c r="D220" s="731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</row>
    <row r="221" spans="1:14" ht="23.25" x14ac:dyDescent="0.35">
      <c r="A221" s="734"/>
      <c r="B221" s="255" t="s">
        <v>964</v>
      </c>
      <c r="C221" s="278">
        <f>30767+8307</f>
        <v>39074</v>
      </c>
      <c r="D221" s="731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</row>
    <row r="222" spans="1:14" ht="23.25" x14ac:dyDescent="0.35">
      <c r="A222" s="734"/>
      <c r="B222" s="255" t="s">
        <v>965</v>
      </c>
      <c r="C222" s="278">
        <f>81542+22016</f>
        <v>103558</v>
      </c>
      <c r="D222" s="731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</row>
    <row r="223" spans="1:14" ht="23.25" x14ac:dyDescent="0.35">
      <c r="A223" s="734"/>
      <c r="B223" s="255" t="s">
        <v>966</v>
      </c>
      <c r="C223" s="278">
        <f>170792+46114</f>
        <v>216906</v>
      </c>
      <c r="D223" s="731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</row>
    <row r="224" spans="1:14" ht="23.25" x14ac:dyDescent="0.35">
      <c r="A224" s="734"/>
      <c r="B224" s="255" t="s">
        <v>962</v>
      </c>
      <c r="C224" s="278">
        <f>2784+752</f>
        <v>3536</v>
      </c>
      <c r="D224" s="731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</row>
    <row r="225" spans="1:14" ht="23.25" x14ac:dyDescent="0.35">
      <c r="A225" s="734"/>
      <c r="B225" s="255" t="s">
        <v>967</v>
      </c>
      <c r="C225" s="278">
        <v>111761</v>
      </c>
      <c r="D225" s="731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</row>
    <row r="226" spans="1:14" ht="23.25" x14ac:dyDescent="0.35">
      <c r="A226" s="734"/>
      <c r="B226" s="255" t="s">
        <v>968</v>
      </c>
      <c r="C226" s="278">
        <v>91039</v>
      </c>
      <c r="D226" s="731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</row>
    <row r="227" spans="1:14" ht="23.25" x14ac:dyDescent="0.35">
      <c r="A227" s="734"/>
      <c r="B227" s="255" t="s">
        <v>969</v>
      </c>
      <c r="C227" s="278">
        <v>62068</v>
      </c>
      <c r="D227" s="731"/>
      <c r="E227" s="258"/>
      <c r="F227" s="258"/>
      <c r="G227" s="258"/>
      <c r="H227" s="258"/>
      <c r="I227" s="258"/>
      <c r="J227" s="258"/>
      <c r="K227" s="258"/>
      <c r="L227" s="258"/>
      <c r="M227" s="258"/>
      <c r="N227" s="258"/>
    </row>
    <row r="228" spans="1:14" ht="23.25" x14ac:dyDescent="0.35">
      <c r="A228" s="734"/>
      <c r="B228" s="255" t="s">
        <v>970</v>
      </c>
      <c r="C228" s="278">
        <f>50000+13500</f>
        <v>63500</v>
      </c>
      <c r="D228" s="731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</row>
    <row r="229" spans="1:14" ht="23.25" x14ac:dyDescent="0.35">
      <c r="A229" s="734"/>
      <c r="B229" s="255" t="s">
        <v>960</v>
      </c>
      <c r="C229" s="278">
        <f>197+53</f>
        <v>250</v>
      </c>
      <c r="D229" s="731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</row>
    <row r="230" spans="1:14" ht="23.25" x14ac:dyDescent="0.35">
      <c r="A230" s="734"/>
      <c r="B230" s="255" t="s">
        <v>971</v>
      </c>
      <c r="C230" s="278">
        <v>6600</v>
      </c>
      <c r="D230" s="731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</row>
    <row r="231" spans="1:14" ht="23.25" x14ac:dyDescent="0.35">
      <c r="A231" s="734"/>
      <c r="B231" s="255" t="s">
        <v>972</v>
      </c>
      <c r="C231" s="278">
        <f>5169+930</f>
        <v>6099</v>
      </c>
      <c r="D231" s="731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</row>
    <row r="232" spans="1:14" ht="23.25" x14ac:dyDescent="0.35">
      <c r="A232" s="734"/>
      <c r="B232" s="255" t="s">
        <v>962</v>
      </c>
      <c r="C232" s="278">
        <f>1152+270</f>
        <v>1422</v>
      </c>
      <c r="D232" s="731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</row>
    <row r="233" spans="1:14" ht="23.25" x14ac:dyDescent="0.35">
      <c r="A233" s="734"/>
      <c r="B233" s="255" t="s">
        <v>973</v>
      </c>
      <c r="C233" s="278">
        <f>475000+128250</f>
        <v>603250</v>
      </c>
      <c r="D233" s="731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</row>
    <row r="234" spans="1:14" ht="23.25" x14ac:dyDescent="0.35">
      <c r="A234" s="734"/>
      <c r="B234" s="255" t="s">
        <v>963</v>
      </c>
      <c r="C234" s="278">
        <f>3168+855</f>
        <v>4023</v>
      </c>
      <c r="D234" s="731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</row>
    <row r="235" spans="1:14" ht="23.25" x14ac:dyDescent="0.35">
      <c r="A235" s="734"/>
      <c r="B235" s="255" t="s">
        <v>964</v>
      </c>
      <c r="C235" s="278">
        <f>3043+822</f>
        <v>3865</v>
      </c>
      <c r="D235" s="731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</row>
    <row r="236" spans="1:14" ht="23.25" x14ac:dyDescent="0.35">
      <c r="A236" s="734"/>
      <c r="B236" s="255" t="s">
        <v>966</v>
      </c>
      <c r="C236" s="278">
        <f>16892+4561</f>
        <v>21453</v>
      </c>
      <c r="D236" s="731"/>
      <c r="E236" s="258"/>
      <c r="F236" s="258"/>
      <c r="G236" s="258"/>
      <c r="H236" s="258"/>
      <c r="I236" s="258"/>
      <c r="J236" s="258"/>
      <c r="K236" s="258"/>
      <c r="L236" s="258"/>
      <c r="M236" s="258"/>
      <c r="N236" s="258"/>
    </row>
    <row r="237" spans="1:14" ht="23.25" x14ac:dyDescent="0.35">
      <c r="A237" s="734"/>
      <c r="B237" s="255" t="s">
        <v>962</v>
      </c>
      <c r="C237" s="278">
        <f>275+74</f>
        <v>349</v>
      </c>
      <c r="D237" s="731"/>
      <c r="E237" s="258"/>
      <c r="F237" s="258"/>
      <c r="G237" s="258"/>
      <c r="H237" s="258"/>
      <c r="I237" s="258"/>
      <c r="J237" s="258"/>
      <c r="K237" s="258"/>
      <c r="L237" s="258"/>
      <c r="M237" s="258"/>
      <c r="N237" s="258"/>
    </row>
    <row r="238" spans="1:14" ht="23.25" x14ac:dyDescent="0.35">
      <c r="A238" s="734"/>
      <c r="B238" s="255" t="s">
        <v>969</v>
      </c>
      <c r="C238" s="278">
        <v>49653</v>
      </c>
      <c r="D238" s="731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</row>
    <row r="239" spans="1:14" ht="23.25" x14ac:dyDescent="0.35">
      <c r="A239" s="734"/>
      <c r="B239" s="255" t="s">
        <v>969</v>
      </c>
      <c r="C239" s="278">
        <v>12414</v>
      </c>
      <c r="D239" s="731"/>
      <c r="E239" s="258"/>
      <c r="F239" s="258"/>
      <c r="G239" s="258"/>
      <c r="H239" s="258"/>
      <c r="I239" s="258"/>
      <c r="J239" s="258"/>
      <c r="K239" s="258"/>
      <c r="L239" s="258"/>
      <c r="M239" s="258"/>
      <c r="N239" s="258"/>
    </row>
    <row r="240" spans="1:14" ht="23.25" x14ac:dyDescent="0.35">
      <c r="A240" s="734"/>
      <c r="B240" s="255" t="s">
        <v>974</v>
      </c>
      <c r="C240" s="278">
        <f>157000+42390</f>
        <v>199390</v>
      </c>
      <c r="D240" s="731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</row>
    <row r="241" spans="1:14" ht="23.25" x14ac:dyDescent="0.35">
      <c r="A241" s="734"/>
      <c r="B241" s="255" t="s">
        <v>975</v>
      </c>
      <c r="C241" s="278">
        <f>1400+378</f>
        <v>1778</v>
      </c>
      <c r="D241" s="731"/>
      <c r="E241" s="258"/>
      <c r="F241" s="258"/>
      <c r="G241" s="258"/>
      <c r="H241" s="258"/>
      <c r="I241" s="258"/>
      <c r="J241" s="258"/>
      <c r="K241" s="258"/>
      <c r="L241" s="258"/>
      <c r="M241" s="258"/>
      <c r="N241" s="258"/>
    </row>
    <row r="242" spans="1:14" ht="23.25" x14ac:dyDescent="0.35">
      <c r="A242" s="734"/>
      <c r="B242" s="255" t="s">
        <v>969</v>
      </c>
      <c r="C242" s="278">
        <v>6635</v>
      </c>
      <c r="D242" s="731"/>
      <c r="E242" s="258"/>
      <c r="F242" s="258"/>
      <c r="G242" s="258"/>
      <c r="H242" s="258"/>
      <c r="I242" s="258"/>
      <c r="J242" s="258"/>
      <c r="K242" s="258"/>
      <c r="L242" s="258"/>
      <c r="M242" s="258"/>
      <c r="N242" s="258"/>
    </row>
    <row r="243" spans="1:14" ht="23.25" x14ac:dyDescent="0.35">
      <c r="A243" s="738" t="s">
        <v>852</v>
      </c>
      <c r="B243" s="738"/>
      <c r="C243" s="260">
        <f>SUM(C213:C242)</f>
        <v>1809150</v>
      </c>
      <c r="D243" s="269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</row>
    <row r="244" spans="1:14" ht="23.25" x14ac:dyDescent="0.35">
      <c r="A244" s="279"/>
      <c r="B244" s="298" t="s">
        <v>853</v>
      </c>
      <c r="C244" s="299">
        <v>0</v>
      </c>
      <c r="D244" s="286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</row>
    <row r="245" spans="1:14" ht="23.25" x14ac:dyDescent="0.35">
      <c r="A245" s="281"/>
      <c r="B245" s="298" t="s">
        <v>866</v>
      </c>
      <c r="C245" s="299">
        <v>0</v>
      </c>
      <c r="D245" s="287"/>
      <c r="E245" s="258"/>
      <c r="F245" s="258"/>
      <c r="G245" s="258"/>
      <c r="H245" s="258"/>
      <c r="I245" s="258"/>
      <c r="J245" s="258"/>
      <c r="K245" s="258"/>
      <c r="L245" s="258"/>
      <c r="M245" s="258"/>
      <c r="N245" s="258"/>
    </row>
    <row r="246" spans="1:14" ht="23.25" x14ac:dyDescent="0.35">
      <c r="A246" s="258"/>
      <c r="B246" s="258"/>
      <c r="C246" s="276"/>
      <c r="D246" s="277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</row>
    <row r="247" spans="1:14" s="254" customFormat="1" ht="23.25" x14ac:dyDescent="0.35">
      <c r="A247" s="250"/>
      <c r="B247" s="251" t="s">
        <v>81</v>
      </c>
      <c r="C247" s="252"/>
      <c r="D247" s="293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</row>
    <row r="248" spans="1:14" ht="23.25" x14ac:dyDescent="0.35">
      <c r="A248" s="255"/>
      <c r="B248" s="268" t="s">
        <v>805</v>
      </c>
      <c r="C248" s="286"/>
      <c r="D248" s="300"/>
      <c r="E248" s="258"/>
      <c r="F248" s="258"/>
      <c r="G248" s="258"/>
      <c r="H248" s="258"/>
      <c r="I248" s="258"/>
      <c r="J248" s="258"/>
      <c r="K248" s="258"/>
      <c r="L248" s="258"/>
      <c r="M248" s="258"/>
      <c r="N248" s="258"/>
    </row>
    <row r="249" spans="1:14" ht="34.5" customHeight="1" x14ac:dyDescent="0.35">
      <c r="A249" s="743" t="s">
        <v>808</v>
      </c>
      <c r="B249" s="744" t="s">
        <v>976</v>
      </c>
      <c r="C249" s="747">
        <f>285600+77112</f>
        <v>362712</v>
      </c>
      <c r="D249" s="731" t="s">
        <v>856</v>
      </c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</row>
    <row r="250" spans="1:14" ht="34.5" customHeight="1" x14ac:dyDescent="0.35">
      <c r="A250" s="743"/>
      <c r="B250" s="745"/>
      <c r="C250" s="748"/>
      <c r="D250" s="731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</row>
    <row r="251" spans="1:14" ht="42" customHeight="1" x14ac:dyDescent="0.35">
      <c r="A251" s="743"/>
      <c r="B251" s="746"/>
      <c r="C251" s="749"/>
      <c r="D251" s="731"/>
      <c r="E251" s="258"/>
      <c r="F251" s="258"/>
      <c r="G251" s="258"/>
      <c r="H251" s="258"/>
      <c r="I251" s="258"/>
      <c r="J251" s="258"/>
      <c r="K251" s="258"/>
      <c r="L251" s="258"/>
      <c r="M251" s="258"/>
      <c r="N251" s="258"/>
    </row>
    <row r="252" spans="1:14" ht="23.25" x14ac:dyDescent="0.35">
      <c r="A252" s="738" t="s">
        <v>852</v>
      </c>
      <c r="B252" s="738"/>
      <c r="C252" s="260">
        <f>SUM(C249:C251)</f>
        <v>362712</v>
      </c>
      <c r="D252" s="269"/>
      <c r="E252" s="258"/>
      <c r="F252" s="258"/>
      <c r="G252" s="258"/>
      <c r="H252" s="258"/>
      <c r="I252" s="258"/>
      <c r="J252" s="258"/>
      <c r="K252" s="258"/>
      <c r="L252" s="258"/>
      <c r="M252" s="258"/>
      <c r="N252" s="258"/>
    </row>
    <row r="253" spans="1:14" ht="23.25" x14ac:dyDescent="0.35">
      <c r="A253" s="279"/>
      <c r="B253" s="268" t="s">
        <v>853</v>
      </c>
      <c r="C253" s="301">
        <v>0</v>
      </c>
      <c r="D253" s="300"/>
      <c r="E253" s="258"/>
      <c r="F253" s="258"/>
      <c r="G253" s="258"/>
      <c r="H253" s="258"/>
      <c r="I253" s="258"/>
      <c r="J253" s="258"/>
      <c r="K253" s="258"/>
      <c r="L253" s="258"/>
      <c r="M253" s="258"/>
      <c r="N253" s="258">
        <f>172940*1.27</f>
        <v>219633.80000000002</v>
      </c>
    </row>
    <row r="254" spans="1:14" ht="23.25" x14ac:dyDescent="0.35">
      <c r="A254" s="281"/>
      <c r="B254" s="268" t="s">
        <v>866</v>
      </c>
      <c r="C254" s="301">
        <v>0</v>
      </c>
      <c r="D254" s="300"/>
      <c r="E254" s="258"/>
      <c r="F254" s="258"/>
      <c r="G254" s="258"/>
      <c r="H254" s="258"/>
      <c r="I254" s="258"/>
      <c r="J254" s="258"/>
      <c r="K254" s="258"/>
      <c r="L254" s="258"/>
      <c r="M254" s="258"/>
      <c r="N254" s="258"/>
    </row>
    <row r="255" spans="1:14" ht="23.25" x14ac:dyDescent="0.35">
      <c r="A255" s="258"/>
      <c r="B255" s="258"/>
      <c r="C255" s="288"/>
      <c r="D255" s="289"/>
      <c r="E255" s="258"/>
      <c r="F255" s="258"/>
      <c r="G255" s="258"/>
      <c r="H255" s="258"/>
      <c r="I255" s="258"/>
      <c r="J255" s="258"/>
      <c r="K255" s="258"/>
      <c r="L255" s="258"/>
      <c r="M255" s="258"/>
      <c r="N255" s="258"/>
    </row>
    <row r="256" spans="1:14" s="254" customFormat="1" ht="23.25" x14ac:dyDescent="0.35">
      <c r="A256" s="250"/>
      <c r="B256" s="251" t="s">
        <v>80</v>
      </c>
      <c r="C256" s="252"/>
      <c r="D256" s="253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</row>
    <row r="257" spans="1:14" ht="23.25" x14ac:dyDescent="0.35">
      <c r="A257" s="255"/>
      <c r="B257" s="268" t="s">
        <v>805</v>
      </c>
      <c r="C257" s="299"/>
      <c r="D257" s="300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</row>
    <row r="258" spans="1:14" ht="23.25" x14ac:dyDescent="0.35">
      <c r="A258" s="743" t="s">
        <v>808</v>
      </c>
      <c r="B258" s="302" t="s">
        <v>977</v>
      </c>
      <c r="C258" s="303">
        <f>6347+1542</f>
        <v>7889</v>
      </c>
      <c r="D258" s="750" t="s">
        <v>856</v>
      </c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</row>
    <row r="259" spans="1:14" ht="23.25" x14ac:dyDescent="0.35">
      <c r="A259" s="743"/>
      <c r="B259" s="302" t="s">
        <v>978</v>
      </c>
      <c r="C259" s="303">
        <f>6530+1763</f>
        <v>8293</v>
      </c>
      <c r="D259" s="750"/>
      <c r="E259" s="258"/>
      <c r="F259" s="258"/>
      <c r="G259" s="258"/>
      <c r="H259" s="258"/>
      <c r="I259" s="258"/>
      <c r="J259" s="258"/>
      <c r="K259" s="258"/>
      <c r="L259" s="258"/>
      <c r="M259" s="258"/>
      <c r="N259" s="258"/>
    </row>
    <row r="260" spans="1:14" ht="23.25" x14ac:dyDescent="0.35">
      <c r="A260" s="743"/>
      <c r="B260" s="302" t="s">
        <v>977</v>
      </c>
      <c r="C260" s="303">
        <f>6348+1542</f>
        <v>7890</v>
      </c>
      <c r="D260" s="750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</row>
    <row r="261" spans="1:14" ht="23.25" x14ac:dyDescent="0.35">
      <c r="A261" s="743"/>
      <c r="B261" s="302" t="s">
        <v>979</v>
      </c>
      <c r="C261" s="303">
        <v>100000</v>
      </c>
      <c r="D261" s="750"/>
      <c r="E261" s="258"/>
      <c r="F261" s="258"/>
      <c r="G261" s="258"/>
      <c r="H261" s="258"/>
      <c r="I261" s="258"/>
      <c r="J261" s="258"/>
      <c r="K261" s="258"/>
      <c r="L261" s="258"/>
      <c r="M261" s="258"/>
      <c r="N261" s="258"/>
    </row>
    <row r="262" spans="1:14" ht="23.25" x14ac:dyDescent="0.35">
      <c r="A262" s="743"/>
      <c r="B262" s="302" t="s">
        <v>977</v>
      </c>
      <c r="C262" s="303">
        <v>13836</v>
      </c>
      <c r="D262" s="750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</row>
    <row r="263" spans="1:14" ht="23.25" x14ac:dyDescent="0.35">
      <c r="A263" s="738" t="s">
        <v>852</v>
      </c>
      <c r="B263" s="738"/>
      <c r="C263" s="260">
        <f>SUM(C257:C262)</f>
        <v>137908</v>
      </c>
      <c r="D263" s="269"/>
      <c r="E263" s="258"/>
      <c r="F263" s="258"/>
      <c r="G263" s="258"/>
      <c r="H263" s="258"/>
      <c r="I263" s="258"/>
      <c r="J263" s="258"/>
      <c r="K263" s="258"/>
      <c r="L263" s="258"/>
      <c r="M263" s="258"/>
      <c r="N263" s="258"/>
    </row>
    <row r="264" spans="1:14" ht="23.25" x14ac:dyDescent="0.35">
      <c r="A264" s="258"/>
      <c r="B264" s="268" t="s">
        <v>853</v>
      </c>
      <c r="C264" s="303">
        <v>0</v>
      </c>
      <c r="D264" s="300"/>
      <c r="E264" s="258"/>
      <c r="F264" s="258"/>
      <c r="G264" s="258"/>
      <c r="H264" s="258"/>
      <c r="I264" s="258"/>
      <c r="J264" s="258"/>
      <c r="K264" s="258"/>
      <c r="L264" s="258"/>
      <c r="M264" s="258"/>
      <c r="N264" s="258">
        <f>172940*1.27</f>
        <v>219633.80000000002</v>
      </c>
    </row>
    <row r="265" spans="1:14" ht="23.25" x14ac:dyDescent="0.35">
      <c r="A265" s="304"/>
      <c r="B265" s="268" t="s">
        <v>866</v>
      </c>
      <c r="C265" s="303">
        <v>0</v>
      </c>
      <c r="D265" s="300"/>
      <c r="E265" s="258"/>
      <c r="F265" s="258"/>
      <c r="G265" s="258"/>
      <c r="H265" s="258"/>
      <c r="I265" s="258"/>
      <c r="J265" s="258"/>
      <c r="K265" s="258"/>
      <c r="L265" s="258"/>
      <c r="M265" s="258"/>
      <c r="N265" s="258"/>
    </row>
    <row r="266" spans="1:14" ht="23.25" x14ac:dyDescent="0.35">
      <c r="A266" s="275"/>
      <c r="B266" s="305"/>
      <c r="C266" s="306"/>
      <c r="D266" s="307"/>
      <c r="E266" s="258"/>
      <c r="F266" s="258"/>
      <c r="G266" s="258"/>
      <c r="H266" s="258"/>
      <c r="I266" s="258"/>
      <c r="J266" s="258"/>
      <c r="K266" s="258"/>
      <c r="L266" s="258"/>
      <c r="M266" s="258"/>
      <c r="N266" s="258"/>
    </row>
    <row r="267" spans="1:14" ht="23.25" x14ac:dyDescent="0.35">
      <c r="A267" s="250"/>
      <c r="B267" s="251" t="s">
        <v>746</v>
      </c>
      <c r="C267" s="252"/>
      <c r="D267" s="253"/>
      <c r="E267" s="258"/>
      <c r="F267" s="258"/>
      <c r="G267" s="258"/>
      <c r="H267" s="258"/>
      <c r="I267" s="258"/>
      <c r="J267" s="258"/>
      <c r="K267" s="258"/>
      <c r="L267" s="258"/>
      <c r="M267" s="258"/>
      <c r="N267" s="258"/>
    </row>
    <row r="268" spans="1:14" ht="23.25" x14ac:dyDescent="0.35">
      <c r="A268" s="255"/>
      <c r="B268" s="268" t="s">
        <v>805</v>
      </c>
      <c r="C268" s="299"/>
      <c r="D268" s="300"/>
      <c r="E268" s="258"/>
      <c r="F268" s="258"/>
      <c r="G268" s="258"/>
      <c r="H268" s="258"/>
      <c r="I268" s="258"/>
      <c r="J268" s="258"/>
      <c r="K268" s="258"/>
      <c r="L268" s="258"/>
      <c r="M268" s="258"/>
      <c r="N268" s="258"/>
    </row>
    <row r="269" spans="1:14" ht="32.25" customHeight="1" x14ac:dyDescent="0.35">
      <c r="A269" s="743" t="s">
        <v>808</v>
      </c>
      <c r="B269" s="302" t="s">
        <v>980</v>
      </c>
      <c r="C269" s="303">
        <f>146+39</f>
        <v>185</v>
      </c>
      <c r="D269" s="750" t="s">
        <v>856</v>
      </c>
      <c r="E269" s="258"/>
      <c r="F269" s="258"/>
      <c r="G269" s="258"/>
      <c r="H269" s="258"/>
      <c r="I269" s="258"/>
      <c r="J269" s="258"/>
      <c r="K269" s="258"/>
      <c r="L269" s="258"/>
      <c r="M269" s="258"/>
      <c r="N269" s="258"/>
    </row>
    <row r="270" spans="1:14" ht="32.25" customHeight="1" x14ac:dyDescent="0.35">
      <c r="A270" s="743"/>
      <c r="B270" s="302" t="s">
        <v>981</v>
      </c>
      <c r="C270" s="303">
        <f>120000+32400</f>
        <v>152400</v>
      </c>
      <c r="D270" s="750"/>
      <c r="E270" s="258"/>
      <c r="F270" s="258"/>
      <c r="G270" s="258"/>
      <c r="H270" s="258"/>
      <c r="I270" s="258"/>
      <c r="J270" s="258"/>
      <c r="K270" s="258"/>
      <c r="L270" s="258"/>
      <c r="M270" s="258"/>
      <c r="N270" s="258"/>
    </row>
    <row r="271" spans="1:14" ht="32.25" customHeight="1" x14ac:dyDescent="0.35">
      <c r="A271" s="743"/>
      <c r="B271" s="302" t="s">
        <v>982</v>
      </c>
      <c r="C271" s="303">
        <v>50000</v>
      </c>
      <c r="D271" s="750"/>
      <c r="E271" s="258"/>
      <c r="F271" s="258"/>
      <c r="G271" s="258"/>
      <c r="H271" s="258"/>
      <c r="I271" s="258"/>
      <c r="J271" s="258"/>
      <c r="K271" s="258"/>
      <c r="L271" s="258"/>
      <c r="M271" s="258"/>
      <c r="N271" s="258"/>
    </row>
    <row r="272" spans="1:14" ht="32.25" customHeight="1" x14ac:dyDescent="0.35">
      <c r="A272" s="743"/>
      <c r="B272" s="302" t="s">
        <v>983</v>
      </c>
      <c r="C272" s="303">
        <v>190500</v>
      </c>
      <c r="D272" s="750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</row>
    <row r="273" spans="1:14" ht="23.25" x14ac:dyDescent="0.35">
      <c r="A273" s="738" t="s">
        <v>852</v>
      </c>
      <c r="B273" s="738"/>
      <c r="C273" s="260">
        <f>SUM(C268:C272)</f>
        <v>393085</v>
      </c>
      <c r="D273" s="269"/>
      <c r="E273" s="258"/>
      <c r="F273" s="258"/>
      <c r="G273" s="258"/>
      <c r="H273" s="258"/>
      <c r="I273" s="258"/>
      <c r="J273" s="258"/>
      <c r="K273" s="258"/>
      <c r="L273" s="258"/>
      <c r="M273" s="258"/>
      <c r="N273" s="258"/>
    </row>
    <row r="274" spans="1:14" ht="23.25" x14ac:dyDescent="0.35">
      <c r="A274" s="258"/>
      <c r="B274" s="268" t="s">
        <v>853</v>
      </c>
      <c r="C274" s="303">
        <v>0</v>
      </c>
      <c r="D274" s="300"/>
      <c r="E274" s="258"/>
      <c r="F274" s="258"/>
      <c r="G274" s="258"/>
      <c r="H274" s="258"/>
      <c r="I274" s="258"/>
      <c r="J274" s="258"/>
      <c r="K274" s="258"/>
      <c r="L274" s="258"/>
      <c r="M274" s="258"/>
      <c r="N274" s="258"/>
    </row>
    <row r="275" spans="1:14" ht="23.25" x14ac:dyDescent="0.35">
      <c r="A275" s="304"/>
      <c r="B275" s="268" t="s">
        <v>866</v>
      </c>
      <c r="C275" s="303">
        <v>0</v>
      </c>
      <c r="D275" s="300"/>
      <c r="E275" s="258"/>
      <c r="F275" s="258"/>
      <c r="G275" s="258"/>
      <c r="H275" s="258"/>
      <c r="I275" s="258"/>
      <c r="J275" s="258"/>
      <c r="K275" s="258"/>
      <c r="L275" s="258"/>
      <c r="M275" s="258"/>
      <c r="N275" s="258"/>
    </row>
    <row r="276" spans="1:14" ht="23.25" x14ac:dyDescent="0.35">
      <c r="A276" s="275"/>
      <c r="B276" s="305"/>
      <c r="C276" s="306"/>
      <c r="D276" s="307"/>
      <c r="E276" s="258"/>
      <c r="F276" s="258"/>
      <c r="G276" s="258"/>
      <c r="H276" s="258"/>
      <c r="I276" s="258"/>
      <c r="J276" s="258"/>
      <c r="K276" s="258"/>
      <c r="L276" s="258"/>
      <c r="M276" s="258"/>
      <c r="N276" s="258"/>
    </row>
    <row r="277" spans="1:14" ht="23.25" x14ac:dyDescent="0.35">
      <c r="A277" s="250"/>
      <c r="B277" s="251" t="s">
        <v>748</v>
      </c>
      <c r="C277" s="252"/>
      <c r="D277" s="253"/>
      <c r="E277" s="258"/>
      <c r="F277" s="258"/>
      <c r="G277" s="258"/>
      <c r="H277" s="258"/>
      <c r="I277" s="258"/>
      <c r="J277" s="258"/>
      <c r="K277" s="258"/>
      <c r="L277" s="258"/>
      <c r="M277" s="258"/>
      <c r="N277" s="258"/>
    </row>
    <row r="278" spans="1:14" ht="23.25" x14ac:dyDescent="0.35">
      <c r="A278" s="255"/>
      <c r="B278" s="268" t="s">
        <v>805</v>
      </c>
      <c r="C278" s="299"/>
      <c r="D278" s="300"/>
      <c r="E278" s="258"/>
      <c r="F278" s="258"/>
      <c r="G278" s="258"/>
      <c r="H278" s="258"/>
      <c r="I278" s="258"/>
      <c r="J278" s="258"/>
      <c r="K278" s="258"/>
      <c r="L278" s="258"/>
      <c r="M278" s="258"/>
      <c r="N278" s="258"/>
    </row>
    <row r="279" spans="1:14" ht="31.5" customHeight="1" x14ac:dyDescent="0.35">
      <c r="A279" s="743" t="s">
        <v>808</v>
      </c>
      <c r="B279" s="302" t="s">
        <v>984</v>
      </c>
      <c r="C279" s="303">
        <f>5231+1413</f>
        <v>6644</v>
      </c>
      <c r="D279" s="750" t="s">
        <v>856</v>
      </c>
      <c r="E279" s="258"/>
      <c r="F279" s="258"/>
      <c r="G279" s="258"/>
      <c r="H279" s="258"/>
      <c r="I279" s="258"/>
      <c r="J279" s="258"/>
      <c r="K279" s="258"/>
      <c r="L279" s="258"/>
      <c r="M279" s="258"/>
      <c r="N279" s="258"/>
    </row>
    <row r="280" spans="1:14" ht="31.5" customHeight="1" x14ac:dyDescent="0.35">
      <c r="A280" s="743"/>
      <c r="B280" s="302" t="s">
        <v>985</v>
      </c>
      <c r="C280" s="303">
        <f>1135+307</f>
        <v>1442</v>
      </c>
      <c r="D280" s="750"/>
      <c r="E280" s="258"/>
      <c r="F280" s="258"/>
      <c r="G280" s="258"/>
      <c r="H280" s="258"/>
      <c r="I280" s="258"/>
      <c r="J280" s="258"/>
      <c r="K280" s="258"/>
      <c r="L280" s="258"/>
      <c r="M280" s="258"/>
      <c r="N280" s="258"/>
    </row>
    <row r="281" spans="1:14" ht="31.5" customHeight="1" x14ac:dyDescent="0.35">
      <c r="A281" s="743"/>
      <c r="B281" s="302" t="s">
        <v>984</v>
      </c>
      <c r="C281" s="303">
        <f>1835+495</f>
        <v>2330</v>
      </c>
      <c r="D281" s="750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</row>
    <row r="282" spans="1:14" ht="31.5" customHeight="1" x14ac:dyDescent="0.35">
      <c r="A282" s="743"/>
      <c r="B282" s="302" t="s">
        <v>986</v>
      </c>
      <c r="C282" s="303">
        <f>117094+31615</f>
        <v>148709</v>
      </c>
      <c r="D282" s="750"/>
      <c r="E282" s="258"/>
      <c r="F282" s="258"/>
      <c r="G282" s="258"/>
      <c r="H282" s="258"/>
      <c r="I282" s="258"/>
      <c r="J282" s="258"/>
      <c r="K282" s="258"/>
      <c r="L282" s="258"/>
      <c r="M282" s="258"/>
      <c r="N282" s="258"/>
    </row>
    <row r="283" spans="1:14" ht="23.25" x14ac:dyDescent="0.35">
      <c r="A283" s="738" t="s">
        <v>852</v>
      </c>
      <c r="B283" s="738"/>
      <c r="C283" s="260">
        <f>SUM(C278:C282)</f>
        <v>159125</v>
      </c>
      <c r="D283" s="269"/>
      <c r="E283" s="258"/>
      <c r="F283" s="258"/>
      <c r="G283" s="258"/>
      <c r="H283" s="258"/>
      <c r="I283" s="258"/>
      <c r="J283" s="258"/>
      <c r="K283" s="258"/>
      <c r="L283" s="258"/>
      <c r="M283" s="258"/>
      <c r="N283" s="258"/>
    </row>
    <row r="284" spans="1:14" ht="23.25" x14ac:dyDescent="0.35">
      <c r="A284" s="258"/>
      <c r="B284" s="268" t="s">
        <v>853</v>
      </c>
      <c r="C284" s="303">
        <v>0</v>
      </c>
      <c r="D284" s="300"/>
      <c r="E284" s="258"/>
      <c r="F284" s="258"/>
      <c r="G284" s="258"/>
      <c r="H284" s="258"/>
      <c r="I284" s="258"/>
      <c r="J284" s="258"/>
      <c r="K284" s="258"/>
      <c r="L284" s="258"/>
      <c r="M284" s="258"/>
      <c r="N284" s="258"/>
    </row>
    <row r="285" spans="1:14" ht="23.25" x14ac:dyDescent="0.35">
      <c r="A285" s="304"/>
      <c r="B285" s="268" t="s">
        <v>866</v>
      </c>
      <c r="C285" s="303">
        <v>0</v>
      </c>
      <c r="D285" s="300"/>
      <c r="E285" s="258"/>
      <c r="F285" s="258"/>
      <c r="G285" s="258"/>
      <c r="H285" s="258"/>
      <c r="I285" s="258"/>
      <c r="J285" s="258"/>
      <c r="K285" s="258"/>
      <c r="L285" s="258"/>
      <c r="M285" s="258"/>
      <c r="N285" s="258"/>
    </row>
    <row r="286" spans="1:14" ht="23.25" x14ac:dyDescent="0.35">
      <c r="A286" s="275"/>
      <c r="B286" s="305"/>
      <c r="C286" s="306"/>
      <c r="D286" s="307"/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</row>
    <row r="287" spans="1:14" s="254" customFormat="1" ht="23.25" x14ac:dyDescent="0.35">
      <c r="A287" s="250"/>
      <c r="B287" s="251" t="s">
        <v>744</v>
      </c>
      <c r="C287" s="252"/>
      <c r="D287" s="253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</row>
    <row r="288" spans="1:14" ht="23.25" x14ac:dyDescent="0.35">
      <c r="A288" s="255"/>
      <c r="B288" s="256" t="s">
        <v>805</v>
      </c>
      <c r="C288" s="308"/>
      <c r="D288" s="309"/>
      <c r="E288" s="258"/>
      <c r="F288" s="258"/>
      <c r="G288" s="258"/>
      <c r="H288" s="258"/>
      <c r="I288" s="258"/>
      <c r="J288" s="258"/>
      <c r="K288" s="258"/>
      <c r="L288" s="258"/>
      <c r="M288" s="258"/>
      <c r="N288" s="258"/>
    </row>
    <row r="289" spans="1:14" ht="59.25" customHeight="1" x14ac:dyDescent="0.35">
      <c r="A289" s="733" t="s">
        <v>808</v>
      </c>
      <c r="B289" s="302" t="s">
        <v>987</v>
      </c>
      <c r="C289" s="303">
        <f>33327+8998</f>
        <v>42325</v>
      </c>
      <c r="D289" s="742" t="s">
        <v>856</v>
      </c>
      <c r="E289" s="258"/>
      <c r="F289" s="258"/>
      <c r="G289" s="258"/>
      <c r="H289" s="258"/>
      <c r="I289" s="258"/>
      <c r="J289" s="258"/>
      <c r="K289" s="258"/>
      <c r="L289" s="258"/>
      <c r="M289" s="258"/>
      <c r="N289" s="258"/>
    </row>
    <row r="290" spans="1:14" ht="59.25" customHeight="1" x14ac:dyDescent="0.35">
      <c r="A290" s="755"/>
      <c r="B290" s="302" t="s">
        <v>969</v>
      </c>
      <c r="C290" s="303">
        <v>4855</v>
      </c>
      <c r="D290" s="742"/>
      <c r="E290" s="258"/>
      <c r="F290" s="258"/>
      <c r="G290" s="258"/>
      <c r="H290" s="258"/>
      <c r="I290" s="258"/>
      <c r="J290" s="258"/>
      <c r="K290" s="258"/>
      <c r="L290" s="258"/>
      <c r="M290" s="258"/>
      <c r="N290" s="258"/>
    </row>
    <row r="291" spans="1:14" ht="23.25" x14ac:dyDescent="0.35">
      <c r="A291" s="738" t="s">
        <v>852</v>
      </c>
      <c r="B291" s="738"/>
      <c r="C291" s="260">
        <f>SUM(C288:C290)</f>
        <v>47180</v>
      </c>
      <c r="D291" s="269"/>
      <c r="E291" s="258"/>
      <c r="F291" s="258"/>
      <c r="G291" s="258"/>
      <c r="H291" s="258"/>
      <c r="I291" s="258"/>
      <c r="J291" s="258"/>
      <c r="K291" s="258"/>
      <c r="L291" s="258"/>
      <c r="M291" s="258"/>
      <c r="N291" s="258"/>
    </row>
    <row r="292" spans="1:14" ht="23.25" x14ac:dyDescent="0.35">
      <c r="A292" s="258"/>
      <c r="B292" s="268" t="s">
        <v>853</v>
      </c>
      <c r="C292" s="303">
        <v>0</v>
      </c>
      <c r="D292" s="286"/>
      <c r="E292" s="258"/>
      <c r="F292" s="258"/>
      <c r="G292" s="258"/>
      <c r="H292" s="258"/>
      <c r="I292" s="258"/>
      <c r="J292" s="258"/>
      <c r="K292" s="258"/>
      <c r="L292" s="258"/>
      <c r="M292" s="258"/>
      <c r="N292" s="258"/>
    </row>
    <row r="293" spans="1:14" ht="23.25" x14ac:dyDescent="0.35">
      <c r="A293" s="258"/>
      <c r="B293" s="268" t="s">
        <v>866</v>
      </c>
      <c r="C293" s="303">
        <v>0</v>
      </c>
      <c r="D293" s="287"/>
      <c r="E293" s="258"/>
      <c r="F293" s="258"/>
      <c r="G293" s="258"/>
      <c r="H293" s="258"/>
      <c r="I293" s="258"/>
      <c r="J293" s="258"/>
      <c r="K293" s="258"/>
      <c r="L293" s="258"/>
      <c r="M293" s="258"/>
      <c r="N293" s="258"/>
    </row>
    <row r="294" spans="1:14" ht="72.75" customHeight="1" x14ac:dyDescent="0.35">
      <c r="A294" s="310" t="s">
        <v>808</v>
      </c>
      <c r="B294" s="311" t="s">
        <v>988</v>
      </c>
      <c r="C294" s="312">
        <v>337075</v>
      </c>
      <c r="D294" s="313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</row>
    <row r="295" spans="1:14" ht="23.25" x14ac:dyDescent="0.35">
      <c r="A295" s="751" t="s">
        <v>989</v>
      </c>
      <c r="B295" s="752"/>
      <c r="C295" s="314">
        <f>SUM(C294:C294)</f>
        <v>337075</v>
      </c>
      <c r="D295" s="261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</row>
    <row r="296" spans="1:14" ht="23.25" x14ac:dyDescent="0.35">
      <c r="A296" s="315"/>
      <c r="B296" s="315"/>
      <c r="C296" s="316"/>
      <c r="D296" s="317"/>
      <c r="E296" s="258"/>
      <c r="F296" s="258"/>
      <c r="G296" s="258"/>
      <c r="H296" s="258"/>
      <c r="I296" s="258"/>
      <c r="J296" s="258"/>
      <c r="K296" s="258"/>
      <c r="L296" s="258"/>
      <c r="M296" s="258"/>
      <c r="N296" s="258"/>
    </row>
    <row r="297" spans="1:14" ht="23.25" customHeight="1" x14ac:dyDescent="0.35">
      <c r="A297" s="318"/>
      <c r="B297" s="319" t="s">
        <v>990</v>
      </c>
      <c r="C297" s="320">
        <f>+C48+C67+C192+C211+C243+C252+C263+C273+C283+C291</f>
        <v>167813745</v>
      </c>
      <c r="D297" s="317"/>
      <c r="E297" s="258"/>
      <c r="F297" s="258"/>
      <c r="G297" s="258"/>
      <c r="H297" s="258"/>
      <c r="I297" s="258"/>
      <c r="J297" s="258"/>
      <c r="K297" s="258"/>
      <c r="L297" s="258"/>
      <c r="M297" s="258"/>
      <c r="N297" s="258"/>
    </row>
    <row r="298" spans="1:14" ht="23.25" x14ac:dyDescent="0.35">
      <c r="A298" s="315"/>
      <c r="B298" s="321" t="s">
        <v>991</v>
      </c>
      <c r="C298" s="261">
        <v>0</v>
      </c>
      <c r="D298" s="317"/>
      <c r="E298" s="258"/>
      <c r="F298" s="258"/>
      <c r="G298" s="258"/>
      <c r="H298" s="258"/>
      <c r="I298" s="258"/>
      <c r="J298" s="258"/>
      <c r="K298" s="258"/>
      <c r="L298" s="258"/>
      <c r="M298" s="258"/>
      <c r="N298" s="258"/>
    </row>
    <row r="299" spans="1:14" ht="23.25" x14ac:dyDescent="0.35">
      <c r="A299" s="315"/>
      <c r="B299" s="321" t="s">
        <v>992</v>
      </c>
      <c r="C299" s="320">
        <f>+C294</f>
        <v>337075</v>
      </c>
      <c r="D299" s="317"/>
      <c r="E299" s="258"/>
      <c r="F299" s="258"/>
      <c r="G299" s="258"/>
      <c r="H299" s="258"/>
      <c r="I299" s="258"/>
      <c r="J299" s="258"/>
      <c r="K299" s="258"/>
      <c r="L299" s="258"/>
      <c r="M299" s="258"/>
      <c r="N299" s="258"/>
    </row>
    <row r="300" spans="1:14" ht="23.25" x14ac:dyDescent="0.35">
      <c r="A300" s="258"/>
      <c r="B300" s="258"/>
      <c r="C300" s="288"/>
      <c r="D300" s="322"/>
      <c r="E300" s="258"/>
      <c r="F300" s="264" t="e">
        <f>+C48+#REF!+#REF!+C67+#REF!+#REF!+C243+C295</f>
        <v>#REF!</v>
      </c>
      <c r="G300" s="258"/>
      <c r="H300" s="258"/>
      <c r="I300" s="258"/>
      <c r="J300" s="258"/>
      <c r="K300" s="258"/>
      <c r="L300" s="258"/>
      <c r="M300" s="258"/>
      <c r="N300" s="258"/>
    </row>
    <row r="301" spans="1:14" ht="23.25" x14ac:dyDescent="0.35">
      <c r="A301" s="753" t="s">
        <v>993</v>
      </c>
      <c r="B301" s="754"/>
      <c r="C301" s="323">
        <f>+C48+C67+C192+C211+C243+C252+C263+C291+C295+C283+C273</f>
        <v>168150820</v>
      </c>
      <c r="D301" s="255"/>
      <c r="E301" s="258"/>
      <c r="F301" s="258"/>
      <c r="G301" s="284" t="e">
        <f>+C295+#REF!</f>
        <v>#REF!</v>
      </c>
      <c r="H301" s="258"/>
      <c r="I301" s="258"/>
      <c r="J301" s="258"/>
      <c r="K301" s="258"/>
      <c r="L301" s="258"/>
      <c r="M301" s="258"/>
      <c r="N301" s="258"/>
    </row>
    <row r="302" spans="1:14" ht="23.25" x14ac:dyDescent="0.35">
      <c r="A302" s="258" t="s">
        <v>994</v>
      </c>
      <c r="B302" s="258"/>
      <c r="C302" s="324"/>
      <c r="D302" s="325"/>
      <c r="E302" s="258">
        <f>+[2]Önkormányzat!F17</f>
        <v>74838106</v>
      </c>
      <c r="F302" s="325">
        <f>+E302-C302</f>
        <v>74838106</v>
      </c>
      <c r="G302" s="258"/>
      <c r="H302" s="258"/>
      <c r="I302" s="258"/>
      <c r="J302" s="258"/>
      <c r="K302" s="258"/>
      <c r="L302" s="258"/>
      <c r="M302" s="258"/>
      <c r="N302" s="258"/>
    </row>
    <row r="303" spans="1:14" ht="23.25" x14ac:dyDescent="0.35">
      <c r="A303" s="258" t="s">
        <v>995</v>
      </c>
      <c r="B303" s="258"/>
      <c r="C303" s="324"/>
      <c r="D303" s="325"/>
      <c r="E303" s="258">
        <f>+[2]Önkormányzat!F20</f>
        <v>14585521</v>
      </c>
      <c r="F303" s="325">
        <f>+E303-C303</f>
        <v>14585521</v>
      </c>
      <c r="G303" s="258"/>
      <c r="H303" s="258"/>
      <c r="I303" s="258"/>
      <c r="J303" s="258"/>
      <c r="K303" s="258"/>
      <c r="L303" s="258"/>
      <c r="M303" s="258"/>
      <c r="N303" s="258"/>
    </row>
    <row r="304" spans="1:14" ht="23.25" x14ac:dyDescent="0.35">
      <c r="A304" s="258"/>
      <c r="B304" s="258"/>
      <c r="C304" s="28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</row>
    <row r="305" spans="1:14" ht="23.25" x14ac:dyDescent="0.35">
      <c r="A305" s="258"/>
      <c r="B305" s="258"/>
      <c r="C305" s="288"/>
      <c r="D305" s="258"/>
      <c r="E305" s="258"/>
      <c r="F305" s="258"/>
      <c r="G305" s="258"/>
      <c r="H305" s="258"/>
      <c r="I305" s="258"/>
      <c r="J305" s="258"/>
      <c r="K305" s="258"/>
      <c r="L305" s="258"/>
      <c r="M305" s="258"/>
      <c r="N305" s="258"/>
    </row>
    <row r="306" spans="1:14" ht="23.25" x14ac:dyDescent="0.35">
      <c r="A306" s="258"/>
      <c r="B306" s="258"/>
      <c r="C306" s="288"/>
      <c r="D306" s="258"/>
      <c r="E306" s="258"/>
      <c r="F306" s="258"/>
      <c r="G306" s="258"/>
      <c r="H306" s="258"/>
      <c r="I306" s="258"/>
      <c r="J306" s="258"/>
      <c r="K306" s="258"/>
      <c r="L306" s="258"/>
      <c r="M306" s="258"/>
      <c r="N306" s="258"/>
    </row>
  </sheetData>
  <mergeCells count="39">
    <mergeCell ref="A295:B295"/>
    <mergeCell ref="A273:B273"/>
    <mergeCell ref="A301:B301"/>
    <mergeCell ref="A279:A282"/>
    <mergeCell ref="D279:D282"/>
    <mergeCell ref="A283:B283"/>
    <mergeCell ref="A289:A290"/>
    <mergeCell ref="D289:D290"/>
    <mergeCell ref="A291:B291"/>
    <mergeCell ref="A258:A262"/>
    <mergeCell ref="D258:D262"/>
    <mergeCell ref="A263:B263"/>
    <mergeCell ref="A269:A272"/>
    <mergeCell ref="D269:D272"/>
    <mergeCell ref="D249:D251"/>
    <mergeCell ref="A252:B252"/>
    <mergeCell ref="A192:B192"/>
    <mergeCell ref="A198:A210"/>
    <mergeCell ref="D198:D210"/>
    <mergeCell ref="A211:B211"/>
    <mergeCell ref="A217:A242"/>
    <mergeCell ref="D217:D242"/>
    <mergeCell ref="A243:B243"/>
    <mergeCell ref="A249:A251"/>
    <mergeCell ref="B249:B251"/>
    <mergeCell ref="C249:C251"/>
    <mergeCell ref="A149:A191"/>
    <mergeCell ref="D149:D191"/>
    <mergeCell ref="A1:D1"/>
    <mergeCell ref="A5:A37"/>
    <mergeCell ref="D5:D37"/>
    <mergeCell ref="A38:A47"/>
    <mergeCell ref="D38:D47"/>
    <mergeCell ref="A48:B48"/>
    <mergeCell ref="A54:A66"/>
    <mergeCell ref="D54:D66"/>
    <mergeCell ref="A67:B67"/>
    <mergeCell ref="A73:A148"/>
    <mergeCell ref="D73:D148"/>
  </mergeCells>
  <printOptions horizontalCentered="1" verticalCentered="1"/>
  <pageMargins left="0.31496062992125984" right="0.31496062992125984" top="0.39370078740157483" bottom="0.39370078740157483" header="0.15748031496062992" footer="0.55118110236220474"/>
  <pageSetup paperSize="9" scale="35" orientation="portrait" r:id="rId1"/>
  <headerFooter>
    <oddHeader>&amp;CDunaharaszti Város Önkormányzat 2017. évi zárszámadás&amp;R&amp;A</oddHeader>
    <oddFooter>&amp;C&amp;P/&amp;N</oddFooter>
  </headerFooter>
  <rowBreaks count="3" manualBreakCount="3">
    <brk id="70" max="3" man="1"/>
    <brk id="148" max="3" man="1"/>
    <brk id="21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1"/>
  <sheetViews>
    <sheetView tabSelected="1" view="pageBreakPreview" topLeftCell="A73" zoomScale="80" zoomScaleNormal="100" zoomScaleSheetLayoutView="80" workbookViewId="0">
      <selection activeCell="D99" sqref="D99"/>
    </sheetView>
  </sheetViews>
  <sheetFormatPr defaultColWidth="9.140625" defaultRowHeight="15" x14ac:dyDescent="0.25"/>
  <cols>
    <col min="1" max="1" width="9.140625" style="192"/>
    <col min="2" max="2" width="6" style="192" customWidth="1"/>
    <col min="3" max="3" width="81.5703125" style="192" customWidth="1"/>
    <col min="4" max="4" width="20.85546875" style="192" customWidth="1"/>
    <col min="5" max="5" width="20.7109375" style="192" customWidth="1"/>
    <col min="6" max="6" width="18.7109375" style="192" customWidth="1"/>
    <col min="7" max="7" width="29" style="192" customWidth="1"/>
    <col min="8" max="8" width="17.42578125" style="192" bestFit="1" customWidth="1"/>
    <col min="9" max="11" width="9.140625" style="192"/>
    <col min="12" max="12" width="18.7109375" style="192" customWidth="1"/>
    <col min="13" max="16384" width="9.140625" style="192"/>
  </cols>
  <sheetData>
    <row r="1" spans="1:6" ht="23.25" x14ac:dyDescent="0.35">
      <c r="A1" s="756" t="s">
        <v>996</v>
      </c>
      <c r="B1" s="756"/>
      <c r="C1" s="756"/>
      <c r="D1" s="756"/>
      <c r="E1" s="756"/>
    </row>
    <row r="2" spans="1:6" ht="23.25" x14ac:dyDescent="0.35">
      <c r="A2" s="327"/>
      <c r="B2" s="327"/>
      <c r="C2" s="327"/>
      <c r="D2" s="327"/>
      <c r="E2" s="245"/>
    </row>
    <row r="3" spans="1:6" ht="25.5" customHeight="1" x14ac:dyDescent="0.35">
      <c r="A3" s="757" t="s">
        <v>997</v>
      </c>
      <c r="B3" s="757"/>
      <c r="C3" s="757"/>
      <c r="D3" s="757"/>
      <c r="E3" s="757"/>
    </row>
    <row r="4" spans="1:6" ht="14.25" customHeight="1" x14ac:dyDescent="0.35">
      <c r="A4" s="328"/>
      <c r="B4" s="328"/>
      <c r="C4" s="328"/>
      <c r="D4" s="328"/>
      <c r="E4" s="328"/>
    </row>
    <row r="5" spans="1:6" ht="23.25" x14ac:dyDescent="0.35">
      <c r="A5" s="756" t="s">
        <v>185</v>
      </c>
      <c r="B5" s="756"/>
      <c r="C5" s="756"/>
      <c r="D5" s="756"/>
      <c r="E5" s="756"/>
    </row>
    <row r="6" spans="1:6" ht="13.5" customHeight="1" x14ac:dyDescent="0.35">
      <c r="A6" s="327"/>
      <c r="B6" s="327"/>
      <c r="C6" s="327"/>
      <c r="D6" s="327"/>
      <c r="E6" s="327"/>
    </row>
    <row r="7" spans="1:6" ht="30" x14ac:dyDescent="0.25">
      <c r="A7" s="329"/>
      <c r="B7" s="330" t="s">
        <v>752</v>
      </c>
      <c r="C7" s="331" t="s">
        <v>998</v>
      </c>
      <c r="D7" s="332" t="s">
        <v>807</v>
      </c>
      <c r="E7" s="333"/>
    </row>
    <row r="8" spans="1:6" ht="15.75" customHeight="1" x14ac:dyDescent="0.25">
      <c r="A8" s="758" t="s">
        <v>999</v>
      </c>
      <c r="B8" s="334" t="s">
        <v>12</v>
      </c>
      <c r="C8" s="335" t="s">
        <v>1000</v>
      </c>
      <c r="D8" s="336">
        <v>4500000</v>
      </c>
      <c r="E8" s="761" t="s">
        <v>856</v>
      </c>
      <c r="F8" s="247" t="e">
        <f>SUM(#REF!)+#REF!+#REF!+#REF!</f>
        <v>#REF!</v>
      </c>
    </row>
    <row r="9" spans="1:6" ht="15.75" customHeight="1" x14ac:dyDescent="0.25">
      <c r="A9" s="759"/>
      <c r="B9" s="334" t="s">
        <v>17</v>
      </c>
      <c r="C9" s="335" t="s">
        <v>1001</v>
      </c>
      <c r="D9" s="336">
        <v>43425000</v>
      </c>
      <c r="E9" s="761"/>
    </row>
    <row r="10" spans="1:6" ht="15.75" customHeight="1" x14ac:dyDescent="0.25">
      <c r="A10" s="759"/>
      <c r="B10" s="334" t="s">
        <v>20</v>
      </c>
      <c r="C10" s="335" t="s">
        <v>1002</v>
      </c>
      <c r="D10" s="336">
        <v>15000000</v>
      </c>
      <c r="E10" s="761"/>
    </row>
    <row r="11" spans="1:6" ht="15.75" customHeight="1" x14ac:dyDescent="0.25">
      <c r="A11" s="759"/>
      <c r="B11" s="334" t="s">
        <v>22</v>
      </c>
      <c r="C11" s="335" t="s">
        <v>1003</v>
      </c>
      <c r="D11" s="336">
        <v>5000000</v>
      </c>
      <c r="E11" s="761"/>
    </row>
    <row r="12" spans="1:6" x14ac:dyDescent="0.25">
      <c r="A12" s="759"/>
      <c r="B12" s="334" t="s">
        <v>24</v>
      </c>
      <c r="C12" s="335" t="s">
        <v>1004</v>
      </c>
      <c r="D12" s="336">
        <v>63500000</v>
      </c>
      <c r="E12" s="761"/>
    </row>
    <row r="13" spans="1:6" x14ac:dyDescent="0.25">
      <c r="A13" s="759"/>
      <c r="B13" s="334" t="s">
        <v>86</v>
      </c>
      <c r="C13" s="335" t="s">
        <v>1005</v>
      </c>
      <c r="D13" s="336">
        <v>30000000</v>
      </c>
      <c r="E13" s="761"/>
    </row>
    <row r="14" spans="1:6" ht="15.75" customHeight="1" x14ac:dyDescent="0.25">
      <c r="A14" s="759"/>
      <c r="B14" s="334" t="s">
        <v>88</v>
      </c>
      <c r="C14" s="335" t="s">
        <v>1006</v>
      </c>
      <c r="D14" s="336">
        <v>1015142</v>
      </c>
      <c r="E14" s="761"/>
    </row>
    <row r="15" spans="1:6" x14ac:dyDescent="0.25">
      <c r="A15" s="759"/>
      <c r="B15" s="334" t="s">
        <v>89</v>
      </c>
      <c r="C15" s="335" t="s">
        <v>1007</v>
      </c>
      <c r="D15" s="336">
        <v>5000000</v>
      </c>
      <c r="E15" s="761"/>
    </row>
    <row r="16" spans="1:6" x14ac:dyDescent="0.25">
      <c r="A16" s="759"/>
      <c r="B16" s="334" t="s">
        <v>90</v>
      </c>
      <c r="C16" s="335" t="s">
        <v>1008</v>
      </c>
      <c r="D16" s="336">
        <v>6500000</v>
      </c>
      <c r="E16" s="761"/>
    </row>
    <row r="17" spans="1:8" ht="15.75" customHeight="1" x14ac:dyDescent="0.25">
      <c r="A17" s="759"/>
      <c r="B17" s="334" t="s">
        <v>763</v>
      </c>
      <c r="C17" s="335" t="s">
        <v>1009</v>
      </c>
      <c r="D17" s="336">
        <v>3700000</v>
      </c>
      <c r="E17" s="761"/>
    </row>
    <row r="18" spans="1:8" ht="15.75" customHeight="1" x14ac:dyDescent="0.25">
      <c r="A18" s="759"/>
      <c r="B18" s="334" t="s">
        <v>767</v>
      </c>
      <c r="C18" s="335" t="s">
        <v>1010</v>
      </c>
      <c r="D18" s="336">
        <v>5000000</v>
      </c>
      <c r="E18" s="761"/>
    </row>
    <row r="19" spans="1:8" ht="31.5" customHeight="1" x14ac:dyDescent="0.25">
      <c r="A19" s="759"/>
      <c r="B19" s="334" t="s">
        <v>769</v>
      </c>
      <c r="C19" s="335" t="s">
        <v>1011</v>
      </c>
      <c r="D19" s="336">
        <v>5000000</v>
      </c>
      <c r="E19" s="761"/>
      <c r="F19" s="247"/>
      <c r="H19" s="337">
        <f>SUM(D8:D38)</f>
        <v>357467453</v>
      </c>
    </row>
    <row r="20" spans="1:8" ht="15.75" customHeight="1" x14ac:dyDescent="0.25">
      <c r="A20" s="759"/>
      <c r="B20" s="334" t="s">
        <v>771</v>
      </c>
      <c r="C20" s="335" t="s">
        <v>1012</v>
      </c>
      <c r="D20" s="336">
        <v>1000000</v>
      </c>
      <c r="E20" s="761"/>
    </row>
    <row r="21" spans="1:8" ht="15.75" customHeight="1" x14ac:dyDescent="0.25">
      <c r="A21" s="759"/>
      <c r="B21" s="334" t="s">
        <v>773</v>
      </c>
      <c r="C21" s="335" t="s">
        <v>1013</v>
      </c>
      <c r="D21" s="336">
        <v>3000000</v>
      </c>
      <c r="E21" s="761"/>
    </row>
    <row r="22" spans="1:8" ht="30.75" customHeight="1" x14ac:dyDescent="0.25">
      <c r="A22" s="759"/>
      <c r="B22" s="334" t="s">
        <v>775</v>
      </c>
      <c r="C22" s="335" t="s">
        <v>1014</v>
      </c>
      <c r="D22" s="336">
        <v>28050000</v>
      </c>
      <c r="E22" s="761"/>
    </row>
    <row r="23" spans="1:8" ht="36" customHeight="1" x14ac:dyDescent="0.25">
      <c r="A23" s="759"/>
      <c r="B23" s="334" t="s">
        <v>777</v>
      </c>
      <c r="C23" s="335" t="s">
        <v>1015</v>
      </c>
      <c r="D23" s="336">
        <v>3000000</v>
      </c>
      <c r="E23" s="761"/>
    </row>
    <row r="24" spans="1:8" ht="37.5" customHeight="1" x14ac:dyDescent="0.25">
      <c r="A24" s="759"/>
      <c r="B24" s="334" t="s">
        <v>789</v>
      </c>
      <c r="C24" s="335" t="s">
        <v>1016</v>
      </c>
      <c r="D24" s="336">
        <v>5000000</v>
      </c>
      <c r="E24" s="761"/>
    </row>
    <row r="25" spans="1:8" ht="15.75" customHeight="1" x14ac:dyDescent="0.25">
      <c r="A25" s="759"/>
      <c r="B25" s="334" t="s">
        <v>791</v>
      </c>
      <c r="C25" s="335" t="s">
        <v>1017</v>
      </c>
      <c r="D25" s="336">
        <v>35000000</v>
      </c>
      <c r="E25" s="761"/>
    </row>
    <row r="26" spans="1:8" ht="15.75" customHeight="1" x14ac:dyDescent="0.25">
      <c r="A26" s="759"/>
      <c r="B26" s="334" t="s">
        <v>1018</v>
      </c>
      <c r="C26" s="335" t="s">
        <v>1019</v>
      </c>
      <c r="D26" s="336">
        <v>3000000</v>
      </c>
      <c r="E26" s="761"/>
    </row>
    <row r="27" spans="1:8" x14ac:dyDescent="0.25">
      <c r="A27" s="759"/>
      <c r="B27" s="334" t="s">
        <v>1020</v>
      </c>
      <c r="C27" s="335" t="s">
        <v>1021</v>
      </c>
      <c r="D27" s="336">
        <v>1500000</v>
      </c>
      <c r="E27" s="761"/>
    </row>
    <row r="28" spans="1:8" ht="15.75" customHeight="1" x14ac:dyDescent="0.25">
      <c r="A28" s="759"/>
      <c r="B28" s="334" t="s">
        <v>1022</v>
      </c>
      <c r="C28" s="335" t="s">
        <v>1023</v>
      </c>
      <c r="D28" s="336">
        <v>4000000</v>
      </c>
      <c r="E28" s="761"/>
    </row>
    <row r="29" spans="1:8" ht="15.75" customHeight="1" x14ac:dyDescent="0.25">
      <c r="A29" s="759"/>
      <c r="B29" s="334" t="s">
        <v>1024</v>
      </c>
      <c r="C29" s="335" t="s">
        <v>1025</v>
      </c>
      <c r="D29" s="336">
        <v>2000000</v>
      </c>
      <c r="E29" s="761"/>
    </row>
    <row r="30" spans="1:8" ht="15.75" customHeight="1" x14ac:dyDescent="0.25">
      <c r="A30" s="759"/>
      <c r="B30" s="334" t="s">
        <v>1026</v>
      </c>
      <c r="C30" s="335" t="s">
        <v>1027</v>
      </c>
      <c r="D30" s="336">
        <v>16000000</v>
      </c>
      <c r="E30" s="761"/>
    </row>
    <row r="31" spans="1:8" ht="15.75" customHeight="1" x14ac:dyDescent="0.25">
      <c r="A31" s="759"/>
      <c r="B31" s="334" t="s">
        <v>1028</v>
      </c>
      <c r="C31" s="335" t="s">
        <v>1029</v>
      </c>
      <c r="D31" s="336">
        <v>28000000</v>
      </c>
      <c r="E31" s="761"/>
    </row>
    <row r="32" spans="1:8" ht="15.75" customHeight="1" x14ac:dyDescent="0.25">
      <c r="A32" s="759"/>
      <c r="B32" s="334" t="s">
        <v>1030</v>
      </c>
      <c r="C32" s="335" t="s">
        <v>1031</v>
      </c>
      <c r="D32" s="336">
        <v>5000000</v>
      </c>
      <c r="E32" s="761"/>
    </row>
    <row r="33" spans="1:8" ht="15.75" customHeight="1" x14ac:dyDescent="0.25">
      <c r="A33" s="759"/>
      <c r="B33" s="334" t="s">
        <v>1032</v>
      </c>
      <c r="C33" s="335" t="s">
        <v>1033</v>
      </c>
      <c r="D33" s="336">
        <v>2500000</v>
      </c>
      <c r="E33" s="761"/>
    </row>
    <row r="34" spans="1:8" x14ac:dyDescent="0.25">
      <c r="A34" s="759"/>
      <c r="B34" s="334" t="s">
        <v>1034</v>
      </c>
      <c r="C34" s="335" t="s">
        <v>1035</v>
      </c>
      <c r="D34" s="336">
        <v>10000000</v>
      </c>
      <c r="E34" s="761"/>
    </row>
    <row r="35" spans="1:8" ht="15.75" customHeight="1" x14ac:dyDescent="0.25">
      <c r="A35" s="759"/>
      <c r="B35" s="334" t="s">
        <v>1036</v>
      </c>
      <c r="C35" s="335" t="s">
        <v>1037</v>
      </c>
      <c r="D35" s="336">
        <v>7000000</v>
      </c>
      <c r="E35" s="761"/>
    </row>
    <row r="36" spans="1:8" ht="15.75" customHeight="1" x14ac:dyDescent="0.25">
      <c r="A36" s="759"/>
      <c r="B36" s="334" t="s">
        <v>1038</v>
      </c>
      <c r="C36" s="335" t="s">
        <v>1039</v>
      </c>
      <c r="D36" s="336">
        <v>12500000</v>
      </c>
      <c r="E36" s="761"/>
    </row>
    <row r="37" spans="1:8" ht="15.75" customHeight="1" x14ac:dyDescent="0.25">
      <c r="A37" s="759"/>
      <c r="B37" s="334" t="s">
        <v>1040</v>
      </c>
      <c r="C37" s="335" t="s">
        <v>1041</v>
      </c>
      <c r="D37" s="336">
        <v>2800000</v>
      </c>
      <c r="E37" s="761"/>
    </row>
    <row r="38" spans="1:8" x14ac:dyDescent="0.25">
      <c r="A38" s="760"/>
      <c r="B38" s="334" t="s">
        <v>1042</v>
      </c>
      <c r="C38" s="335" t="s">
        <v>1043</v>
      </c>
      <c r="D38" s="336">
        <f>169760+307551</f>
        <v>477311</v>
      </c>
      <c r="E38" s="761"/>
    </row>
    <row r="39" spans="1:8" ht="15" customHeight="1" x14ac:dyDescent="0.25">
      <c r="A39" s="758" t="s">
        <v>1044</v>
      </c>
      <c r="B39" s="334" t="s">
        <v>1045</v>
      </c>
      <c r="C39" s="335" t="s">
        <v>1046</v>
      </c>
      <c r="D39" s="336">
        <v>3000000</v>
      </c>
      <c r="E39" s="761"/>
    </row>
    <row r="40" spans="1:8" ht="15" customHeight="1" x14ac:dyDescent="0.25">
      <c r="A40" s="759"/>
      <c r="B40" s="334" t="s">
        <v>1047</v>
      </c>
      <c r="C40" s="335" t="s">
        <v>1048</v>
      </c>
      <c r="D40" s="336">
        <v>18300000</v>
      </c>
      <c r="E40" s="761"/>
    </row>
    <row r="41" spans="1:8" ht="15" customHeight="1" x14ac:dyDescent="0.25">
      <c r="A41" s="759"/>
      <c r="B41" s="334" t="s">
        <v>1049</v>
      </c>
      <c r="C41" s="335" t="s">
        <v>1050</v>
      </c>
      <c r="D41" s="336">
        <v>12000000</v>
      </c>
      <c r="E41" s="761"/>
      <c r="H41" s="337">
        <f>SUM(D39:D44)</f>
        <v>56350000</v>
      </c>
    </row>
    <row r="42" spans="1:8" ht="15" customHeight="1" x14ac:dyDescent="0.25">
      <c r="A42" s="759"/>
      <c r="B42" s="334" t="s">
        <v>1051</v>
      </c>
      <c r="C42" s="335" t="s">
        <v>1052</v>
      </c>
      <c r="D42" s="336">
        <v>19050000</v>
      </c>
      <c r="E42" s="761"/>
    </row>
    <row r="43" spans="1:8" ht="15" customHeight="1" x14ac:dyDescent="0.25">
      <c r="A43" s="759"/>
      <c r="B43" s="334" t="s">
        <v>1053</v>
      </c>
      <c r="C43" s="335" t="s">
        <v>1054</v>
      </c>
      <c r="D43" s="336">
        <v>2000000</v>
      </c>
      <c r="E43" s="761"/>
    </row>
    <row r="44" spans="1:8" ht="15" customHeight="1" x14ac:dyDescent="0.25">
      <c r="A44" s="759"/>
      <c r="B44" s="334" t="s">
        <v>1055</v>
      </c>
      <c r="C44" s="335" t="s">
        <v>1056</v>
      </c>
      <c r="D44" s="336">
        <v>2000000</v>
      </c>
      <c r="E44" s="761"/>
      <c r="G44" s="247"/>
    </row>
    <row r="45" spans="1:8" ht="15" customHeight="1" x14ac:dyDescent="0.25">
      <c r="A45" s="759"/>
      <c r="B45" s="334" t="s">
        <v>1057</v>
      </c>
      <c r="C45" s="335" t="s">
        <v>1058</v>
      </c>
      <c r="D45" s="336">
        <v>30000000</v>
      </c>
      <c r="E45" s="761"/>
    </row>
    <row r="46" spans="1:8" x14ac:dyDescent="0.25">
      <c r="A46" s="759"/>
      <c r="B46" s="334" t="s">
        <v>1059</v>
      </c>
      <c r="C46" s="335" t="s">
        <v>1060</v>
      </c>
      <c r="D46" s="336">
        <v>22000000</v>
      </c>
      <c r="E46" s="761"/>
    </row>
    <row r="47" spans="1:8" x14ac:dyDescent="0.25">
      <c r="A47" s="759"/>
      <c r="B47" s="334" t="s">
        <v>1061</v>
      </c>
      <c r="C47" s="335" t="s">
        <v>1062</v>
      </c>
      <c r="D47" s="336">
        <v>36000000</v>
      </c>
      <c r="E47" s="761"/>
    </row>
    <row r="48" spans="1:8" ht="30" x14ac:dyDescent="0.25">
      <c r="A48" s="759"/>
      <c r="B48" s="334" t="s">
        <v>1063</v>
      </c>
      <c r="C48" s="335" t="s">
        <v>1064</v>
      </c>
      <c r="D48" s="336">
        <v>15000000</v>
      </c>
      <c r="E48" s="761"/>
    </row>
    <row r="49" spans="1:13" x14ac:dyDescent="0.25">
      <c r="A49" s="759"/>
      <c r="B49" s="334" t="s">
        <v>1065</v>
      </c>
      <c r="C49" s="335" t="s">
        <v>1066</v>
      </c>
      <c r="D49" s="336">
        <v>6000000</v>
      </c>
      <c r="E49" s="761"/>
      <c r="H49" s="337">
        <f>SUM(D45:D65)</f>
        <v>971429489</v>
      </c>
    </row>
    <row r="50" spans="1:13" x14ac:dyDescent="0.25">
      <c r="A50" s="759"/>
      <c r="B50" s="334" t="s">
        <v>1067</v>
      </c>
      <c r="C50" s="335" t="s">
        <v>1068</v>
      </c>
      <c r="D50" s="336">
        <v>3500000</v>
      </c>
      <c r="E50" s="761"/>
    </row>
    <row r="51" spans="1:13" x14ac:dyDescent="0.25">
      <c r="A51" s="759"/>
      <c r="B51" s="334" t="s">
        <v>1069</v>
      </c>
      <c r="C51" s="335" t="s">
        <v>1070</v>
      </c>
      <c r="D51" s="336">
        <v>7000000</v>
      </c>
      <c r="E51" s="761"/>
    </row>
    <row r="52" spans="1:13" x14ac:dyDescent="0.25">
      <c r="A52" s="759"/>
      <c r="B52" s="334" t="s">
        <v>1071</v>
      </c>
      <c r="C52" s="335" t="s">
        <v>1072</v>
      </c>
      <c r="D52" s="336">
        <v>30000000</v>
      </c>
      <c r="E52" s="761"/>
    </row>
    <row r="53" spans="1:13" x14ac:dyDescent="0.25">
      <c r="A53" s="759"/>
      <c r="B53" s="334" t="s">
        <v>1073</v>
      </c>
      <c r="C53" s="335" t="s">
        <v>1074</v>
      </c>
      <c r="D53" s="336">
        <v>28000000</v>
      </c>
      <c r="E53" s="761"/>
    </row>
    <row r="54" spans="1:13" x14ac:dyDescent="0.25">
      <c r="A54" s="759"/>
      <c r="B54" s="334" t="s">
        <v>1075</v>
      </c>
      <c r="C54" s="335" t="s">
        <v>1076</v>
      </c>
      <c r="D54" s="336">
        <v>6000000</v>
      </c>
      <c r="E54" s="761"/>
    </row>
    <row r="55" spans="1:13" x14ac:dyDescent="0.25">
      <c r="A55" s="759"/>
      <c r="B55" s="334" t="s">
        <v>1077</v>
      </c>
      <c r="C55" s="335" t="s">
        <v>1078</v>
      </c>
      <c r="D55" s="336">
        <v>15000000</v>
      </c>
      <c r="E55" s="761"/>
    </row>
    <row r="56" spans="1:13" x14ac:dyDescent="0.25">
      <c r="A56" s="759"/>
      <c r="B56" s="334" t="s">
        <v>1079</v>
      </c>
      <c r="C56" s="335" t="s">
        <v>1080</v>
      </c>
      <c r="D56" s="336">
        <v>5000000</v>
      </c>
      <c r="E56" s="761"/>
    </row>
    <row r="57" spans="1:13" x14ac:dyDescent="0.25">
      <c r="A57" s="759"/>
      <c r="B57" s="334" t="s">
        <v>1081</v>
      </c>
      <c r="C57" s="335" t="s">
        <v>1082</v>
      </c>
      <c r="D57" s="336">
        <v>187000000</v>
      </c>
      <c r="E57" s="761"/>
    </row>
    <row r="58" spans="1:13" x14ac:dyDescent="0.25">
      <c r="A58" s="759"/>
      <c r="B58" s="334" t="s">
        <v>1083</v>
      </c>
      <c r="C58" s="335" t="s">
        <v>1084</v>
      </c>
      <c r="D58" s="336">
        <v>50000000</v>
      </c>
      <c r="E58" s="761"/>
    </row>
    <row r="59" spans="1:13" x14ac:dyDescent="0.25">
      <c r="A59" s="759"/>
      <c r="B59" s="334" t="s">
        <v>1085</v>
      </c>
      <c r="C59" s="335" t="s">
        <v>1086</v>
      </c>
      <c r="D59" s="336">
        <v>10000000</v>
      </c>
      <c r="E59" s="761"/>
    </row>
    <row r="60" spans="1:13" x14ac:dyDescent="0.25">
      <c r="A60" s="759"/>
      <c r="B60" s="334" t="s">
        <v>1087</v>
      </c>
      <c r="C60" s="335" t="s">
        <v>1088</v>
      </c>
      <c r="D60" s="336">
        <v>5334000</v>
      </c>
      <c r="E60" s="761"/>
    </row>
    <row r="61" spans="1:13" x14ac:dyDescent="0.25">
      <c r="A61" s="759"/>
      <c r="B61" s="334" t="s">
        <v>1089</v>
      </c>
      <c r="C61" s="335" t="s">
        <v>1090</v>
      </c>
      <c r="D61" s="336">
        <f>15000000-4000000</f>
        <v>11000000</v>
      </c>
      <c r="E61" s="761"/>
    </row>
    <row r="62" spans="1:13" x14ac:dyDescent="0.25">
      <c r="A62" s="759"/>
      <c r="B62" s="334" t="s">
        <v>1091</v>
      </c>
      <c r="C62" s="335" t="s">
        <v>1092</v>
      </c>
      <c r="D62" s="336">
        <v>6840000</v>
      </c>
      <c r="E62" s="761"/>
      <c r="M62" s="192" t="s">
        <v>1093</v>
      </c>
    </row>
    <row r="63" spans="1:13" ht="15.75" customHeight="1" x14ac:dyDescent="0.25">
      <c r="A63" s="759"/>
      <c r="B63" s="334" t="s">
        <v>1094</v>
      </c>
      <c r="C63" s="335" t="s">
        <v>1095</v>
      </c>
      <c r="D63" s="336">
        <v>150000000</v>
      </c>
      <c r="E63" s="761"/>
    </row>
    <row r="64" spans="1:13" ht="15.75" customHeight="1" x14ac:dyDescent="0.25">
      <c r="A64" s="759"/>
      <c r="B64" s="334" t="s">
        <v>1096</v>
      </c>
      <c r="C64" s="335" t="s">
        <v>1097</v>
      </c>
      <c r="D64" s="336">
        <v>2760000</v>
      </c>
      <c r="E64" s="761"/>
    </row>
    <row r="65" spans="1:12" ht="15.75" customHeight="1" x14ac:dyDescent="0.25">
      <c r="A65" s="760"/>
      <c r="B65" s="334" t="s">
        <v>1098</v>
      </c>
      <c r="C65" s="335" t="s">
        <v>1099</v>
      </c>
      <c r="D65" s="336">
        <f>343300489+1695000</f>
        <v>344995489</v>
      </c>
      <c r="E65" s="761"/>
    </row>
    <row r="66" spans="1:12" ht="18.75" x14ac:dyDescent="0.25">
      <c r="A66" s="338"/>
      <c r="B66" s="767" t="s">
        <v>1100</v>
      </c>
      <c r="C66" s="767"/>
      <c r="D66" s="339">
        <f>SUM(D8:D65)</f>
        <v>1385246942</v>
      </c>
      <c r="E66" s="340"/>
      <c r="F66" s="341">
        <f>+'[3]13.b.sz.m.Maradványkim.-Önk'!F29</f>
        <v>898334622</v>
      </c>
      <c r="G66" s="342">
        <v>1385246942</v>
      </c>
      <c r="L66" s="247" t="e">
        <f>+#REF!-D66</f>
        <v>#REF!</v>
      </c>
    </row>
    <row r="67" spans="1:12" x14ac:dyDescent="0.25">
      <c r="A67" s="343"/>
      <c r="B67" s="344"/>
      <c r="C67" s="344"/>
      <c r="D67" s="344"/>
      <c r="E67" s="345"/>
      <c r="F67" s="247">
        <f>+F66-D66</f>
        <v>-486912320</v>
      </c>
    </row>
    <row r="68" spans="1:12" ht="23.25" x14ac:dyDescent="0.35">
      <c r="A68" s="762" t="s">
        <v>1101</v>
      </c>
      <c r="B68" s="763"/>
      <c r="C68" s="763"/>
      <c r="D68" s="763"/>
      <c r="E68" s="764"/>
    </row>
    <row r="69" spans="1:12" ht="15.75" customHeight="1" x14ac:dyDescent="0.35">
      <c r="A69" s="346"/>
      <c r="B69" s="347"/>
      <c r="C69" s="348"/>
      <c r="D69" s="348"/>
      <c r="E69" s="349"/>
    </row>
    <row r="70" spans="1:12" ht="30" x14ac:dyDescent="0.25">
      <c r="A70" s="343"/>
      <c r="B70" s="330" t="s">
        <v>752</v>
      </c>
      <c r="C70" s="331" t="s">
        <v>806</v>
      </c>
      <c r="D70" s="339" t="s">
        <v>807</v>
      </c>
      <c r="E70" s="350"/>
    </row>
    <row r="71" spans="1:12" x14ac:dyDescent="0.25">
      <c r="A71" s="343"/>
      <c r="B71" s="351" t="s">
        <v>12</v>
      </c>
      <c r="C71" s="335" t="s">
        <v>1102</v>
      </c>
      <c r="D71" s="336">
        <v>6202870</v>
      </c>
      <c r="E71" s="761" t="s">
        <v>856</v>
      </c>
    </row>
    <row r="72" spans="1:12" x14ac:dyDescent="0.25">
      <c r="A72" s="343"/>
      <c r="B72" s="351" t="s">
        <v>17</v>
      </c>
      <c r="C72" s="335" t="s">
        <v>1103</v>
      </c>
      <c r="D72" s="336">
        <v>3352800</v>
      </c>
      <c r="E72" s="761"/>
    </row>
    <row r="73" spans="1:12" x14ac:dyDescent="0.25">
      <c r="A73" s="343"/>
      <c r="B73" s="351" t="s">
        <v>20</v>
      </c>
      <c r="C73" s="335" t="s">
        <v>1104</v>
      </c>
      <c r="D73" s="336">
        <v>1143000</v>
      </c>
      <c r="E73" s="761"/>
    </row>
    <row r="74" spans="1:12" x14ac:dyDescent="0.25">
      <c r="A74" s="343"/>
      <c r="B74" s="351" t="s">
        <v>22</v>
      </c>
      <c r="C74" s="335" t="s">
        <v>1105</v>
      </c>
      <c r="D74" s="336">
        <v>1942500</v>
      </c>
      <c r="E74" s="761"/>
    </row>
    <row r="75" spans="1:12" x14ac:dyDescent="0.25">
      <c r="A75" s="343"/>
      <c r="B75" s="351" t="s">
        <v>24</v>
      </c>
      <c r="C75" s="335" t="s">
        <v>1106</v>
      </c>
      <c r="D75" s="336">
        <v>375000</v>
      </c>
      <c r="E75" s="761"/>
    </row>
    <row r="76" spans="1:12" x14ac:dyDescent="0.25">
      <c r="A76" s="343"/>
      <c r="B76" s="351" t="s">
        <v>86</v>
      </c>
      <c r="C76" s="335" t="s">
        <v>1107</v>
      </c>
      <c r="D76" s="336">
        <v>660750</v>
      </c>
      <c r="E76" s="761"/>
    </row>
    <row r="77" spans="1:12" x14ac:dyDescent="0.25">
      <c r="A77" s="343"/>
      <c r="B77" s="351" t="s">
        <v>88</v>
      </c>
      <c r="C77" s="335" t="s">
        <v>1108</v>
      </c>
      <c r="D77" s="336">
        <v>1750125</v>
      </c>
      <c r="E77" s="761"/>
    </row>
    <row r="78" spans="1:12" x14ac:dyDescent="0.25">
      <c r="A78" s="343"/>
      <c r="B78" s="351" t="s">
        <v>89</v>
      </c>
      <c r="C78" s="335" t="s">
        <v>1109</v>
      </c>
      <c r="D78" s="336">
        <v>538125</v>
      </c>
      <c r="E78" s="761"/>
    </row>
    <row r="79" spans="1:12" x14ac:dyDescent="0.25">
      <c r="A79" s="343"/>
      <c r="B79" s="351" t="s">
        <v>90</v>
      </c>
      <c r="C79" s="335" t="s">
        <v>1110</v>
      </c>
      <c r="D79" s="336">
        <v>565500</v>
      </c>
      <c r="E79" s="761"/>
    </row>
    <row r="80" spans="1:12" x14ac:dyDescent="0.25">
      <c r="A80" s="343"/>
      <c r="B80" s="351" t="s">
        <v>763</v>
      </c>
      <c r="C80" s="335" t="s">
        <v>1111</v>
      </c>
      <c r="D80" s="336">
        <v>1381125</v>
      </c>
      <c r="E80" s="761"/>
    </row>
    <row r="81" spans="1:8" ht="18.75" x14ac:dyDescent="0.25">
      <c r="A81" s="343"/>
      <c r="B81" s="768" t="s">
        <v>1112</v>
      </c>
      <c r="C81" s="769"/>
      <c r="D81" s="339">
        <f>SUM(D71:D80)</f>
        <v>17911795</v>
      </c>
      <c r="E81" s="350"/>
    </row>
    <row r="82" spans="1:8" x14ac:dyDescent="0.25">
      <c r="A82" s="352"/>
      <c r="B82" s="353"/>
      <c r="C82" s="353"/>
      <c r="D82" s="354"/>
      <c r="E82" s="355"/>
      <c r="F82" s="247">
        <f>D81+D66+'13.c.sz.m.Kötött maradvány'!C301</f>
        <v>1571309557</v>
      </c>
      <c r="G82" s="247">
        <v>1570972482</v>
      </c>
      <c r="H82" s="247">
        <f>G82-F82</f>
        <v>-337075</v>
      </c>
    </row>
    <row r="83" spans="1:8" ht="40.5" customHeight="1" x14ac:dyDescent="0.3">
      <c r="A83" s="770" t="s">
        <v>1113</v>
      </c>
      <c r="B83" s="770"/>
      <c r="C83" s="770"/>
      <c r="D83" s="356">
        <f>+D81+D66</f>
        <v>1403158737</v>
      </c>
    </row>
    <row r="85" spans="1:8" ht="42" customHeight="1" x14ac:dyDescent="0.35">
      <c r="A85" s="771" t="s">
        <v>1114</v>
      </c>
      <c r="B85" s="771"/>
      <c r="C85" s="771"/>
      <c r="D85" s="771"/>
      <c r="E85" s="771"/>
    </row>
    <row r="87" spans="1:8" ht="22.5" customHeight="1" x14ac:dyDescent="0.35">
      <c r="A87" s="756" t="s">
        <v>185</v>
      </c>
      <c r="B87" s="756"/>
      <c r="C87" s="756"/>
      <c r="D87" s="756"/>
      <c r="E87" s="756"/>
    </row>
    <row r="88" spans="1:8" ht="23.25" x14ac:dyDescent="0.35">
      <c r="A88" s="327"/>
      <c r="B88" s="327"/>
      <c r="C88" s="327"/>
      <c r="D88" s="327"/>
      <c r="E88" s="327"/>
    </row>
    <row r="89" spans="1:8" ht="30" x14ac:dyDescent="0.25">
      <c r="A89" s="329"/>
      <c r="B89" s="330" t="s">
        <v>752</v>
      </c>
      <c r="C89" s="331" t="s">
        <v>998</v>
      </c>
      <c r="D89" s="332" t="s">
        <v>807</v>
      </c>
      <c r="E89" s="653"/>
    </row>
    <row r="90" spans="1:8" x14ac:dyDescent="0.25">
      <c r="A90" s="329"/>
      <c r="B90" s="330"/>
      <c r="C90" s="357" t="s">
        <v>1504</v>
      </c>
      <c r="D90" s="358">
        <v>70000000</v>
      </c>
      <c r="E90" s="344"/>
    </row>
    <row r="91" spans="1:8" x14ac:dyDescent="0.25">
      <c r="B91" s="357"/>
      <c r="C91" s="357" t="s">
        <v>1505</v>
      </c>
      <c r="D91" s="358">
        <v>21000000</v>
      </c>
    </row>
    <row r="92" spans="1:8" x14ac:dyDescent="0.25">
      <c r="B92" s="357"/>
      <c r="C92" s="357" t="s">
        <v>1506</v>
      </c>
      <c r="D92" s="358">
        <v>106000000</v>
      </c>
      <c r="E92" s="691"/>
    </row>
    <row r="94" spans="1:8" ht="23.25" x14ac:dyDescent="0.35">
      <c r="A94" s="762" t="s">
        <v>1101</v>
      </c>
      <c r="B94" s="763"/>
      <c r="C94" s="763"/>
      <c r="D94" s="763"/>
      <c r="E94" s="764"/>
    </row>
    <row r="95" spans="1:8" ht="23.25" x14ac:dyDescent="0.35">
      <c r="A95" s="346"/>
      <c r="B95" s="347"/>
      <c r="C95" s="348"/>
      <c r="D95" s="348"/>
      <c r="E95" s="349"/>
    </row>
    <row r="96" spans="1:8" ht="30" x14ac:dyDescent="0.25">
      <c r="A96" s="343"/>
      <c r="B96" s="330" t="s">
        <v>752</v>
      </c>
      <c r="C96" s="331" t="s">
        <v>806</v>
      </c>
      <c r="D96" s="339" t="s">
        <v>807</v>
      </c>
      <c r="E96" s="350"/>
    </row>
    <row r="97" spans="1:5" x14ac:dyDescent="0.25">
      <c r="B97" s="359"/>
      <c r="C97" s="357" t="s">
        <v>1115</v>
      </c>
      <c r="D97" s="358">
        <v>473096</v>
      </c>
    </row>
    <row r="99" spans="1:5" ht="40.5" customHeight="1" x14ac:dyDescent="0.3">
      <c r="A99" s="765" t="s">
        <v>1114</v>
      </c>
      <c r="B99" s="765"/>
      <c r="C99" s="765"/>
      <c r="D99" s="356">
        <f>+D91+D97+D90+D92</f>
        <v>197473096</v>
      </c>
      <c r="E99" s="360"/>
    </row>
    <row r="101" spans="1:5" ht="21" x14ac:dyDescent="0.35">
      <c r="A101" s="766" t="s">
        <v>1116</v>
      </c>
      <c r="B101" s="766"/>
      <c r="C101" s="766"/>
      <c r="D101" s="356">
        <f>+D83+D99</f>
        <v>1600631833</v>
      </c>
    </row>
  </sheetData>
  <mergeCells count="16">
    <mergeCell ref="A87:E87"/>
    <mergeCell ref="A94:E94"/>
    <mergeCell ref="A99:C99"/>
    <mergeCell ref="A101:C101"/>
    <mergeCell ref="B66:C66"/>
    <mergeCell ref="A68:E68"/>
    <mergeCell ref="E71:E80"/>
    <mergeCell ref="B81:C81"/>
    <mergeCell ref="A83:C83"/>
    <mergeCell ref="A85:E85"/>
    <mergeCell ref="A1:E1"/>
    <mergeCell ref="A3:E3"/>
    <mergeCell ref="A5:E5"/>
    <mergeCell ref="A8:A38"/>
    <mergeCell ref="E8:E65"/>
    <mergeCell ref="A39:A65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5" orientation="portrait" r:id="rId1"/>
  <headerFooter>
    <oddHeader>&amp;CDunaharaszti Város Önkormányzat 2017. évi zárszámadás&amp;R&amp;A</oddHeader>
    <oddFooter>&amp;C&amp;P/&amp;N</oddFooter>
  </headerFooter>
  <rowBreaks count="1" manualBreakCount="1">
    <brk id="6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0"/>
  <sheetViews>
    <sheetView view="pageBreakPreview" zoomScale="70" zoomScaleNormal="70" zoomScaleSheetLayoutView="70" zoomScalePageLayoutView="70" workbookViewId="0">
      <selection activeCell="H3" sqref="H3"/>
    </sheetView>
  </sheetViews>
  <sheetFormatPr defaultColWidth="20.5703125" defaultRowHeight="14.25" customHeight="1" x14ac:dyDescent="0.25"/>
  <cols>
    <col min="1" max="1" width="4.7109375" style="1" customWidth="1"/>
    <col min="2" max="2" width="43" style="1" customWidth="1"/>
    <col min="3" max="4" width="24.28515625" style="58" customWidth="1"/>
    <col min="5" max="5" width="10.85546875" style="58" customWidth="1"/>
    <col min="6" max="6" width="26.5703125" style="58" customWidth="1"/>
    <col min="7" max="8" width="22.5703125" style="59" customWidth="1"/>
    <col min="9" max="9" width="16.28515625" style="60" customWidth="1"/>
    <col min="10" max="10" width="22.140625" style="61" customWidth="1"/>
    <col min="11" max="11" width="23.85546875" style="1" customWidth="1"/>
    <col min="12" max="16384" width="20.5703125" style="1"/>
  </cols>
  <sheetData>
    <row r="1" spans="1:11" ht="15.75" customHeight="1" x14ac:dyDescent="0.25"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2" spans="1:11" ht="78.75" customHeight="1" x14ac:dyDescent="0.35">
      <c r="A2" s="773" t="s">
        <v>28</v>
      </c>
      <c r="B2" s="773"/>
      <c r="C2" s="773"/>
      <c r="D2" s="773"/>
      <c r="E2" s="773"/>
      <c r="F2" s="773"/>
      <c r="G2" s="773"/>
      <c r="H2" s="773"/>
      <c r="I2" s="773"/>
      <c r="J2" s="773"/>
      <c r="K2" s="2"/>
    </row>
    <row r="3" spans="1:11" ht="99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4" customFormat="1" ht="29.25" customHeight="1" x14ac:dyDescent="0.25">
      <c r="A4" s="774" t="s">
        <v>0</v>
      </c>
      <c r="B4" s="774"/>
      <c r="C4" s="774"/>
      <c r="D4" s="774"/>
      <c r="E4" s="774"/>
      <c r="F4" s="774"/>
      <c r="G4" s="774"/>
      <c r="H4" s="774"/>
      <c r="I4" s="774"/>
      <c r="J4" s="3"/>
    </row>
    <row r="5" spans="1:11" s="4" customFormat="1" ht="9" customHeight="1" x14ac:dyDescent="0.25">
      <c r="B5" s="5"/>
      <c r="C5" s="6"/>
      <c r="D5" s="6"/>
      <c r="E5" s="6"/>
      <c r="F5" s="6"/>
      <c r="G5" s="7"/>
      <c r="H5" s="7"/>
      <c r="I5" s="8"/>
      <c r="J5" s="3"/>
    </row>
    <row r="6" spans="1:11" s="11" customFormat="1" ht="50.25" customHeight="1" x14ac:dyDescent="0.25">
      <c r="A6" s="775" t="s">
        <v>1</v>
      </c>
      <c r="B6" s="777" t="s">
        <v>2</v>
      </c>
      <c r="C6" s="779" t="s">
        <v>29</v>
      </c>
      <c r="D6" s="779" t="s">
        <v>30</v>
      </c>
      <c r="E6" s="780" t="s">
        <v>3</v>
      </c>
      <c r="F6" s="781"/>
      <c r="G6" s="9" t="s">
        <v>4</v>
      </c>
      <c r="H6" s="782" t="s">
        <v>5</v>
      </c>
      <c r="I6" s="777" t="s">
        <v>6</v>
      </c>
      <c r="J6" s="10" t="s">
        <v>7</v>
      </c>
    </row>
    <row r="7" spans="1:11" s="11" customFormat="1" ht="31.5" customHeight="1" x14ac:dyDescent="0.25">
      <c r="A7" s="776"/>
      <c r="B7" s="778"/>
      <c r="C7" s="779"/>
      <c r="D7" s="779"/>
      <c r="E7" s="12" t="s">
        <v>8</v>
      </c>
      <c r="F7" s="12" t="s">
        <v>9</v>
      </c>
      <c r="G7" s="13" t="s">
        <v>10</v>
      </c>
      <c r="H7" s="782"/>
      <c r="I7" s="777"/>
      <c r="J7" s="14" t="s">
        <v>11</v>
      </c>
    </row>
    <row r="8" spans="1:11" s="23" customFormat="1" ht="39.75" customHeight="1" x14ac:dyDescent="0.25">
      <c r="A8" s="15" t="s">
        <v>12</v>
      </c>
      <c r="B8" s="15" t="s">
        <v>13</v>
      </c>
      <c r="C8" s="16">
        <f>238000000+140000000</f>
        <v>378000000</v>
      </c>
      <c r="D8" s="16">
        <f>238000000+140000000</f>
        <v>378000000</v>
      </c>
      <c r="E8" s="17">
        <v>0.35</v>
      </c>
      <c r="F8" s="16">
        <f>132300000+15120000</f>
        <v>147420000</v>
      </c>
      <c r="G8" s="18">
        <f>+D8-F8</f>
        <v>230580000</v>
      </c>
      <c r="H8" s="19" t="s">
        <v>14</v>
      </c>
      <c r="I8" s="20" t="s">
        <v>15</v>
      </c>
      <c r="J8" s="21" t="s">
        <v>16</v>
      </c>
      <c r="K8" s="22"/>
    </row>
    <row r="9" spans="1:11" s="23" customFormat="1" ht="39.75" customHeight="1" x14ac:dyDescent="0.25">
      <c r="A9" s="15" t="s">
        <v>17</v>
      </c>
      <c r="B9" s="15" t="s">
        <v>18</v>
      </c>
      <c r="C9" s="16">
        <v>26010000</v>
      </c>
      <c r="D9" s="16">
        <v>26010000</v>
      </c>
      <c r="E9" s="17">
        <v>0</v>
      </c>
      <c r="F9" s="16"/>
      <c r="G9" s="18">
        <f>+C9-F9</f>
        <v>26010000</v>
      </c>
      <c r="H9" s="19"/>
      <c r="I9" s="20"/>
      <c r="J9" s="24" t="s">
        <v>19</v>
      </c>
      <c r="K9" s="22"/>
    </row>
    <row r="10" spans="1:11" s="23" customFormat="1" ht="39.75" customHeight="1" x14ac:dyDescent="0.25">
      <c r="A10" s="15" t="s">
        <v>22</v>
      </c>
      <c r="B10" s="15" t="s">
        <v>23</v>
      </c>
      <c r="C10" s="16">
        <v>3000000</v>
      </c>
      <c r="D10" s="16">
        <v>0</v>
      </c>
      <c r="E10" s="25">
        <v>0</v>
      </c>
      <c r="F10" s="16"/>
      <c r="G10" s="18">
        <v>3000000</v>
      </c>
      <c r="H10" s="19" t="s">
        <v>21</v>
      </c>
      <c r="I10" s="20"/>
      <c r="J10" s="24" t="s">
        <v>16</v>
      </c>
      <c r="K10" s="22"/>
    </row>
    <row r="11" spans="1:11" s="23" customFormat="1" ht="39.75" customHeight="1" x14ac:dyDescent="0.25">
      <c r="A11" s="15" t="s">
        <v>24</v>
      </c>
      <c r="B11" s="15" t="s">
        <v>25</v>
      </c>
      <c r="C11" s="16"/>
      <c r="D11" s="16">
        <v>23200</v>
      </c>
      <c r="E11" s="25">
        <v>0</v>
      </c>
      <c r="F11" s="16"/>
      <c r="G11" s="18">
        <v>23200</v>
      </c>
      <c r="H11" s="19"/>
      <c r="I11" s="20"/>
      <c r="J11" s="24" t="s">
        <v>26</v>
      </c>
      <c r="K11" s="22"/>
    </row>
    <row r="12" spans="1:11" s="32" customFormat="1" ht="39.75" customHeight="1" x14ac:dyDescent="0.25">
      <c r="A12" s="785" t="s">
        <v>27</v>
      </c>
      <c r="B12" s="785"/>
      <c r="C12" s="26">
        <f>SUM(C8:C10)</f>
        <v>407010000</v>
      </c>
      <c r="D12" s="26">
        <f>SUM(D8:D11)</f>
        <v>404033200</v>
      </c>
      <c r="E12" s="27"/>
      <c r="F12" s="26">
        <f>SUM(F8:F11)</f>
        <v>147420000</v>
      </c>
      <c r="G12" s="26">
        <f>SUM(G8:G11)</f>
        <v>259613200</v>
      </c>
      <c r="H12" s="28"/>
      <c r="I12" s="29"/>
      <c r="J12" s="30"/>
      <c r="K12" s="31"/>
    </row>
    <row r="13" spans="1:11" s="33" customFormat="1" ht="96.75" customHeight="1" x14ac:dyDescent="0.25">
      <c r="B13" s="34"/>
      <c r="C13" s="35"/>
      <c r="D13" s="35"/>
      <c r="E13" s="35"/>
      <c r="F13" s="35"/>
      <c r="G13" s="35"/>
      <c r="H13" s="35"/>
      <c r="I13" s="36"/>
      <c r="J13" s="34"/>
      <c r="K13" s="34"/>
    </row>
    <row r="14" spans="1:11" s="33" customFormat="1" ht="31.5" customHeight="1" x14ac:dyDescent="0.25">
      <c r="A14" s="774"/>
      <c r="B14" s="774"/>
      <c r="C14" s="774"/>
      <c r="D14" s="774"/>
      <c r="E14" s="774"/>
      <c r="F14" s="774"/>
      <c r="G14" s="774"/>
      <c r="H14" s="774"/>
      <c r="I14" s="774"/>
      <c r="J14" s="34"/>
      <c r="K14" s="34"/>
    </row>
    <row r="15" spans="1:11" s="4" customFormat="1" ht="36.75" customHeight="1" x14ac:dyDescent="0.25">
      <c r="A15" s="786"/>
      <c r="B15" s="786"/>
      <c r="C15" s="786"/>
      <c r="D15" s="786"/>
      <c r="E15" s="786"/>
      <c r="F15" s="786"/>
      <c r="G15" s="786"/>
      <c r="H15" s="786"/>
      <c r="I15" s="786"/>
      <c r="J15" s="786"/>
      <c r="K15" s="37"/>
    </row>
    <row r="16" spans="1:11" s="4" customFormat="1" ht="18" hidden="1" customHeight="1" x14ac:dyDescent="0.25">
      <c r="A16" s="38"/>
      <c r="B16" s="38"/>
      <c r="C16" s="39"/>
      <c r="D16" s="39"/>
      <c r="E16" s="39"/>
      <c r="F16" s="39"/>
      <c r="G16" s="40"/>
      <c r="H16" s="40"/>
      <c r="I16" s="41"/>
      <c r="J16" s="42"/>
      <c r="K16" s="37"/>
    </row>
    <row r="17" spans="1:11" s="4" customFormat="1" ht="18" customHeight="1" x14ac:dyDescent="0.25">
      <c r="A17" s="38"/>
      <c r="B17" s="38"/>
      <c r="C17" s="39"/>
      <c r="D17" s="39"/>
      <c r="E17" s="39"/>
      <c r="F17" s="39"/>
      <c r="G17" s="40"/>
      <c r="H17" s="40"/>
      <c r="I17" s="41"/>
      <c r="J17" s="42"/>
      <c r="K17" s="37"/>
    </row>
    <row r="18" spans="1:11" s="44" customFormat="1" ht="25.5" customHeight="1" x14ac:dyDescent="0.3">
      <c r="A18" s="787"/>
      <c r="B18" s="787"/>
      <c r="C18" s="787"/>
      <c r="D18" s="787"/>
      <c r="E18" s="787"/>
      <c r="F18" s="787"/>
      <c r="G18" s="787"/>
      <c r="H18" s="787"/>
      <c r="I18" s="787"/>
      <c r="J18" s="38"/>
      <c r="K18" s="43"/>
    </row>
    <row r="19" spans="1:11" s="44" customFormat="1" ht="18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6"/>
    </row>
    <row r="20" spans="1:11" s="44" customFormat="1" ht="18" customHeight="1" x14ac:dyDescent="0.25">
      <c r="A20" s="783"/>
      <c r="B20" s="783"/>
      <c r="C20" s="47"/>
      <c r="D20" s="47"/>
      <c r="E20" s="788"/>
      <c r="F20" s="788"/>
      <c r="G20" s="48"/>
      <c r="H20" s="48"/>
      <c r="I20" s="49"/>
      <c r="J20" s="45"/>
      <c r="K20" s="46"/>
    </row>
    <row r="21" spans="1:11" s="44" customFormat="1" ht="30.75" customHeight="1" x14ac:dyDescent="0.25">
      <c r="A21" s="783"/>
      <c r="B21" s="783"/>
      <c r="C21" s="50"/>
      <c r="D21" s="47"/>
      <c r="E21" s="784"/>
      <c r="F21" s="784"/>
      <c r="G21" s="48"/>
      <c r="H21" s="50"/>
      <c r="I21" s="48"/>
      <c r="J21" s="45"/>
      <c r="K21" s="46"/>
    </row>
    <row r="22" spans="1:11" s="56" customFormat="1" ht="33" customHeight="1" x14ac:dyDescent="0.25">
      <c r="A22" s="51"/>
      <c r="B22" s="52"/>
      <c r="C22" s="53"/>
      <c r="D22" s="53"/>
      <c r="E22" s="53"/>
      <c r="F22" s="53"/>
      <c r="G22" s="53"/>
      <c r="H22" s="53"/>
      <c r="I22" s="54"/>
      <c r="J22" s="52"/>
      <c r="K22" s="55"/>
    </row>
    <row r="23" spans="1:11" s="44" customFormat="1" ht="14.25" customHeight="1" x14ac:dyDescent="0.25">
      <c r="A23" s="45"/>
      <c r="B23" s="45"/>
      <c r="C23" s="57"/>
      <c r="D23" s="57"/>
      <c r="E23" s="57"/>
      <c r="F23" s="57"/>
      <c r="G23" s="47"/>
      <c r="H23" s="47"/>
      <c r="I23" s="48"/>
      <c r="J23" s="49"/>
      <c r="K23" s="46"/>
    </row>
    <row r="24" spans="1:11" s="44" customFormat="1" ht="21.75" customHeight="1" x14ac:dyDescent="0.25">
      <c r="B24" s="45"/>
      <c r="C24" s="57"/>
      <c r="D24" s="57"/>
      <c r="E24" s="57"/>
      <c r="F24" s="57"/>
      <c r="G24" s="47"/>
      <c r="H24" s="47"/>
      <c r="I24" s="48"/>
      <c r="J24" s="49"/>
      <c r="K24" s="46"/>
    </row>
    <row r="26" spans="1:11" ht="14.25" customHeight="1" x14ac:dyDescent="0.25">
      <c r="K26" s="4"/>
    </row>
    <row r="27" spans="1:11" s="4" customFormat="1" ht="21" customHeight="1" x14ac:dyDescent="0.25">
      <c r="K27" s="1"/>
    </row>
    <row r="28" spans="1:11" ht="7.5" customHeight="1" x14ac:dyDescent="0.25">
      <c r="K28" s="4"/>
    </row>
    <row r="29" spans="1:11" s="4" customFormat="1" ht="14.25" customHeight="1" x14ac:dyDescent="0.25">
      <c r="K29" s="1"/>
    </row>
    <row r="30" spans="1:11" ht="7.5" customHeight="1" x14ac:dyDescent="0.25"/>
  </sheetData>
  <mergeCells count="18">
    <mergeCell ref="A21:B21"/>
    <mergeCell ref="E21:F21"/>
    <mergeCell ref="A12:B12"/>
    <mergeCell ref="A14:I14"/>
    <mergeCell ref="A15:J15"/>
    <mergeCell ref="A18:I18"/>
    <mergeCell ref="A20:B20"/>
    <mergeCell ref="E20:F20"/>
    <mergeCell ref="B1:K1"/>
    <mergeCell ref="A2:J2"/>
    <mergeCell ref="A4:I4"/>
    <mergeCell ref="A6:A7"/>
    <mergeCell ref="B6:B7"/>
    <mergeCell ref="C6:C7"/>
    <mergeCell ref="D6:D7"/>
    <mergeCell ref="E6:F6"/>
    <mergeCell ref="H6:H7"/>
    <mergeCell ref="I6:I7"/>
  </mergeCells>
  <pageMargins left="0.21" right="0.3" top="0.84" bottom="0.43307086614173229" header="0.42" footer="0.15748031496062992"/>
  <pageSetup paperSize="9" scale="65" orientation="landscape" r:id="rId1"/>
  <headerFooter alignWithMargins="0">
    <oddHeader>&amp;CDunaharaszti Város Önkormányzat 2017. évi zárszámadás&amp;R&amp;A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view="pageLayout" topLeftCell="A31" zoomScaleNormal="100" workbookViewId="0">
      <selection activeCell="K19" sqref="K19"/>
    </sheetView>
  </sheetViews>
  <sheetFormatPr defaultRowHeight="15" x14ac:dyDescent="0.25"/>
  <cols>
    <col min="1" max="1" width="4.28515625" style="176" customWidth="1"/>
    <col min="2" max="2" width="41" style="176" customWidth="1"/>
    <col min="3" max="3" width="16.7109375" style="176" bestFit="1" customWidth="1"/>
    <col min="4" max="4" width="17" style="176" bestFit="1" customWidth="1"/>
    <col min="5" max="6" width="14.140625" style="176" bestFit="1" customWidth="1"/>
    <col min="7" max="8" width="12" style="176" bestFit="1" customWidth="1"/>
    <col min="9" max="9" width="16" style="176" customWidth="1"/>
    <col min="10" max="10" width="15.7109375" style="176" customWidth="1"/>
    <col min="11" max="11" width="13.28515625" style="326" bestFit="1" customWidth="1"/>
    <col min="12" max="12" width="13.5703125" style="326" bestFit="1" customWidth="1"/>
    <col min="13" max="13" width="12" style="176" bestFit="1" customWidth="1"/>
    <col min="14" max="14" width="12.42578125" style="176" bestFit="1" customWidth="1"/>
    <col min="15" max="15" width="13.7109375" style="176" bestFit="1" customWidth="1"/>
    <col min="16" max="16" width="13.140625" style="176" bestFit="1" customWidth="1"/>
    <col min="17" max="17" width="14.42578125" style="176" customWidth="1"/>
    <col min="18" max="18" width="13.7109375" style="176" customWidth="1"/>
    <col min="19" max="19" width="13.140625" style="176" bestFit="1" customWidth="1"/>
    <col min="20" max="20" width="13.5703125" style="176" bestFit="1" customWidth="1"/>
    <col min="21" max="21" width="13.140625" style="176" bestFit="1" customWidth="1"/>
    <col min="22" max="22" width="12.42578125" style="176" bestFit="1" customWidth="1"/>
    <col min="23" max="25" width="9.140625" style="176"/>
    <col min="26" max="26" width="13.5703125" style="176" bestFit="1" customWidth="1"/>
    <col min="27" max="27" width="9.140625" style="176"/>
    <col min="28" max="28" width="12.42578125" style="176" bestFit="1" customWidth="1"/>
    <col min="29" max="16384" width="9.140625" style="176"/>
  </cols>
  <sheetData>
    <row r="1" spans="1:28" ht="36" customHeight="1" x14ac:dyDescent="0.25">
      <c r="A1" s="789" t="s">
        <v>32</v>
      </c>
      <c r="B1" s="789"/>
      <c r="C1" s="793" t="s">
        <v>185</v>
      </c>
      <c r="D1" s="793"/>
      <c r="E1" s="793" t="s">
        <v>76</v>
      </c>
      <c r="F1" s="793"/>
      <c r="G1" s="793" t="s">
        <v>77</v>
      </c>
      <c r="H1" s="793"/>
      <c r="I1" s="793" t="s">
        <v>79</v>
      </c>
      <c r="J1" s="793"/>
      <c r="K1" s="794" t="s">
        <v>81</v>
      </c>
      <c r="L1" s="794"/>
      <c r="M1" s="792" t="s">
        <v>80</v>
      </c>
      <c r="N1" s="792"/>
      <c r="O1" s="792" t="s">
        <v>184</v>
      </c>
      <c r="P1" s="792"/>
      <c r="Q1" s="793" t="s">
        <v>78</v>
      </c>
      <c r="R1" s="793"/>
      <c r="S1" s="793" t="s">
        <v>183</v>
      </c>
      <c r="T1" s="793"/>
      <c r="U1" s="793" t="s">
        <v>182</v>
      </c>
      <c r="V1" s="793"/>
    </row>
    <row r="2" spans="1:28" ht="18" customHeight="1" x14ac:dyDescent="0.25">
      <c r="A2" s="789"/>
      <c r="B2" s="789"/>
      <c r="C2" s="186" t="s">
        <v>181</v>
      </c>
      <c r="D2" s="186" t="s">
        <v>180</v>
      </c>
      <c r="E2" s="186" t="s">
        <v>181</v>
      </c>
      <c r="F2" s="186" t="s">
        <v>180</v>
      </c>
      <c r="G2" s="186" t="s">
        <v>181</v>
      </c>
      <c r="H2" s="186" t="s">
        <v>180</v>
      </c>
      <c r="I2" s="186" t="s">
        <v>181</v>
      </c>
      <c r="J2" s="186" t="s">
        <v>180</v>
      </c>
      <c r="K2" s="685" t="s">
        <v>181</v>
      </c>
      <c r="L2" s="685" t="s">
        <v>180</v>
      </c>
      <c r="M2" s="186" t="s">
        <v>181</v>
      </c>
      <c r="N2" s="186" t="s">
        <v>180</v>
      </c>
      <c r="O2" s="186" t="s">
        <v>181</v>
      </c>
      <c r="P2" s="186" t="s">
        <v>180</v>
      </c>
      <c r="Q2" s="186" t="s">
        <v>181</v>
      </c>
      <c r="R2" s="186" t="s">
        <v>180</v>
      </c>
      <c r="S2" s="186" t="s">
        <v>181</v>
      </c>
      <c r="T2" s="186" t="s">
        <v>180</v>
      </c>
      <c r="U2" s="186" t="s">
        <v>181</v>
      </c>
      <c r="V2" s="186" t="s">
        <v>180</v>
      </c>
    </row>
    <row r="3" spans="1:28" x14ac:dyDescent="0.25">
      <c r="A3" s="790" t="s">
        <v>179</v>
      </c>
      <c r="B3" s="790"/>
      <c r="C3" s="178">
        <f>SUM(C4,C7,C33,C49)</f>
        <v>25923332203</v>
      </c>
      <c r="D3" s="178">
        <f t="shared" ref="D3:R3" si="0">SUM(D4,D7,D33,D49)</f>
        <v>20754945656</v>
      </c>
      <c r="E3" s="178">
        <f t="shared" si="0"/>
        <v>192150929</v>
      </c>
      <c r="F3" s="178">
        <f t="shared" si="0"/>
        <v>19527155</v>
      </c>
      <c r="G3" s="178">
        <f t="shared" si="0"/>
        <v>2926129</v>
      </c>
      <c r="H3" s="178">
        <f t="shared" si="0"/>
        <v>459549</v>
      </c>
      <c r="I3" s="178">
        <f t="shared" si="0"/>
        <v>56627474</v>
      </c>
      <c r="J3" s="178">
        <f t="shared" si="0"/>
        <v>583193</v>
      </c>
      <c r="K3" s="686">
        <f t="shared" si="0"/>
        <v>16837668</v>
      </c>
      <c r="L3" s="686">
        <f t="shared" si="0"/>
        <v>3407176</v>
      </c>
      <c r="M3" s="178">
        <f t="shared" si="0"/>
        <v>5829576</v>
      </c>
      <c r="N3" s="178">
        <f t="shared" si="0"/>
        <v>32047</v>
      </c>
      <c r="O3" s="178">
        <f t="shared" si="0"/>
        <v>107137926</v>
      </c>
      <c r="P3" s="178">
        <f t="shared" si="0"/>
        <v>932805</v>
      </c>
      <c r="Q3" s="178">
        <f t="shared" si="0"/>
        <v>46917468</v>
      </c>
      <c r="R3" s="178">
        <f t="shared" si="0"/>
        <v>3670478</v>
      </c>
      <c r="S3" s="178">
        <f>SUM(S4,S7,S33,S49)</f>
        <v>24687806</v>
      </c>
      <c r="T3" s="178">
        <f>SUM(T4,T7,T33,T49)</f>
        <v>5283620</v>
      </c>
      <c r="U3" s="178">
        <f>SUM(U4,U7,U33,U49)</f>
        <v>52246986</v>
      </c>
      <c r="V3" s="178">
        <f>SUM(V4,V7,V33,V49)</f>
        <v>4597887</v>
      </c>
    </row>
    <row r="4" spans="1:28" x14ac:dyDescent="0.25">
      <c r="A4" s="182"/>
      <c r="B4" s="182" t="s">
        <v>178</v>
      </c>
      <c r="C4" s="178">
        <f>SUM(C5:C6)</f>
        <v>82836888</v>
      </c>
      <c r="D4" s="178">
        <f t="shared" ref="D4:R4" si="1">SUM(D5:D6)</f>
        <v>13679790</v>
      </c>
      <c r="E4" s="178">
        <f t="shared" si="1"/>
        <v>92452258</v>
      </c>
      <c r="F4" s="178">
        <f t="shared" si="1"/>
        <v>1639971</v>
      </c>
      <c r="G4" s="178">
        <f t="shared" si="1"/>
        <v>423122</v>
      </c>
      <c r="H4" s="178">
        <f t="shared" si="1"/>
        <v>139926</v>
      </c>
      <c r="I4" s="178">
        <f t="shared" si="1"/>
        <v>358750</v>
      </c>
      <c r="J4" s="178">
        <f t="shared" si="1"/>
        <v>0</v>
      </c>
      <c r="K4" s="686">
        <f t="shared" si="1"/>
        <v>222442</v>
      </c>
      <c r="L4" s="686">
        <f t="shared" si="1"/>
        <v>0</v>
      </c>
      <c r="M4" s="178">
        <f t="shared" si="1"/>
        <v>0</v>
      </c>
      <c r="N4" s="178">
        <f t="shared" si="1"/>
        <v>0</v>
      </c>
      <c r="O4" s="178">
        <f t="shared" si="1"/>
        <v>99833336</v>
      </c>
      <c r="P4" s="178">
        <f t="shared" si="1"/>
        <v>0</v>
      </c>
      <c r="Q4" s="178">
        <f t="shared" si="1"/>
        <v>1000112</v>
      </c>
      <c r="R4" s="178">
        <f t="shared" si="1"/>
        <v>134438</v>
      </c>
      <c r="S4" s="178">
        <f>SUM(S5:S6)</f>
        <v>278750</v>
      </c>
      <c r="T4" s="178">
        <f>SUM(T5:T6)</f>
        <v>0</v>
      </c>
      <c r="U4" s="178">
        <f>SUM(U5:U6)</f>
        <v>25000</v>
      </c>
      <c r="V4" s="178">
        <f>SUM(V5:V6)</f>
        <v>0</v>
      </c>
    </row>
    <row r="5" spans="1:28" x14ac:dyDescent="0.25">
      <c r="A5" s="180"/>
      <c r="B5" s="185" t="s">
        <v>177</v>
      </c>
      <c r="C5" s="179"/>
      <c r="D5" s="179"/>
      <c r="E5" s="179"/>
      <c r="F5" s="179"/>
      <c r="G5" s="179"/>
      <c r="H5" s="179"/>
      <c r="I5" s="179"/>
      <c r="J5" s="179"/>
      <c r="K5" s="687"/>
      <c r="L5" s="687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1:28" x14ac:dyDescent="0.25">
      <c r="A6" s="180"/>
      <c r="B6" s="185" t="s">
        <v>176</v>
      </c>
      <c r="C6" s="179">
        <v>82836888</v>
      </c>
      <c r="D6" s="687">
        <v>13679790</v>
      </c>
      <c r="E6" s="179">
        <f>3175672+240700+58615408+224488+30195990</f>
        <v>92452258</v>
      </c>
      <c r="F6" s="179">
        <f>E6-60616297-30195990</f>
        <v>1639971</v>
      </c>
      <c r="G6" s="179">
        <f>357874+65248</f>
        <v>423122</v>
      </c>
      <c r="H6" s="179">
        <f>G6-283196</f>
        <v>139926</v>
      </c>
      <c r="I6" s="179">
        <f>48750+310000</f>
        <v>358750</v>
      </c>
      <c r="J6" s="179">
        <f>I6-310000-48750</f>
        <v>0</v>
      </c>
      <c r="K6" s="687">
        <f>222442</f>
        <v>222442</v>
      </c>
      <c r="L6" s="687">
        <f>K6-222442</f>
        <v>0</v>
      </c>
      <c r="M6" s="179"/>
      <c r="N6" s="179"/>
      <c r="O6" s="687">
        <f>667647+99165689</f>
        <v>99833336</v>
      </c>
      <c r="P6" s="687">
        <f>O6-667647-99165689</f>
        <v>0</v>
      </c>
      <c r="Q6" s="179">
        <f>350000+240000+410112</f>
        <v>1000112</v>
      </c>
      <c r="R6" s="179">
        <f>Q6-455562-410112</f>
        <v>134438</v>
      </c>
      <c r="S6" s="179">
        <f>20000+258750</f>
        <v>278750</v>
      </c>
      <c r="T6" s="179">
        <f>S6-20000-258750</f>
        <v>0</v>
      </c>
      <c r="U6" s="179">
        <f>25000</f>
        <v>25000</v>
      </c>
      <c r="V6" s="179">
        <f>U6-25000</f>
        <v>0</v>
      </c>
    </row>
    <row r="7" spans="1:28" x14ac:dyDescent="0.25">
      <c r="A7" s="182"/>
      <c r="B7" s="182" t="s">
        <v>175</v>
      </c>
      <c r="C7" s="178">
        <f>+C8+C13+C18+C23+C28</f>
        <v>25005195405</v>
      </c>
      <c r="D7" s="178">
        <f>+D8+D13+D18+D23+D28</f>
        <v>20101650894</v>
      </c>
      <c r="E7" s="178">
        <f t="shared" ref="E7:R7" si="2">+E8+E13+E18+E23+E28</f>
        <v>99698671</v>
      </c>
      <c r="F7" s="178">
        <f t="shared" si="2"/>
        <v>17887184</v>
      </c>
      <c r="G7" s="178">
        <f t="shared" si="2"/>
        <v>2503007</v>
      </c>
      <c r="H7" s="178">
        <f t="shared" si="2"/>
        <v>319623</v>
      </c>
      <c r="I7" s="178">
        <f t="shared" si="2"/>
        <v>56268724</v>
      </c>
      <c r="J7" s="178">
        <f t="shared" si="2"/>
        <v>583193</v>
      </c>
      <c r="K7" s="686">
        <f t="shared" si="2"/>
        <v>16615226</v>
      </c>
      <c r="L7" s="686">
        <f t="shared" si="2"/>
        <v>3407176</v>
      </c>
      <c r="M7" s="178">
        <f t="shared" si="2"/>
        <v>5829576</v>
      </c>
      <c r="N7" s="178">
        <f t="shared" si="2"/>
        <v>32047</v>
      </c>
      <c r="O7" s="178">
        <f t="shared" si="2"/>
        <v>7304590</v>
      </c>
      <c r="P7" s="178">
        <f t="shared" si="2"/>
        <v>932805</v>
      </c>
      <c r="Q7" s="178">
        <f t="shared" si="2"/>
        <v>45917356</v>
      </c>
      <c r="R7" s="178">
        <f t="shared" si="2"/>
        <v>3536040</v>
      </c>
      <c r="S7" s="178">
        <f>+S8+S13+S18+S23+S28</f>
        <v>24409056</v>
      </c>
      <c r="T7" s="178">
        <f>+T8+T13+T18+T23+T28</f>
        <v>5283620</v>
      </c>
      <c r="U7" s="178">
        <f>+U8+U13+U18+U23+U28</f>
        <v>52221986</v>
      </c>
      <c r="V7" s="178">
        <f>+V8+V13+V18+V23+V28</f>
        <v>4597887</v>
      </c>
    </row>
    <row r="8" spans="1:28" ht="30" x14ac:dyDescent="0.25">
      <c r="A8" s="180"/>
      <c r="B8" s="689" t="s">
        <v>174</v>
      </c>
      <c r="C8" s="179">
        <f>SUM(C9:C12)</f>
        <v>23614238865</v>
      </c>
      <c r="D8" s="179">
        <f t="shared" ref="D8:R8" si="3">SUM(D9:D12)</f>
        <v>18954536096</v>
      </c>
      <c r="E8" s="179">
        <f t="shared" si="3"/>
        <v>0</v>
      </c>
      <c r="F8" s="179">
        <f t="shared" si="3"/>
        <v>0</v>
      </c>
      <c r="G8" s="179">
        <f t="shared" si="3"/>
        <v>0</v>
      </c>
      <c r="H8" s="179">
        <f t="shared" si="3"/>
        <v>0</v>
      </c>
      <c r="I8" s="179">
        <f t="shared" si="3"/>
        <v>0</v>
      </c>
      <c r="J8" s="179">
        <f t="shared" si="3"/>
        <v>0</v>
      </c>
      <c r="K8" s="687">
        <f t="shared" si="3"/>
        <v>0</v>
      </c>
      <c r="L8" s="687">
        <f t="shared" si="3"/>
        <v>0</v>
      </c>
      <c r="M8" s="179">
        <f t="shared" si="3"/>
        <v>0</v>
      </c>
      <c r="N8" s="179">
        <f t="shared" si="3"/>
        <v>0</v>
      </c>
      <c r="O8" s="179">
        <f t="shared" si="3"/>
        <v>0</v>
      </c>
      <c r="P8" s="179">
        <f t="shared" si="3"/>
        <v>0</v>
      </c>
      <c r="Q8" s="179">
        <f t="shared" si="3"/>
        <v>0</v>
      </c>
      <c r="R8" s="179">
        <f t="shared" si="3"/>
        <v>0</v>
      </c>
      <c r="S8" s="179">
        <f>SUM(S9:S12)</f>
        <v>0</v>
      </c>
      <c r="T8" s="179">
        <f>SUM(T9:T12)</f>
        <v>0</v>
      </c>
      <c r="U8" s="179">
        <f>SUM(U9:U12)</f>
        <v>0</v>
      </c>
      <c r="V8" s="179">
        <f>SUM(V9:V12)</f>
        <v>0</v>
      </c>
    </row>
    <row r="9" spans="1:28" ht="30" x14ac:dyDescent="0.25">
      <c r="A9" s="180"/>
      <c r="B9" s="185" t="s">
        <v>173</v>
      </c>
      <c r="C9" s="179">
        <v>16505265339</v>
      </c>
      <c r="D9" s="179">
        <v>13613066752</v>
      </c>
      <c r="E9" s="179"/>
      <c r="F9" s="179"/>
      <c r="G9" s="179"/>
      <c r="H9" s="179"/>
      <c r="I9" s="179"/>
      <c r="J9" s="179"/>
      <c r="K9" s="687"/>
      <c r="L9" s="687"/>
      <c r="M9" s="179"/>
      <c r="N9" s="179"/>
      <c r="O9" s="179"/>
      <c r="P9" s="179"/>
      <c r="Q9" s="179"/>
      <c r="R9" s="179"/>
      <c r="S9" s="179"/>
      <c r="T9" s="179"/>
      <c r="U9" s="179"/>
      <c r="V9" s="179"/>
    </row>
    <row r="10" spans="1:28" ht="30" x14ac:dyDescent="0.25">
      <c r="A10" s="180"/>
      <c r="B10" s="185" t="s">
        <v>172</v>
      </c>
      <c r="C10" s="179">
        <v>611778240</v>
      </c>
      <c r="D10" s="179">
        <v>596046239</v>
      </c>
      <c r="E10" s="179"/>
      <c r="F10" s="179"/>
      <c r="G10" s="179"/>
      <c r="H10" s="179"/>
      <c r="I10" s="179"/>
      <c r="J10" s="179"/>
      <c r="K10" s="687"/>
      <c r="L10" s="687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1:28" ht="30" x14ac:dyDescent="0.25">
      <c r="A11" s="180"/>
      <c r="B11" s="185" t="s">
        <v>171</v>
      </c>
      <c r="C11" s="179">
        <v>5453331409</v>
      </c>
      <c r="D11" s="179">
        <v>3725681194</v>
      </c>
      <c r="E11" s="179"/>
      <c r="F11" s="179"/>
      <c r="G11" s="179"/>
      <c r="H11" s="179"/>
      <c r="I11" s="179"/>
      <c r="J11" s="179"/>
      <c r="K11" s="687"/>
      <c r="L11" s="687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1:28" ht="30" x14ac:dyDescent="0.25">
      <c r="A12" s="180"/>
      <c r="B12" s="185" t="s">
        <v>170</v>
      </c>
      <c r="C12" s="179">
        <v>1043863877</v>
      </c>
      <c r="D12" s="179">
        <v>1019741911</v>
      </c>
      <c r="E12" s="179"/>
      <c r="F12" s="179"/>
      <c r="G12" s="179"/>
      <c r="H12" s="179"/>
      <c r="I12" s="179"/>
      <c r="J12" s="179"/>
      <c r="K12" s="687"/>
      <c r="L12" s="687"/>
      <c r="M12" s="179"/>
      <c r="N12" s="179"/>
      <c r="O12" s="179"/>
      <c r="P12" s="179"/>
      <c r="Q12" s="179"/>
      <c r="R12" s="179"/>
      <c r="S12" s="179"/>
      <c r="T12" s="179"/>
      <c r="U12" s="179"/>
      <c r="V12" s="179"/>
    </row>
    <row r="13" spans="1:28" ht="30" x14ac:dyDescent="0.25">
      <c r="A13" s="180"/>
      <c r="B13" s="182" t="s">
        <v>169</v>
      </c>
      <c r="C13" s="179">
        <f>SUM(C14:C17)</f>
        <v>510241451</v>
      </c>
      <c r="D13" s="179">
        <f t="shared" ref="D13:R13" si="4">SUM(D14:D17)</f>
        <v>266399709</v>
      </c>
      <c r="E13" s="179">
        <f t="shared" si="4"/>
        <v>99698671</v>
      </c>
      <c r="F13" s="179">
        <f t="shared" si="4"/>
        <v>17887184</v>
      </c>
      <c r="G13" s="179">
        <f t="shared" si="4"/>
        <v>2503007</v>
      </c>
      <c r="H13" s="179">
        <f t="shared" si="4"/>
        <v>319623</v>
      </c>
      <c r="I13" s="179">
        <f t="shared" si="4"/>
        <v>56268724</v>
      </c>
      <c r="J13" s="179">
        <f t="shared" si="4"/>
        <v>583193</v>
      </c>
      <c r="K13" s="687">
        <f t="shared" si="4"/>
        <v>16615226</v>
      </c>
      <c r="L13" s="687">
        <v>3407176</v>
      </c>
      <c r="M13" s="179">
        <f t="shared" si="4"/>
        <v>5829576</v>
      </c>
      <c r="N13" s="179">
        <f t="shared" si="4"/>
        <v>32047</v>
      </c>
      <c r="O13" s="179">
        <f t="shared" si="4"/>
        <v>7304590</v>
      </c>
      <c r="P13" s="179">
        <f t="shared" si="4"/>
        <v>932805</v>
      </c>
      <c r="Q13" s="179">
        <f t="shared" si="4"/>
        <v>45917356</v>
      </c>
      <c r="R13" s="179">
        <f t="shared" si="4"/>
        <v>3536040</v>
      </c>
      <c r="S13" s="179">
        <f>SUM(S14:S17)</f>
        <v>24409056</v>
      </c>
      <c r="T13" s="179">
        <f>SUM(T14:T17)</f>
        <v>5283620</v>
      </c>
      <c r="U13" s="179">
        <f>SUM(U14:U17)</f>
        <v>52221986</v>
      </c>
      <c r="V13" s="179">
        <f>SUM(V14:V17)</f>
        <v>4597887</v>
      </c>
    </row>
    <row r="14" spans="1:28" ht="30" x14ac:dyDescent="0.25">
      <c r="A14" s="180"/>
      <c r="B14" s="184" t="s">
        <v>168</v>
      </c>
      <c r="C14" s="179"/>
      <c r="D14" s="179"/>
      <c r="E14" s="179"/>
      <c r="F14" s="179"/>
      <c r="G14" s="179"/>
      <c r="H14" s="179"/>
      <c r="I14" s="179"/>
      <c r="J14" s="179"/>
      <c r="K14" s="687"/>
      <c r="L14" s="687"/>
      <c r="M14" s="179"/>
      <c r="N14" s="179"/>
      <c r="O14" s="179"/>
      <c r="P14" s="179"/>
      <c r="Q14" s="179"/>
      <c r="R14" s="179"/>
      <c r="S14" s="179"/>
      <c r="T14" s="179"/>
      <c r="U14" s="179"/>
      <c r="V14" s="179"/>
    </row>
    <row r="15" spans="1:28" ht="30" x14ac:dyDescent="0.25">
      <c r="A15" s="180"/>
      <c r="B15" s="184" t="s">
        <v>167</v>
      </c>
      <c r="C15" s="179"/>
      <c r="D15" s="179"/>
      <c r="E15" s="179"/>
      <c r="F15" s="179"/>
      <c r="G15" s="179"/>
      <c r="H15" s="179"/>
      <c r="I15" s="179"/>
      <c r="J15" s="179"/>
      <c r="K15" s="687"/>
      <c r="L15" s="687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Z15" s="177"/>
      <c r="AB15" s="177"/>
    </row>
    <row r="16" spans="1:28" ht="30" x14ac:dyDescent="0.25">
      <c r="A16" s="180"/>
      <c r="B16" s="184" t="s">
        <v>166</v>
      </c>
      <c r="C16" s="179"/>
      <c r="D16" s="179"/>
      <c r="E16" s="179"/>
      <c r="F16" s="179"/>
      <c r="G16" s="179"/>
      <c r="H16" s="179"/>
      <c r="I16" s="179"/>
      <c r="J16" s="179"/>
      <c r="K16" s="687"/>
      <c r="L16" s="687"/>
      <c r="M16" s="179"/>
      <c r="N16" s="179"/>
      <c r="O16" s="179"/>
      <c r="P16" s="179"/>
      <c r="Q16" s="179"/>
      <c r="R16" s="179"/>
      <c r="S16" s="179"/>
      <c r="T16" s="179"/>
      <c r="U16" s="179"/>
      <c r="V16" s="179"/>
    </row>
    <row r="17" spans="1:22" ht="30" x14ac:dyDescent="0.25">
      <c r="A17" s="180"/>
      <c r="B17" s="184" t="s">
        <v>165</v>
      </c>
      <c r="C17" s="179">
        <v>510241451</v>
      </c>
      <c r="D17" s="179">
        <v>266399709</v>
      </c>
      <c r="E17" s="179">
        <f>8289269+16052407+1730025+3882008+26248494+1113937+39028564+322803+3031164</f>
        <v>99698671</v>
      </c>
      <c r="F17" s="179">
        <f>E17-32040771-46679992-3090724</f>
        <v>17887184</v>
      </c>
      <c r="G17" s="179">
        <f>613517+277716+1611774</f>
        <v>2503007</v>
      </c>
      <c r="H17" s="179">
        <f>G17-277716-1905668</f>
        <v>319623</v>
      </c>
      <c r="I17" s="179">
        <f>1686938+7211619+46893543+476624</f>
        <v>56268724</v>
      </c>
      <c r="J17" s="179">
        <f>I17-7211619-48473912</f>
        <v>583193</v>
      </c>
      <c r="K17" s="687">
        <f>355000+6952950+2217368+6857099+232809</f>
        <v>16615226</v>
      </c>
      <c r="L17" s="687">
        <v>3407176</v>
      </c>
      <c r="M17" s="179">
        <f>119998+3432612+176378+1878044+222544</f>
        <v>5829576</v>
      </c>
      <c r="N17" s="179">
        <f>M17-3608990-2188539</f>
        <v>32047</v>
      </c>
      <c r="O17" s="179">
        <f>312000+1393375+3439008+206692+1866421+87094</f>
        <v>7304590</v>
      </c>
      <c r="P17" s="179">
        <f>O17-3678422-2693363</f>
        <v>932805</v>
      </c>
      <c r="Q17" s="179">
        <f>411900+6136826+7279944+15354+23508522+878350+7686460</f>
        <v>45917356</v>
      </c>
      <c r="R17" s="179">
        <f>Q17-7460182-27234674-7686460</f>
        <v>3536040</v>
      </c>
      <c r="S17" s="179">
        <f>325000+9615162+2666452+11539234+263208</f>
        <v>24409056</v>
      </c>
      <c r="T17" s="179">
        <f>S17-2702888-16422548</f>
        <v>5283620</v>
      </c>
      <c r="U17" s="179">
        <f>35144506+1319651+1928055+655119+13137647+37008</f>
        <v>52221986</v>
      </c>
      <c r="V17" s="179">
        <f>U17-2221756-45402343</f>
        <v>4597887</v>
      </c>
    </row>
    <row r="18" spans="1:22" x14ac:dyDescent="0.25">
      <c r="A18" s="180"/>
      <c r="B18" s="182" t="s">
        <v>164</v>
      </c>
      <c r="C18" s="179">
        <f>SUM(C19:C22)</f>
        <v>0</v>
      </c>
      <c r="D18" s="179">
        <f t="shared" ref="D18:R18" si="5">SUM(D19:D22)</f>
        <v>0</v>
      </c>
      <c r="E18" s="179">
        <f t="shared" si="5"/>
        <v>0</v>
      </c>
      <c r="F18" s="179">
        <f t="shared" si="5"/>
        <v>0</v>
      </c>
      <c r="G18" s="179">
        <f t="shared" si="5"/>
        <v>0</v>
      </c>
      <c r="H18" s="179">
        <f t="shared" si="5"/>
        <v>0</v>
      </c>
      <c r="I18" s="179">
        <f t="shared" si="5"/>
        <v>0</v>
      </c>
      <c r="J18" s="179">
        <f t="shared" si="5"/>
        <v>0</v>
      </c>
      <c r="K18" s="687">
        <f t="shared" si="5"/>
        <v>0</v>
      </c>
      <c r="L18" s="687">
        <f t="shared" si="5"/>
        <v>0</v>
      </c>
      <c r="M18" s="179">
        <f t="shared" si="5"/>
        <v>0</v>
      </c>
      <c r="N18" s="179">
        <f t="shared" si="5"/>
        <v>0</v>
      </c>
      <c r="O18" s="179">
        <f t="shared" si="5"/>
        <v>0</v>
      </c>
      <c r="P18" s="179">
        <f t="shared" si="5"/>
        <v>0</v>
      </c>
      <c r="Q18" s="179">
        <f t="shared" si="5"/>
        <v>0</v>
      </c>
      <c r="R18" s="179">
        <f t="shared" si="5"/>
        <v>0</v>
      </c>
      <c r="S18" s="179">
        <f>SUM(S19:S22)</f>
        <v>0</v>
      </c>
      <c r="T18" s="179">
        <f>SUM(T19:T22)</f>
        <v>0</v>
      </c>
      <c r="U18" s="179">
        <f>SUM(U19:U22)</f>
        <v>0</v>
      </c>
      <c r="V18" s="179">
        <f>SUM(V19:V22)</f>
        <v>0</v>
      </c>
    </row>
    <row r="19" spans="1:22" x14ac:dyDescent="0.25">
      <c r="A19" s="180"/>
      <c r="B19" s="184" t="s">
        <v>163</v>
      </c>
      <c r="C19" s="179"/>
      <c r="D19" s="179"/>
      <c r="E19" s="179"/>
      <c r="F19" s="179"/>
      <c r="G19" s="179"/>
      <c r="H19" s="179"/>
      <c r="I19" s="179"/>
      <c r="J19" s="179"/>
      <c r="K19" s="687"/>
      <c r="L19" s="687"/>
      <c r="M19" s="179"/>
      <c r="N19" s="179"/>
      <c r="O19" s="179"/>
      <c r="P19" s="179"/>
      <c r="Q19" s="179"/>
      <c r="R19" s="179"/>
      <c r="S19" s="179"/>
      <c r="T19" s="179"/>
      <c r="U19" s="179"/>
      <c r="V19" s="179"/>
    </row>
    <row r="20" spans="1:22" ht="30" x14ac:dyDescent="0.25">
      <c r="A20" s="180"/>
      <c r="B20" s="184" t="s">
        <v>162</v>
      </c>
      <c r="C20" s="179"/>
      <c r="D20" s="179"/>
      <c r="E20" s="179"/>
      <c r="F20" s="179"/>
      <c r="G20" s="179"/>
      <c r="H20" s="179"/>
      <c r="I20" s="179"/>
      <c r="J20" s="179"/>
      <c r="K20" s="687"/>
      <c r="L20" s="687"/>
      <c r="M20" s="179"/>
      <c r="N20" s="179"/>
      <c r="O20" s="179"/>
      <c r="P20" s="179"/>
      <c r="Q20" s="179"/>
      <c r="R20" s="179"/>
      <c r="S20" s="179"/>
      <c r="T20" s="179"/>
      <c r="U20" s="179"/>
      <c r="V20" s="179"/>
    </row>
    <row r="21" spans="1:22" x14ac:dyDescent="0.25">
      <c r="A21" s="180"/>
      <c r="B21" s="184" t="s">
        <v>161</v>
      </c>
      <c r="C21" s="179"/>
      <c r="D21" s="179"/>
      <c r="E21" s="179"/>
      <c r="F21" s="179"/>
      <c r="G21" s="179"/>
      <c r="H21" s="179"/>
      <c r="I21" s="179"/>
      <c r="J21" s="179"/>
      <c r="K21" s="687"/>
      <c r="L21" s="687"/>
      <c r="M21" s="179"/>
      <c r="N21" s="179"/>
      <c r="O21" s="179"/>
      <c r="P21" s="179"/>
      <c r="Q21" s="179"/>
      <c r="R21" s="179"/>
      <c r="S21" s="179"/>
      <c r="T21" s="179"/>
      <c r="U21" s="179"/>
      <c r="V21" s="179"/>
    </row>
    <row r="22" spans="1:22" x14ac:dyDescent="0.25">
      <c r="A22" s="180"/>
      <c r="B22" s="184" t="s">
        <v>160</v>
      </c>
      <c r="C22" s="179"/>
      <c r="D22" s="179"/>
      <c r="E22" s="179"/>
      <c r="F22" s="179"/>
      <c r="G22" s="179"/>
      <c r="H22" s="179"/>
      <c r="I22" s="179"/>
      <c r="J22" s="179"/>
      <c r="K22" s="687"/>
      <c r="L22" s="687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x14ac:dyDescent="0.25">
      <c r="A23" s="180"/>
      <c r="B23" s="182" t="s">
        <v>159</v>
      </c>
      <c r="C23" s="179">
        <f>SUM(C24:C27)</f>
        <v>296192352</v>
      </c>
      <c r="D23" s="179">
        <f t="shared" ref="D23:R23" si="6">SUM(D24:D27)</f>
        <v>296192352</v>
      </c>
      <c r="E23" s="179">
        <f t="shared" si="6"/>
        <v>0</v>
      </c>
      <c r="F23" s="179">
        <f t="shared" si="6"/>
        <v>0</v>
      </c>
      <c r="G23" s="179">
        <f t="shared" si="6"/>
        <v>0</v>
      </c>
      <c r="H23" s="179">
        <f t="shared" si="6"/>
        <v>0</v>
      </c>
      <c r="I23" s="179">
        <f t="shared" si="6"/>
        <v>0</v>
      </c>
      <c r="J23" s="179">
        <f t="shared" si="6"/>
        <v>0</v>
      </c>
      <c r="K23" s="687">
        <f t="shared" si="6"/>
        <v>0</v>
      </c>
      <c r="L23" s="687">
        <f t="shared" si="6"/>
        <v>0</v>
      </c>
      <c r="M23" s="179">
        <f t="shared" si="6"/>
        <v>0</v>
      </c>
      <c r="N23" s="179">
        <f t="shared" si="6"/>
        <v>0</v>
      </c>
      <c r="O23" s="179">
        <f t="shared" si="6"/>
        <v>0</v>
      </c>
      <c r="P23" s="179">
        <f t="shared" si="6"/>
        <v>0</v>
      </c>
      <c r="Q23" s="179">
        <f t="shared" si="6"/>
        <v>0</v>
      </c>
      <c r="R23" s="179">
        <f t="shared" si="6"/>
        <v>0</v>
      </c>
      <c r="S23" s="179">
        <f>SUM(S24:S27)</f>
        <v>0</v>
      </c>
      <c r="T23" s="179">
        <f>SUM(T24:T27)</f>
        <v>0</v>
      </c>
      <c r="U23" s="179">
        <f>SUM(U24:U27)</f>
        <v>0</v>
      </c>
      <c r="V23" s="179">
        <f>SUM(V24:V27)</f>
        <v>0</v>
      </c>
    </row>
    <row r="24" spans="1:22" x14ac:dyDescent="0.25">
      <c r="A24" s="180"/>
      <c r="B24" s="184" t="s">
        <v>158</v>
      </c>
      <c r="C24" s="179">
        <f>60076905+116846930+119268517</f>
        <v>296192352</v>
      </c>
      <c r="D24" s="179">
        <f>60076905+116846930+119268517</f>
        <v>296192352</v>
      </c>
      <c r="E24" s="179"/>
      <c r="F24" s="179"/>
      <c r="G24" s="179"/>
      <c r="H24" s="179"/>
      <c r="I24" s="179"/>
      <c r="J24" s="179"/>
      <c r="K24" s="687"/>
      <c r="L24" s="687"/>
      <c r="M24" s="179"/>
      <c r="N24" s="179"/>
      <c r="O24" s="179"/>
      <c r="P24" s="179"/>
      <c r="Q24" s="179"/>
      <c r="R24" s="179"/>
      <c r="S24" s="179"/>
      <c r="T24" s="179"/>
      <c r="U24" s="179"/>
      <c r="V24" s="179"/>
    </row>
    <row r="25" spans="1:22" ht="30" x14ac:dyDescent="0.25">
      <c r="A25" s="180"/>
      <c r="B25" s="184" t="s">
        <v>157</v>
      </c>
      <c r="C25" s="179"/>
      <c r="D25" s="179"/>
      <c r="E25" s="179"/>
      <c r="F25" s="179"/>
      <c r="G25" s="179"/>
      <c r="H25" s="179"/>
      <c r="I25" s="179"/>
      <c r="J25" s="179"/>
      <c r="K25" s="687"/>
      <c r="L25" s="687"/>
      <c r="M25" s="179"/>
      <c r="N25" s="179"/>
      <c r="O25" s="179"/>
      <c r="P25" s="179"/>
      <c r="Q25" s="179"/>
      <c r="R25" s="179"/>
      <c r="S25" s="179"/>
      <c r="T25" s="179"/>
      <c r="U25" s="179"/>
      <c r="V25" s="179"/>
    </row>
    <row r="26" spans="1:22" ht="30" x14ac:dyDescent="0.25">
      <c r="A26" s="180"/>
      <c r="B26" s="184" t="s">
        <v>156</v>
      </c>
      <c r="C26" s="179"/>
      <c r="D26" s="179"/>
      <c r="E26" s="179"/>
      <c r="F26" s="179"/>
      <c r="G26" s="179"/>
      <c r="H26" s="179"/>
      <c r="I26" s="179"/>
      <c r="J26" s="179"/>
      <c r="K26" s="687"/>
      <c r="L26" s="687"/>
      <c r="M26" s="179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x14ac:dyDescent="0.25">
      <c r="A27" s="180"/>
      <c r="B27" s="184" t="s">
        <v>155</v>
      </c>
      <c r="C27" s="179"/>
      <c r="D27" s="179"/>
      <c r="E27" s="179"/>
      <c r="F27" s="179"/>
      <c r="G27" s="179"/>
      <c r="H27" s="179"/>
      <c r="I27" s="179"/>
      <c r="J27" s="179"/>
      <c r="K27" s="687"/>
      <c r="L27" s="687"/>
      <c r="M27" s="179"/>
      <c r="N27" s="179"/>
      <c r="O27" s="179"/>
      <c r="P27" s="179"/>
      <c r="Q27" s="179"/>
      <c r="R27" s="179"/>
      <c r="S27" s="179"/>
      <c r="T27" s="179"/>
      <c r="U27" s="179"/>
      <c r="V27" s="179"/>
    </row>
    <row r="28" spans="1:22" x14ac:dyDescent="0.25">
      <c r="A28" s="180"/>
      <c r="B28" s="182" t="s">
        <v>154</v>
      </c>
      <c r="C28" s="179">
        <f>SUM(C29:C32)</f>
        <v>584522737</v>
      </c>
      <c r="D28" s="179">
        <f t="shared" ref="D28:R28" si="7">SUM(D29:D32)</f>
        <v>584522737</v>
      </c>
      <c r="E28" s="179">
        <f t="shared" si="7"/>
        <v>0</v>
      </c>
      <c r="F28" s="179">
        <f t="shared" si="7"/>
        <v>0</v>
      </c>
      <c r="G28" s="179">
        <f t="shared" si="7"/>
        <v>0</v>
      </c>
      <c r="H28" s="179">
        <f t="shared" si="7"/>
        <v>0</v>
      </c>
      <c r="I28" s="179">
        <f t="shared" si="7"/>
        <v>0</v>
      </c>
      <c r="J28" s="179">
        <f t="shared" si="7"/>
        <v>0</v>
      </c>
      <c r="K28" s="687">
        <f t="shared" si="7"/>
        <v>0</v>
      </c>
      <c r="L28" s="687">
        <f t="shared" si="7"/>
        <v>0</v>
      </c>
      <c r="M28" s="179">
        <f t="shared" si="7"/>
        <v>0</v>
      </c>
      <c r="N28" s="179">
        <f t="shared" si="7"/>
        <v>0</v>
      </c>
      <c r="O28" s="179">
        <f t="shared" si="7"/>
        <v>0</v>
      </c>
      <c r="P28" s="179">
        <f t="shared" si="7"/>
        <v>0</v>
      </c>
      <c r="Q28" s="179">
        <f t="shared" si="7"/>
        <v>0</v>
      </c>
      <c r="R28" s="179">
        <f t="shared" si="7"/>
        <v>0</v>
      </c>
      <c r="S28" s="179">
        <f>SUM(S29:S32)</f>
        <v>0</v>
      </c>
      <c r="T28" s="179">
        <f>SUM(T29:T32)</f>
        <v>0</v>
      </c>
      <c r="U28" s="179">
        <f>SUM(U29:U32)</f>
        <v>0</v>
      </c>
      <c r="V28" s="179">
        <f>SUM(V29:V32)</f>
        <v>0</v>
      </c>
    </row>
    <row r="29" spans="1:22" ht="30" x14ac:dyDescent="0.25">
      <c r="A29" s="180"/>
      <c r="B29" s="184" t="s">
        <v>153</v>
      </c>
      <c r="C29" s="179">
        <v>584522737</v>
      </c>
      <c r="D29" s="179">
        <v>584522737</v>
      </c>
      <c r="E29" s="179"/>
      <c r="F29" s="179"/>
      <c r="G29" s="179"/>
      <c r="H29" s="179"/>
      <c r="I29" s="179"/>
      <c r="J29" s="179"/>
      <c r="K29" s="687"/>
      <c r="L29" s="687"/>
      <c r="M29" s="179"/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 ht="30" x14ac:dyDescent="0.25">
      <c r="A30" s="180"/>
      <c r="B30" s="184" t="s">
        <v>152</v>
      </c>
      <c r="C30" s="179"/>
      <c r="D30" s="179"/>
      <c r="E30" s="179"/>
      <c r="F30" s="179"/>
      <c r="G30" s="179"/>
      <c r="H30" s="179"/>
      <c r="I30" s="179"/>
      <c r="J30" s="179"/>
      <c r="K30" s="687"/>
      <c r="L30" s="687"/>
      <c r="M30" s="179"/>
      <c r="N30" s="179"/>
      <c r="O30" s="179"/>
      <c r="P30" s="179"/>
      <c r="Q30" s="179"/>
      <c r="R30" s="179"/>
      <c r="S30" s="179"/>
      <c r="T30" s="179"/>
      <c r="U30" s="179"/>
      <c r="V30" s="179"/>
    </row>
    <row r="31" spans="1:22" ht="30" x14ac:dyDescent="0.25">
      <c r="A31" s="180"/>
      <c r="B31" s="184" t="s">
        <v>151</v>
      </c>
      <c r="C31" s="179"/>
      <c r="D31" s="179"/>
      <c r="E31" s="179"/>
      <c r="F31" s="179"/>
      <c r="G31" s="179"/>
      <c r="H31" s="179"/>
      <c r="I31" s="179"/>
      <c r="J31" s="179"/>
      <c r="K31" s="687"/>
      <c r="L31" s="687"/>
      <c r="M31" s="179"/>
      <c r="N31" s="179"/>
      <c r="O31" s="179"/>
      <c r="P31" s="179"/>
      <c r="Q31" s="179"/>
      <c r="R31" s="179"/>
      <c r="S31" s="179"/>
      <c r="T31" s="179"/>
      <c r="U31" s="179"/>
      <c r="V31" s="179"/>
    </row>
    <row r="32" spans="1:22" ht="30" x14ac:dyDescent="0.25">
      <c r="A32" s="180"/>
      <c r="B32" s="184" t="s">
        <v>150</v>
      </c>
      <c r="C32" s="179"/>
      <c r="D32" s="179"/>
      <c r="E32" s="179"/>
      <c r="F32" s="179"/>
      <c r="G32" s="179"/>
      <c r="H32" s="179"/>
      <c r="I32" s="179"/>
      <c r="J32" s="179"/>
      <c r="K32" s="687"/>
      <c r="L32" s="687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22" x14ac:dyDescent="0.25">
      <c r="A33" s="182"/>
      <c r="B33" s="183" t="s">
        <v>149</v>
      </c>
      <c r="C33" s="178">
        <f>SUM(C34,C39,C44)</f>
        <v>404033200</v>
      </c>
      <c r="D33" s="178">
        <f t="shared" ref="D33:R33" si="8">SUM(D34,D39,D44)</f>
        <v>256613200</v>
      </c>
      <c r="E33" s="178">
        <f t="shared" si="8"/>
        <v>0</v>
      </c>
      <c r="F33" s="178">
        <f t="shared" si="8"/>
        <v>0</v>
      </c>
      <c r="G33" s="178">
        <f t="shared" si="8"/>
        <v>0</v>
      </c>
      <c r="H33" s="178">
        <f t="shared" si="8"/>
        <v>0</v>
      </c>
      <c r="I33" s="178">
        <f t="shared" si="8"/>
        <v>0</v>
      </c>
      <c r="J33" s="178">
        <f t="shared" si="8"/>
        <v>0</v>
      </c>
      <c r="K33" s="686">
        <f t="shared" si="8"/>
        <v>0</v>
      </c>
      <c r="L33" s="686">
        <f t="shared" si="8"/>
        <v>0</v>
      </c>
      <c r="M33" s="178">
        <f t="shared" si="8"/>
        <v>0</v>
      </c>
      <c r="N33" s="178">
        <f t="shared" si="8"/>
        <v>0</v>
      </c>
      <c r="O33" s="178">
        <f t="shared" si="8"/>
        <v>0</v>
      </c>
      <c r="P33" s="178">
        <f t="shared" si="8"/>
        <v>0</v>
      </c>
      <c r="Q33" s="178">
        <f t="shared" si="8"/>
        <v>0</v>
      </c>
      <c r="R33" s="178">
        <f t="shared" si="8"/>
        <v>0</v>
      </c>
      <c r="S33" s="178">
        <f>SUM(S34,S39,S44)</f>
        <v>0</v>
      </c>
      <c r="T33" s="178">
        <f>SUM(T34,T39,T44)</f>
        <v>0</v>
      </c>
      <c r="U33" s="178">
        <f>SUM(U34,U39,U44)</f>
        <v>0</v>
      </c>
      <c r="V33" s="178">
        <f>SUM(V34,V39,V44)</f>
        <v>0</v>
      </c>
    </row>
    <row r="34" spans="1:22" x14ac:dyDescent="0.25">
      <c r="A34" s="180"/>
      <c r="B34" s="182" t="s">
        <v>148</v>
      </c>
      <c r="C34" s="179">
        <f>SUM(C35:C38)</f>
        <v>404033200</v>
      </c>
      <c r="D34" s="179">
        <f t="shared" ref="D34:R34" si="9">SUM(D35:D38)</f>
        <v>256613200</v>
      </c>
      <c r="E34" s="179">
        <f t="shared" si="9"/>
        <v>0</v>
      </c>
      <c r="F34" s="179">
        <f t="shared" si="9"/>
        <v>0</v>
      </c>
      <c r="G34" s="179">
        <f t="shared" si="9"/>
        <v>0</v>
      </c>
      <c r="H34" s="179">
        <f t="shared" si="9"/>
        <v>0</v>
      </c>
      <c r="I34" s="179">
        <f t="shared" si="9"/>
        <v>0</v>
      </c>
      <c r="J34" s="179">
        <f t="shared" si="9"/>
        <v>0</v>
      </c>
      <c r="K34" s="687">
        <f t="shared" si="9"/>
        <v>0</v>
      </c>
      <c r="L34" s="687">
        <f t="shared" si="9"/>
        <v>0</v>
      </c>
      <c r="M34" s="179">
        <f t="shared" si="9"/>
        <v>0</v>
      </c>
      <c r="N34" s="179">
        <f t="shared" si="9"/>
        <v>0</v>
      </c>
      <c r="O34" s="179">
        <f t="shared" si="9"/>
        <v>0</v>
      </c>
      <c r="P34" s="179">
        <f t="shared" si="9"/>
        <v>0</v>
      </c>
      <c r="Q34" s="179">
        <f t="shared" si="9"/>
        <v>0</v>
      </c>
      <c r="R34" s="179">
        <f t="shared" si="9"/>
        <v>0</v>
      </c>
      <c r="S34" s="179">
        <f>SUM(S35:S38)</f>
        <v>0</v>
      </c>
      <c r="T34" s="179">
        <f>SUM(T35:T38)</f>
        <v>0</v>
      </c>
      <c r="U34" s="179">
        <f>SUM(U35:U38)</f>
        <v>0</v>
      </c>
      <c r="V34" s="179">
        <f>SUM(V35:V38)</f>
        <v>0</v>
      </c>
    </row>
    <row r="35" spans="1:22" x14ac:dyDescent="0.25">
      <c r="A35" s="180"/>
      <c r="B35" s="184" t="s">
        <v>147</v>
      </c>
      <c r="C35" s="179"/>
      <c r="D35" s="179"/>
      <c r="E35" s="179"/>
      <c r="F35" s="179"/>
      <c r="G35" s="179"/>
      <c r="H35" s="179"/>
      <c r="I35" s="179"/>
      <c r="J35" s="179"/>
      <c r="K35" s="687"/>
      <c r="L35" s="687"/>
      <c r="M35" s="179"/>
      <c r="N35" s="179"/>
      <c r="O35" s="179"/>
      <c r="P35" s="179"/>
      <c r="Q35" s="179"/>
      <c r="R35" s="179"/>
      <c r="S35" s="179"/>
      <c r="T35" s="179"/>
      <c r="U35" s="179"/>
      <c r="V35" s="179"/>
    </row>
    <row r="36" spans="1:22" ht="30" x14ac:dyDescent="0.25">
      <c r="A36" s="180"/>
      <c r="B36" s="184" t="s">
        <v>146</v>
      </c>
      <c r="C36" s="179"/>
      <c r="D36" s="179"/>
      <c r="E36" s="179"/>
      <c r="F36" s="179"/>
      <c r="G36" s="179"/>
      <c r="H36" s="179"/>
      <c r="I36" s="179"/>
      <c r="J36" s="179"/>
      <c r="K36" s="687"/>
      <c r="L36" s="687"/>
      <c r="M36" s="179"/>
      <c r="N36" s="179"/>
      <c r="O36" s="179"/>
      <c r="P36" s="179"/>
      <c r="Q36" s="179"/>
      <c r="R36" s="179"/>
      <c r="S36" s="179"/>
      <c r="T36" s="179"/>
      <c r="U36" s="179"/>
      <c r="V36" s="179"/>
    </row>
    <row r="37" spans="1:22" x14ac:dyDescent="0.25">
      <c r="A37" s="180"/>
      <c r="B37" s="184" t="s">
        <v>145</v>
      </c>
      <c r="C37" s="179"/>
      <c r="D37" s="179"/>
      <c r="E37" s="179"/>
      <c r="F37" s="179"/>
      <c r="G37" s="179"/>
      <c r="H37" s="179"/>
      <c r="I37" s="179"/>
      <c r="J37" s="179"/>
      <c r="K37" s="687"/>
      <c r="L37" s="687"/>
      <c r="M37" s="179"/>
      <c r="N37" s="179"/>
      <c r="O37" s="179"/>
      <c r="P37" s="179"/>
      <c r="Q37" s="179"/>
      <c r="R37" s="179"/>
      <c r="S37" s="179"/>
      <c r="T37" s="179"/>
      <c r="U37" s="179"/>
      <c r="V37" s="179"/>
    </row>
    <row r="38" spans="1:22" x14ac:dyDescent="0.25">
      <c r="A38" s="180"/>
      <c r="B38" s="184" t="s">
        <v>144</v>
      </c>
      <c r="C38" s="179">
        <v>404033200</v>
      </c>
      <c r="D38" s="179">
        <v>256613200</v>
      </c>
      <c r="E38" s="179"/>
      <c r="F38" s="179"/>
      <c r="G38" s="179"/>
      <c r="H38" s="179"/>
      <c r="I38" s="179"/>
      <c r="J38" s="179"/>
      <c r="K38" s="687"/>
      <c r="L38" s="687"/>
      <c r="M38" s="179"/>
      <c r="N38" s="179"/>
      <c r="O38" s="179"/>
      <c r="P38" s="179"/>
      <c r="Q38" s="179"/>
      <c r="R38" s="179"/>
      <c r="S38" s="179"/>
      <c r="T38" s="179"/>
      <c r="U38" s="179"/>
      <c r="V38" s="179"/>
    </row>
    <row r="39" spans="1:22" ht="30" x14ac:dyDescent="0.25">
      <c r="A39" s="180"/>
      <c r="B39" s="182" t="s">
        <v>143</v>
      </c>
      <c r="C39" s="179">
        <f>SUM(C40:C43)</f>
        <v>0</v>
      </c>
      <c r="D39" s="179">
        <f t="shared" ref="D39:R39" si="10">SUM(D40:D43)</f>
        <v>0</v>
      </c>
      <c r="E39" s="179">
        <f t="shared" si="10"/>
        <v>0</v>
      </c>
      <c r="F39" s="179">
        <f t="shared" si="10"/>
        <v>0</v>
      </c>
      <c r="G39" s="179">
        <f t="shared" si="10"/>
        <v>0</v>
      </c>
      <c r="H39" s="179">
        <f t="shared" si="10"/>
        <v>0</v>
      </c>
      <c r="I39" s="179">
        <f t="shared" si="10"/>
        <v>0</v>
      </c>
      <c r="J39" s="179">
        <f t="shared" si="10"/>
        <v>0</v>
      </c>
      <c r="K39" s="687">
        <f t="shared" si="10"/>
        <v>0</v>
      </c>
      <c r="L39" s="687">
        <f t="shared" si="10"/>
        <v>0</v>
      </c>
      <c r="M39" s="179">
        <f t="shared" si="10"/>
        <v>0</v>
      </c>
      <c r="N39" s="179">
        <f t="shared" si="10"/>
        <v>0</v>
      </c>
      <c r="O39" s="179">
        <f t="shared" si="10"/>
        <v>0</v>
      </c>
      <c r="P39" s="179">
        <f t="shared" si="10"/>
        <v>0</v>
      </c>
      <c r="Q39" s="179">
        <f t="shared" si="10"/>
        <v>0</v>
      </c>
      <c r="R39" s="179">
        <f t="shared" si="10"/>
        <v>0</v>
      </c>
      <c r="S39" s="179">
        <f>SUM(S40:S43)</f>
        <v>0</v>
      </c>
      <c r="T39" s="179">
        <f>SUM(T40:T43)</f>
        <v>0</v>
      </c>
      <c r="U39" s="179">
        <f>SUM(U40:U43)</f>
        <v>0</v>
      </c>
      <c r="V39" s="179">
        <f>SUM(V40:V43)</f>
        <v>0</v>
      </c>
    </row>
    <row r="40" spans="1:22" ht="30" x14ac:dyDescent="0.25">
      <c r="A40" s="180"/>
      <c r="B40" s="184" t="s">
        <v>142</v>
      </c>
      <c r="C40" s="179"/>
      <c r="D40" s="179"/>
      <c r="E40" s="179"/>
      <c r="F40" s="179"/>
      <c r="G40" s="179"/>
      <c r="H40" s="179"/>
      <c r="I40" s="179"/>
      <c r="J40" s="179"/>
      <c r="K40" s="687"/>
      <c r="L40" s="687"/>
      <c r="M40" s="179"/>
      <c r="N40" s="179"/>
      <c r="O40" s="179"/>
      <c r="P40" s="179"/>
      <c r="Q40" s="179"/>
      <c r="R40" s="179"/>
      <c r="S40" s="179"/>
      <c r="T40" s="179"/>
      <c r="U40" s="179"/>
      <c r="V40" s="179"/>
    </row>
    <row r="41" spans="1:22" ht="30" x14ac:dyDescent="0.25">
      <c r="A41" s="180"/>
      <c r="B41" s="184" t="s">
        <v>141</v>
      </c>
      <c r="C41" s="179"/>
      <c r="D41" s="179"/>
      <c r="E41" s="179"/>
      <c r="F41" s="179"/>
      <c r="G41" s="179"/>
      <c r="H41" s="179"/>
      <c r="I41" s="179"/>
      <c r="J41" s="179"/>
      <c r="K41" s="687"/>
      <c r="L41" s="687"/>
      <c r="M41" s="179"/>
      <c r="N41" s="179"/>
      <c r="O41" s="179"/>
      <c r="P41" s="179"/>
      <c r="Q41" s="179"/>
      <c r="R41" s="179"/>
      <c r="S41" s="179"/>
      <c r="T41" s="179"/>
      <c r="U41" s="179"/>
      <c r="V41" s="179"/>
    </row>
    <row r="42" spans="1:22" ht="30" x14ac:dyDescent="0.25">
      <c r="A42" s="180"/>
      <c r="B42" s="184" t="s">
        <v>140</v>
      </c>
      <c r="C42" s="179"/>
      <c r="D42" s="179"/>
      <c r="E42" s="179"/>
      <c r="F42" s="179"/>
      <c r="G42" s="179"/>
      <c r="H42" s="179"/>
      <c r="I42" s="179"/>
      <c r="J42" s="179"/>
      <c r="K42" s="687"/>
      <c r="L42" s="687"/>
      <c r="M42" s="179"/>
      <c r="N42" s="179"/>
      <c r="O42" s="179"/>
      <c r="P42" s="179"/>
      <c r="Q42" s="179"/>
      <c r="R42" s="179"/>
      <c r="S42" s="179"/>
      <c r="T42" s="179"/>
      <c r="U42" s="179"/>
      <c r="V42" s="179"/>
    </row>
    <row r="43" spans="1:22" ht="30" x14ac:dyDescent="0.25">
      <c r="A43" s="180"/>
      <c r="B43" s="184" t="s">
        <v>139</v>
      </c>
      <c r="C43" s="179"/>
      <c r="D43" s="179"/>
      <c r="E43" s="179"/>
      <c r="F43" s="179"/>
      <c r="G43" s="179"/>
      <c r="H43" s="179"/>
      <c r="I43" s="179"/>
      <c r="J43" s="179"/>
      <c r="K43" s="687"/>
      <c r="L43" s="687"/>
      <c r="M43" s="179"/>
      <c r="N43" s="179"/>
      <c r="O43" s="179"/>
      <c r="P43" s="179"/>
      <c r="Q43" s="179"/>
      <c r="R43" s="179"/>
      <c r="S43" s="179"/>
      <c r="T43" s="179"/>
      <c r="U43" s="179"/>
      <c r="V43" s="179"/>
    </row>
    <row r="44" spans="1:22" ht="30" x14ac:dyDescent="0.25">
      <c r="A44" s="180"/>
      <c r="B44" s="182" t="s">
        <v>138</v>
      </c>
      <c r="C44" s="179">
        <f>SUM(C45:C48)</f>
        <v>0</v>
      </c>
      <c r="D44" s="179">
        <f t="shared" ref="D44:R44" si="11">SUM(D45:D48)</f>
        <v>0</v>
      </c>
      <c r="E44" s="179">
        <f t="shared" si="11"/>
        <v>0</v>
      </c>
      <c r="F44" s="179">
        <f t="shared" si="11"/>
        <v>0</v>
      </c>
      <c r="G44" s="179">
        <f t="shared" si="11"/>
        <v>0</v>
      </c>
      <c r="H44" s="179">
        <f t="shared" si="11"/>
        <v>0</v>
      </c>
      <c r="I44" s="179">
        <f t="shared" si="11"/>
        <v>0</v>
      </c>
      <c r="J44" s="179">
        <f t="shared" si="11"/>
        <v>0</v>
      </c>
      <c r="K44" s="687">
        <f t="shared" si="11"/>
        <v>0</v>
      </c>
      <c r="L44" s="687">
        <f t="shared" si="11"/>
        <v>0</v>
      </c>
      <c r="M44" s="179">
        <f t="shared" si="11"/>
        <v>0</v>
      </c>
      <c r="N44" s="179">
        <f t="shared" si="11"/>
        <v>0</v>
      </c>
      <c r="O44" s="179">
        <f t="shared" si="11"/>
        <v>0</v>
      </c>
      <c r="P44" s="179">
        <f t="shared" si="11"/>
        <v>0</v>
      </c>
      <c r="Q44" s="179">
        <f t="shared" si="11"/>
        <v>0</v>
      </c>
      <c r="R44" s="179">
        <f t="shared" si="11"/>
        <v>0</v>
      </c>
      <c r="S44" s="179">
        <f>SUM(S45:S48)</f>
        <v>0</v>
      </c>
      <c r="T44" s="179">
        <f>SUM(T45:T48)</f>
        <v>0</v>
      </c>
      <c r="U44" s="179">
        <f>SUM(U45:U48)</f>
        <v>0</v>
      </c>
      <c r="V44" s="179">
        <f>SUM(V45:V48)</f>
        <v>0</v>
      </c>
    </row>
    <row r="45" spans="1:22" ht="30" x14ac:dyDescent="0.25">
      <c r="A45" s="180"/>
      <c r="B45" s="184" t="s">
        <v>137</v>
      </c>
      <c r="C45" s="179"/>
      <c r="D45" s="179"/>
      <c r="E45" s="179"/>
      <c r="F45" s="179"/>
      <c r="G45" s="179"/>
      <c r="H45" s="179"/>
      <c r="I45" s="179"/>
      <c r="J45" s="179"/>
      <c r="K45" s="687"/>
      <c r="L45" s="687"/>
      <c r="M45" s="179"/>
      <c r="N45" s="179"/>
      <c r="O45" s="179"/>
      <c r="P45" s="179"/>
      <c r="Q45" s="179"/>
      <c r="R45" s="179"/>
      <c r="S45" s="179"/>
      <c r="T45" s="179"/>
      <c r="U45" s="179"/>
      <c r="V45" s="179"/>
    </row>
    <row r="46" spans="1:22" ht="30" x14ac:dyDescent="0.25">
      <c r="A46" s="180"/>
      <c r="B46" s="184" t="s">
        <v>136</v>
      </c>
      <c r="C46" s="179"/>
      <c r="D46" s="179"/>
      <c r="E46" s="179"/>
      <c r="F46" s="179"/>
      <c r="G46" s="179"/>
      <c r="H46" s="179"/>
      <c r="I46" s="179"/>
      <c r="J46" s="179"/>
      <c r="K46" s="687"/>
      <c r="L46" s="687"/>
      <c r="M46" s="179"/>
      <c r="N46" s="179"/>
      <c r="O46" s="179"/>
      <c r="P46" s="179"/>
      <c r="Q46" s="179"/>
      <c r="R46" s="179"/>
      <c r="S46" s="179"/>
      <c r="T46" s="179"/>
      <c r="U46" s="179"/>
      <c r="V46" s="179"/>
    </row>
    <row r="47" spans="1:22" ht="30" x14ac:dyDescent="0.25">
      <c r="A47" s="180"/>
      <c r="B47" s="184" t="s">
        <v>135</v>
      </c>
      <c r="C47" s="179"/>
      <c r="D47" s="179"/>
      <c r="E47" s="179"/>
      <c r="F47" s="179"/>
      <c r="G47" s="179"/>
      <c r="H47" s="179"/>
      <c r="I47" s="179"/>
      <c r="J47" s="179"/>
      <c r="K47" s="687"/>
      <c r="L47" s="687"/>
      <c r="M47" s="179"/>
      <c r="N47" s="179"/>
      <c r="O47" s="179"/>
      <c r="P47" s="179"/>
      <c r="Q47" s="179"/>
      <c r="R47" s="179"/>
      <c r="S47" s="179"/>
      <c r="T47" s="179"/>
      <c r="U47" s="179"/>
      <c r="V47" s="179"/>
    </row>
    <row r="48" spans="1:22" ht="30" x14ac:dyDescent="0.25">
      <c r="A48" s="180"/>
      <c r="B48" s="184" t="s">
        <v>134</v>
      </c>
      <c r="C48" s="179"/>
      <c r="D48" s="179"/>
      <c r="E48" s="179"/>
      <c r="F48" s="179"/>
      <c r="G48" s="179"/>
      <c r="H48" s="179"/>
      <c r="I48" s="179"/>
      <c r="J48" s="179"/>
      <c r="K48" s="687"/>
      <c r="L48" s="687"/>
      <c r="M48" s="179"/>
      <c r="N48" s="179"/>
      <c r="O48" s="179"/>
      <c r="P48" s="179"/>
      <c r="Q48" s="179"/>
      <c r="R48" s="179"/>
      <c r="S48" s="179"/>
      <c r="T48" s="179"/>
      <c r="U48" s="179"/>
      <c r="V48" s="179"/>
    </row>
    <row r="49" spans="1:22" ht="30" x14ac:dyDescent="0.25">
      <c r="A49" s="182"/>
      <c r="B49" s="183" t="s">
        <v>133</v>
      </c>
      <c r="C49" s="178">
        <f>SUM(C50:C53)</f>
        <v>431266710</v>
      </c>
      <c r="D49" s="178">
        <f t="shared" ref="D49:R49" si="12">SUM(D50:D53)</f>
        <v>383001772</v>
      </c>
      <c r="E49" s="178">
        <f t="shared" si="12"/>
        <v>0</v>
      </c>
      <c r="F49" s="178">
        <f t="shared" si="12"/>
        <v>0</v>
      </c>
      <c r="G49" s="178">
        <f t="shared" si="12"/>
        <v>0</v>
      </c>
      <c r="H49" s="178">
        <f t="shared" si="12"/>
        <v>0</v>
      </c>
      <c r="I49" s="178">
        <f t="shared" si="12"/>
        <v>0</v>
      </c>
      <c r="J49" s="178">
        <f t="shared" si="12"/>
        <v>0</v>
      </c>
      <c r="K49" s="686">
        <f t="shared" si="12"/>
        <v>0</v>
      </c>
      <c r="L49" s="686">
        <f t="shared" si="12"/>
        <v>0</v>
      </c>
      <c r="M49" s="178">
        <f t="shared" si="12"/>
        <v>0</v>
      </c>
      <c r="N49" s="178">
        <f t="shared" si="12"/>
        <v>0</v>
      </c>
      <c r="O49" s="178">
        <f t="shared" si="12"/>
        <v>0</v>
      </c>
      <c r="P49" s="178">
        <f t="shared" si="12"/>
        <v>0</v>
      </c>
      <c r="Q49" s="178">
        <f t="shared" si="12"/>
        <v>0</v>
      </c>
      <c r="R49" s="178">
        <f t="shared" si="12"/>
        <v>0</v>
      </c>
      <c r="S49" s="178">
        <f>SUM(S50:S53)</f>
        <v>0</v>
      </c>
      <c r="T49" s="178">
        <f>SUM(T50:T53)</f>
        <v>0</v>
      </c>
      <c r="U49" s="178">
        <f>SUM(U50:U53)</f>
        <v>0</v>
      </c>
      <c r="V49" s="178">
        <f>SUM(V50:V53)</f>
        <v>0</v>
      </c>
    </row>
    <row r="50" spans="1:22" ht="30" x14ac:dyDescent="0.25">
      <c r="A50" s="180"/>
      <c r="B50" s="180" t="s">
        <v>132</v>
      </c>
      <c r="C50" s="179"/>
      <c r="D50" s="179"/>
      <c r="E50" s="179"/>
      <c r="F50" s="179"/>
      <c r="G50" s="179"/>
      <c r="H50" s="179"/>
      <c r="I50" s="179"/>
      <c r="J50" s="179"/>
      <c r="K50" s="687"/>
      <c r="L50" s="687"/>
      <c r="M50" s="179"/>
      <c r="N50" s="179"/>
      <c r="O50" s="179"/>
      <c r="P50" s="179"/>
      <c r="Q50" s="179"/>
      <c r="R50" s="179"/>
      <c r="S50" s="179"/>
      <c r="T50" s="179"/>
      <c r="U50" s="179"/>
      <c r="V50" s="179"/>
    </row>
    <row r="51" spans="1:22" ht="45" x14ac:dyDescent="0.25">
      <c r="A51" s="180"/>
      <c r="B51" s="180" t="s">
        <v>131</v>
      </c>
      <c r="C51" s="179"/>
      <c r="D51" s="179"/>
      <c r="E51" s="179"/>
      <c r="F51" s="179"/>
      <c r="G51" s="179"/>
      <c r="H51" s="179"/>
      <c r="I51" s="179"/>
      <c r="J51" s="179"/>
      <c r="K51" s="687"/>
      <c r="L51" s="687"/>
      <c r="M51" s="179"/>
      <c r="N51" s="179"/>
      <c r="O51" s="179"/>
      <c r="P51" s="179"/>
      <c r="Q51" s="179"/>
      <c r="R51" s="179"/>
      <c r="S51" s="179"/>
      <c r="T51" s="179"/>
      <c r="U51" s="179"/>
      <c r="V51" s="179"/>
    </row>
    <row r="52" spans="1:22" ht="30" x14ac:dyDescent="0.25">
      <c r="A52" s="180"/>
      <c r="B52" s="180" t="s">
        <v>130</v>
      </c>
      <c r="C52" s="690">
        <v>431266710</v>
      </c>
      <c r="D52" s="179">
        <v>383001772</v>
      </c>
      <c r="E52" s="179"/>
      <c r="F52" s="179"/>
      <c r="G52" s="179"/>
      <c r="H52" s="179"/>
      <c r="I52" s="179"/>
      <c r="J52" s="179"/>
      <c r="K52" s="687"/>
      <c r="L52" s="687"/>
      <c r="M52" s="179"/>
      <c r="N52" s="179"/>
      <c r="O52" s="179"/>
      <c r="P52" s="179"/>
      <c r="Q52" s="179"/>
      <c r="R52" s="179"/>
      <c r="S52" s="179"/>
      <c r="T52" s="179"/>
      <c r="U52" s="179"/>
      <c r="V52" s="179"/>
    </row>
    <row r="53" spans="1:22" ht="30" x14ac:dyDescent="0.25">
      <c r="A53" s="180"/>
      <c r="B53" s="180" t="s">
        <v>129</v>
      </c>
      <c r="C53" s="179"/>
      <c r="D53" s="179"/>
      <c r="E53" s="179"/>
      <c r="F53" s="179"/>
      <c r="G53" s="179"/>
      <c r="H53" s="179"/>
      <c r="I53" s="179"/>
      <c r="J53" s="179"/>
      <c r="K53" s="687"/>
      <c r="L53" s="687"/>
      <c r="M53" s="179"/>
      <c r="N53" s="179"/>
      <c r="O53" s="179"/>
      <c r="P53" s="179"/>
      <c r="Q53" s="179"/>
      <c r="R53" s="179"/>
      <c r="S53" s="179"/>
      <c r="T53" s="179"/>
      <c r="U53" s="179"/>
      <c r="V53" s="179"/>
    </row>
    <row r="54" spans="1:22" ht="31.15" customHeight="1" x14ac:dyDescent="0.25">
      <c r="A54" s="790" t="s">
        <v>128</v>
      </c>
      <c r="B54" s="790"/>
      <c r="C54" s="178">
        <f>SUM(C55:C56)</f>
        <v>609220</v>
      </c>
      <c r="D54" s="178">
        <f t="shared" ref="D54:R54" si="13">SUM(D55:D56)</f>
        <v>609220</v>
      </c>
      <c r="E54" s="178">
        <f t="shared" si="13"/>
        <v>663546</v>
      </c>
      <c r="F54" s="178">
        <f t="shared" si="13"/>
        <v>663546</v>
      </c>
      <c r="G54" s="178">
        <f t="shared" si="13"/>
        <v>388269</v>
      </c>
      <c r="H54" s="178">
        <f t="shared" si="13"/>
        <v>388269</v>
      </c>
      <c r="I54" s="178">
        <f t="shared" si="13"/>
        <v>126529</v>
      </c>
      <c r="J54" s="178">
        <f t="shared" si="13"/>
        <v>126529</v>
      </c>
      <c r="K54" s="686">
        <f t="shared" si="13"/>
        <v>90544</v>
      </c>
      <c r="L54" s="686">
        <f t="shared" si="13"/>
        <v>90544</v>
      </c>
      <c r="M54" s="178">
        <f t="shared" si="13"/>
        <v>44726</v>
      </c>
      <c r="N54" s="178">
        <f t="shared" si="13"/>
        <v>44726</v>
      </c>
      <c r="O54" s="178">
        <f t="shared" si="13"/>
        <v>607897</v>
      </c>
      <c r="P54" s="178">
        <f t="shared" si="13"/>
        <v>607897</v>
      </c>
      <c r="Q54" s="178">
        <f t="shared" si="13"/>
        <v>179700</v>
      </c>
      <c r="R54" s="178">
        <f t="shared" si="13"/>
        <v>179700</v>
      </c>
      <c r="S54" s="178">
        <f>SUM(S55:S56)</f>
        <v>57207</v>
      </c>
      <c r="T54" s="178">
        <f>SUM(T55:T56)</f>
        <v>57207</v>
      </c>
      <c r="U54" s="178">
        <f>SUM(U55:U56)</f>
        <v>96619</v>
      </c>
      <c r="V54" s="178">
        <f>SUM(V55:V56)</f>
        <v>96619</v>
      </c>
    </row>
    <row r="55" spans="1:22" x14ac:dyDescent="0.25">
      <c r="A55" s="182"/>
      <c r="B55" s="182" t="s">
        <v>127</v>
      </c>
      <c r="C55" s="179">
        <v>609220</v>
      </c>
      <c r="D55" s="179">
        <v>609220</v>
      </c>
      <c r="E55" s="179">
        <v>663546</v>
      </c>
      <c r="F55" s="179">
        <v>663546</v>
      </c>
      <c r="G55" s="179">
        <v>388269</v>
      </c>
      <c r="H55" s="179">
        <v>388269</v>
      </c>
      <c r="I55" s="179">
        <v>126529</v>
      </c>
      <c r="J55" s="179">
        <v>126529</v>
      </c>
      <c r="K55" s="687">
        <v>90544</v>
      </c>
      <c r="L55" s="687">
        <v>90544</v>
      </c>
      <c r="M55" s="179">
        <v>44726</v>
      </c>
      <c r="N55" s="179">
        <v>44726</v>
      </c>
      <c r="O55" s="179">
        <v>607897</v>
      </c>
      <c r="P55" s="179">
        <v>607897</v>
      </c>
      <c r="Q55" s="179">
        <v>179700</v>
      </c>
      <c r="R55" s="179">
        <v>179700</v>
      </c>
      <c r="S55" s="179">
        <v>57207</v>
      </c>
      <c r="T55" s="179">
        <v>57207</v>
      </c>
      <c r="U55" s="179">
        <v>96619</v>
      </c>
      <c r="V55" s="179">
        <v>96619</v>
      </c>
    </row>
    <row r="56" spans="1:22" x14ac:dyDescent="0.25">
      <c r="A56" s="182"/>
      <c r="B56" s="182" t="s">
        <v>126</v>
      </c>
      <c r="C56" s="178"/>
      <c r="D56" s="178"/>
      <c r="E56" s="178"/>
      <c r="F56" s="178"/>
      <c r="G56" s="178"/>
      <c r="H56" s="178"/>
      <c r="I56" s="178"/>
      <c r="J56" s="178"/>
      <c r="K56" s="686"/>
      <c r="L56" s="686"/>
      <c r="M56" s="178"/>
      <c r="N56" s="178"/>
      <c r="O56" s="178"/>
      <c r="P56" s="178"/>
      <c r="Q56" s="178"/>
      <c r="R56" s="178"/>
      <c r="S56" s="178"/>
      <c r="T56" s="178"/>
      <c r="U56" s="178"/>
      <c r="V56" s="178"/>
    </row>
    <row r="57" spans="1:22" x14ac:dyDescent="0.25">
      <c r="A57" s="790" t="s">
        <v>125</v>
      </c>
      <c r="B57" s="790"/>
      <c r="C57" s="178">
        <f>SUM(C58:C62)</f>
        <v>1655015416</v>
      </c>
      <c r="D57" s="178">
        <f t="shared" ref="D57:R57" si="14">SUM(D58:D62)</f>
        <v>1655015416</v>
      </c>
      <c r="E57" s="178">
        <f t="shared" si="14"/>
        <v>29062454</v>
      </c>
      <c r="F57" s="178">
        <f t="shared" si="14"/>
        <v>29062454</v>
      </c>
      <c r="G57" s="178">
        <f t="shared" si="14"/>
        <v>3961775</v>
      </c>
      <c r="H57" s="178">
        <f t="shared" si="14"/>
        <v>3961775</v>
      </c>
      <c r="I57" s="178">
        <f t="shared" si="14"/>
        <v>5776918</v>
      </c>
      <c r="J57" s="178">
        <f t="shared" si="14"/>
        <v>5776918</v>
      </c>
      <c r="K57" s="686">
        <f t="shared" si="14"/>
        <v>6853780</v>
      </c>
      <c r="L57" s="686">
        <f t="shared" si="14"/>
        <v>6853780</v>
      </c>
      <c r="M57" s="178">
        <f t="shared" si="14"/>
        <v>2221441</v>
      </c>
      <c r="N57" s="178">
        <f t="shared" si="14"/>
        <v>2221441</v>
      </c>
      <c r="O57" s="178">
        <f t="shared" si="14"/>
        <v>1856338</v>
      </c>
      <c r="P57" s="178">
        <f t="shared" si="14"/>
        <v>1856338</v>
      </c>
      <c r="Q57" s="178">
        <f t="shared" si="14"/>
        <v>58654134</v>
      </c>
      <c r="R57" s="178">
        <f t="shared" si="14"/>
        <v>58654134</v>
      </c>
      <c r="S57" s="178">
        <f>SUM(S58:S62)</f>
        <v>6585887</v>
      </c>
      <c r="T57" s="178">
        <f>SUM(T58:T62)</f>
        <v>6585887</v>
      </c>
      <c r="U57" s="178">
        <f>SUM(U58:U62)</f>
        <v>1478100</v>
      </c>
      <c r="V57" s="178">
        <f>SUM(V58:V62)</f>
        <v>1478100</v>
      </c>
    </row>
    <row r="58" spans="1:22" x14ac:dyDescent="0.25">
      <c r="A58" s="180"/>
      <c r="B58" s="180" t="s">
        <v>124</v>
      </c>
      <c r="C58" s="179"/>
      <c r="D58" s="179"/>
      <c r="E58" s="179"/>
      <c r="F58" s="179"/>
      <c r="G58" s="179"/>
      <c r="H58" s="179"/>
      <c r="I58" s="179"/>
      <c r="J58" s="179"/>
      <c r="K58" s="687"/>
      <c r="L58" s="687"/>
      <c r="M58" s="179"/>
      <c r="N58" s="179"/>
      <c r="O58" s="179"/>
      <c r="P58" s="179"/>
      <c r="Q58" s="179"/>
      <c r="R58" s="179"/>
      <c r="S58" s="179"/>
      <c r="T58" s="179"/>
      <c r="U58" s="179"/>
      <c r="V58" s="179"/>
    </row>
    <row r="59" spans="1:22" x14ac:dyDescent="0.25">
      <c r="A59" s="180"/>
      <c r="B59" s="180" t="s">
        <v>123</v>
      </c>
      <c r="C59" s="179">
        <v>154670</v>
      </c>
      <c r="D59" s="179">
        <v>154670</v>
      </c>
      <c r="E59" s="179">
        <v>169204</v>
      </c>
      <c r="F59" s="179">
        <v>169204</v>
      </c>
      <c r="G59" s="179">
        <v>86765</v>
      </c>
      <c r="H59" s="179">
        <v>86765</v>
      </c>
      <c r="I59" s="179"/>
      <c r="J59" s="179"/>
      <c r="K59" s="687">
        <v>71600</v>
      </c>
      <c r="L59" s="687">
        <v>71600</v>
      </c>
      <c r="M59" s="179">
        <v>104351</v>
      </c>
      <c r="N59" s="179">
        <v>104351</v>
      </c>
      <c r="O59" s="179">
        <v>34003</v>
      </c>
      <c r="P59" s="179">
        <v>34003</v>
      </c>
      <c r="Q59" s="179">
        <v>75890</v>
      </c>
      <c r="R59" s="179">
        <v>75890</v>
      </c>
      <c r="S59" s="179">
        <v>16771</v>
      </c>
      <c r="T59" s="179">
        <v>16771</v>
      </c>
      <c r="U59" s="179">
        <v>93886</v>
      </c>
      <c r="V59" s="179">
        <v>93886</v>
      </c>
    </row>
    <row r="60" spans="1:22" x14ac:dyDescent="0.25">
      <c r="A60" s="180"/>
      <c r="B60" s="180" t="s">
        <v>122</v>
      </c>
      <c r="C60" s="179">
        <v>1654860746</v>
      </c>
      <c r="D60" s="179">
        <v>1654860746</v>
      </c>
      <c r="E60" s="179">
        <v>28893250</v>
      </c>
      <c r="F60" s="179">
        <v>28893250</v>
      </c>
      <c r="G60" s="179">
        <v>3875010</v>
      </c>
      <c r="H60" s="179">
        <v>3875010</v>
      </c>
      <c r="I60" s="179">
        <v>5776918</v>
      </c>
      <c r="J60" s="179">
        <v>5776918</v>
      </c>
      <c r="K60" s="687">
        <v>6782180</v>
      </c>
      <c r="L60" s="687">
        <v>6782180</v>
      </c>
      <c r="M60" s="179">
        <v>2117090</v>
      </c>
      <c r="N60" s="179">
        <v>2117090</v>
      </c>
      <c r="O60" s="179">
        <v>1822335</v>
      </c>
      <c r="P60" s="179">
        <v>1822335</v>
      </c>
      <c r="Q60" s="179">
        <v>58578244</v>
      </c>
      <c r="R60" s="179">
        <v>58578244</v>
      </c>
      <c r="S60" s="179">
        <v>6569116</v>
      </c>
      <c r="T60" s="179">
        <v>6569116</v>
      </c>
      <c r="U60" s="179">
        <v>1384214</v>
      </c>
      <c r="V60" s="179">
        <v>1384214</v>
      </c>
    </row>
    <row r="61" spans="1:22" x14ac:dyDescent="0.25">
      <c r="A61" s="180"/>
      <c r="B61" s="180" t="s">
        <v>121</v>
      </c>
      <c r="C61" s="179"/>
      <c r="D61" s="179"/>
      <c r="E61" s="179"/>
      <c r="F61" s="179"/>
      <c r="G61" s="179"/>
      <c r="H61" s="179"/>
      <c r="I61" s="179"/>
      <c r="J61" s="179"/>
      <c r="K61" s="687"/>
      <c r="L61" s="687"/>
      <c r="M61" s="179"/>
      <c r="N61" s="179"/>
      <c r="O61" s="179"/>
      <c r="P61" s="179"/>
      <c r="Q61" s="179"/>
      <c r="R61" s="179"/>
      <c r="S61" s="179"/>
      <c r="T61" s="179"/>
      <c r="U61" s="179"/>
      <c r="V61" s="179"/>
    </row>
    <row r="62" spans="1:22" x14ac:dyDescent="0.25">
      <c r="A62" s="180"/>
      <c r="B62" s="180" t="s">
        <v>120</v>
      </c>
      <c r="C62" s="179"/>
      <c r="D62" s="179"/>
      <c r="E62" s="179"/>
      <c r="F62" s="179"/>
      <c r="G62" s="179"/>
      <c r="H62" s="179"/>
      <c r="I62" s="179"/>
      <c r="J62" s="179"/>
      <c r="K62" s="687"/>
      <c r="L62" s="687"/>
      <c r="M62" s="179"/>
      <c r="N62" s="179"/>
      <c r="O62" s="179"/>
      <c r="P62" s="179"/>
      <c r="Q62" s="179"/>
      <c r="R62" s="179"/>
      <c r="S62" s="179"/>
      <c r="T62" s="179"/>
      <c r="U62" s="179"/>
      <c r="V62" s="179"/>
    </row>
    <row r="63" spans="1:22" x14ac:dyDescent="0.25">
      <c r="A63" s="790" t="s">
        <v>119</v>
      </c>
      <c r="B63" s="790"/>
      <c r="C63" s="178">
        <f>SUM(C64:C66)</f>
        <v>183504587</v>
      </c>
      <c r="D63" s="178">
        <f t="shared" ref="D63:R63" si="15">SUM(D64:D66)</f>
        <v>183504587</v>
      </c>
      <c r="E63" s="178">
        <f t="shared" si="15"/>
        <v>15651250</v>
      </c>
      <c r="F63" s="178">
        <f t="shared" si="15"/>
        <v>15651250</v>
      </c>
      <c r="G63" s="178">
        <f t="shared" si="15"/>
        <v>460421</v>
      </c>
      <c r="H63" s="178">
        <f t="shared" si="15"/>
        <v>460421</v>
      </c>
      <c r="I63" s="178">
        <f t="shared" si="15"/>
        <v>311411</v>
      </c>
      <c r="J63" s="178">
        <f t="shared" si="15"/>
        <v>311411</v>
      </c>
      <c r="K63" s="686">
        <f t="shared" si="15"/>
        <v>262267</v>
      </c>
      <c r="L63" s="686">
        <f t="shared" si="15"/>
        <v>262267</v>
      </c>
      <c r="M63" s="178">
        <f t="shared" si="15"/>
        <v>0</v>
      </c>
      <c r="N63" s="178">
        <f t="shared" si="15"/>
        <v>0</v>
      </c>
      <c r="O63" s="178">
        <f t="shared" si="15"/>
        <v>728157</v>
      </c>
      <c r="P63" s="178">
        <f t="shared" si="15"/>
        <v>728157</v>
      </c>
      <c r="Q63" s="178">
        <f t="shared" si="15"/>
        <v>18654023</v>
      </c>
      <c r="R63" s="178">
        <f t="shared" si="15"/>
        <v>18654023</v>
      </c>
      <c r="S63" s="178">
        <f>SUM(S64:S66)</f>
        <v>280169</v>
      </c>
      <c r="T63" s="178">
        <f>SUM(T64:T66)</f>
        <v>280169</v>
      </c>
      <c r="U63" s="178">
        <f>SUM(U64:U66)</f>
        <v>404228</v>
      </c>
      <c r="V63" s="178">
        <f>SUM(V64:V66)</f>
        <v>404228</v>
      </c>
    </row>
    <row r="64" spans="1:22" x14ac:dyDescent="0.25">
      <c r="A64" s="180"/>
      <c r="B64" s="180" t="s">
        <v>118</v>
      </c>
      <c r="C64" s="179">
        <v>134994944</v>
      </c>
      <c r="D64" s="179">
        <v>134994944</v>
      </c>
      <c r="E64" s="179">
        <v>1565057</v>
      </c>
      <c r="F64" s="179">
        <v>1565057</v>
      </c>
      <c r="G64" s="179">
        <v>352764</v>
      </c>
      <c r="H64" s="179">
        <v>352764</v>
      </c>
      <c r="I64" s="179">
        <v>36454</v>
      </c>
      <c r="J64" s="179">
        <v>36454</v>
      </c>
      <c r="K64" s="687"/>
      <c r="L64" s="687"/>
      <c r="M64" s="179"/>
      <c r="N64" s="179"/>
      <c r="O64" s="179"/>
      <c r="P64" s="179"/>
      <c r="Q64" s="179">
        <v>18379198</v>
      </c>
      <c r="R64" s="179">
        <v>18379198</v>
      </c>
      <c r="S64" s="179"/>
      <c r="T64" s="179"/>
      <c r="U64" s="179">
        <v>109228</v>
      </c>
      <c r="V64" s="179">
        <v>109228</v>
      </c>
    </row>
    <row r="65" spans="1:22" ht="30" x14ac:dyDescent="0.25">
      <c r="A65" s="180"/>
      <c r="B65" s="180" t="s">
        <v>117</v>
      </c>
      <c r="C65" s="179">
        <v>45941271</v>
      </c>
      <c r="D65" s="179">
        <v>45941271</v>
      </c>
      <c r="E65" s="179">
        <v>13320990</v>
      </c>
      <c r="F65" s="179">
        <v>13320990</v>
      </c>
      <c r="G65" s="179">
        <v>32930</v>
      </c>
      <c r="H65" s="179">
        <v>32930</v>
      </c>
      <c r="I65" s="179"/>
      <c r="J65" s="179"/>
      <c r="K65" s="687"/>
      <c r="L65" s="687"/>
      <c r="M65" s="179"/>
      <c r="N65" s="179"/>
      <c r="O65" s="179"/>
      <c r="P65" s="179"/>
      <c r="Q65" s="179"/>
      <c r="R65" s="179"/>
      <c r="S65" s="179"/>
      <c r="T65" s="179"/>
      <c r="U65" s="179">
        <v>295000</v>
      </c>
      <c r="V65" s="179">
        <v>295000</v>
      </c>
    </row>
    <row r="66" spans="1:22" x14ac:dyDescent="0.25">
      <c r="A66" s="180"/>
      <c r="B66" s="180" t="s">
        <v>116</v>
      </c>
      <c r="C66" s="179">
        <v>2568372</v>
      </c>
      <c r="D66" s="179">
        <v>2568372</v>
      </c>
      <c r="E66" s="179">
        <v>765203</v>
      </c>
      <c r="F66" s="179">
        <v>765203</v>
      </c>
      <c r="G66" s="179">
        <v>74727</v>
      </c>
      <c r="H66" s="179">
        <v>74727</v>
      </c>
      <c r="I66" s="179">
        <v>274957</v>
      </c>
      <c r="J66" s="179">
        <v>274957</v>
      </c>
      <c r="K66" s="687">
        <v>262267</v>
      </c>
      <c r="L66" s="687">
        <v>262267</v>
      </c>
      <c r="M66" s="179"/>
      <c r="N66" s="179"/>
      <c r="O66" s="179">
        <v>728157</v>
      </c>
      <c r="P66" s="179">
        <v>728157</v>
      </c>
      <c r="Q66" s="179">
        <v>274825</v>
      </c>
      <c r="R66" s="179">
        <v>274825</v>
      </c>
      <c r="S66" s="179">
        <v>280169</v>
      </c>
      <c r="T66" s="179">
        <v>280169</v>
      </c>
      <c r="U66" s="179"/>
      <c r="V66" s="179"/>
    </row>
    <row r="67" spans="1:22" ht="28.15" customHeight="1" x14ac:dyDescent="0.25">
      <c r="A67" s="790" t="s">
        <v>115</v>
      </c>
      <c r="B67" s="790"/>
      <c r="C67" s="178">
        <v>5961222</v>
      </c>
      <c r="D67" s="178">
        <v>5961222</v>
      </c>
      <c r="E67" s="178">
        <v>76000</v>
      </c>
      <c r="F67" s="178">
        <v>76000</v>
      </c>
      <c r="G67" s="178">
        <v>-26000</v>
      </c>
      <c r="H67" s="178">
        <v>-26000</v>
      </c>
      <c r="I67" s="178"/>
      <c r="J67" s="178"/>
      <c r="K67" s="686"/>
      <c r="L67" s="686"/>
      <c r="M67" s="178"/>
      <c r="N67" s="178"/>
      <c r="O67" s="178"/>
      <c r="P67" s="178">
        <v>-18078</v>
      </c>
      <c r="Q67" s="178">
        <v>21457000</v>
      </c>
      <c r="R67" s="178">
        <v>21457000</v>
      </c>
      <c r="S67" s="178"/>
      <c r="T67" s="178"/>
      <c r="U67" s="178">
        <v>-15726</v>
      </c>
      <c r="V67" s="178">
        <v>-15726</v>
      </c>
    </row>
    <row r="68" spans="1:22" ht="20.45" customHeight="1" x14ac:dyDescent="0.25">
      <c r="A68" s="790" t="s">
        <v>114</v>
      </c>
      <c r="B68" s="790"/>
      <c r="C68" s="178">
        <v>3063265</v>
      </c>
      <c r="D68" s="178">
        <v>3063265</v>
      </c>
      <c r="E68" s="178">
        <v>317758</v>
      </c>
      <c r="F68" s="178">
        <v>317758</v>
      </c>
      <c r="G68" s="178"/>
      <c r="H68" s="178"/>
      <c r="I68" s="178"/>
      <c r="J68" s="178"/>
      <c r="K68" s="686"/>
      <c r="L68" s="686"/>
      <c r="M68" s="178">
        <v>18410</v>
      </c>
      <c r="N68" s="178">
        <v>18410</v>
      </c>
      <c r="O68" s="178">
        <v>601281</v>
      </c>
      <c r="P68" s="178">
        <v>601281</v>
      </c>
      <c r="Q68" s="178">
        <v>67604</v>
      </c>
      <c r="R68" s="178">
        <v>67604</v>
      </c>
      <c r="S68" s="178"/>
      <c r="T68" s="178"/>
      <c r="U68" s="178">
        <v>14823</v>
      </c>
      <c r="V68" s="178">
        <v>14823</v>
      </c>
    </row>
    <row r="69" spans="1:22" x14ac:dyDescent="0.25">
      <c r="A69" s="789" t="s">
        <v>113</v>
      </c>
      <c r="B69" s="789"/>
      <c r="C69" s="178">
        <f>SUM(C68,C67,C63,C57,C54,C3)</f>
        <v>27771485913</v>
      </c>
      <c r="D69" s="178">
        <f t="shared" ref="D69:Q69" si="16">SUM(D68,D67,D63,D57,D54,D3)</f>
        <v>22603099366</v>
      </c>
      <c r="E69" s="178">
        <f t="shared" si="16"/>
        <v>237921937</v>
      </c>
      <c r="F69" s="178">
        <f t="shared" si="16"/>
        <v>65298163</v>
      </c>
      <c r="G69" s="178">
        <f t="shared" si="16"/>
        <v>7710594</v>
      </c>
      <c r="H69" s="178">
        <f t="shared" si="16"/>
        <v>5244014</v>
      </c>
      <c r="I69" s="178">
        <f t="shared" si="16"/>
        <v>62842332</v>
      </c>
      <c r="J69" s="178">
        <f t="shared" si="16"/>
        <v>6798051</v>
      </c>
      <c r="K69" s="686">
        <f t="shared" si="16"/>
        <v>24044259</v>
      </c>
      <c r="L69" s="686">
        <f t="shared" si="16"/>
        <v>10613767</v>
      </c>
      <c r="M69" s="178">
        <f t="shared" si="16"/>
        <v>8114153</v>
      </c>
      <c r="N69" s="178">
        <f t="shared" si="16"/>
        <v>2316624</v>
      </c>
      <c r="O69" s="178">
        <f t="shared" si="16"/>
        <v>110931599</v>
      </c>
      <c r="P69" s="178">
        <f>+P68+P63+P57+P54+P3+P67</f>
        <v>4708400</v>
      </c>
      <c r="Q69" s="178">
        <f t="shared" si="16"/>
        <v>145929929</v>
      </c>
      <c r="R69" s="178">
        <f>SUM(R68,R67,R63,R57,R54,R3)</f>
        <v>102682939</v>
      </c>
      <c r="S69" s="178">
        <f>SUM(S68,S67,S63,S57,S54,S3)</f>
        <v>31611069</v>
      </c>
      <c r="T69" s="178">
        <f>SUM(T68,T67,T63,T57,T54,T3)</f>
        <v>12206883</v>
      </c>
      <c r="U69" s="178">
        <f>SUM(U68,U67,U63,U57,U54,U3)</f>
        <v>54225030</v>
      </c>
      <c r="V69" s="178">
        <f>SUM(V68,V67,V63,V57,V54,V3)</f>
        <v>6575931</v>
      </c>
    </row>
    <row r="70" spans="1:22" x14ac:dyDescent="0.25">
      <c r="A70" s="790" t="s">
        <v>112</v>
      </c>
      <c r="B70" s="790"/>
      <c r="C70" s="178">
        <f>SUM(C71:C76)</f>
        <v>20980991396</v>
      </c>
      <c r="D70" s="178">
        <f>SUM(D71:D76)</f>
        <v>20980991396</v>
      </c>
      <c r="E70" s="178">
        <f t="shared" ref="E70:V70" si="17">SUM(E71:E76)</f>
        <v>41330432</v>
      </c>
      <c r="F70" s="178">
        <f t="shared" si="17"/>
        <v>41330432</v>
      </c>
      <c r="G70" s="178">
        <f t="shared" si="17"/>
        <v>-2946999</v>
      </c>
      <c r="H70" s="178">
        <f t="shared" si="17"/>
        <v>-2946999</v>
      </c>
      <c r="I70" s="178">
        <f t="shared" si="17"/>
        <v>-15185085</v>
      </c>
      <c r="J70" s="178">
        <f t="shared" si="17"/>
        <v>-15185085</v>
      </c>
      <c r="K70" s="686">
        <f t="shared" si="17"/>
        <v>-3358628</v>
      </c>
      <c r="L70" s="686">
        <f t="shared" si="17"/>
        <v>-3358628</v>
      </c>
      <c r="M70" s="178">
        <f t="shared" si="17"/>
        <v>-403264</v>
      </c>
      <c r="N70" s="178">
        <f t="shared" si="17"/>
        <v>-403264</v>
      </c>
      <c r="O70" s="178">
        <f t="shared" si="17"/>
        <v>2679388</v>
      </c>
      <c r="P70" s="178">
        <f t="shared" si="17"/>
        <v>2679388</v>
      </c>
      <c r="Q70" s="178">
        <f t="shared" si="17"/>
        <v>70662871</v>
      </c>
      <c r="R70" s="178">
        <f t="shared" si="17"/>
        <v>70662871</v>
      </c>
      <c r="S70" s="178">
        <f t="shared" si="17"/>
        <v>953885</v>
      </c>
      <c r="T70" s="178">
        <f t="shared" si="17"/>
        <v>953885</v>
      </c>
      <c r="U70" s="178">
        <f t="shared" si="17"/>
        <v>3570138</v>
      </c>
      <c r="V70" s="178">
        <f t="shared" si="17"/>
        <v>3570138</v>
      </c>
    </row>
    <row r="71" spans="1:22" x14ac:dyDescent="0.25">
      <c r="A71" s="180"/>
      <c r="B71" s="180" t="s">
        <v>111</v>
      </c>
      <c r="C71" s="179">
        <v>23743022163</v>
      </c>
      <c r="D71" s="179">
        <v>23743022163</v>
      </c>
      <c r="E71" s="179">
        <v>207008158</v>
      </c>
      <c r="F71" s="179">
        <v>207008158</v>
      </c>
      <c r="G71" s="179">
        <v>1534389</v>
      </c>
      <c r="H71" s="179">
        <v>1534389</v>
      </c>
      <c r="I71" s="179">
        <v>55419477</v>
      </c>
      <c r="J71" s="179">
        <v>55419477</v>
      </c>
      <c r="K71" s="687">
        <v>10525271</v>
      </c>
      <c r="L71" s="687">
        <v>10525271</v>
      </c>
      <c r="M71" s="179">
        <v>4705151</v>
      </c>
      <c r="N71" s="179">
        <v>4705151</v>
      </c>
      <c r="O71" s="179">
        <v>18790352</v>
      </c>
      <c r="P71" s="179">
        <v>18790352</v>
      </c>
      <c r="Q71" s="179">
        <v>150879576</v>
      </c>
      <c r="R71" s="179">
        <v>150879576</v>
      </c>
      <c r="S71" s="179"/>
      <c r="T71" s="179"/>
      <c r="U71" s="179"/>
      <c r="V71" s="179"/>
    </row>
    <row r="72" spans="1:22" x14ac:dyDescent="0.25">
      <c r="A72" s="180"/>
      <c r="B72" s="180" t="s">
        <v>110</v>
      </c>
      <c r="C72" s="179">
        <v>-1101490534</v>
      </c>
      <c r="D72" s="179">
        <v>-1101490534</v>
      </c>
      <c r="E72" s="179">
        <v>56599</v>
      </c>
      <c r="F72" s="179">
        <v>56599</v>
      </c>
      <c r="G72" s="179"/>
      <c r="H72" s="179"/>
      <c r="I72" s="179">
        <v>-120441</v>
      </c>
      <c r="J72" s="179">
        <v>-120441</v>
      </c>
      <c r="K72" s="687">
        <v>12938276</v>
      </c>
      <c r="L72" s="687">
        <v>12938276</v>
      </c>
      <c r="M72" s="179"/>
      <c r="N72" s="179"/>
      <c r="O72" s="179">
        <v>-1347797</v>
      </c>
      <c r="P72" s="179">
        <v>-1347797</v>
      </c>
      <c r="Q72" s="179">
        <v>-17118276</v>
      </c>
      <c r="R72" s="179">
        <v>-17118276</v>
      </c>
      <c r="S72" s="179">
        <v>5811199</v>
      </c>
      <c r="T72" s="179">
        <v>5811199</v>
      </c>
      <c r="U72" s="179">
        <v>6418258</v>
      </c>
      <c r="V72" s="179">
        <v>6418258</v>
      </c>
    </row>
    <row r="73" spans="1:22" ht="30" x14ac:dyDescent="0.25">
      <c r="A73" s="180"/>
      <c r="B73" s="180" t="s">
        <v>109</v>
      </c>
      <c r="C73" s="179">
        <v>449861622</v>
      </c>
      <c r="D73" s="179">
        <v>449861622</v>
      </c>
      <c r="E73" s="179">
        <v>2659757</v>
      </c>
      <c r="F73" s="179">
        <v>2659757</v>
      </c>
      <c r="G73" s="179">
        <v>813104</v>
      </c>
      <c r="H73" s="179">
        <v>813104</v>
      </c>
      <c r="I73" s="179">
        <v>1869708</v>
      </c>
      <c r="J73" s="179">
        <v>1869708</v>
      </c>
      <c r="K73" s="687">
        <v>61574</v>
      </c>
      <c r="L73" s="687">
        <v>61574</v>
      </c>
      <c r="M73" s="179">
        <v>591312</v>
      </c>
      <c r="N73" s="179">
        <v>591312</v>
      </c>
      <c r="O73" s="179">
        <v>759776</v>
      </c>
      <c r="P73" s="179">
        <v>759776</v>
      </c>
      <c r="Q73" s="179">
        <v>2067177</v>
      </c>
      <c r="R73" s="179">
        <v>2067177</v>
      </c>
      <c r="S73" s="179"/>
      <c r="T73" s="179"/>
      <c r="U73" s="179"/>
      <c r="V73" s="179"/>
    </row>
    <row r="74" spans="1:22" x14ac:dyDescent="0.25">
      <c r="A74" s="180"/>
      <c r="B74" s="180" t="s">
        <v>108</v>
      </c>
      <c r="C74" s="179">
        <v>-2929874036</v>
      </c>
      <c r="D74" s="179">
        <v>-2929874036</v>
      </c>
      <c r="E74" s="179">
        <v>-184233524</v>
      </c>
      <c r="F74" s="179">
        <v>-184233524</v>
      </c>
      <c r="G74" s="179">
        <v>-1914827</v>
      </c>
      <c r="H74" s="179">
        <v>-1914827</v>
      </c>
      <c r="I74" s="179">
        <v>-65444764</v>
      </c>
      <c r="J74" s="179">
        <v>-65444764</v>
      </c>
      <c r="K74" s="687">
        <v>-32246977</v>
      </c>
      <c r="L74" s="687">
        <v>-32246977</v>
      </c>
      <c r="M74" s="179">
        <v>-4558821</v>
      </c>
      <c r="N74" s="179">
        <v>-4558821</v>
      </c>
      <c r="O74" s="179">
        <v>-14255723</v>
      </c>
      <c r="P74" s="179">
        <v>-14255723</v>
      </c>
      <c r="Q74" s="179">
        <v>-85600545</v>
      </c>
      <c r="R74" s="179">
        <v>-85600545</v>
      </c>
      <c r="S74" s="179"/>
      <c r="T74" s="179"/>
      <c r="U74" s="179"/>
      <c r="V74" s="179"/>
    </row>
    <row r="75" spans="1:22" x14ac:dyDescent="0.25">
      <c r="A75" s="180"/>
      <c r="B75" s="180" t="s">
        <v>107</v>
      </c>
      <c r="C75" s="179">
        <v>584522737</v>
      </c>
      <c r="D75" s="179">
        <v>584522737</v>
      </c>
      <c r="E75" s="181"/>
      <c r="F75" s="181"/>
      <c r="G75" s="179"/>
      <c r="H75" s="179"/>
      <c r="I75" s="179"/>
      <c r="J75" s="179"/>
      <c r="K75" s="687"/>
      <c r="L75" s="687"/>
      <c r="M75" s="179"/>
      <c r="N75" s="179"/>
      <c r="O75" s="179"/>
      <c r="P75" s="179"/>
      <c r="Q75" s="179"/>
      <c r="R75" s="179"/>
      <c r="S75" s="179"/>
      <c r="T75" s="179"/>
      <c r="U75" s="179"/>
      <c r="V75" s="179"/>
    </row>
    <row r="76" spans="1:22" x14ac:dyDescent="0.25">
      <c r="A76" s="180"/>
      <c r="B76" s="180" t="s">
        <v>106</v>
      </c>
      <c r="C76" s="179">
        <v>234949444</v>
      </c>
      <c r="D76" s="179">
        <v>234949444</v>
      </c>
      <c r="E76" s="179">
        <v>15839442</v>
      </c>
      <c r="F76" s="179">
        <v>15839442</v>
      </c>
      <c r="G76" s="179">
        <v>-3379665</v>
      </c>
      <c r="H76" s="179">
        <v>-3379665</v>
      </c>
      <c r="I76" s="179">
        <v>-6909065</v>
      </c>
      <c r="J76" s="179">
        <v>-6909065</v>
      </c>
      <c r="K76" s="687">
        <v>5363228</v>
      </c>
      <c r="L76" s="687">
        <v>5363228</v>
      </c>
      <c r="M76" s="179">
        <v>-1140906</v>
      </c>
      <c r="N76" s="179">
        <v>-1140906</v>
      </c>
      <c r="O76" s="179">
        <v>-1267220</v>
      </c>
      <c r="P76" s="179">
        <v>-1267220</v>
      </c>
      <c r="Q76" s="179">
        <v>20434939</v>
      </c>
      <c r="R76" s="179">
        <v>20434939</v>
      </c>
      <c r="S76" s="179">
        <v>-4857314</v>
      </c>
      <c r="T76" s="179">
        <v>-4857314</v>
      </c>
      <c r="U76" s="179">
        <v>-2848120</v>
      </c>
      <c r="V76" s="179">
        <v>-2848120</v>
      </c>
    </row>
    <row r="77" spans="1:22" x14ac:dyDescent="0.25">
      <c r="A77" s="790" t="s">
        <v>105</v>
      </c>
      <c r="B77" s="790"/>
      <c r="C77" s="178">
        <f>SUM(C78:C80)</f>
        <v>739869380</v>
      </c>
      <c r="D77" s="178">
        <f>SUM(D78:D80)</f>
        <v>739869380</v>
      </c>
      <c r="E77" s="178">
        <f t="shared" ref="E77:V77" si="18">SUM(E78:E80)</f>
        <v>1809150</v>
      </c>
      <c r="F77" s="178">
        <f t="shared" si="18"/>
        <v>1809150</v>
      </c>
      <c r="G77" s="178">
        <f t="shared" si="18"/>
        <v>514126</v>
      </c>
      <c r="H77" s="178">
        <f t="shared" si="18"/>
        <v>514126</v>
      </c>
      <c r="I77" s="178">
        <f t="shared" si="18"/>
        <v>1356234</v>
      </c>
      <c r="J77" s="178">
        <f t="shared" si="18"/>
        <v>1356234</v>
      </c>
      <c r="K77" s="686">
        <f t="shared" si="18"/>
        <v>376934</v>
      </c>
      <c r="L77" s="686">
        <f t="shared" si="18"/>
        <v>376934</v>
      </c>
      <c r="M77" s="178">
        <f t="shared" si="18"/>
        <v>42281</v>
      </c>
      <c r="N77" s="178">
        <f t="shared" si="18"/>
        <v>42281</v>
      </c>
      <c r="O77" s="178">
        <f t="shared" si="18"/>
        <v>62967</v>
      </c>
      <c r="P77" s="178">
        <f t="shared" si="18"/>
        <v>62967</v>
      </c>
      <c r="Q77" s="178">
        <f t="shared" si="18"/>
        <v>20673402</v>
      </c>
      <c r="R77" s="178">
        <f t="shared" si="18"/>
        <v>20673402</v>
      </c>
      <c r="S77" s="178">
        <f t="shared" si="18"/>
        <v>372355</v>
      </c>
      <c r="T77" s="178">
        <f t="shared" si="18"/>
        <v>372355</v>
      </c>
      <c r="U77" s="178">
        <f t="shared" si="18"/>
        <v>408512</v>
      </c>
      <c r="V77" s="178">
        <f t="shared" si="18"/>
        <v>408512</v>
      </c>
    </row>
    <row r="78" spans="1:22" x14ac:dyDescent="0.25">
      <c r="A78" s="180"/>
      <c r="B78" s="180" t="s">
        <v>104</v>
      </c>
      <c r="C78" s="179">
        <v>119919806</v>
      </c>
      <c r="D78" s="179">
        <v>119919806</v>
      </c>
      <c r="E78" s="179">
        <v>1809150</v>
      </c>
      <c r="F78" s="179">
        <v>1809150</v>
      </c>
      <c r="G78" s="179">
        <v>514126</v>
      </c>
      <c r="H78" s="179">
        <v>514126</v>
      </c>
      <c r="I78" s="179">
        <v>1196326</v>
      </c>
      <c r="J78" s="179">
        <v>1196326</v>
      </c>
      <c r="K78" s="687">
        <v>362712</v>
      </c>
      <c r="L78" s="687">
        <v>362712</v>
      </c>
      <c r="M78" s="179">
        <v>37908</v>
      </c>
      <c r="N78" s="179">
        <v>37908</v>
      </c>
      <c r="O78" s="179">
        <v>47180</v>
      </c>
      <c r="P78" s="179">
        <v>47180</v>
      </c>
      <c r="Q78" s="179">
        <v>20423049</v>
      </c>
      <c r="R78" s="179">
        <v>20423049</v>
      </c>
      <c r="S78" s="179">
        <v>159125</v>
      </c>
      <c r="T78" s="179">
        <v>159125</v>
      </c>
      <c r="U78" s="179">
        <v>393085</v>
      </c>
      <c r="V78" s="179">
        <v>393085</v>
      </c>
    </row>
    <row r="79" spans="1:22" ht="30" x14ac:dyDescent="0.25">
      <c r="A79" s="180"/>
      <c r="B79" s="180" t="s">
        <v>103</v>
      </c>
      <c r="C79" s="179">
        <v>611938872</v>
      </c>
      <c r="D79" s="179">
        <v>611938872</v>
      </c>
      <c r="E79" s="179"/>
      <c r="F79" s="179"/>
      <c r="G79" s="179"/>
      <c r="H79" s="179"/>
      <c r="I79" s="179">
        <v>159908</v>
      </c>
      <c r="J79" s="179">
        <v>159908</v>
      </c>
      <c r="K79" s="687">
        <v>14222</v>
      </c>
      <c r="L79" s="687">
        <v>14222</v>
      </c>
      <c r="M79" s="179">
        <v>4373</v>
      </c>
      <c r="N79" s="179">
        <v>4373</v>
      </c>
      <c r="O79" s="179">
        <v>15787</v>
      </c>
      <c r="P79" s="179">
        <v>15787</v>
      </c>
      <c r="Q79" s="179">
        <v>131975</v>
      </c>
      <c r="R79" s="179">
        <v>131975</v>
      </c>
      <c r="S79" s="179">
        <v>13230</v>
      </c>
      <c r="T79" s="179">
        <v>13230</v>
      </c>
      <c r="U79" s="179">
        <v>15427</v>
      </c>
      <c r="V79" s="179">
        <v>15427</v>
      </c>
    </row>
    <row r="80" spans="1:22" x14ac:dyDescent="0.25">
      <c r="A80" s="180"/>
      <c r="B80" s="180" t="s">
        <v>102</v>
      </c>
      <c r="C80" s="179">
        <v>8010702</v>
      </c>
      <c r="D80" s="179">
        <v>8010702</v>
      </c>
      <c r="E80" s="179"/>
      <c r="F80" s="179"/>
      <c r="G80" s="179"/>
      <c r="H80" s="179"/>
      <c r="I80" s="179"/>
      <c r="J80" s="179"/>
      <c r="K80" s="687"/>
      <c r="L80" s="687"/>
      <c r="M80" s="179"/>
      <c r="N80" s="179"/>
      <c r="O80" s="179"/>
      <c r="P80" s="179"/>
      <c r="Q80" s="179">
        <v>118378</v>
      </c>
      <c r="R80" s="179">
        <v>118378</v>
      </c>
      <c r="S80" s="179">
        <v>200000</v>
      </c>
      <c r="T80" s="179">
        <v>200000</v>
      </c>
      <c r="U80" s="179"/>
      <c r="V80" s="179"/>
    </row>
    <row r="81" spans="1:22" x14ac:dyDescent="0.25">
      <c r="A81" s="790" t="s">
        <v>101</v>
      </c>
      <c r="B81" s="790"/>
      <c r="C81" s="179"/>
      <c r="D81" s="179"/>
      <c r="E81" s="179"/>
      <c r="F81" s="179"/>
      <c r="G81" s="179"/>
      <c r="H81" s="179"/>
      <c r="I81" s="179"/>
      <c r="J81" s="179"/>
      <c r="K81" s="687"/>
      <c r="L81" s="687"/>
      <c r="M81" s="179"/>
      <c r="N81" s="179"/>
      <c r="O81" s="179"/>
      <c r="P81" s="179"/>
      <c r="Q81" s="179"/>
      <c r="R81" s="179"/>
      <c r="S81" s="179"/>
      <c r="T81" s="179"/>
      <c r="U81" s="179"/>
      <c r="V81" s="179"/>
    </row>
    <row r="82" spans="1:22" ht="25.9" customHeight="1" x14ac:dyDescent="0.25">
      <c r="A82" s="791" t="s">
        <v>100</v>
      </c>
      <c r="B82" s="791"/>
      <c r="C82" s="179"/>
      <c r="D82" s="179"/>
      <c r="E82" s="179"/>
      <c r="F82" s="179"/>
      <c r="G82" s="179"/>
      <c r="H82" s="179"/>
      <c r="I82" s="179"/>
      <c r="J82" s="179"/>
      <c r="K82" s="687"/>
      <c r="L82" s="687"/>
      <c r="M82" s="179"/>
      <c r="N82" s="179"/>
      <c r="O82" s="179"/>
      <c r="P82" s="179"/>
      <c r="Q82" s="179"/>
      <c r="R82" s="179"/>
      <c r="S82" s="179"/>
      <c r="T82" s="179"/>
      <c r="U82" s="179"/>
      <c r="V82" s="179"/>
    </row>
    <row r="83" spans="1:22" x14ac:dyDescent="0.25">
      <c r="A83" s="790" t="s">
        <v>99</v>
      </c>
      <c r="B83" s="790"/>
      <c r="C83" s="178">
        <v>882238590</v>
      </c>
      <c r="D83" s="178">
        <v>882238590</v>
      </c>
      <c r="E83" s="178">
        <v>22158581</v>
      </c>
      <c r="F83" s="178">
        <v>22158581</v>
      </c>
      <c r="G83" s="178">
        <v>7676887</v>
      </c>
      <c r="H83" s="178">
        <v>7676887</v>
      </c>
      <c r="I83" s="178">
        <v>20626902</v>
      </c>
      <c r="J83" s="178">
        <v>20626902</v>
      </c>
      <c r="K83" s="686">
        <v>13595461</v>
      </c>
      <c r="L83" s="686">
        <v>13595461</v>
      </c>
      <c r="M83" s="178">
        <v>2677607</v>
      </c>
      <c r="N83" s="178">
        <v>2677607</v>
      </c>
      <c r="O83" s="178">
        <v>1966045</v>
      </c>
      <c r="P83" s="178">
        <v>1966045</v>
      </c>
      <c r="Q83" s="178">
        <v>11346666</v>
      </c>
      <c r="R83" s="178">
        <v>11346666</v>
      </c>
      <c r="S83" s="178">
        <v>10880643</v>
      </c>
      <c r="T83" s="178">
        <v>10880643</v>
      </c>
      <c r="U83" s="178">
        <v>2597281</v>
      </c>
      <c r="V83" s="178">
        <v>2597281</v>
      </c>
    </row>
    <row r="84" spans="1:22" x14ac:dyDescent="0.25">
      <c r="A84" s="789" t="s">
        <v>98</v>
      </c>
      <c r="B84" s="789"/>
      <c r="C84" s="178">
        <f>+C83+C77+C70</f>
        <v>22603099366</v>
      </c>
      <c r="D84" s="178">
        <f>+D83+D77+D70</f>
        <v>22603099366</v>
      </c>
      <c r="E84" s="178">
        <f t="shared" ref="E84:V84" si="19">+E83+E77+E70</f>
        <v>65298163</v>
      </c>
      <c r="F84" s="178">
        <f t="shared" si="19"/>
        <v>65298163</v>
      </c>
      <c r="G84" s="178">
        <f t="shared" si="19"/>
        <v>5244014</v>
      </c>
      <c r="H84" s="178">
        <f t="shared" si="19"/>
        <v>5244014</v>
      </c>
      <c r="I84" s="178">
        <f t="shared" si="19"/>
        <v>6798051</v>
      </c>
      <c r="J84" s="178">
        <f t="shared" si="19"/>
        <v>6798051</v>
      </c>
      <c r="K84" s="686">
        <f t="shared" si="19"/>
        <v>10613767</v>
      </c>
      <c r="L84" s="686">
        <f t="shared" si="19"/>
        <v>10613767</v>
      </c>
      <c r="M84" s="178">
        <f t="shared" si="19"/>
        <v>2316624</v>
      </c>
      <c r="N84" s="178">
        <f t="shared" si="19"/>
        <v>2316624</v>
      </c>
      <c r="O84" s="178">
        <f t="shared" si="19"/>
        <v>4708400</v>
      </c>
      <c r="P84" s="178">
        <f t="shared" si="19"/>
        <v>4708400</v>
      </c>
      <c r="Q84" s="178">
        <f t="shared" si="19"/>
        <v>102682939</v>
      </c>
      <c r="R84" s="178">
        <f t="shared" si="19"/>
        <v>102682939</v>
      </c>
      <c r="S84" s="178">
        <f t="shared" si="19"/>
        <v>12206883</v>
      </c>
      <c r="T84" s="178">
        <f t="shared" si="19"/>
        <v>12206883</v>
      </c>
      <c r="U84" s="178">
        <f t="shared" si="19"/>
        <v>6575931</v>
      </c>
      <c r="V84" s="178">
        <f t="shared" si="19"/>
        <v>6575931</v>
      </c>
    </row>
    <row r="86" spans="1:22" x14ac:dyDescent="0.25">
      <c r="D86" s="177">
        <f>+D84-D69</f>
        <v>0</v>
      </c>
      <c r="E86" s="177"/>
      <c r="F86" s="177">
        <f t="shared" ref="F86:R86" si="20">+F84-F69</f>
        <v>0</v>
      </c>
      <c r="G86" s="177"/>
      <c r="H86" s="177">
        <f t="shared" si="20"/>
        <v>0</v>
      </c>
      <c r="I86" s="177"/>
      <c r="J86" s="177">
        <f t="shared" si="20"/>
        <v>0</v>
      </c>
      <c r="K86" s="688"/>
      <c r="L86" s="688">
        <f t="shared" si="20"/>
        <v>0</v>
      </c>
      <c r="M86" s="177"/>
      <c r="N86" s="177">
        <f t="shared" si="20"/>
        <v>0</v>
      </c>
      <c r="O86" s="177"/>
      <c r="P86" s="177">
        <f t="shared" si="20"/>
        <v>0</v>
      </c>
      <c r="Q86" s="177"/>
      <c r="R86" s="177">
        <f t="shared" si="20"/>
        <v>0</v>
      </c>
      <c r="S86" s="177"/>
      <c r="T86" s="177">
        <f>+T84-T69</f>
        <v>0</v>
      </c>
      <c r="U86" s="177"/>
      <c r="V86" s="177">
        <f>+V84-V69</f>
        <v>0</v>
      </c>
    </row>
  </sheetData>
  <mergeCells count="24">
    <mergeCell ref="I1:J1"/>
    <mergeCell ref="K1:L1"/>
    <mergeCell ref="A3:B3"/>
    <mergeCell ref="A1:B2"/>
    <mergeCell ref="C1:D1"/>
    <mergeCell ref="E1:F1"/>
    <mergeCell ref="G1:H1"/>
    <mergeCell ref="M1:N1"/>
    <mergeCell ref="O1:P1"/>
    <mergeCell ref="Q1:R1"/>
    <mergeCell ref="S1:T1"/>
    <mergeCell ref="U1:V1"/>
    <mergeCell ref="A84:B84"/>
    <mergeCell ref="A54:B54"/>
    <mergeCell ref="A57:B57"/>
    <mergeCell ref="A63:B63"/>
    <mergeCell ref="A67:B67"/>
    <mergeCell ref="A68:B68"/>
    <mergeCell ref="A69:B69"/>
    <mergeCell ref="A70:B70"/>
    <mergeCell ref="A77:B77"/>
    <mergeCell ref="A81:B81"/>
    <mergeCell ref="A82:B82"/>
    <mergeCell ref="A83:B8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Header>&amp;CDunaharaszti Város Önkormányzata
2017. évi zárszámadás
Vagyonkimutatás (e Ft)&amp;R&amp;A</oddHeader>
    <oddFooter>&amp;C&amp;P/&amp;N</oddFooter>
  </headerFooter>
  <rowBreaks count="2" manualBreakCount="2">
    <brk id="32" max="16383" man="1"/>
    <brk id="62" max="16383" man="1"/>
  </rowBreaks>
  <colBreaks count="1" manualBreakCount="1">
    <brk id="12" max="8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55"/>
  <sheetViews>
    <sheetView view="pageBreakPreview" topLeftCell="A19" zoomScale="80" zoomScaleNormal="100" zoomScaleSheetLayoutView="80" workbookViewId="0">
      <selection activeCell="E7" sqref="E7"/>
    </sheetView>
  </sheetViews>
  <sheetFormatPr defaultColWidth="8.85546875" defaultRowHeight="12.75" x14ac:dyDescent="0.2"/>
  <cols>
    <col min="1" max="1" width="7.28515625" style="362" customWidth="1"/>
    <col min="2" max="2" width="72.140625" style="362" bestFit="1" customWidth="1"/>
    <col min="3" max="3" width="14.85546875" style="362" customWidth="1"/>
    <col min="4" max="4" width="12.140625" style="362" customWidth="1"/>
    <col min="5" max="5" width="14" style="362" bestFit="1" customWidth="1"/>
    <col min="6" max="10" width="12.140625" style="362" customWidth="1"/>
    <col min="11" max="11" width="12.7109375" style="362" customWidth="1"/>
    <col min="12" max="14" width="12.140625" style="362" customWidth="1"/>
    <col min="15" max="15" width="15.42578125" style="362" bestFit="1" customWidth="1"/>
    <col min="16" max="16" width="12" style="362" bestFit="1" customWidth="1"/>
    <col min="17" max="17" width="11.7109375" style="362" bestFit="1" customWidth="1"/>
    <col min="18" max="256" width="8.85546875" style="362"/>
    <col min="257" max="257" width="7.28515625" style="362" customWidth="1"/>
    <col min="258" max="258" width="72.140625" style="362" bestFit="1" customWidth="1"/>
    <col min="259" max="259" width="14.85546875" style="362" customWidth="1"/>
    <col min="260" max="260" width="12.140625" style="362" customWidth="1"/>
    <col min="261" max="261" width="14" style="362" bestFit="1" customWidth="1"/>
    <col min="262" max="266" width="12.140625" style="362" customWidth="1"/>
    <col min="267" max="267" width="12.7109375" style="362" customWidth="1"/>
    <col min="268" max="270" width="12.140625" style="362" customWidth="1"/>
    <col min="271" max="271" width="15.42578125" style="362" bestFit="1" customWidth="1"/>
    <col min="272" max="272" width="12" style="362" bestFit="1" customWidth="1"/>
    <col min="273" max="273" width="11.7109375" style="362" bestFit="1" customWidth="1"/>
    <col min="274" max="512" width="8.85546875" style="362"/>
    <col min="513" max="513" width="7.28515625" style="362" customWidth="1"/>
    <col min="514" max="514" width="72.140625" style="362" bestFit="1" customWidth="1"/>
    <col min="515" max="515" width="14.85546875" style="362" customWidth="1"/>
    <col min="516" max="516" width="12.140625" style="362" customWidth="1"/>
    <col min="517" max="517" width="14" style="362" bestFit="1" customWidth="1"/>
    <col min="518" max="522" width="12.140625" style="362" customWidth="1"/>
    <col min="523" max="523" width="12.7109375" style="362" customWidth="1"/>
    <col min="524" max="526" width="12.140625" style="362" customWidth="1"/>
    <col min="527" max="527" width="15.42578125" style="362" bestFit="1" customWidth="1"/>
    <col min="528" max="528" width="12" style="362" bestFit="1" customWidth="1"/>
    <col min="529" max="529" width="11.7109375" style="362" bestFit="1" customWidth="1"/>
    <col min="530" max="768" width="8.85546875" style="362"/>
    <col min="769" max="769" width="7.28515625" style="362" customWidth="1"/>
    <col min="770" max="770" width="72.140625" style="362" bestFit="1" customWidth="1"/>
    <col min="771" max="771" width="14.85546875" style="362" customWidth="1"/>
    <col min="772" max="772" width="12.140625" style="362" customWidth="1"/>
    <col min="773" max="773" width="14" style="362" bestFit="1" customWidth="1"/>
    <col min="774" max="778" width="12.140625" style="362" customWidth="1"/>
    <col min="779" max="779" width="12.7109375" style="362" customWidth="1"/>
    <col min="780" max="782" width="12.140625" style="362" customWidth="1"/>
    <col min="783" max="783" width="15.42578125" style="362" bestFit="1" customWidth="1"/>
    <col min="784" max="784" width="12" style="362" bestFit="1" customWidth="1"/>
    <col min="785" max="785" width="11.7109375" style="362" bestFit="1" customWidth="1"/>
    <col min="786" max="1024" width="8.85546875" style="362"/>
    <col min="1025" max="1025" width="7.28515625" style="362" customWidth="1"/>
    <col min="1026" max="1026" width="72.140625" style="362" bestFit="1" customWidth="1"/>
    <col min="1027" max="1027" width="14.85546875" style="362" customWidth="1"/>
    <col min="1028" max="1028" width="12.140625" style="362" customWidth="1"/>
    <col min="1029" max="1029" width="14" style="362" bestFit="1" customWidth="1"/>
    <col min="1030" max="1034" width="12.140625" style="362" customWidth="1"/>
    <col min="1035" max="1035" width="12.7109375" style="362" customWidth="1"/>
    <col min="1036" max="1038" width="12.140625" style="362" customWidth="1"/>
    <col min="1039" max="1039" width="15.42578125" style="362" bestFit="1" customWidth="1"/>
    <col min="1040" max="1040" width="12" style="362" bestFit="1" customWidth="1"/>
    <col min="1041" max="1041" width="11.7109375" style="362" bestFit="1" customWidth="1"/>
    <col min="1042" max="1280" width="8.85546875" style="362"/>
    <col min="1281" max="1281" width="7.28515625" style="362" customWidth="1"/>
    <col min="1282" max="1282" width="72.140625" style="362" bestFit="1" customWidth="1"/>
    <col min="1283" max="1283" width="14.85546875" style="362" customWidth="1"/>
    <col min="1284" max="1284" width="12.140625" style="362" customWidth="1"/>
    <col min="1285" max="1285" width="14" style="362" bestFit="1" customWidth="1"/>
    <col min="1286" max="1290" width="12.140625" style="362" customWidth="1"/>
    <col min="1291" max="1291" width="12.7109375" style="362" customWidth="1"/>
    <col min="1292" max="1294" width="12.140625" style="362" customWidth="1"/>
    <col min="1295" max="1295" width="15.42578125" style="362" bestFit="1" customWidth="1"/>
    <col min="1296" max="1296" width="12" style="362" bestFit="1" customWidth="1"/>
    <col min="1297" max="1297" width="11.7109375" style="362" bestFit="1" customWidth="1"/>
    <col min="1298" max="1536" width="8.85546875" style="362"/>
    <col min="1537" max="1537" width="7.28515625" style="362" customWidth="1"/>
    <col min="1538" max="1538" width="72.140625" style="362" bestFit="1" customWidth="1"/>
    <col min="1539" max="1539" width="14.85546875" style="362" customWidth="1"/>
    <col min="1540" max="1540" width="12.140625" style="362" customWidth="1"/>
    <col min="1541" max="1541" width="14" style="362" bestFit="1" customWidth="1"/>
    <col min="1542" max="1546" width="12.140625" style="362" customWidth="1"/>
    <col min="1547" max="1547" width="12.7109375" style="362" customWidth="1"/>
    <col min="1548" max="1550" width="12.140625" style="362" customWidth="1"/>
    <col min="1551" max="1551" width="15.42578125" style="362" bestFit="1" customWidth="1"/>
    <col min="1552" max="1552" width="12" style="362" bestFit="1" customWidth="1"/>
    <col min="1553" max="1553" width="11.7109375" style="362" bestFit="1" customWidth="1"/>
    <col min="1554" max="1792" width="8.85546875" style="362"/>
    <col min="1793" max="1793" width="7.28515625" style="362" customWidth="1"/>
    <col min="1794" max="1794" width="72.140625" style="362" bestFit="1" customWidth="1"/>
    <col min="1795" max="1795" width="14.85546875" style="362" customWidth="1"/>
    <col min="1796" max="1796" width="12.140625" style="362" customWidth="1"/>
    <col min="1797" max="1797" width="14" style="362" bestFit="1" customWidth="1"/>
    <col min="1798" max="1802" width="12.140625" style="362" customWidth="1"/>
    <col min="1803" max="1803" width="12.7109375" style="362" customWidth="1"/>
    <col min="1804" max="1806" width="12.140625" style="362" customWidth="1"/>
    <col min="1807" max="1807" width="15.42578125" style="362" bestFit="1" customWidth="1"/>
    <col min="1808" max="1808" width="12" style="362" bestFit="1" customWidth="1"/>
    <col min="1809" max="1809" width="11.7109375" style="362" bestFit="1" customWidth="1"/>
    <col min="1810" max="2048" width="8.85546875" style="362"/>
    <col min="2049" max="2049" width="7.28515625" style="362" customWidth="1"/>
    <col min="2050" max="2050" width="72.140625" style="362" bestFit="1" customWidth="1"/>
    <col min="2051" max="2051" width="14.85546875" style="362" customWidth="1"/>
    <col min="2052" max="2052" width="12.140625" style="362" customWidth="1"/>
    <col min="2053" max="2053" width="14" style="362" bestFit="1" customWidth="1"/>
    <col min="2054" max="2058" width="12.140625" style="362" customWidth="1"/>
    <col min="2059" max="2059" width="12.7109375" style="362" customWidth="1"/>
    <col min="2060" max="2062" width="12.140625" style="362" customWidth="1"/>
    <col min="2063" max="2063" width="15.42578125" style="362" bestFit="1" customWidth="1"/>
    <col min="2064" max="2064" width="12" style="362" bestFit="1" customWidth="1"/>
    <col min="2065" max="2065" width="11.7109375" style="362" bestFit="1" customWidth="1"/>
    <col min="2066" max="2304" width="8.85546875" style="362"/>
    <col min="2305" max="2305" width="7.28515625" style="362" customWidth="1"/>
    <col min="2306" max="2306" width="72.140625" style="362" bestFit="1" customWidth="1"/>
    <col min="2307" max="2307" width="14.85546875" style="362" customWidth="1"/>
    <col min="2308" max="2308" width="12.140625" style="362" customWidth="1"/>
    <col min="2309" max="2309" width="14" style="362" bestFit="1" customWidth="1"/>
    <col min="2310" max="2314" width="12.140625" style="362" customWidth="1"/>
    <col min="2315" max="2315" width="12.7109375" style="362" customWidth="1"/>
    <col min="2316" max="2318" width="12.140625" style="362" customWidth="1"/>
    <col min="2319" max="2319" width="15.42578125" style="362" bestFit="1" customWidth="1"/>
    <col min="2320" max="2320" width="12" style="362" bestFit="1" customWidth="1"/>
    <col min="2321" max="2321" width="11.7109375" style="362" bestFit="1" customWidth="1"/>
    <col min="2322" max="2560" width="8.85546875" style="362"/>
    <col min="2561" max="2561" width="7.28515625" style="362" customWidth="1"/>
    <col min="2562" max="2562" width="72.140625" style="362" bestFit="1" customWidth="1"/>
    <col min="2563" max="2563" width="14.85546875" style="362" customWidth="1"/>
    <col min="2564" max="2564" width="12.140625" style="362" customWidth="1"/>
    <col min="2565" max="2565" width="14" style="362" bestFit="1" customWidth="1"/>
    <col min="2566" max="2570" width="12.140625" style="362" customWidth="1"/>
    <col min="2571" max="2571" width="12.7109375" style="362" customWidth="1"/>
    <col min="2572" max="2574" width="12.140625" style="362" customWidth="1"/>
    <col min="2575" max="2575" width="15.42578125" style="362" bestFit="1" customWidth="1"/>
    <col min="2576" max="2576" width="12" style="362" bestFit="1" customWidth="1"/>
    <col min="2577" max="2577" width="11.7109375" style="362" bestFit="1" customWidth="1"/>
    <col min="2578" max="2816" width="8.85546875" style="362"/>
    <col min="2817" max="2817" width="7.28515625" style="362" customWidth="1"/>
    <col min="2818" max="2818" width="72.140625" style="362" bestFit="1" customWidth="1"/>
    <col min="2819" max="2819" width="14.85546875" style="362" customWidth="1"/>
    <col min="2820" max="2820" width="12.140625" style="362" customWidth="1"/>
    <col min="2821" max="2821" width="14" style="362" bestFit="1" customWidth="1"/>
    <col min="2822" max="2826" width="12.140625" style="362" customWidth="1"/>
    <col min="2827" max="2827" width="12.7109375" style="362" customWidth="1"/>
    <col min="2828" max="2830" width="12.140625" style="362" customWidth="1"/>
    <col min="2831" max="2831" width="15.42578125" style="362" bestFit="1" customWidth="1"/>
    <col min="2832" max="2832" width="12" style="362" bestFit="1" customWidth="1"/>
    <col min="2833" max="2833" width="11.7109375" style="362" bestFit="1" customWidth="1"/>
    <col min="2834" max="3072" width="8.85546875" style="362"/>
    <col min="3073" max="3073" width="7.28515625" style="362" customWidth="1"/>
    <col min="3074" max="3074" width="72.140625" style="362" bestFit="1" customWidth="1"/>
    <col min="3075" max="3075" width="14.85546875" style="362" customWidth="1"/>
    <col min="3076" max="3076" width="12.140625" style="362" customWidth="1"/>
    <col min="3077" max="3077" width="14" style="362" bestFit="1" customWidth="1"/>
    <col min="3078" max="3082" width="12.140625" style="362" customWidth="1"/>
    <col min="3083" max="3083" width="12.7109375" style="362" customWidth="1"/>
    <col min="3084" max="3086" width="12.140625" style="362" customWidth="1"/>
    <col min="3087" max="3087" width="15.42578125" style="362" bestFit="1" customWidth="1"/>
    <col min="3088" max="3088" width="12" style="362" bestFit="1" customWidth="1"/>
    <col min="3089" max="3089" width="11.7109375" style="362" bestFit="1" customWidth="1"/>
    <col min="3090" max="3328" width="8.85546875" style="362"/>
    <col min="3329" max="3329" width="7.28515625" style="362" customWidth="1"/>
    <col min="3330" max="3330" width="72.140625" style="362" bestFit="1" customWidth="1"/>
    <col min="3331" max="3331" width="14.85546875" style="362" customWidth="1"/>
    <col min="3332" max="3332" width="12.140625" style="362" customWidth="1"/>
    <col min="3333" max="3333" width="14" style="362" bestFit="1" customWidth="1"/>
    <col min="3334" max="3338" width="12.140625" style="362" customWidth="1"/>
    <col min="3339" max="3339" width="12.7109375" style="362" customWidth="1"/>
    <col min="3340" max="3342" width="12.140625" style="362" customWidth="1"/>
    <col min="3343" max="3343" width="15.42578125" style="362" bestFit="1" customWidth="1"/>
    <col min="3344" max="3344" width="12" style="362" bestFit="1" customWidth="1"/>
    <col min="3345" max="3345" width="11.7109375" style="362" bestFit="1" customWidth="1"/>
    <col min="3346" max="3584" width="8.85546875" style="362"/>
    <col min="3585" max="3585" width="7.28515625" style="362" customWidth="1"/>
    <col min="3586" max="3586" width="72.140625" style="362" bestFit="1" customWidth="1"/>
    <col min="3587" max="3587" width="14.85546875" style="362" customWidth="1"/>
    <col min="3588" max="3588" width="12.140625" style="362" customWidth="1"/>
    <col min="3589" max="3589" width="14" style="362" bestFit="1" customWidth="1"/>
    <col min="3590" max="3594" width="12.140625" style="362" customWidth="1"/>
    <col min="3595" max="3595" width="12.7109375" style="362" customWidth="1"/>
    <col min="3596" max="3598" width="12.140625" style="362" customWidth="1"/>
    <col min="3599" max="3599" width="15.42578125" style="362" bestFit="1" customWidth="1"/>
    <col min="3600" max="3600" width="12" style="362" bestFit="1" customWidth="1"/>
    <col min="3601" max="3601" width="11.7109375" style="362" bestFit="1" customWidth="1"/>
    <col min="3602" max="3840" width="8.85546875" style="362"/>
    <col min="3841" max="3841" width="7.28515625" style="362" customWidth="1"/>
    <col min="3842" max="3842" width="72.140625" style="362" bestFit="1" customWidth="1"/>
    <col min="3843" max="3843" width="14.85546875" style="362" customWidth="1"/>
    <col min="3844" max="3844" width="12.140625" style="362" customWidth="1"/>
    <col min="3845" max="3845" width="14" style="362" bestFit="1" customWidth="1"/>
    <col min="3846" max="3850" width="12.140625" style="362" customWidth="1"/>
    <col min="3851" max="3851" width="12.7109375" style="362" customWidth="1"/>
    <col min="3852" max="3854" width="12.140625" style="362" customWidth="1"/>
    <col min="3855" max="3855" width="15.42578125" style="362" bestFit="1" customWidth="1"/>
    <col min="3856" max="3856" width="12" style="362" bestFit="1" customWidth="1"/>
    <col min="3857" max="3857" width="11.7109375" style="362" bestFit="1" customWidth="1"/>
    <col min="3858" max="4096" width="8.85546875" style="362"/>
    <col min="4097" max="4097" width="7.28515625" style="362" customWidth="1"/>
    <col min="4098" max="4098" width="72.140625" style="362" bestFit="1" customWidth="1"/>
    <col min="4099" max="4099" width="14.85546875" style="362" customWidth="1"/>
    <col min="4100" max="4100" width="12.140625" style="362" customWidth="1"/>
    <col min="4101" max="4101" width="14" style="362" bestFit="1" customWidth="1"/>
    <col min="4102" max="4106" width="12.140625" style="362" customWidth="1"/>
    <col min="4107" max="4107" width="12.7109375" style="362" customWidth="1"/>
    <col min="4108" max="4110" width="12.140625" style="362" customWidth="1"/>
    <col min="4111" max="4111" width="15.42578125" style="362" bestFit="1" customWidth="1"/>
    <col min="4112" max="4112" width="12" style="362" bestFit="1" customWidth="1"/>
    <col min="4113" max="4113" width="11.7109375" style="362" bestFit="1" customWidth="1"/>
    <col min="4114" max="4352" width="8.85546875" style="362"/>
    <col min="4353" max="4353" width="7.28515625" style="362" customWidth="1"/>
    <col min="4354" max="4354" width="72.140625" style="362" bestFit="1" customWidth="1"/>
    <col min="4355" max="4355" width="14.85546875" style="362" customWidth="1"/>
    <col min="4356" max="4356" width="12.140625" style="362" customWidth="1"/>
    <col min="4357" max="4357" width="14" style="362" bestFit="1" customWidth="1"/>
    <col min="4358" max="4362" width="12.140625" style="362" customWidth="1"/>
    <col min="4363" max="4363" width="12.7109375" style="362" customWidth="1"/>
    <col min="4364" max="4366" width="12.140625" style="362" customWidth="1"/>
    <col min="4367" max="4367" width="15.42578125" style="362" bestFit="1" customWidth="1"/>
    <col min="4368" max="4368" width="12" style="362" bestFit="1" customWidth="1"/>
    <col min="4369" max="4369" width="11.7109375" style="362" bestFit="1" customWidth="1"/>
    <col min="4370" max="4608" width="8.85546875" style="362"/>
    <col min="4609" max="4609" width="7.28515625" style="362" customWidth="1"/>
    <col min="4610" max="4610" width="72.140625" style="362" bestFit="1" customWidth="1"/>
    <col min="4611" max="4611" width="14.85546875" style="362" customWidth="1"/>
    <col min="4612" max="4612" width="12.140625" style="362" customWidth="1"/>
    <col min="4613" max="4613" width="14" style="362" bestFit="1" customWidth="1"/>
    <col min="4614" max="4618" width="12.140625" style="362" customWidth="1"/>
    <col min="4619" max="4619" width="12.7109375" style="362" customWidth="1"/>
    <col min="4620" max="4622" width="12.140625" style="362" customWidth="1"/>
    <col min="4623" max="4623" width="15.42578125" style="362" bestFit="1" customWidth="1"/>
    <col min="4624" max="4624" width="12" style="362" bestFit="1" customWidth="1"/>
    <col min="4625" max="4625" width="11.7109375" style="362" bestFit="1" customWidth="1"/>
    <col min="4626" max="4864" width="8.85546875" style="362"/>
    <col min="4865" max="4865" width="7.28515625" style="362" customWidth="1"/>
    <col min="4866" max="4866" width="72.140625" style="362" bestFit="1" customWidth="1"/>
    <col min="4867" max="4867" width="14.85546875" style="362" customWidth="1"/>
    <col min="4868" max="4868" width="12.140625" style="362" customWidth="1"/>
    <col min="4869" max="4869" width="14" style="362" bestFit="1" customWidth="1"/>
    <col min="4870" max="4874" width="12.140625" style="362" customWidth="1"/>
    <col min="4875" max="4875" width="12.7109375" style="362" customWidth="1"/>
    <col min="4876" max="4878" width="12.140625" style="362" customWidth="1"/>
    <col min="4879" max="4879" width="15.42578125" style="362" bestFit="1" customWidth="1"/>
    <col min="4880" max="4880" width="12" style="362" bestFit="1" customWidth="1"/>
    <col min="4881" max="4881" width="11.7109375" style="362" bestFit="1" customWidth="1"/>
    <col min="4882" max="5120" width="8.85546875" style="362"/>
    <col min="5121" max="5121" width="7.28515625" style="362" customWidth="1"/>
    <col min="5122" max="5122" width="72.140625" style="362" bestFit="1" customWidth="1"/>
    <col min="5123" max="5123" width="14.85546875" style="362" customWidth="1"/>
    <col min="5124" max="5124" width="12.140625" style="362" customWidth="1"/>
    <col min="5125" max="5125" width="14" style="362" bestFit="1" customWidth="1"/>
    <col min="5126" max="5130" width="12.140625" style="362" customWidth="1"/>
    <col min="5131" max="5131" width="12.7109375" style="362" customWidth="1"/>
    <col min="5132" max="5134" width="12.140625" style="362" customWidth="1"/>
    <col min="5135" max="5135" width="15.42578125" style="362" bestFit="1" customWidth="1"/>
    <col min="5136" max="5136" width="12" style="362" bestFit="1" customWidth="1"/>
    <col min="5137" max="5137" width="11.7109375" style="362" bestFit="1" customWidth="1"/>
    <col min="5138" max="5376" width="8.85546875" style="362"/>
    <col min="5377" max="5377" width="7.28515625" style="362" customWidth="1"/>
    <col min="5378" max="5378" width="72.140625" style="362" bestFit="1" customWidth="1"/>
    <col min="5379" max="5379" width="14.85546875" style="362" customWidth="1"/>
    <col min="5380" max="5380" width="12.140625" style="362" customWidth="1"/>
    <col min="5381" max="5381" width="14" style="362" bestFit="1" customWidth="1"/>
    <col min="5382" max="5386" width="12.140625" style="362" customWidth="1"/>
    <col min="5387" max="5387" width="12.7109375" style="362" customWidth="1"/>
    <col min="5388" max="5390" width="12.140625" style="362" customWidth="1"/>
    <col min="5391" max="5391" width="15.42578125" style="362" bestFit="1" customWidth="1"/>
    <col min="5392" max="5392" width="12" style="362" bestFit="1" customWidth="1"/>
    <col min="5393" max="5393" width="11.7109375" style="362" bestFit="1" customWidth="1"/>
    <col min="5394" max="5632" width="8.85546875" style="362"/>
    <col min="5633" max="5633" width="7.28515625" style="362" customWidth="1"/>
    <col min="5634" max="5634" width="72.140625" style="362" bestFit="1" customWidth="1"/>
    <col min="5635" max="5635" width="14.85546875" style="362" customWidth="1"/>
    <col min="5636" max="5636" width="12.140625" style="362" customWidth="1"/>
    <col min="5637" max="5637" width="14" style="362" bestFit="1" customWidth="1"/>
    <col min="5638" max="5642" width="12.140625" style="362" customWidth="1"/>
    <col min="5643" max="5643" width="12.7109375" style="362" customWidth="1"/>
    <col min="5644" max="5646" width="12.140625" style="362" customWidth="1"/>
    <col min="5647" max="5647" width="15.42578125" style="362" bestFit="1" customWidth="1"/>
    <col min="5648" max="5648" width="12" style="362" bestFit="1" customWidth="1"/>
    <col min="5649" max="5649" width="11.7109375" style="362" bestFit="1" customWidth="1"/>
    <col min="5650" max="5888" width="8.85546875" style="362"/>
    <col min="5889" max="5889" width="7.28515625" style="362" customWidth="1"/>
    <col min="5890" max="5890" width="72.140625" style="362" bestFit="1" customWidth="1"/>
    <col min="5891" max="5891" width="14.85546875" style="362" customWidth="1"/>
    <col min="5892" max="5892" width="12.140625" style="362" customWidth="1"/>
    <col min="5893" max="5893" width="14" style="362" bestFit="1" customWidth="1"/>
    <col min="5894" max="5898" width="12.140625" style="362" customWidth="1"/>
    <col min="5899" max="5899" width="12.7109375" style="362" customWidth="1"/>
    <col min="5900" max="5902" width="12.140625" style="362" customWidth="1"/>
    <col min="5903" max="5903" width="15.42578125" style="362" bestFit="1" customWidth="1"/>
    <col min="5904" max="5904" width="12" style="362" bestFit="1" customWidth="1"/>
    <col min="5905" max="5905" width="11.7109375" style="362" bestFit="1" customWidth="1"/>
    <col min="5906" max="6144" width="8.85546875" style="362"/>
    <col min="6145" max="6145" width="7.28515625" style="362" customWidth="1"/>
    <col min="6146" max="6146" width="72.140625" style="362" bestFit="1" customWidth="1"/>
    <col min="6147" max="6147" width="14.85546875" style="362" customWidth="1"/>
    <col min="6148" max="6148" width="12.140625" style="362" customWidth="1"/>
    <col min="6149" max="6149" width="14" style="362" bestFit="1" customWidth="1"/>
    <col min="6150" max="6154" width="12.140625" style="362" customWidth="1"/>
    <col min="6155" max="6155" width="12.7109375" style="362" customWidth="1"/>
    <col min="6156" max="6158" width="12.140625" style="362" customWidth="1"/>
    <col min="6159" max="6159" width="15.42578125" style="362" bestFit="1" customWidth="1"/>
    <col min="6160" max="6160" width="12" style="362" bestFit="1" customWidth="1"/>
    <col min="6161" max="6161" width="11.7109375" style="362" bestFit="1" customWidth="1"/>
    <col min="6162" max="6400" width="8.85546875" style="362"/>
    <col min="6401" max="6401" width="7.28515625" style="362" customWidth="1"/>
    <col min="6402" max="6402" width="72.140625" style="362" bestFit="1" customWidth="1"/>
    <col min="6403" max="6403" width="14.85546875" style="362" customWidth="1"/>
    <col min="6404" max="6404" width="12.140625" style="362" customWidth="1"/>
    <col min="6405" max="6405" width="14" style="362" bestFit="1" customWidth="1"/>
    <col min="6406" max="6410" width="12.140625" style="362" customWidth="1"/>
    <col min="6411" max="6411" width="12.7109375" style="362" customWidth="1"/>
    <col min="6412" max="6414" width="12.140625" style="362" customWidth="1"/>
    <col min="6415" max="6415" width="15.42578125" style="362" bestFit="1" customWidth="1"/>
    <col min="6416" max="6416" width="12" style="362" bestFit="1" customWidth="1"/>
    <col min="6417" max="6417" width="11.7109375" style="362" bestFit="1" customWidth="1"/>
    <col min="6418" max="6656" width="8.85546875" style="362"/>
    <col min="6657" max="6657" width="7.28515625" style="362" customWidth="1"/>
    <col min="6658" max="6658" width="72.140625" style="362" bestFit="1" customWidth="1"/>
    <col min="6659" max="6659" width="14.85546875" style="362" customWidth="1"/>
    <col min="6660" max="6660" width="12.140625" style="362" customWidth="1"/>
    <col min="6661" max="6661" width="14" style="362" bestFit="1" customWidth="1"/>
    <col min="6662" max="6666" width="12.140625" style="362" customWidth="1"/>
    <col min="6667" max="6667" width="12.7109375" style="362" customWidth="1"/>
    <col min="6668" max="6670" width="12.140625" style="362" customWidth="1"/>
    <col min="6671" max="6671" width="15.42578125" style="362" bestFit="1" customWidth="1"/>
    <col min="6672" max="6672" width="12" style="362" bestFit="1" customWidth="1"/>
    <col min="6673" max="6673" width="11.7109375" style="362" bestFit="1" customWidth="1"/>
    <col min="6674" max="6912" width="8.85546875" style="362"/>
    <col min="6913" max="6913" width="7.28515625" style="362" customWidth="1"/>
    <col min="6914" max="6914" width="72.140625" style="362" bestFit="1" customWidth="1"/>
    <col min="6915" max="6915" width="14.85546875" style="362" customWidth="1"/>
    <col min="6916" max="6916" width="12.140625" style="362" customWidth="1"/>
    <col min="6917" max="6917" width="14" style="362" bestFit="1" customWidth="1"/>
    <col min="6918" max="6922" width="12.140625" style="362" customWidth="1"/>
    <col min="6923" max="6923" width="12.7109375" style="362" customWidth="1"/>
    <col min="6924" max="6926" width="12.140625" style="362" customWidth="1"/>
    <col min="6927" max="6927" width="15.42578125" style="362" bestFit="1" customWidth="1"/>
    <col min="6928" max="6928" width="12" style="362" bestFit="1" customWidth="1"/>
    <col min="6929" max="6929" width="11.7109375" style="362" bestFit="1" customWidth="1"/>
    <col min="6930" max="7168" width="8.85546875" style="362"/>
    <col min="7169" max="7169" width="7.28515625" style="362" customWidth="1"/>
    <col min="7170" max="7170" width="72.140625" style="362" bestFit="1" customWidth="1"/>
    <col min="7171" max="7171" width="14.85546875" style="362" customWidth="1"/>
    <col min="7172" max="7172" width="12.140625" style="362" customWidth="1"/>
    <col min="7173" max="7173" width="14" style="362" bestFit="1" customWidth="1"/>
    <col min="7174" max="7178" width="12.140625" style="362" customWidth="1"/>
    <col min="7179" max="7179" width="12.7109375" style="362" customWidth="1"/>
    <col min="7180" max="7182" width="12.140625" style="362" customWidth="1"/>
    <col min="7183" max="7183" width="15.42578125" style="362" bestFit="1" customWidth="1"/>
    <col min="7184" max="7184" width="12" style="362" bestFit="1" customWidth="1"/>
    <col min="7185" max="7185" width="11.7109375" style="362" bestFit="1" customWidth="1"/>
    <col min="7186" max="7424" width="8.85546875" style="362"/>
    <col min="7425" max="7425" width="7.28515625" style="362" customWidth="1"/>
    <col min="7426" max="7426" width="72.140625" style="362" bestFit="1" customWidth="1"/>
    <col min="7427" max="7427" width="14.85546875" style="362" customWidth="1"/>
    <col min="7428" max="7428" width="12.140625" style="362" customWidth="1"/>
    <col min="7429" max="7429" width="14" style="362" bestFit="1" customWidth="1"/>
    <col min="7430" max="7434" width="12.140625" style="362" customWidth="1"/>
    <col min="7435" max="7435" width="12.7109375" style="362" customWidth="1"/>
    <col min="7436" max="7438" width="12.140625" style="362" customWidth="1"/>
    <col min="7439" max="7439" width="15.42578125" style="362" bestFit="1" customWidth="1"/>
    <col min="7440" max="7440" width="12" style="362" bestFit="1" customWidth="1"/>
    <col min="7441" max="7441" width="11.7109375" style="362" bestFit="1" customWidth="1"/>
    <col min="7442" max="7680" width="8.85546875" style="362"/>
    <col min="7681" max="7681" width="7.28515625" style="362" customWidth="1"/>
    <col min="7682" max="7682" width="72.140625" style="362" bestFit="1" customWidth="1"/>
    <col min="7683" max="7683" width="14.85546875" style="362" customWidth="1"/>
    <col min="7684" max="7684" width="12.140625" style="362" customWidth="1"/>
    <col min="7685" max="7685" width="14" style="362" bestFit="1" customWidth="1"/>
    <col min="7686" max="7690" width="12.140625" style="362" customWidth="1"/>
    <col min="7691" max="7691" width="12.7109375" style="362" customWidth="1"/>
    <col min="7692" max="7694" width="12.140625" style="362" customWidth="1"/>
    <col min="7695" max="7695" width="15.42578125" style="362" bestFit="1" customWidth="1"/>
    <col min="7696" max="7696" width="12" style="362" bestFit="1" customWidth="1"/>
    <col min="7697" max="7697" width="11.7109375" style="362" bestFit="1" customWidth="1"/>
    <col min="7698" max="7936" width="8.85546875" style="362"/>
    <col min="7937" max="7937" width="7.28515625" style="362" customWidth="1"/>
    <col min="7938" max="7938" width="72.140625" style="362" bestFit="1" customWidth="1"/>
    <col min="7939" max="7939" width="14.85546875" style="362" customWidth="1"/>
    <col min="7940" max="7940" width="12.140625" style="362" customWidth="1"/>
    <col min="7941" max="7941" width="14" style="362" bestFit="1" customWidth="1"/>
    <col min="7942" max="7946" width="12.140625" style="362" customWidth="1"/>
    <col min="7947" max="7947" width="12.7109375" style="362" customWidth="1"/>
    <col min="7948" max="7950" width="12.140625" style="362" customWidth="1"/>
    <col min="7951" max="7951" width="15.42578125" style="362" bestFit="1" customWidth="1"/>
    <col min="7952" max="7952" width="12" style="362" bestFit="1" customWidth="1"/>
    <col min="7953" max="7953" width="11.7109375" style="362" bestFit="1" customWidth="1"/>
    <col min="7954" max="8192" width="8.85546875" style="362"/>
    <col min="8193" max="8193" width="7.28515625" style="362" customWidth="1"/>
    <col min="8194" max="8194" width="72.140625" style="362" bestFit="1" customWidth="1"/>
    <col min="8195" max="8195" width="14.85546875" style="362" customWidth="1"/>
    <col min="8196" max="8196" width="12.140625" style="362" customWidth="1"/>
    <col min="8197" max="8197" width="14" style="362" bestFit="1" customWidth="1"/>
    <col min="8198" max="8202" width="12.140625" style="362" customWidth="1"/>
    <col min="8203" max="8203" width="12.7109375" style="362" customWidth="1"/>
    <col min="8204" max="8206" width="12.140625" style="362" customWidth="1"/>
    <col min="8207" max="8207" width="15.42578125" style="362" bestFit="1" customWidth="1"/>
    <col min="8208" max="8208" width="12" style="362" bestFit="1" customWidth="1"/>
    <col min="8209" max="8209" width="11.7109375" style="362" bestFit="1" customWidth="1"/>
    <col min="8210" max="8448" width="8.85546875" style="362"/>
    <col min="8449" max="8449" width="7.28515625" style="362" customWidth="1"/>
    <col min="8450" max="8450" width="72.140625" style="362" bestFit="1" customWidth="1"/>
    <col min="8451" max="8451" width="14.85546875" style="362" customWidth="1"/>
    <col min="8452" max="8452" width="12.140625" style="362" customWidth="1"/>
    <col min="8453" max="8453" width="14" style="362" bestFit="1" customWidth="1"/>
    <col min="8454" max="8458" width="12.140625" style="362" customWidth="1"/>
    <col min="8459" max="8459" width="12.7109375" style="362" customWidth="1"/>
    <col min="8460" max="8462" width="12.140625" style="362" customWidth="1"/>
    <col min="8463" max="8463" width="15.42578125" style="362" bestFit="1" customWidth="1"/>
    <col min="8464" max="8464" width="12" style="362" bestFit="1" customWidth="1"/>
    <col min="8465" max="8465" width="11.7109375" style="362" bestFit="1" customWidth="1"/>
    <col min="8466" max="8704" width="8.85546875" style="362"/>
    <col min="8705" max="8705" width="7.28515625" style="362" customWidth="1"/>
    <col min="8706" max="8706" width="72.140625" style="362" bestFit="1" customWidth="1"/>
    <col min="8707" max="8707" width="14.85546875" style="362" customWidth="1"/>
    <col min="8708" max="8708" width="12.140625" style="362" customWidth="1"/>
    <col min="8709" max="8709" width="14" style="362" bestFit="1" customWidth="1"/>
    <col min="8710" max="8714" width="12.140625" style="362" customWidth="1"/>
    <col min="8715" max="8715" width="12.7109375" style="362" customWidth="1"/>
    <col min="8716" max="8718" width="12.140625" style="362" customWidth="1"/>
    <col min="8719" max="8719" width="15.42578125" style="362" bestFit="1" customWidth="1"/>
    <col min="8720" max="8720" width="12" style="362" bestFit="1" customWidth="1"/>
    <col min="8721" max="8721" width="11.7109375" style="362" bestFit="1" customWidth="1"/>
    <col min="8722" max="8960" width="8.85546875" style="362"/>
    <col min="8961" max="8961" width="7.28515625" style="362" customWidth="1"/>
    <col min="8962" max="8962" width="72.140625" style="362" bestFit="1" customWidth="1"/>
    <col min="8963" max="8963" width="14.85546875" style="362" customWidth="1"/>
    <col min="8964" max="8964" width="12.140625" style="362" customWidth="1"/>
    <col min="8965" max="8965" width="14" style="362" bestFit="1" customWidth="1"/>
    <col min="8966" max="8970" width="12.140625" style="362" customWidth="1"/>
    <col min="8971" max="8971" width="12.7109375" style="362" customWidth="1"/>
    <col min="8972" max="8974" width="12.140625" style="362" customWidth="1"/>
    <col min="8975" max="8975" width="15.42578125" style="362" bestFit="1" customWidth="1"/>
    <col min="8976" max="8976" width="12" style="362" bestFit="1" customWidth="1"/>
    <col min="8977" max="8977" width="11.7109375" style="362" bestFit="1" customWidth="1"/>
    <col min="8978" max="9216" width="8.85546875" style="362"/>
    <col min="9217" max="9217" width="7.28515625" style="362" customWidth="1"/>
    <col min="9218" max="9218" width="72.140625" style="362" bestFit="1" customWidth="1"/>
    <col min="9219" max="9219" width="14.85546875" style="362" customWidth="1"/>
    <col min="9220" max="9220" width="12.140625" style="362" customWidth="1"/>
    <col min="9221" max="9221" width="14" style="362" bestFit="1" customWidth="1"/>
    <col min="9222" max="9226" width="12.140625" style="362" customWidth="1"/>
    <col min="9227" max="9227" width="12.7109375" style="362" customWidth="1"/>
    <col min="9228" max="9230" width="12.140625" style="362" customWidth="1"/>
    <col min="9231" max="9231" width="15.42578125" style="362" bestFit="1" customWidth="1"/>
    <col min="9232" max="9232" width="12" style="362" bestFit="1" customWidth="1"/>
    <col min="9233" max="9233" width="11.7109375" style="362" bestFit="1" customWidth="1"/>
    <col min="9234" max="9472" width="8.85546875" style="362"/>
    <col min="9473" max="9473" width="7.28515625" style="362" customWidth="1"/>
    <col min="9474" max="9474" width="72.140625" style="362" bestFit="1" customWidth="1"/>
    <col min="9475" max="9475" width="14.85546875" style="362" customWidth="1"/>
    <col min="9476" max="9476" width="12.140625" style="362" customWidth="1"/>
    <col min="9477" max="9477" width="14" style="362" bestFit="1" customWidth="1"/>
    <col min="9478" max="9482" width="12.140625" style="362" customWidth="1"/>
    <col min="9483" max="9483" width="12.7109375" style="362" customWidth="1"/>
    <col min="9484" max="9486" width="12.140625" style="362" customWidth="1"/>
    <col min="9487" max="9487" width="15.42578125" style="362" bestFit="1" customWidth="1"/>
    <col min="9488" max="9488" width="12" style="362" bestFit="1" customWidth="1"/>
    <col min="9489" max="9489" width="11.7109375" style="362" bestFit="1" customWidth="1"/>
    <col min="9490" max="9728" width="8.85546875" style="362"/>
    <col min="9729" max="9729" width="7.28515625" style="362" customWidth="1"/>
    <col min="9730" max="9730" width="72.140625" style="362" bestFit="1" customWidth="1"/>
    <col min="9731" max="9731" width="14.85546875" style="362" customWidth="1"/>
    <col min="9732" max="9732" width="12.140625" style="362" customWidth="1"/>
    <col min="9733" max="9733" width="14" style="362" bestFit="1" customWidth="1"/>
    <col min="9734" max="9738" width="12.140625" style="362" customWidth="1"/>
    <col min="9739" max="9739" width="12.7109375" style="362" customWidth="1"/>
    <col min="9740" max="9742" width="12.140625" style="362" customWidth="1"/>
    <col min="9743" max="9743" width="15.42578125" style="362" bestFit="1" customWidth="1"/>
    <col min="9744" max="9744" width="12" style="362" bestFit="1" customWidth="1"/>
    <col min="9745" max="9745" width="11.7109375" style="362" bestFit="1" customWidth="1"/>
    <col min="9746" max="9984" width="8.85546875" style="362"/>
    <col min="9985" max="9985" width="7.28515625" style="362" customWidth="1"/>
    <col min="9986" max="9986" width="72.140625" style="362" bestFit="1" customWidth="1"/>
    <col min="9987" max="9987" width="14.85546875" style="362" customWidth="1"/>
    <col min="9988" max="9988" width="12.140625" style="362" customWidth="1"/>
    <col min="9989" max="9989" width="14" style="362" bestFit="1" customWidth="1"/>
    <col min="9990" max="9994" width="12.140625" style="362" customWidth="1"/>
    <col min="9995" max="9995" width="12.7109375" style="362" customWidth="1"/>
    <col min="9996" max="9998" width="12.140625" style="362" customWidth="1"/>
    <col min="9999" max="9999" width="15.42578125" style="362" bestFit="1" customWidth="1"/>
    <col min="10000" max="10000" width="12" style="362" bestFit="1" customWidth="1"/>
    <col min="10001" max="10001" width="11.7109375" style="362" bestFit="1" customWidth="1"/>
    <col min="10002" max="10240" width="8.85546875" style="362"/>
    <col min="10241" max="10241" width="7.28515625" style="362" customWidth="1"/>
    <col min="10242" max="10242" width="72.140625" style="362" bestFit="1" customWidth="1"/>
    <col min="10243" max="10243" width="14.85546875" style="362" customWidth="1"/>
    <col min="10244" max="10244" width="12.140625" style="362" customWidth="1"/>
    <col min="10245" max="10245" width="14" style="362" bestFit="1" customWidth="1"/>
    <col min="10246" max="10250" width="12.140625" style="362" customWidth="1"/>
    <col min="10251" max="10251" width="12.7109375" style="362" customWidth="1"/>
    <col min="10252" max="10254" width="12.140625" style="362" customWidth="1"/>
    <col min="10255" max="10255" width="15.42578125" style="362" bestFit="1" customWidth="1"/>
    <col min="10256" max="10256" width="12" style="362" bestFit="1" customWidth="1"/>
    <col min="10257" max="10257" width="11.7109375" style="362" bestFit="1" customWidth="1"/>
    <col min="10258" max="10496" width="8.85546875" style="362"/>
    <col min="10497" max="10497" width="7.28515625" style="362" customWidth="1"/>
    <col min="10498" max="10498" width="72.140625" style="362" bestFit="1" customWidth="1"/>
    <col min="10499" max="10499" width="14.85546875" style="362" customWidth="1"/>
    <col min="10500" max="10500" width="12.140625" style="362" customWidth="1"/>
    <col min="10501" max="10501" width="14" style="362" bestFit="1" customWidth="1"/>
    <col min="10502" max="10506" width="12.140625" style="362" customWidth="1"/>
    <col min="10507" max="10507" width="12.7109375" style="362" customWidth="1"/>
    <col min="10508" max="10510" width="12.140625" style="362" customWidth="1"/>
    <col min="10511" max="10511" width="15.42578125" style="362" bestFit="1" customWidth="1"/>
    <col min="10512" max="10512" width="12" style="362" bestFit="1" customWidth="1"/>
    <col min="10513" max="10513" width="11.7109375" style="362" bestFit="1" customWidth="1"/>
    <col min="10514" max="10752" width="8.85546875" style="362"/>
    <col min="10753" max="10753" width="7.28515625" style="362" customWidth="1"/>
    <col min="10754" max="10754" width="72.140625" style="362" bestFit="1" customWidth="1"/>
    <col min="10755" max="10755" width="14.85546875" style="362" customWidth="1"/>
    <col min="10756" max="10756" width="12.140625" style="362" customWidth="1"/>
    <col min="10757" max="10757" width="14" style="362" bestFit="1" customWidth="1"/>
    <col min="10758" max="10762" width="12.140625" style="362" customWidth="1"/>
    <col min="10763" max="10763" width="12.7109375" style="362" customWidth="1"/>
    <col min="10764" max="10766" width="12.140625" style="362" customWidth="1"/>
    <col min="10767" max="10767" width="15.42578125" style="362" bestFit="1" customWidth="1"/>
    <col min="10768" max="10768" width="12" style="362" bestFit="1" customWidth="1"/>
    <col min="10769" max="10769" width="11.7109375" style="362" bestFit="1" customWidth="1"/>
    <col min="10770" max="11008" width="8.85546875" style="362"/>
    <col min="11009" max="11009" width="7.28515625" style="362" customWidth="1"/>
    <col min="11010" max="11010" width="72.140625" style="362" bestFit="1" customWidth="1"/>
    <col min="11011" max="11011" width="14.85546875" style="362" customWidth="1"/>
    <col min="11012" max="11012" width="12.140625" style="362" customWidth="1"/>
    <col min="11013" max="11013" width="14" style="362" bestFit="1" customWidth="1"/>
    <col min="11014" max="11018" width="12.140625" style="362" customWidth="1"/>
    <col min="11019" max="11019" width="12.7109375" style="362" customWidth="1"/>
    <col min="11020" max="11022" width="12.140625" style="362" customWidth="1"/>
    <col min="11023" max="11023" width="15.42578125" style="362" bestFit="1" customWidth="1"/>
    <col min="11024" max="11024" width="12" style="362" bestFit="1" customWidth="1"/>
    <col min="11025" max="11025" width="11.7109375" style="362" bestFit="1" customWidth="1"/>
    <col min="11026" max="11264" width="8.85546875" style="362"/>
    <col min="11265" max="11265" width="7.28515625" style="362" customWidth="1"/>
    <col min="11266" max="11266" width="72.140625" style="362" bestFit="1" customWidth="1"/>
    <col min="11267" max="11267" width="14.85546875" style="362" customWidth="1"/>
    <col min="11268" max="11268" width="12.140625" style="362" customWidth="1"/>
    <col min="11269" max="11269" width="14" style="362" bestFit="1" customWidth="1"/>
    <col min="11270" max="11274" width="12.140625" style="362" customWidth="1"/>
    <col min="11275" max="11275" width="12.7109375" style="362" customWidth="1"/>
    <col min="11276" max="11278" width="12.140625" style="362" customWidth="1"/>
    <col min="11279" max="11279" width="15.42578125" style="362" bestFit="1" customWidth="1"/>
    <col min="11280" max="11280" width="12" style="362" bestFit="1" customWidth="1"/>
    <col min="11281" max="11281" width="11.7109375" style="362" bestFit="1" customWidth="1"/>
    <col min="11282" max="11520" width="8.85546875" style="362"/>
    <col min="11521" max="11521" width="7.28515625" style="362" customWidth="1"/>
    <col min="11522" max="11522" width="72.140625" style="362" bestFit="1" customWidth="1"/>
    <col min="11523" max="11523" width="14.85546875" style="362" customWidth="1"/>
    <col min="11524" max="11524" width="12.140625" style="362" customWidth="1"/>
    <col min="11525" max="11525" width="14" style="362" bestFit="1" customWidth="1"/>
    <col min="11526" max="11530" width="12.140625" style="362" customWidth="1"/>
    <col min="11531" max="11531" width="12.7109375" style="362" customWidth="1"/>
    <col min="11532" max="11534" width="12.140625" style="362" customWidth="1"/>
    <col min="11535" max="11535" width="15.42578125" style="362" bestFit="1" customWidth="1"/>
    <col min="11536" max="11536" width="12" style="362" bestFit="1" customWidth="1"/>
    <col min="11537" max="11537" width="11.7109375" style="362" bestFit="1" customWidth="1"/>
    <col min="11538" max="11776" width="8.85546875" style="362"/>
    <col min="11777" max="11777" width="7.28515625" style="362" customWidth="1"/>
    <col min="11778" max="11778" width="72.140625" style="362" bestFit="1" customWidth="1"/>
    <col min="11779" max="11779" width="14.85546875" style="362" customWidth="1"/>
    <col min="11780" max="11780" width="12.140625" style="362" customWidth="1"/>
    <col min="11781" max="11781" width="14" style="362" bestFit="1" customWidth="1"/>
    <col min="11782" max="11786" width="12.140625" style="362" customWidth="1"/>
    <col min="11787" max="11787" width="12.7109375" style="362" customWidth="1"/>
    <col min="11788" max="11790" width="12.140625" style="362" customWidth="1"/>
    <col min="11791" max="11791" width="15.42578125" style="362" bestFit="1" customWidth="1"/>
    <col min="11792" max="11792" width="12" style="362" bestFit="1" customWidth="1"/>
    <col min="11793" max="11793" width="11.7109375" style="362" bestFit="1" customWidth="1"/>
    <col min="11794" max="12032" width="8.85546875" style="362"/>
    <col min="12033" max="12033" width="7.28515625" style="362" customWidth="1"/>
    <col min="12034" max="12034" width="72.140625" style="362" bestFit="1" customWidth="1"/>
    <col min="12035" max="12035" width="14.85546875" style="362" customWidth="1"/>
    <col min="12036" max="12036" width="12.140625" style="362" customWidth="1"/>
    <col min="12037" max="12037" width="14" style="362" bestFit="1" customWidth="1"/>
    <col min="12038" max="12042" width="12.140625" style="362" customWidth="1"/>
    <col min="12043" max="12043" width="12.7109375" style="362" customWidth="1"/>
    <col min="12044" max="12046" width="12.140625" style="362" customWidth="1"/>
    <col min="12047" max="12047" width="15.42578125" style="362" bestFit="1" customWidth="1"/>
    <col min="12048" max="12048" width="12" style="362" bestFit="1" customWidth="1"/>
    <col min="12049" max="12049" width="11.7109375" style="362" bestFit="1" customWidth="1"/>
    <col min="12050" max="12288" width="8.85546875" style="362"/>
    <col min="12289" max="12289" width="7.28515625" style="362" customWidth="1"/>
    <col min="12290" max="12290" width="72.140625" style="362" bestFit="1" customWidth="1"/>
    <col min="12291" max="12291" width="14.85546875" style="362" customWidth="1"/>
    <col min="12292" max="12292" width="12.140625" style="362" customWidth="1"/>
    <col min="12293" max="12293" width="14" style="362" bestFit="1" customWidth="1"/>
    <col min="12294" max="12298" width="12.140625" style="362" customWidth="1"/>
    <col min="12299" max="12299" width="12.7109375" style="362" customWidth="1"/>
    <col min="12300" max="12302" width="12.140625" style="362" customWidth="1"/>
    <col min="12303" max="12303" width="15.42578125" style="362" bestFit="1" customWidth="1"/>
    <col min="12304" max="12304" width="12" style="362" bestFit="1" customWidth="1"/>
    <col min="12305" max="12305" width="11.7109375" style="362" bestFit="1" customWidth="1"/>
    <col min="12306" max="12544" width="8.85546875" style="362"/>
    <col min="12545" max="12545" width="7.28515625" style="362" customWidth="1"/>
    <col min="12546" max="12546" width="72.140625" style="362" bestFit="1" customWidth="1"/>
    <col min="12547" max="12547" width="14.85546875" style="362" customWidth="1"/>
    <col min="12548" max="12548" width="12.140625" style="362" customWidth="1"/>
    <col min="12549" max="12549" width="14" style="362" bestFit="1" customWidth="1"/>
    <col min="12550" max="12554" width="12.140625" style="362" customWidth="1"/>
    <col min="12555" max="12555" width="12.7109375" style="362" customWidth="1"/>
    <col min="12556" max="12558" width="12.140625" style="362" customWidth="1"/>
    <col min="12559" max="12559" width="15.42578125" style="362" bestFit="1" customWidth="1"/>
    <col min="12560" max="12560" width="12" style="362" bestFit="1" customWidth="1"/>
    <col min="12561" max="12561" width="11.7109375" style="362" bestFit="1" customWidth="1"/>
    <col min="12562" max="12800" width="8.85546875" style="362"/>
    <col min="12801" max="12801" width="7.28515625" style="362" customWidth="1"/>
    <col min="12802" max="12802" width="72.140625" style="362" bestFit="1" customWidth="1"/>
    <col min="12803" max="12803" width="14.85546875" style="362" customWidth="1"/>
    <col min="12804" max="12804" width="12.140625" style="362" customWidth="1"/>
    <col min="12805" max="12805" width="14" style="362" bestFit="1" customWidth="1"/>
    <col min="12806" max="12810" width="12.140625" style="362" customWidth="1"/>
    <col min="12811" max="12811" width="12.7109375" style="362" customWidth="1"/>
    <col min="12812" max="12814" width="12.140625" style="362" customWidth="1"/>
    <col min="12815" max="12815" width="15.42578125" style="362" bestFit="1" customWidth="1"/>
    <col min="12816" max="12816" width="12" style="362" bestFit="1" customWidth="1"/>
    <col min="12817" max="12817" width="11.7109375" style="362" bestFit="1" customWidth="1"/>
    <col min="12818" max="13056" width="8.85546875" style="362"/>
    <col min="13057" max="13057" width="7.28515625" style="362" customWidth="1"/>
    <col min="13058" max="13058" width="72.140625" style="362" bestFit="1" customWidth="1"/>
    <col min="13059" max="13059" width="14.85546875" style="362" customWidth="1"/>
    <col min="13060" max="13060" width="12.140625" style="362" customWidth="1"/>
    <col min="13061" max="13061" width="14" style="362" bestFit="1" customWidth="1"/>
    <col min="13062" max="13066" width="12.140625" style="362" customWidth="1"/>
    <col min="13067" max="13067" width="12.7109375" style="362" customWidth="1"/>
    <col min="13068" max="13070" width="12.140625" style="362" customWidth="1"/>
    <col min="13071" max="13071" width="15.42578125" style="362" bestFit="1" customWidth="1"/>
    <col min="13072" max="13072" width="12" style="362" bestFit="1" customWidth="1"/>
    <col min="13073" max="13073" width="11.7109375" style="362" bestFit="1" customWidth="1"/>
    <col min="13074" max="13312" width="8.85546875" style="362"/>
    <col min="13313" max="13313" width="7.28515625" style="362" customWidth="1"/>
    <col min="13314" max="13314" width="72.140625" style="362" bestFit="1" customWidth="1"/>
    <col min="13315" max="13315" width="14.85546875" style="362" customWidth="1"/>
    <col min="13316" max="13316" width="12.140625" style="362" customWidth="1"/>
    <col min="13317" max="13317" width="14" style="362" bestFit="1" customWidth="1"/>
    <col min="13318" max="13322" width="12.140625" style="362" customWidth="1"/>
    <col min="13323" max="13323" width="12.7109375" style="362" customWidth="1"/>
    <col min="13324" max="13326" width="12.140625" style="362" customWidth="1"/>
    <col min="13327" max="13327" width="15.42578125" style="362" bestFit="1" customWidth="1"/>
    <col min="13328" max="13328" width="12" style="362" bestFit="1" customWidth="1"/>
    <col min="13329" max="13329" width="11.7109375" style="362" bestFit="1" customWidth="1"/>
    <col min="13330" max="13568" width="8.85546875" style="362"/>
    <col min="13569" max="13569" width="7.28515625" style="362" customWidth="1"/>
    <col min="13570" max="13570" width="72.140625" style="362" bestFit="1" customWidth="1"/>
    <col min="13571" max="13571" width="14.85546875" style="362" customWidth="1"/>
    <col min="13572" max="13572" width="12.140625" style="362" customWidth="1"/>
    <col min="13573" max="13573" width="14" style="362" bestFit="1" customWidth="1"/>
    <col min="13574" max="13578" width="12.140625" style="362" customWidth="1"/>
    <col min="13579" max="13579" width="12.7109375" style="362" customWidth="1"/>
    <col min="13580" max="13582" width="12.140625" style="362" customWidth="1"/>
    <col min="13583" max="13583" width="15.42578125" style="362" bestFit="1" customWidth="1"/>
    <col min="13584" max="13584" width="12" style="362" bestFit="1" customWidth="1"/>
    <col min="13585" max="13585" width="11.7109375" style="362" bestFit="1" customWidth="1"/>
    <col min="13586" max="13824" width="8.85546875" style="362"/>
    <col min="13825" max="13825" width="7.28515625" style="362" customWidth="1"/>
    <col min="13826" max="13826" width="72.140625" style="362" bestFit="1" customWidth="1"/>
    <col min="13827" max="13827" width="14.85546875" style="362" customWidth="1"/>
    <col min="13828" max="13828" width="12.140625" style="362" customWidth="1"/>
    <col min="13829" max="13829" width="14" style="362" bestFit="1" customWidth="1"/>
    <col min="13830" max="13834" width="12.140625" style="362" customWidth="1"/>
    <col min="13835" max="13835" width="12.7109375" style="362" customWidth="1"/>
    <col min="13836" max="13838" width="12.140625" style="362" customWidth="1"/>
    <col min="13839" max="13839" width="15.42578125" style="362" bestFit="1" customWidth="1"/>
    <col min="13840" max="13840" width="12" style="362" bestFit="1" customWidth="1"/>
    <col min="13841" max="13841" width="11.7109375" style="362" bestFit="1" customWidth="1"/>
    <col min="13842" max="14080" width="8.85546875" style="362"/>
    <col min="14081" max="14081" width="7.28515625" style="362" customWidth="1"/>
    <col min="14082" max="14082" width="72.140625" style="362" bestFit="1" customWidth="1"/>
    <col min="14083" max="14083" width="14.85546875" style="362" customWidth="1"/>
    <col min="14084" max="14084" width="12.140625" style="362" customWidth="1"/>
    <col min="14085" max="14085" width="14" style="362" bestFit="1" customWidth="1"/>
    <col min="14086" max="14090" width="12.140625" style="362" customWidth="1"/>
    <col min="14091" max="14091" width="12.7109375" style="362" customWidth="1"/>
    <col min="14092" max="14094" width="12.140625" style="362" customWidth="1"/>
    <col min="14095" max="14095" width="15.42578125" style="362" bestFit="1" customWidth="1"/>
    <col min="14096" max="14096" width="12" style="362" bestFit="1" customWidth="1"/>
    <col min="14097" max="14097" width="11.7109375" style="362" bestFit="1" customWidth="1"/>
    <col min="14098" max="14336" width="8.85546875" style="362"/>
    <col min="14337" max="14337" width="7.28515625" style="362" customWidth="1"/>
    <col min="14338" max="14338" width="72.140625" style="362" bestFit="1" customWidth="1"/>
    <col min="14339" max="14339" width="14.85546875" style="362" customWidth="1"/>
    <col min="14340" max="14340" width="12.140625" style="362" customWidth="1"/>
    <col min="14341" max="14341" width="14" style="362" bestFit="1" customWidth="1"/>
    <col min="14342" max="14346" width="12.140625" style="362" customWidth="1"/>
    <col min="14347" max="14347" width="12.7109375" style="362" customWidth="1"/>
    <col min="14348" max="14350" width="12.140625" style="362" customWidth="1"/>
    <col min="14351" max="14351" width="15.42578125" style="362" bestFit="1" customWidth="1"/>
    <col min="14352" max="14352" width="12" style="362" bestFit="1" customWidth="1"/>
    <col min="14353" max="14353" width="11.7109375" style="362" bestFit="1" customWidth="1"/>
    <col min="14354" max="14592" width="8.85546875" style="362"/>
    <col min="14593" max="14593" width="7.28515625" style="362" customWidth="1"/>
    <col min="14594" max="14594" width="72.140625" style="362" bestFit="1" customWidth="1"/>
    <col min="14595" max="14595" width="14.85546875" style="362" customWidth="1"/>
    <col min="14596" max="14596" width="12.140625" style="362" customWidth="1"/>
    <col min="14597" max="14597" width="14" style="362" bestFit="1" customWidth="1"/>
    <col min="14598" max="14602" width="12.140625" style="362" customWidth="1"/>
    <col min="14603" max="14603" width="12.7109375" style="362" customWidth="1"/>
    <col min="14604" max="14606" width="12.140625" style="362" customWidth="1"/>
    <col min="14607" max="14607" width="15.42578125" style="362" bestFit="1" customWidth="1"/>
    <col min="14608" max="14608" width="12" style="362" bestFit="1" customWidth="1"/>
    <col min="14609" max="14609" width="11.7109375" style="362" bestFit="1" customWidth="1"/>
    <col min="14610" max="14848" width="8.85546875" style="362"/>
    <col min="14849" max="14849" width="7.28515625" style="362" customWidth="1"/>
    <col min="14850" max="14850" width="72.140625" style="362" bestFit="1" customWidth="1"/>
    <col min="14851" max="14851" width="14.85546875" style="362" customWidth="1"/>
    <col min="14852" max="14852" width="12.140625" style="362" customWidth="1"/>
    <col min="14853" max="14853" width="14" style="362" bestFit="1" customWidth="1"/>
    <col min="14854" max="14858" width="12.140625" style="362" customWidth="1"/>
    <col min="14859" max="14859" width="12.7109375" style="362" customWidth="1"/>
    <col min="14860" max="14862" width="12.140625" style="362" customWidth="1"/>
    <col min="14863" max="14863" width="15.42578125" style="362" bestFit="1" customWidth="1"/>
    <col min="14864" max="14864" width="12" style="362" bestFit="1" customWidth="1"/>
    <col min="14865" max="14865" width="11.7109375" style="362" bestFit="1" customWidth="1"/>
    <col min="14866" max="15104" width="8.85546875" style="362"/>
    <col min="15105" max="15105" width="7.28515625" style="362" customWidth="1"/>
    <col min="15106" max="15106" width="72.140625" style="362" bestFit="1" customWidth="1"/>
    <col min="15107" max="15107" width="14.85546875" style="362" customWidth="1"/>
    <col min="15108" max="15108" width="12.140625" style="362" customWidth="1"/>
    <col min="15109" max="15109" width="14" style="362" bestFit="1" customWidth="1"/>
    <col min="15110" max="15114" width="12.140625" style="362" customWidth="1"/>
    <col min="15115" max="15115" width="12.7109375" style="362" customWidth="1"/>
    <col min="15116" max="15118" width="12.140625" style="362" customWidth="1"/>
    <col min="15119" max="15119" width="15.42578125" style="362" bestFit="1" customWidth="1"/>
    <col min="15120" max="15120" width="12" style="362" bestFit="1" customWidth="1"/>
    <col min="15121" max="15121" width="11.7109375" style="362" bestFit="1" customWidth="1"/>
    <col min="15122" max="15360" width="8.85546875" style="362"/>
    <col min="15361" max="15361" width="7.28515625" style="362" customWidth="1"/>
    <col min="15362" max="15362" width="72.140625" style="362" bestFit="1" customWidth="1"/>
    <col min="15363" max="15363" width="14.85546875" style="362" customWidth="1"/>
    <col min="15364" max="15364" width="12.140625" style="362" customWidth="1"/>
    <col min="15365" max="15365" width="14" style="362" bestFit="1" customWidth="1"/>
    <col min="15366" max="15370" width="12.140625" style="362" customWidth="1"/>
    <col min="15371" max="15371" width="12.7109375" style="362" customWidth="1"/>
    <col min="15372" max="15374" width="12.140625" style="362" customWidth="1"/>
    <col min="15375" max="15375" width="15.42578125" style="362" bestFit="1" customWidth="1"/>
    <col min="15376" max="15376" width="12" style="362" bestFit="1" customWidth="1"/>
    <col min="15377" max="15377" width="11.7109375" style="362" bestFit="1" customWidth="1"/>
    <col min="15378" max="15616" width="8.85546875" style="362"/>
    <col min="15617" max="15617" width="7.28515625" style="362" customWidth="1"/>
    <col min="15618" max="15618" width="72.140625" style="362" bestFit="1" customWidth="1"/>
    <col min="15619" max="15619" width="14.85546875" style="362" customWidth="1"/>
    <col min="15620" max="15620" width="12.140625" style="362" customWidth="1"/>
    <col min="15621" max="15621" width="14" style="362" bestFit="1" customWidth="1"/>
    <col min="15622" max="15626" width="12.140625" style="362" customWidth="1"/>
    <col min="15627" max="15627" width="12.7109375" style="362" customWidth="1"/>
    <col min="15628" max="15630" width="12.140625" style="362" customWidth="1"/>
    <col min="15631" max="15631" width="15.42578125" style="362" bestFit="1" customWidth="1"/>
    <col min="15632" max="15632" width="12" style="362" bestFit="1" customWidth="1"/>
    <col min="15633" max="15633" width="11.7109375" style="362" bestFit="1" customWidth="1"/>
    <col min="15634" max="15872" width="8.85546875" style="362"/>
    <col min="15873" max="15873" width="7.28515625" style="362" customWidth="1"/>
    <col min="15874" max="15874" width="72.140625" style="362" bestFit="1" customWidth="1"/>
    <col min="15875" max="15875" width="14.85546875" style="362" customWidth="1"/>
    <col min="15876" max="15876" width="12.140625" style="362" customWidth="1"/>
    <col min="15877" max="15877" width="14" style="362" bestFit="1" customWidth="1"/>
    <col min="15878" max="15882" width="12.140625" style="362" customWidth="1"/>
    <col min="15883" max="15883" width="12.7109375" style="362" customWidth="1"/>
    <col min="15884" max="15886" width="12.140625" style="362" customWidth="1"/>
    <col min="15887" max="15887" width="15.42578125" style="362" bestFit="1" customWidth="1"/>
    <col min="15888" max="15888" width="12" style="362" bestFit="1" customWidth="1"/>
    <col min="15889" max="15889" width="11.7109375" style="362" bestFit="1" customWidth="1"/>
    <col min="15890" max="16128" width="8.85546875" style="362"/>
    <col min="16129" max="16129" width="7.28515625" style="362" customWidth="1"/>
    <col min="16130" max="16130" width="72.140625" style="362" bestFit="1" customWidth="1"/>
    <col min="16131" max="16131" width="14.85546875" style="362" customWidth="1"/>
    <col min="16132" max="16132" width="12.140625" style="362" customWidth="1"/>
    <col min="16133" max="16133" width="14" style="362" bestFit="1" customWidth="1"/>
    <col min="16134" max="16138" width="12.140625" style="362" customWidth="1"/>
    <col min="16139" max="16139" width="12.7109375" style="362" customWidth="1"/>
    <col min="16140" max="16142" width="12.140625" style="362" customWidth="1"/>
    <col min="16143" max="16143" width="15.42578125" style="362" bestFit="1" customWidth="1"/>
    <col min="16144" max="16144" width="12" style="362" bestFit="1" customWidth="1"/>
    <col min="16145" max="16145" width="11.7109375" style="362" bestFit="1" customWidth="1"/>
    <col min="16146" max="16384" width="8.85546875" style="362"/>
  </cols>
  <sheetData>
    <row r="1" spans="1:15" ht="21" x14ac:dyDescent="0.2">
      <c r="A1" s="795" t="s">
        <v>1117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361"/>
      <c r="O1" s="361"/>
    </row>
    <row r="2" spans="1:15" ht="18.75" x14ac:dyDescent="0.2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</row>
    <row r="3" spans="1:15" ht="18.75" x14ac:dyDescent="0.2">
      <c r="A3" s="796" t="s">
        <v>1118</v>
      </c>
      <c r="B3" s="796"/>
      <c r="C3" s="796"/>
      <c r="D3" s="796"/>
      <c r="E3" s="363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5" x14ac:dyDescent="0.2">
      <c r="A4" s="797" t="s">
        <v>1</v>
      </c>
      <c r="B4" s="798" t="s">
        <v>1119</v>
      </c>
      <c r="C4" s="798" t="s">
        <v>1120</v>
      </c>
      <c r="D4" s="799" t="s">
        <v>1121</v>
      </c>
      <c r="E4" s="799"/>
      <c r="F4" s="799"/>
      <c r="G4" s="799"/>
      <c r="H4" s="799"/>
      <c r="I4" s="799"/>
      <c r="J4" s="799"/>
      <c r="K4" s="799"/>
      <c r="L4" s="799"/>
      <c r="M4" s="799"/>
      <c r="N4" s="365"/>
      <c r="O4" s="365"/>
    </row>
    <row r="5" spans="1:15" ht="15.75" x14ac:dyDescent="0.25">
      <c r="A5" s="797"/>
      <c r="B5" s="798"/>
      <c r="C5" s="798"/>
      <c r="D5" s="798" t="s">
        <v>1500</v>
      </c>
      <c r="E5" s="800"/>
      <c r="F5" s="801" t="s">
        <v>50</v>
      </c>
      <c r="G5" s="798"/>
      <c r="H5" s="801" t="s">
        <v>51</v>
      </c>
      <c r="I5" s="798"/>
      <c r="J5" s="801" t="s">
        <v>52</v>
      </c>
      <c r="K5" s="798"/>
      <c r="L5" s="801" t="s">
        <v>53</v>
      </c>
      <c r="M5" s="798"/>
      <c r="N5" s="366"/>
      <c r="O5" s="366"/>
    </row>
    <row r="6" spans="1:15" ht="18.75" x14ac:dyDescent="0.25">
      <c r="A6" s="797"/>
      <c r="B6" s="798"/>
      <c r="C6" s="798"/>
      <c r="D6" s="367" t="s">
        <v>1122</v>
      </c>
      <c r="E6" s="368" t="s">
        <v>1123</v>
      </c>
      <c r="F6" s="369" t="s">
        <v>1122</v>
      </c>
      <c r="G6" s="370" t="s">
        <v>1123</v>
      </c>
      <c r="H6" s="370" t="s">
        <v>1122</v>
      </c>
      <c r="I6" s="370" t="s">
        <v>1123</v>
      </c>
      <c r="J6" s="370" t="s">
        <v>1122</v>
      </c>
      <c r="K6" s="370" t="s">
        <v>1123</v>
      </c>
      <c r="L6" s="370" t="s">
        <v>1122</v>
      </c>
      <c r="M6" s="370" t="s">
        <v>1123</v>
      </c>
      <c r="N6" s="366"/>
      <c r="O6" s="366"/>
    </row>
    <row r="7" spans="1:15" ht="65.25" customHeight="1" x14ac:dyDescent="0.25">
      <c r="A7" s="371" t="s">
        <v>12</v>
      </c>
      <c r="B7" s="372" t="s">
        <v>1124</v>
      </c>
      <c r="C7" s="373" t="s">
        <v>1125</v>
      </c>
      <c r="D7" s="374"/>
      <c r="E7" s="375">
        <v>12040</v>
      </c>
      <c r="F7" s="376"/>
      <c r="G7" s="374">
        <v>12383</v>
      </c>
      <c r="H7" s="377"/>
      <c r="I7" s="374">
        <v>12383</v>
      </c>
      <c r="J7" s="377"/>
      <c r="K7" s="374">
        <v>12383</v>
      </c>
      <c r="L7" s="377"/>
      <c r="M7" s="374">
        <v>12383</v>
      </c>
      <c r="N7" s="378"/>
      <c r="O7" s="378"/>
    </row>
    <row r="8" spans="1:15" ht="56.25" x14ac:dyDescent="0.25">
      <c r="A8" s="371" t="s">
        <v>17</v>
      </c>
      <c r="B8" s="372" t="s">
        <v>1126</v>
      </c>
      <c r="C8" s="373" t="s">
        <v>1125</v>
      </c>
      <c r="D8" s="374"/>
      <c r="E8" s="375">
        <v>7656</v>
      </c>
      <c r="F8" s="376"/>
      <c r="G8" s="374">
        <v>7656</v>
      </c>
      <c r="H8" s="377"/>
      <c r="I8" s="374">
        <v>7656</v>
      </c>
      <c r="J8" s="377"/>
      <c r="K8" s="374">
        <v>7656</v>
      </c>
      <c r="L8" s="377"/>
      <c r="M8" s="374">
        <v>7656</v>
      </c>
      <c r="N8" s="378"/>
      <c r="O8" s="378"/>
    </row>
    <row r="9" spans="1:15" ht="18.75" x14ac:dyDescent="0.25">
      <c r="A9" s="371" t="s">
        <v>20</v>
      </c>
      <c r="B9" s="379" t="s">
        <v>1127</v>
      </c>
      <c r="C9" s="373" t="s">
        <v>1125</v>
      </c>
      <c r="D9" s="374"/>
      <c r="E9" s="375">
        <v>2232</v>
      </c>
      <c r="F9" s="376"/>
      <c r="G9" s="374">
        <v>2215</v>
      </c>
      <c r="H9" s="377"/>
      <c r="I9" s="374">
        <v>2215</v>
      </c>
      <c r="J9" s="377"/>
      <c r="K9" s="374">
        <v>2215</v>
      </c>
      <c r="L9" s="377"/>
      <c r="M9" s="374">
        <v>2215</v>
      </c>
      <c r="N9" s="380"/>
      <c r="O9" s="380"/>
    </row>
    <row r="10" spans="1:15" ht="18.75" x14ac:dyDescent="0.25">
      <c r="A10" s="371" t="s">
        <v>22</v>
      </c>
      <c r="B10" s="379" t="s">
        <v>1128</v>
      </c>
      <c r="C10" s="373" t="s">
        <v>1125</v>
      </c>
      <c r="D10" s="374"/>
      <c r="E10" s="375">
        <v>11811</v>
      </c>
      <c r="F10" s="376"/>
      <c r="G10" s="374">
        <v>11811</v>
      </c>
      <c r="H10" s="377"/>
      <c r="I10" s="374">
        <v>12795</v>
      </c>
      <c r="J10" s="377"/>
      <c r="K10" s="374">
        <v>12795</v>
      </c>
      <c r="L10" s="377"/>
      <c r="M10" s="374">
        <v>12795</v>
      </c>
      <c r="N10" s="380"/>
      <c r="O10" s="380"/>
    </row>
    <row r="11" spans="1:15" ht="37.5" x14ac:dyDescent="0.25">
      <c r="A11" s="371" t="s">
        <v>24</v>
      </c>
      <c r="B11" s="372" t="s">
        <v>1129</v>
      </c>
      <c r="C11" s="373" t="s">
        <v>1125</v>
      </c>
      <c r="D11" s="374"/>
      <c r="E11" s="375">
        <v>581</v>
      </c>
      <c r="F11" s="376"/>
      <c r="G11" s="374">
        <v>1729</v>
      </c>
      <c r="H11" s="377"/>
      <c r="I11" s="374">
        <v>1729</v>
      </c>
      <c r="J11" s="377"/>
      <c r="K11" s="374">
        <v>1729</v>
      </c>
      <c r="L11" s="377"/>
      <c r="M11" s="374">
        <v>1729</v>
      </c>
      <c r="N11" s="380"/>
      <c r="O11" s="380"/>
    </row>
    <row r="12" spans="1:15" ht="18.75" x14ac:dyDescent="0.25">
      <c r="A12" s="371" t="s">
        <v>86</v>
      </c>
      <c r="B12" s="379" t="s">
        <v>1130</v>
      </c>
      <c r="C12" s="373" t="s">
        <v>1125</v>
      </c>
      <c r="D12" s="374"/>
      <c r="E12" s="375">
        <v>4100</v>
      </c>
      <c r="F12" s="376"/>
      <c r="G12" s="374">
        <v>5100</v>
      </c>
      <c r="H12" s="377"/>
      <c r="I12" s="374">
        <v>5200</v>
      </c>
      <c r="J12" s="377"/>
      <c r="K12" s="374">
        <v>5300</v>
      </c>
      <c r="L12" s="377"/>
      <c r="M12" s="374">
        <v>5400</v>
      </c>
      <c r="N12" s="380"/>
      <c r="O12" s="380"/>
    </row>
    <row r="13" spans="1:15" ht="18.75" x14ac:dyDescent="0.25">
      <c r="A13" s="371" t="s">
        <v>88</v>
      </c>
      <c r="B13" s="379" t="s">
        <v>1131</v>
      </c>
      <c r="C13" s="373" t="s">
        <v>1125</v>
      </c>
      <c r="D13" s="374"/>
      <c r="E13" s="375">
        <v>1372</v>
      </c>
      <c r="F13" s="376"/>
      <c r="G13" s="374">
        <v>1372</v>
      </c>
      <c r="H13" s="377"/>
      <c r="I13" s="374">
        <v>1372</v>
      </c>
      <c r="J13" s="377"/>
      <c r="K13" s="374">
        <v>1372</v>
      </c>
      <c r="L13" s="377"/>
      <c r="M13" s="374">
        <v>1372</v>
      </c>
      <c r="N13" s="380"/>
      <c r="O13" s="380"/>
    </row>
    <row r="14" spans="1:15" ht="18.75" x14ac:dyDescent="0.25">
      <c r="A14" s="371" t="s">
        <v>89</v>
      </c>
      <c r="B14" s="372" t="s">
        <v>1132</v>
      </c>
      <c r="C14" s="373" t="s">
        <v>1125</v>
      </c>
      <c r="D14" s="374"/>
      <c r="E14" s="375">
        <v>4898</v>
      </c>
      <c r="F14" s="376"/>
      <c r="G14" s="374">
        <v>4998</v>
      </c>
      <c r="H14" s="377"/>
      <c r="I14" s="374">
        <v>5098</v>
      </c>
      <c r="J14" s="377"/>
      <c r="K14" s="374">
        <v>5198</v>
      </c>
      <c r="L14" s="377"/>
      <c r="M14" s="374">
        <v>5298</v>
      </c>
      <c r="N14" s="381"/>
      <c r="O14" s="381"/>
    </row>
    <row r="15" spans="1:15" ht="18.75" x14ac:dyDescent="0.25">
      <c r="A15" s="371" t="s">
        <v>90</v>
      </c>
      <c r="B15" s="372" t="s">
        <v>1133</v>
      </c>
      <c r="C15" s="373" t="s">
        <v>1125</v>
      </c>
      <c r="D15" s="374"/>
      <c r="E15" s="375">
        <v>2106</v>
      </c>
      <c r="F15" s="376"/>
      <c r="G15" s="374">
        <v>4500</v>
      </c>
      <c r="H15" s="377"/>
      <c r="I15" s="374">
        <v>4500</v>
      </c>
      <c r="J15" s="377"/>
      <c r="K15" s="374">
        <v>4500</v>
      </c>
      <c r="L15" s="377"/>
      <c r="M15" s="374">
        <v>4500</v>
      </c>
      <c r="N15" s="381"/>
      <c r="O15" s="381"/>
    </row>
    <row r="16" spans="1:15" ht="37.5" x14ac:dyDescent="0.25">
      <c r="A16" s="371" t="s">
        <v>763</v>
      </c>
      <c r="B16" s="372" t="s">
        <v>1134</v>
      </c>
      <c r="C16" s="373" t="s">
        <v>1125</v>
      </c>
      <c r="D16" s="374"/>
      <c r="E16" s="375">
        <v>4012</v>
      </c>
      <c r="F16" s="376"/>
      <c r="G16" s="374">
        <v>3500</v>
      </c>
      <c r="H16" s="377"/>
      <c r="I16" s="374">
        <v>3500</v>
      </c>
      <c r="J16" s="377"/>
      <c r="K16" s="374">
        <v>3500</v>
      </c>
      <c r="L16" s="377"/>
      <c r="M16" s="374">
        <v>3500</v>
      </c>
      <c r="N16" s="381"/>
      <c r="O16" s="381"/>
    </row>
    <row r="17" spans="1:15" ht="37.5" x14ac:dyDescent="0.25">
      <c r="A17" s="371" t="s">
        <v>767</v>
      </c>
      <c r="B17" s="372" t="s">
        <v>1135</v>
      </c>
      <c r="C17" s="373" t="s">
        <v>1125</v>
      </c>
      <c r="D17" s="374"/>
      <c r="E17" s="375">
        <v>165</v>
      </c>
      <c r="F17" s="376"/>
      <c r="G17" s="374">
        <v>165</v>
      </c>
      <c r="H17" s="377"/>
      <c r="I17" s="374">
        <v>165</v>
      </c>
      <c r="J17" s="377"/>
      <c r="K17" s="374">
        <v>165</v>
      </c>
      <c r="L17" s="377"/>
      <c r="M17" s="374">
        <v>165</v>
      </c>
      <c r="N17" s="381"/>
      <c r="O17" s="381"/>
    </row>
    <row r="18" spans="1:15" ht="18.75" x14ac:dyDescent="0.25">
      <c r="A18" s="371" t="s">
        <v>769</v>
      </c>
      <c r="B18" s="372" t="s">
        <v>1136</v>
      </c>
      <c r="C18" s="373" t="s">
        <v>1125</v>
      </c>
      <c r="D18" s="382"/>
      <c r="E18" s="514">
        <v>1372</v>
      </c>
      <c r="F18" s="515"/>
      <c r="G18" s="516">
        <v>2637</v>
      </c>
      <c r="H18" s="517"/>
      <c r="I18" s="516">
        <v>2637</v>
      </c>
      <c r="J18" s="517"/>
      <c r="K18" s="516">
        <v>2637</v>
      </c>
      <c r="L18" s="517"/>
      <c r="M18" s="516">
        <v>2637</v>
      </c>
      <c r="N18" s="381"/>
      <c r="O18" s="381"/>
    </row>
    <row r="19" spans="1:15" ht="15.75" x14ac:dyDescent="0.25">
      <c r="A19" s="802" t="s">
        <v>27</v>
      </c>
      <c r="B19" s="802"/>
      <c r="C19" s="383"/>
      <c r="D19" s="384">
        <f t="shared" ref="D19:M19" si="0">SUM(D7:D18)</f>
        <v>0</v>
      </c>
      <c r="E19" s="385">
        <f t="shared" si="0"/>
        <v>52345</v>
      </c>
      <c r="F19" s="386">
        <f t="shared" si="0"/>
        <v>0</v>
      </c>
      <c r="G19" s="384">
        <f t="shared" si="0"/>
        <v>58066</v>
      </c>
      <c r="H19" s="384">
        <f t="shared" si="0"/>
        <v>0</v>
      </c>
      <c r="I19" s="384">
        <f t="shared" si="0"/>
        <v>59250</v>
      </c>
      <c r="J19" s="384">
        <f t="shared" si="0"/>
        <v>0</v>
      </c>
      <c r="K19" s="384">
        <f t="shared" si="0"/>
        <v>59450</v>
      </c>
      <c r="L19" s="384">
        <f t="shared" si="0"/>
        <v>0</v>
      </c>
      <c r="M19" s="384">
        <f t="shared" si="0"/>
        <v>59650</v>
      </c>
      <c r="N19" s="387"/>
      <c r="O19" s="387"/>
    </row>
    <row r="20" spans="1:15" ht="18.75" x14ac:dyDescent="0.25">
      <c r="A20" s="796" t="s">
        <v>1137</v>
      </c>
      <c r="B20" s="796"/>
      <c r="C20" s="796" t="s">
        <v>1138</v>
      </c>
      <c r="D20" s="796"/>
      <c r="E20" s="380"/>
      <c r="F20" s="380"/>
      <c r="G20" s="380"/>
      <c r="H20" s="378"/>
      <c r="I20" s="378"/>
      <c r="J20" s="378"/>
      <c r="K20" s="378"/>
      <c r="L20" s="378"/>
      <c r="M20" s="378"/>
      <c r="N20" s="378"/>
      <c r="O20" s="378"/>
    </row>
    <row r="21" spans="1:15" x14ac:dyDescent="0.2">
      <c r="A21" s="797" t="s">
        <v>1</v>
      </c>
      <c r="B21" s="798" t="s">
        <v>1119</v>
      </c>
      <c r="C21" s="798" t="s">
        <v>1120</v>
      </c>
      <c r="D21" s="803" t="s">
        <v>1121</v>
      </c>
      <c r="E21" s="804"/>
      <c r="F21" s="804"/>
      <c r="G21" s="804"/>
      <c r="H21" s="804"/>
      <c r="I21" s="804"/>
      <c r="J21" s="804"/>
      <c r="K21" s="804"/>
      <c r="L21" s="804"/>
      <c r="M21" s="805"/>
      <c r="N21" s="806" t="s">
        <v>1358</v>
      </c>
      <c r="O21" s="806"/>
    </row>
    <row r="22" spans="1:15" ht="15.75" x14ac:dyDescent="0.2">
      <c r="A22" s="797"/>
      <c r="B22" s="798"/>
      <c r="C22" s="798"/>
      <c r="D22" s="798" t="s">
        <v>1500</v>
      </c>
      <c r="E22" s="800"/>
      <c r="F22" s="801" t="s">
        <v>50</v>
      </c>
      <c r="G22" s="798"/>
      <c r="H22" s="801" t="s">
        <v>51</v>
      </c>
      <c r="I22" s="798"/>
      <c r="J22" s="801" t="s">
        <v>52</v>
      </c>
      <c r="K22" s="798"/>
      <c r="L22" s="798" t="s">
        <v>1359</v>
      </c>
      <c r="M22" s="798"/>
      <c r="N22" s="806"/>
      <c r="O22" s="806"/>
    </row>
    <row r="23" spans="1:15" ht="18.75" x14ac:dyDescent="0.2">
      <c r="A23" s="797"/>
      <c r="B23" s="798"/>
      <c r="C23" s="798"/>
      <c r="D23" s="367" t="s">
        <v>1122</v>
      </c>
      <c r="E23" s="368" t="s">
        <v>1123</v>
      </c>
      <c r="F23" s="369" t="s">
        <v>1122</v>
      </c>
      <c r="G23" s="370" t="s">
        <v>1123</v>
      </c>
      <c r="H23" s="370" t="s">
        <v>1122</v>
      </c>
      <c r="I23" s="370" t="s">
        <v>1123</v>
      </c>
      <c r="J23" s="370" t="s">
        <v>1122</v>
      </c>
      <c r="K23" s="370" t="s">
        <v>1123</v>
      </c>
      <c r="L23" s="370" t="s">
        <v>1122</v>
      </c>
      <c r="M23" s="370" t="s">
        <v>1123</v>
      </c>
      <c r="N23" s="370" t="s">
        <v>1122</v>
      </c>
      <c r="O23" s="370" t="s">
        <v>1123</v>
      </c>
    </row>
    <row r="24" spans="1:15" ht="31.5" x14ac:dyDescent="0.2">
      <c r="A24" s="373" t="s">
        <v>12</v>
      </c>
      <c r="B24" s="372" t="s">
        <v>1360</v>
      </c>
      <c r="C24" s="373" t="s">
        <v>1361</v>
      </c>
      <c r="D24" s="388"/>
      <c r="E24" s="389">
        <v>313683</v>
      </c>
      <c r="F24" s="390"/>
      <c r="G24" s="374">
        <f>282265+22575</f>
        <v>304840</v>
      </c>
      <c r="H24" s="388"/>
      <c r="I24" s="377">
        <f>282265+28218</f>
        <v>310483</v>
      </c>
      <c r="J24" s="388"/>
      <c r="K24" s="377">
        <f>310483/10*6</f>
        <v>186289.8</v>
      </c>
      <c r="L24" s="388"/>
      <c r="M24" s="388"/>
      <c r="N24" s="388">
        <f>SUM(D24+F24+H24+J24+L24)</f>
        <v>0</v>
      </c>
      <c r="O24" s="377">
        <f>SUM(G24+I24+K24+M24)</f>
        <v>801612.80000000005</v>
      </c>
    </row>
    <row r="25" spans="1:15" ht="31.5" x14ac:dyDescent="0.2">
      <c r="A25" s="373" t="s">
        <v>17</v>
      </c>
      <c r="B25" s="372" t="s">
        <v>1139</v>
      </c>
      <c r="C25" s="373" t="s">
        <v>1362</v>
      </c>
      <c r="D25" s="388"/>
      <c r="E25" s="389">
        <v>106005</v>
      </c>
      <c r="F25" s="390"/>
      <c r="G25" s="374">
        <v>126966</v>
      </c>
      <c r="H25" s="388"/>
      <c r="I25" s="377">
        <v>126966</v>
      </c>
      <c r="J25" s="388"/>
      <c r="K25" s="377">
        <v>126966</v>
      </c>
      <c r="L25" s="388"/>
      <c r="M25" s="388"/>
      <c r="N25" s="388">
        <f>SUM(D25+F25+H25+J25+L25)</f>
        <v>0</v>
      </c>
      <c r="O25" s="377">
        <f>SUM(G25+I25+K25+M25)</f>
        <v>380898</v>
      </c>
    </row>
    <row r="26" spans="1:15" ht="37.5" x14ac:dyDescent="0.2">
      <c r="A26" s="373" t="s">
        <v>20</v>
      </c>
      <c r="B26" s="372" t="s">
        <v>1140</v>
      </c>
      <c r="C26" s="518" t="s">
        <v>50</v>
      </c>
      <c r="D26" s="377"/>
      <c r="E26" s="389">
        <v>3996</v>
      </c>
      <c r="F26" s="390"/>
      <c r="G26" s="374">
        <f>12*100542</f>
        <v>1206504</v>
      </c>
      <c r="H26" s="377"/>
      <c r="I26" s="377"/>
      <c r="J26" s="377"/>
      <c r="K26" s="377"/>
      <c r="L26" s="377"/>
      <c r="M26" s="377"/>
      <c r="N26" s="388">
        <f t="shared" ref="N26:N35" si="1">SUM(D26+F26+H26+J26+L26)</f>
        <v>0</v>
      </c>
      <c r="O26" s="377">
        <f t="shared" ref="O26:O35" si="2">SUM(G26+I26+K26+M26)</f>
        <v>1206504</v>
      </c>
    </row>
    <row r="27" spans="1:15" ht="18.75" x14ac:dyDescent="0.2">
      <c r="A27" s="373" t="s">
        <v>22</v>
      </c>
      <c r="B27" s="372" t="s">
        <v>1141</v>
      </c>
      <c r="C27" s="391" t="s">
        <v>50</v>
      </c>
      <c r="D27" s="377"/>
      <c r="E27" s="389">
        <v>8872</v>
      </c>
      <c r="F27" s="390"/>
      <c r="G27" s="374">
        <f>116417*12</f>
        <v>1397004</v>
      </c>
      <c r="H27" s="377"/>
      <c r="I27" s="377"/>
      <c r="J27" s="377"/>
      <c r="K27" s="377"/>
      <c r="L27" s="377"/>
      <c r="M27" s="377"/>
      <c r="N27" s="388">
        <f t="shared" si="1"/>
        <v>0</v>
      </c>
      <c r="O27" s="377">
        <f t="shared" si="2"/>
        <v>1397004</v>
      </c>
    </row>
    <row r="28" spans="1:15" ht="18.75" x14ac:dyDescent="0.2">
      <c r="A28" s="373" t="s">
        <v>24</v>
      </c>
      <c r="B28" s="372" t="s">
        <v>1142</v>
      </c>
      <c r="C28" s="391" t="s">
        <v>50</v>
      </c>
      <c r="D28" s="377"/>
      <c r="E28" s="389">
        <v>4019</v>
      </c>
      <c r="F28" s="390"/>
      <c r="G28" s="374">
        <v>1079496</v>
      </c>
      <c r="H28" s="377"/>
      <c r="I28" s="377"/>
      <c r="J28" s="377"/>
      <c r="K28" s="377"/>
      <c r="L28" s="377"/>
      <c r="M28" s="377"/>
      <c r="N28" s="388">
        <f t="shared" si="1"/>
        <v>0</v>
      </c>
      <c r="O28" s="377">
        <f t="shared" si="2"/>
        <v>1079496</v>
      </c>
    </row>
    <row r="29" spans="1:15" ht="37.5" x14ac:dyDescent="0.2">
      <c r="A29" s="373" t="s">
        <v>86</v>
      </c>
      <c r="B29" s="372" t="s">
        <v>1143</v>
      </c>
      <c r="C29" s="391" t="s">
        <v>50</v>
      </c>
      <c r="D29" s="377"/>
      <c r="E29" s="389">
        <v>4054</v>
      </c>
      <c r="F29" s="390"/>
      <c r="G29" s="374">
        <f>100542*12</f>
        <v>1206504</v>
      </c>
      <c r="H29" s="377"/>
      <c r="I29" s="377"/>
      <c r="J29" s="377"/>
      <c r="K29" s="377"/>
      <c r="L29" s="377"/>
      <c r="M29" s="377"/>
      <c r="N29" s="388">
        <f t="shared" si="1"/>
        <v>0</v>
      </c>
      <c r="O29" s="377">
        <f t="shared" si="2"/>
        <v>1206504</v>
      </c>
    </row>
    <row r="30" spans="1:15" ht="37.5" x14ac:dyDescent="0.2">
      <c r="A30" s="373" t="s">
        <v>88</v>
      </c>
      <c r="B30" s="372" t="s">
        <v>1144</v>
      </c>
      <c r="C30" s="392">
        <v>43308</v>
      </c>
      <c r="D30" s="377"/>
      <c r="E30" s="389">
        <v>3160</v>
      </c>
      <c r="F30" s="390"/>
      <c r="G30" s="374">
        <v>3148</v>
      </c>
      <c r="H30" s="377"/>
      <c r="I30" s="377">
        <v>1836</v>
      </c>
      <c r="J30" s="377"/>
      <c r="K30" s="377"/>
      <c r="L30" s="377"/>
      <c r="M30" s="377"/>
      <c r="N30" s="388">
        <f t="shared" si="1"/>
        <v>0</v>
      </c>
      <c r="O30" s="377">
        <f t="shared" si="2"/>
        <v>4984</v>
      </c>
    </row>
    <row r="31" spans="1:15" ht="56.25" x14ac:dyDescent="0.2">
      <c r="A31" s="373" t="s">
        <v>89</v>
      </c>
      <c r="B31" s="372" t="s">
        <v>1363</v>
      </c>
      <c r="C31" s="392">
        <v>43465</v>
      </c>
      <c r="D31" s="377"/>
      <c r="E31" s="389">
        <v>0</v>
      </c>
      <c r="F31" s="390"/>
      <c r="G31" s="374">
        <v>37338</v>
      </c>
      <c r="H31" s="377"/>
      <c r="I31" s="377">
        <v>37338</v>
      </c>
      <c r="J31" s="377"/>
      <c r="K31" s="377"/>
      <c r="L31" s="377"/>
      <c r="M31" s="377"/>
      <c r="N31" s="388">
        <f t="shared" si="1"/>
        <v>0</v>
      </c>
      <c r="O31" s="377">
        <f t="shared" si="2"/>
        <v>74676</v>
      </c>
    </row>
    <row r="32" spans="1:15" ht="37.5" x14ac:dyDescent="0.2">
      <c r="A32" s="373" t="s">
        <v>90</v>
      </c>
      <c r="B32" s="372" t="s">
        <v>1145</v>
      </c>
      <c r="C32" s="392">
        <v>43251</v>
      </c>
      <c r="D32" s="377"/>
      <c r="E32" s="389">
        <v>35916</v>
      </c>
      <c r="F32" s="390"/>
      <c r="G32" s="374">
        <v>35916</v>
      </c>
      <c r="H32" s="377"/>
      <c r="I32" s="377">
        <v>14965</v>
      </c>
      <c r="J32" s="377"/>
      <c r="K32" s="377"/>
      <c r="L32" s="377"/>
      <c r="M32" s="377"/>
      <c r="N32" s="388">
        <f t="shared" si="1"/>
        <v>0</v>
      </c>
      <c r="O32" s="377">
        <f t="shared" si="2"/>
        <v>50881</v>
      </c>
    </row>
    <row r="33" spans="1:17" ht="18.75" x14ac:dyDescent="0.2">
      <c r="A33" s="373" t="s">
        <v>763</v>
      </c>
      <c r="B33" s="372" t="s">
        <v>1146</v>
      </c>
      <c r="C33" s="392">
        <v>43100</v>
      </c>
      <c r="D33" s="377"/>
      <c r="E33" s="389">
        <v>24150</v>
      </c>
      <c r="F33" s="390"/>
      <c r="G33" s="374">
        <v>24150</v>
      </c>
      <c r="H33" s="377"/>
      <c r="I33" s="377"/>
      <c r="J33" s="377"/>
      <c r="K33" s="377"/>
      <c r="L33" s="377"/>
      <c r="M33" s="377"/>
      <c r="N33" s="388">
        <f t="shared" si="1"/>
        <v>0</v>
      </c>
      <c r="O33" s="377">
        <f t="shared" si="2"/>
        <v>24150</v>
      </c>
    </row>
    <row r="34" spans="1:17" ht="18.75" x14ac:dyDescent="0.2">
      <c r="A34" s="373" t="s">
        <v>767</v>
      </c>
      <c r="B34" s="372" t="s">
        <v>1147</v>
      </c>
      <c r="C34" s="392">
        <v>43100</v>
      </c>
      <c r="D34" s="377"/>
      <c r="E34" s="389">
        <v>11684</v>
      </c>
      <c r="F34" s="390"/>
      <c r="G34" s="374">
        <v>11684</v>
      </c>
      <c r="H34" s="377"/>
      <c r="I34" s="377"/>
      <c r="J34" s="377"/>
      <c r="K34" s="377"/>
      <c r="L34" s="377"/>
      <c r="M34" s="377"/>
      <c r="N34" s="388">
        <f t="shared" si="1"/>
        <v>0</v>
      </c>
      <c r="O34" s="377">
        <f t="shared" si="2"/>
        <v>11684</v>
      </c>
    </row>
    <row r="35" spans="1:17" ht="18.75" x14ac:dyDescent="0.2">
      <c r="A35" s="373" t="s">
        <v>769</v>
      </c>
      <c r="B35" s="372" t="s">
        <v>1148</v>
      </c>
      <c r="C35" s="392">
        <v>42735</v>
      </c>
      <c r="D35" s="377"/>
      <c r="E35" s="389">
        <v>0</v>
      </c>
      <c r="F35" s="390"/>
      <c r="G35" s="374"/>
      <c r="H35" s="377"/>
      <c r="I35" s="377"/>
      <c r="J35" s="377"/>
      <c r="K35" s="377"/>
      <c r="L35" s="377"/>
      <c r="M35" s="377"/>
      <c r="N35" s="388">
        <f t="shared" si="1"/>
        <v>0</v>
      </c>
      <c r="O35" s="377">
        <f t="shared" si="2"/>
        <v>0</v>
      </c>
    </row>
    <row r="36" spans="1:17" s="396" customFormat="1" ht="31.5" customHeight="1" x14ac:dyDescent="0.2">
      <c r="A36" s="807" t="s">
        <v>27</v>
      </c>
      <c r="B36" s="808"/>
      <c r="C36" s="393"/>
      <c r="D36" s="394">
        <f t="shared" ref="D36:O36" si="3">SUM(D24:D35)</f>
        <v>0</v>
      </c>
      <c r="E36" s="395">
        <f t="shared" si="3"/>
        <v>515539</v>
      </c>
      <c r="F36" s="394">
        <f t="shared" si="3"/>
        <v>0</v>
      </c>
      <c r="G36" s="394">
        <f t="shared" si="3"/>
        <v>5433550</v>
      </c>
      <c r="H36" s="394">
        <f t="shared" si="3"/>
        <v>0</v>
      </c>
      <c r="I36" s="394">
        <f t="shared" si="3"/>
        <v>491588</v>
      </c>
      <c r="J36" s="394">
        <f t="shared" si="3"/>
        <v>0</v>
      </c>
      <c r="K36" s="394">
        <f t="shared" si="3"/>
        <v>313255.8</v>
      </c>
      <c r="L36" s="394">
        <f t="shared" si="3"/>
        <v>0</v>
      </c>
      <c r="M36" s="394">
        <f t="shared" si="3"/>
        <v>0</v>
      </c>
      <c r="N36" s="394">
        <f t="shared" si="3"/>
        <v>0</v>
      </c>
      <c r="O36" s="394">
        <f t="shared" si="3"/>
        <v>6238393.7999999998</v>
      </c>
    </row>
    <row r="37" spans="1:17" s="396" customFormat="1" ht="31.5" customHeight="1" x14ac:dyDescent="0.2">
      <c r="A37" s="519"/>
      <c r="B37" s="519"/>
      <c r="C37" s="520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</row>
    <row r="38" spans="1:17" s="396" customFormat="1" ht="31.5" customHeight="1" x14ac:dyDescent="0.2">
      <c r="A38" s="363"/>
      <c r="B38" s="363"/>
      <c r="C38" s="397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</row>
    <row r="39" spans="1:17" ht="18.75" customHeight="1" x14ac:dyDescent="0.2">
      <c r="A39" s="796" t="s">
        <v>1149</v>
      </c>
      <c r="B39" s="796"/>
      <c r="C39" s="522"/>
      <c r="D39" s="523"/>
      <c r="E39" s="523"/>
      <c r="F39" s="524"/>
      <c r="G39" s="524"/>
      <c r="H39" s="523"/>
      <c r="I39" s="523"/>
      <c r="J39" s="523"/>
      <c r="K39" s="523"/>
      <c r="L39" s="523"/>
      <c r="M39" s="523"/>
      <c r="N39" s="525"/>
      <c r="O39" s="523"/>
    </row>
    <row r="40" spans="1:17" x14ac:dyDescent="0.2">
      <c r="A40" s="797" t="s">
        <v>1</v>
      </c>
      <c r="B40" s="798" t="s">
        <v>1119</v>
      </c>
      <c r="C40" s="809" t="s">
        <v>1120</v>
      </c>
      <c r="D40" s="811" t="s">
        <v>1121</v>
      </c>
      <c r="E40" s="811"/>
      <c r="F40" s="811"/>
      <c r="G40" s="811"/>
      <c r="H40" s="811"/>
      <c r="I40" s="811"/>
      <c r="J40" s="811"/>
      <c r="K40" s="811"/>
      <c r="L40" s="811"/>
      <c r="M40" s="811"/>
      <c r="N40" s="810" t="s">
        <v>1358</v>
      </c>
      <c r="O40" s="810"/>
    </row>
    <row r="41" spans="1:17" ht="15.75" x14ac:dyDescent="0.2">
      <c r="A41" s="797"/>
      <c r="B41" s="798"/>
      <c r="C41" s="798"/>
      <c r="D41" s="798" t="s">
        <v>1500</v>
      </c>
      <c r="E41" s="800"/>
      <c r="F41" s="801" t="s">
        <v>50</v>
      </c>
      <c r="G41" s="798"/>
      <c r="H41" s="801" t="s">
        <v>51</v>
      </c>
      <c r="I41" s="798"/>
      <c r="J41" s="801" t="s">
        <v>52</v>
      </c>
      <c r="K41" s="798"/>
      <c r="L41" s="798" t="s">
        <v>1359</v>
      </c>
      <c r="M41" s="798"/>
      <c r="N41" s="806"/>
      <c r="O41" s="806"/>
    </row>
    <row r="42" spans="1:17" ht="18.75" x14ac:dyDescent="0.2">
      <c r="A42" s="797"/>
      <c r="B42" s="798"/>
      <c r="C42" s="798"/>
      <c r="D42" s="367" t="s">
        <v>1122</v>
      </c>
      <c r="E42" s="368" t="s">
        <v>1123</v>
      </c>
      <c r="F42" s="369" t="s">
        <v>1122</v>
      </c>
      <c r="G42" s="370" t="s">
        <v>1123</v>
      </c>
      <c r="H42" s="370" t="s">
        <v>1122</v>
      </c>
      <c r="I42" s="370" t="s">
        <v>1123</v>
      </c>
      <c r="J42" s="370" t="s">
        <v>1122</v>
      </c>
      <c r="K42" s="370" t="s">
        <v>1123</v>
      </c>
      <c r="L42" s="370" t="s">
        <v>1122</v>
      </c>
      <c r="M42" s="370" t="s">
        <v>1123</v>
      </c>
      <c r="N42" s="370" t="s">
        <v>1122</v>
      </c>
      <c r="O42" s="370" t="s">
        <v>1123</v>
      </c>
    </row>
    <row r="43" spans="1:17" ht="18.75" customHeight="1" x14ac:dyDescent="0.2">
      <c r="A43" s="812" t="s">
        <v>1150</v>
      </c>
      <c r="B43" s="813"/>
      <c r="C43" s="813"/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4"/>
    </row>
    <row r="44" spans="1:17" ht="29.25" customHeight="1" x14ac:dyDescent="0.2">
      <c r="A44" s="373"/>
      <c r="B44" s="372" t="s">
        <v>1151</v>
      </c>
      <c r="C44" s="391">
        <v>2038</v>
      </c>
      <c r="D44" s="377"/>
      <c r="E44" s="389">
        <v>0</v>
      </c>
      <c r="F44" s="390"/>
      <c r="G44" s="374"/>
      <c r="H44" s="377"/>
      <c r="I44" s="377">
        <v>10547</v>
      </c>
      <c r="J44" s="377"/>
      <c r="K44" s="377">
        <v>14063</v>
      </c>
      <c r="L44" s="377"/>
      <c r="M44" s="377">
        <f>O44-I44-K44</f>
        <v>260165</v>
      </c>
      <c r="N44" s="388"/>
      <c r="O44" s="377">
        <v>284775</v>
      </c>
    </row>
    <row r="45" spans="1:17" ht="18.75" x14ac:dyDescent="0.2">
      <c r="A45" s="373"/>
      <c r="B45" s="372" t="s">
        <v>1152</v>
      </c>
      <c r="C45" s="391">
        <v>2038</v>
      </c>
      <c r="D45" s="377"/>
      <c r="E45" s="389">
        <v>0</v>
      </c>
      <c r="F45" s="390"/>
      <c r="G45" s="374">
        <v>2436</v>
      </c>
      <c r="H45" s="377"/>
      <c r="I45" s="377">
        <v>9744</v>
      </c>
      <c r="J45" s="377"/>
      <c r="K45" s="377">
        <v>9744</v>
      </c>
      <c r="L45" s="377"/>
      <c r="M45" s="377">
        <f>O45-G45-I45-K45</f>
        <v>185127</v>
      </c>
      <c r="N45" s="388"/>
      <c r="O45" s="377">
        <v>207051</v>
      </c>
      <c r="Q45" s="399">
        <f>SUM(O45:O46)</f>
        <v>300000</v>
      </c>
    </row>
    <row r="46" spans="1:17" ht="37.5" x14ac:dyDescent="0.2">
      <c r="A46" s="373"/>
      <c r="B46" s="372" t="s">
        <v>1153</v>
      </c>
      <c r="C46" s="391">
        <v>2038</v>
      </c>
      <c r="D46" s="377"/>
      <c r="E46" s="389">
        <v>0</v>
      </c>
      <c r="F46" s="390"/>
      <c r="G46" s="374">
        <v>1094</v>
      </c>
      <c r="H46" s="377"/>
      <c r="I46" s="377">
        <v>4376</v>
      </c>
      <c r="J46" s="377"/>
      <c r="K46" s="377">
        <v>4376</v>
      </c>
      <c r="L46" s="377"/>
      <c r="M46" s="377">
        <f>O46-G46-I46-K46</f>
        <v>83103</v>
      </c>
      <c r="N46" s="388"/>
      <c r="O46" s="377">
        <v>92949</v>
      </c>
      <c r="Q46" s="399">
        <f>SUM(O44:O46)</f>
        <v>584775</v>
      </c>
    </row>
    <row r="47" spans="1:17" ht="18" customHeight="1" x14ac:dyDescent="0.2">
      <c r="A47" s="812" t="s">
        <v>1154</v>
      </c>
      <c r="B47" s="813"/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4"/>
    </row>
    <row r="48" spans="1:17" ht="18.75" x14ac:dyDescent="0.2">
      <c r="A48" s="373"/>
      <c r="B48" s="372" t="s">
        <v>1155</v>
      </c>
      <c r="C48" s="391">
        <v>2038</v>
      </c>
      <c r="D48" s="377">
        <v>10576</v>
      </c>
      <c r="E48" s="389">
        <v>14239</v>
      </c>
      <c r="F48" s="390"/>
      <c r="G48" s="374">
        <v>14239</v>
      </c>
      <c r="H48" s="377"/>
      <c r="I48" s="377">
        <v>14107</v>
      </c>
      <c r="J48" s="377"/>
      <c r="K48" s="377">
        <v>13448</v>
      </c>
      <c r="L48" s="377"/>
      <c r="M48" s="377">
        <f>O48-G48-I48-K48</f>
        <v>121952</v>
      </c>
      <c r="N48" s="388"/>
      <c r="O48" s="377">
        <v>163746</v>
      </c>
    </row>
    <row r="49" spans="1:26" ht="18.75" x14ac:dyDescent="0.2">
      <c r="A49" s="373"/>
      <c r="B49" s="372" t="s">
        <v>1152</v>
      </c>
      <c r="C49" s="391">
        <v>2038</v>
      </c>
      <c r="D49" s="377">
        <v>7689</v>
      </c>
      <c r="E49" s="389">
        <v>10353</v>
      </c>
      <c r="F49" s="390"/>
      <c r="G49" s="374">
        <v>10353</v>
      </c>
      <c r="H49" s="377"/>
      <c r="I49" s="377">
        <v>10048</v>
      </c>
      <c r="J49" s="377"/>
      <c r="K49" s="377">
        <v>9561</v>
      </c>
      <c r="L49" s="377"/>
      <c r="M49" s="377">
        <f>O49-G49-I49-K49</f>
        <v>89093</v>
      </c>
      <c r="N49" s="388"/>
      <c r="O49" s="377">
        <v>119055</v>
      </c>
    </row>
    <row r="50" spans="1:26" ht="37.5" x14ac:dyDescent="0.2">
      <c r="A50" s="373"/>
      <c r="B50" s="372" t="s">
        <v>1153</v>
      </c>
      <c r="C50" s="391">
        <v>2038</v>
      </c>
      <c r="D50" s="377">
        <v>3452</v>
      </c>
      <c r="E50" s="389">
        <v>4647</v>
      </c>
      <c r="F50" s="390"/>
      <c r="G50" s="374">
        <v>4647</v>
      </c>
      <c r="H50" s="377"/>
      <c r="I50" s="377">
        <v>4511</v>
      </c>
      <c r="J50" s="377"/>
      <c r="K50" s="377">
        <v>4292</v>
      </c>
      <c r="L50" s="377"/>
      <c r="M50" s="377">
        <f>O50-G50-I50-K50</f>
        <v>39974</v>
      </c>
      <c r="N50" s="388"/>
      <c r="O50" s="377">
        <v>53424</v>
      </c>
      <c r="X50" s="797"/>
      <c r="Y50" s="798"/>
      <c r="Z50" s="798"/>
    </row>
    <row r="51" spans="1:26" s="396" customFormat="1" ht="31.5" customHeight="1" x14ac:dyDescent="0.2">
      <c r="A51" s="815" t="s">
        <v>27</v>
      </c>
      <c r="B51" s="801"/>
      <c r="C51" s="400"/>
      <c r="D51" s="401">
        <f>SUM(D30:D50)</f>
        <v>21717</v>
      </c>
      <c r="E51" s="402">
        <f>SUM(E44:E50)</f>
        <v>29239</v>
      </c>
      <c r="F51" s="401">
        <f>SUM(F30:F50)</f>
        <v>0</v>
      </c>
      <c r="G51" s="401">
        <f>SUM(G44:G50)</f>
        <v>32769</v>
      </c>
      <c r="H51" s="401">
        <f>SUM(H30:H50)</f>
        <v>0</v>
      </c>
      <c r="I51" s="401">
        <f>SUM(I44:I50)</f>
        <v>53333</v>
      </c>
      <c r="J51" s="401">
        <f>SUM(J30:J50)</f>
        <v>0</v>
      </c>
      <c r="K51" s="401">
        <f>SUM(K44:K50)</f>
        <v>55484</v>
      </c>
      <c r="L51" s="401">
        <f>SUM(L30:L50)</f>
        <v>0</v>
      </c>
      <c r="M51" s="401">
        <f>SUM(M44:M50)</f>
        <v>779414</v>
      </c>
      <c r="N51" s="401">
        <f>SUM(N30:N50)</f>
        <v>0</v>
      </c>
      <c r="O51" s="401">
        <f>SUM(O44:O50)</f>
        <v>921000</v>
      </c>
      <c r="P51" s="403">
        <f>SUM(G51+I51+K51+M51)</f>
        <v>921000</v>
      </c>
      <c r="X51" s="797"/>
      <c r="Y51" s="798"/>
      <c r="Z51" s="798"/>
    </row>
    <row r="52" spans="1:26" ht="18.75" x14ac:dyDescent="0.2">
      <c r="A52" s="526"/>
      <c r="B52" s="527"/>
      <c r="C52" s="528"/>
      <c r="D52" s="529"/>
      <c r="E52" s="529"/>
      <c r="F52" s="530"/>
      <c r="G52" s="530"/>
      <c r="H52" s="529"/>
      <c r="I52" s="529"/>
      <c r="J52" s="529"/>
      <c r="K52" s="529"/>
      <c r="L52" s="529"/>
      <c r="M52" s="529"/>
      <c r="N52" s="531"/>
      <c r="O52" s="529"/>
      <c r="X52" s="797"/>
      <c r="Y52" s="798"/>
      <c r="Z52" s="798"/>
    </row>
    <row r="53" spans="1:26" ht="18.75" x14ac:dyDescent="0.2">
      <c r="A53" s="404"/>
      <c r="B53" s="405"/>
      <c r="C53" s="406"/>
      <c r="D53" s="407"/>
      <c r="E53" s="407"/>
      <c r="F53" s="408"/>
      <c r="G53" s="408"/>
      <c r="H53" s="407"/>
      <c r="I53" s="407"/>
      <c r="J53" s="407"/>
      <c r="K53" s="407"/>
      <c r="L53" s="407"/>
      <c r="M53" s="407"/>
      <c r="N53" s="409"/>
      <c r="O53" s="407"/>
    </row>
    <row r="54" spans="1:26" ht="15.75" x14ac:dyDescent="0.25">
      <c r="A54" s="380"/>
      <c r="B54" s="380"/>
      <c r="C54" s="41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</row>
    <row r="55" spans="1:26" ht="15.75" x14ac:dyDescent="0.25">
      <c r="A55" s="380"/>
      <c r="B55" s="380"/>
      <c r="C55" s="41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</row>
  </sheetData>
  <mergeCells count="41">
    <mergeCell ref="A43:O43"/>
    <mergeCell ref="A47:O47"/>
    <mergeCell ref="X50:X52"/>
    <mergeCell ref="Y50:Y52"/>
    <mergeCell ref="Z50:Z52"/>
    <mergeCell ref="A51:B51"/>
    <mergeCell ref="N40:O41"/>
    <mergeCell ref="D41:E41"/>
    <mergeCell ref="F41:G41"/>
    <mergeCell ref="H41:I41"/>
    <mergeCell ref="J41:K41"/>
    <mergeCell ref="L41:M41"/>
    <mergeCell ref="D40:M40"/>
    <mergeCell ref="A36:B36"/>
    <mergeCell ref="A39:B39"/>
    <mergeCell ref="A40:A42"/>
    <mergeCell ref="B40:B42"/>
    <mergeCell ref="C40:C42"/>
    <mergeCell ref="N21:O22"/>
    <mergeCell ref="D22:E22"/>
    <mergeCell ref="F22:G22"/>
    <mergeCell ref="H22:I22"/>
    <mergeCell ref="J22:K22"/>
    <mergeCell ref="L22:M22"/>
    <mergeCell ref="A19:B19"/>
    <mergeCell ref="A20:D20"/>
    <mergeCell ref="A21:A23"/>
    <mergeCell ref="B21:B23"/>
    <mergeCell ref="C21:C23"/>
    <mergeCell ref="D21:M21"/>
    <mergeCell ref="A1:M1"/>
    <mergeCell ref="A3:D3"/>
    <mergeCell ref="A4:A6"/>
    <mergeCell ref="B4:B6"/>
    <mergeCell ref="C4:C6"/>
    <mergeCell ref="D4:M4"/>
    <mergeCell ref="D5:E5"/>
    <mergeCell ref="F5:G5"/>
    <mergeCell ref="H5:I5"/>
    <mergeCell ref="J5:K5"/>
    <mergeCell ref="L5:M5"/>
  </mergeCells>
  <printOptions horizontalCentered="1" verticalCentered="1"/>
  <pageMargins left="0.31496062992125984" right="0.31496062992125984" top="0.23622047244094491" bottom="0.27559055118110237" header="0.15748031496062992" footer="0.31496062992125984"/>
  <pageSetup paperSize="9" scale="54" orientation="landscape" r:id="rId1"/>
  <headerFooter>
    <oddHeader>&amp;C2017. évi költségvetés
&amp;R&amp;A</oddHeader>
    <oddFooter>&amp;C&amp;P/&amp;N</oddFooter>
  </headerFooter>
  <rowBreaks count="1" manualBreakCount="1">
    <brk id="37" max="14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688"/>
  <sheetViews>
    <sheetView view="pageBreakPreview" topLeftCell="A16" zoomScaleNormal="100" zoomScaleSheetLayoutView="100" workbookViewId="0">
      <selection activeCell="D10" sqref="D10"/>
    </sheetView>
  </sheetViews>
  <sheetFormatPr defaultColWidth="12.42578125" defaultRowHeight="11.25" x14ac:dyDescent="0.2"/>
  <cols>
    <col min="1" max="1" width="25.5703125" style="64" bestFit="1" customWidth="1"/>
    <col min="2" max="4" width="26.140625" style="64" bestFit="1" customWidth="1"/>
    <col min="5" max="5" width="16.42578125" style="64" bestFit="1" customWidth="1"/>
    <col min="6" max="6" width="21.85546875" style="64" customWidth="1"/>
    <col min="7" max="16384" width="12.42578125" style="64"/>
  </cols>
  <sheetData>
    <row r="1" spans="1:94" ht="14.25" customHeight="1" x14ac:dyDescent="0.25">
      <c r="A1" s="62"/>
      <c r="B1" s="62"/>
      <c r="C1" s="62"/>
      <c r="D1" s="817"/>
      <c r="E1" s="817"/>
      <c r="F1" s="6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</row>
    <row r="2" spans="1:94" s="65" customFormat="1" ht="29.25" customHeight="1" x14ac:dyDescent="0.25">
      <c r="A2" s="818" t="s">
        <v>31</v>
      </c>
      <c r="B2" s="818"/>
      <c r="C2" s="818"/>
      <c r="D2" s="818"/>
      <c r="E2" s="818"/>
      <c r="F2" s="62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</row>
    <row r="3" spans="1:94" s="63" customFormat="1" ht="14.25" customHeight="1" x14ac:dyDescent="0.25">
      <c r="A3" s="819"/>
      <c r="B3" s="819"/>
      <c r="C3" s="819"/>
      <c r="D3" s="819"/>
      <c r="E3" s="819"/>
      <c r="F3" s="819"/>
    </row>
    <row r="4" spans="1:94" s="63" customFormat="1" ht="11.25" customHeight="1" x14ac:dyDescent="0.2">
      <c r="A4" s="66"/>
      <c r="E4" s="67"/>
      <c r="F4" s="68"/>
    </row>
    <row r="5" spans="1:94" s="63" customFormat="1" ht="3" customHeight="1" thickBot="1" x14ac:dyDescent="0.25">
      <c r="F5" s="67"/>
    </row>
    <row r="6" spans="1:94" s="69" customFormat="1" ht="37.5" customHeight="1" x14ac:dyDescent="0.2">
      <c r="A6" s="820" t="s">
        <v>32</v>
      </c>
      <c r="B6" s="821" t="s">
        <v>33</v>
      </c>
      <c r="C6" s="821"/>
      <c r="D6" s="821"/>
      <c r="E6" s="822" t="s">
        <v>27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</row>
    <row r="7" spans="1:94" s="71" customFormat="1" ht="26.25" customHeight="1" thickBot="1" x14ac:dyDescent="0.25">
      <c r="A7" s="820"/>
      <c r="B7" s="70">
        <f>+B16+B44</f>
        <v>349492568</v>
      </c>
      <c r="C7" s="70">
        <v>207051367</v>
      </c>
      <c r="D7" s="70">
        <v>92948633</v>
      </c>
      <c r="E7" s="82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</row>
    <row r="8" spans="1:94" s="74" customFormat="1" ht="45" customHeight="1" x14ac:dyDescent="0.2">
      <c r="A8" s="72" t="s">
        <v>34</v>
      </c>
      <c r="B8" s="73" t="s">
        <v>35</v>
      </c>
      <c r="C8" s="73" t="s">
        <v>36</v>
      </c>
      <c r="D8" s="73" t="s">
        <v>37</v>
      </c>
      <c r="E8" s="82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</row>
    <row r="9" spans="1:94" s="74" customFormat="1" ht="22.5" customHeight="1" x14ac:dyDescent="0.2">
      <c r="A9" s="72" t="s">
        <v>38</v>
      </c>
      <c r="B9" s="75">
        <v>41466</v>
      </c>
      <c r="C9" s="75">
        <v>41647</v>
      </c>
      <c r="D9" s="75">
        <v>41647</v>
      </c>
      <c r="E9" s="82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</row>
    <row r="10" spans="1:94" s="74" customFormat="1" ht="18" customHeight="1" x14ac:dyDescent="0.2">
      <c r="A10" s="76" t="s">
        <v>39</v>
      </c>
      <c r="B10" s="77" t="s">
        <v>95</v>
      </c>
      <c r="C10" s="77" t="s">
        <v>96</v>
      </c>
      <c r="D10" s="77" t="s">
        <v>97</v>
      </c>
      <c r="E10" s="82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</row>
    <row r="11" spans="1:94" s="74" customFormat="1" ht="13.5" customHeight="1" x14ac:dyDescent="0.2">
      <c r="A11" s="78" t="s">
        <v>91</v>
      </c>
      <c r="B11" s="79" t="s">
        <v>40</v>
      </c>
      <c r="C11" s="79" t="s">
        <v>41</v>
      </c>
      <c r="D11" s="79" t="s">
        <v>41</v>
      </c>
      <c r="E11" s="82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</row>
    <row r="12" spans="1:94" s="82" customFormat="1" ht="12.75" customHeight="1" x14ac:dyDescent="0.2">
      <c r="A12" s="78" t="s">
        <v>1</v>
      </c>
      <c r="B12" s="80" t="s">
        <v>12</v>
      </c>
      <c r="C12" s="80" t="s">
        <v>17</v>
      </c>
      <c r="D12" s="80" t="s">
        <v>20</v>
      </c>
      <c r="E12" s="823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</row>
    <row r="13" spans="1:94" s="86" customFormat="1" ht="31.5" customHeight="1" x14ac:dyDescent="0.2">
      <c r="A13" s="83" t="s">
        <v>42</v>
      </c>
      <c r="B13" s="84" t="s">
        <v>43</v>
      </c>
      <c r="C13" s="84" t="s">
        <v>43</v>
      </c>
      <c r="D13" s="84" t="s">
        <v>43</v>
      </c>
      <c r="E13" s="823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</row>
    <row r="14" spans="1:94" s="86" customFormat="1" ht="44.25" customHeight="1" x14ac:dyDescent="0.2">
      <c r="A14" s="87" t="s">
        <v>44</v>
      </c>
      <c r="B14" s="88"/>
      <c r="C14" s="88"/>
      <c r="D14" s="88"/>
      <c r="E14" s="82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</row>
    <row r="15" spans="1:94" s="90" customFormat="1" ht="14.25" customHeight="1" x14ac:dyDescent="0.2">
      <c r="A15" s="89" t="s">
        <v>45</v>
      </c>
      <c r="B15" s="89"/>
      <c r="C15" s="89"/>
      <c r="D15" s="89"/>
      <c r="E15" s="89" t="s">
        <v>46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</row>
    <row r="16" spans="1:94" ht="15.95" customHeight="1" x14ac:dyDescent="0.2">
      <c r="A16" s="83" t="s">
        <v>47</v>
      </c>
      <c r="B16" s="91">
        <v>64716139</v>
      </c>
      <c r="C16" s="91"/>
      <c r="D16" s="91"/>
      <c r="E16" s="92">
        <f>SUM(B16:B16)</f>
        <v>64716139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</row>
    <row r="17" spans="1:94" ht="15.95" customHeight="1" x14ac:dyDescent="0.2">
      <c r="A17" s="83" t="s">
        <v>48</v>
      </c>
      <c r="B17" s="91"/>
      <c r="C17" s="91"/>
      <c r="D17" s="91"/>
      <c r="E17" s="92">
        <f>SUM(B17:B17)</f>
        <v>0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</row>
    <row r="18" spans="1:94" s="65" customFormat="1" ht="15.95" customHeight="1" x14ac:dyDescent="0.2">
      <c r="A18" s="83" t="s">
        <v>49</v>
      </c>
      <c r="B18" s="91"/>
      <c r="C18" s="91"/>
      <c r="D18" s="91"/>
      <c r="E18" s="92">
        <f>SUM(B18:B18)</f>
        <v>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</row>
    <row r="19" spans="1:94" s="65" customFormat="1" ht="15.95" customHeight="1" x14ac:dyDescent="0.2">
      <c r="A19" s="83" t="s">
        <v>50</v>
      </c>
      <c r="B19" s="91"/>
      <c r="E19" s="92">
        <f>SUM(B19:D19)</f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</row>
    <row r="20" spans="1:94" s="65" customFormat="1" ht="26.25" customHeight="1" x14ac:dyDescent="0.2">
      <c r="A20" s="87" t="s">
        <v>94</v>
      </c>
      <c r="B20" s="91"/>
      <c r="C20" s="91">
        <v>2435898</v>
      </c>
      <c r="D20" s="91">
        <v>1094000</v>
      </c>
      <c r="E20" s="92">
        <f>SUM(B20:D20)</f>
        <v>3529898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</row>
    <row r="21" spans="1:94" s="65" customFormat="1" ht="15.95" customHeight="1" x14ac:dyDescent="0.2">
      <c r="A21" s="83" t="s">
        <v>51</v>
      </c>
      <c r="B21" s="91">
        <v>10547274</v>
      </c>
      <c r="C21" s="91">
        <v>9743592</v>
      </c>
      <c r="D21" s="91">
        <v>4376000</v>
      </c>
      <c r="E21" s="92">
        <f t="shared" ref="E21:E42" si="0">SUM(B21:D21)</f>
        <v>24666866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</row>
    <row r="22" spans="1:94" s="65" customFormat="1" ht="15.95" customHeight="1" x14ac:dyDescent="0.2">
      <c r="A22" s="83" t="s">
        <v>52</v>
      </c>
      <c r="B22" s="91">
        <v>14063032</v>
      </c>
      <c r="C22" s="91">
        <v>9743592</v>
      </c>
      <c r="D22" s="91">
        <v>4376000</v>
      </c>
      <c r="E22" s="92">
        <f t="shared" si="0"/>
        <v>28182624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</row>
    <row r="23" spans="1:94" s="65" customFormat="1" ht="15.95" customHeight="1" x14ac:dyDescent="0.2">
      <c r="A23" s="83" t="s">
        <v>53</v>
      </c>
      <c r="B23" s="91">
        <v>14063032</v>
      </c>
      <c r="C23" s="91">
        <v>9743592</v>
      </c>
      <c r="D23" s="91">
        <v>4376000</v>
      </c>
      <c r="E23" s="92">
        <f t="shared" si="0"/>
        <v>28182624</v>
      </c>
      <c r="F23" s="63"/>
      <c r="G23" s="93"/>
      <c r="H23" s="94"/>
      <c r="I23" s="94"/>
      <c r="J23" s="95"/>
      <c r="K23" s="96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</row>
    <row r="24" spans="1:94" s="65" customFormat="1" ht="15.95" customHeight="1" x14ac:dyDescent="0.2">
      <c r="A24" s="83" t="s">
        <v>54</v>
      </c>
      <c r="B24" s="91">
        <v>14063032</v>
      </c>
      <c r="C24" s="91">
        <v>9743592</v>
      </c>
      <c r="D24" s="91">
        <v>4376000</v>
      </c>
      <c r="E24" s="92">
        <f t="shared" si="0"/>
        <v>28182624</v>
      </c>
      <c r="F24" s="63"/>
      <c r="G24" s="97"/>
      <c r="H24" s="97"/>
      <c r="I24" s="97"/>
      <c r="J24" s="97"/>
      <c r="K24" s="97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</row>
    <row r="25" spans="1:94" s="65" customFormat="1" ht="15.95" customHeight="1" x14ac:dyDescent="0.2">
      <c r="A25" s="83" t="s">
        <v>55</v>
      </c>
      <c r="B25" s="91">
        <v>14063032</v>
      </c>
      <c r="C25" s="91">
        <v>9743592</v>
      </c>
      <c r="D25" s="91">
        <v>4376000</v>
      </c>
      <c r="E25" s="92">
        <f t="shared" si="0"/>
        <v>28182624</v>
      </c>
      <c r="F25" s="63"/>
      <c r="G25" s="97"/>
      <c r="H25" s="97"/>
      <c r="I25" s="97"/>
      <c r="J25" s="97"/>
      <c r="K25" s="97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</row>
    <row r="26" spans="1:94" s="65" customFormat="1" ht="15.95" customHeight="1" x14ac:dyDescent="0.2">
      <c r="A26" s="83" t="s">
        <v>56</v>
      </c>
      <c r="B26" s="91">
        <v>14063032</v>
      </c>
      <c r="C26" s="91">
        <v>9743592</v>
      </c>
      <c r="D26" s="91">
        <v>4376000</v>
      </c>
      <c r="E26" s="92">
        <f t="shared" si="0"/>
        <v>28182624</v>
      </c>
      <c r="F26" s="63"/>
      <c r="G26" s="97"/>
      <c r="H26" s="97"/>
      <c r="I26" s="97"/>
      <c r="J26" s="97"/>
      <c r="K26" s="97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</row>
    <row r="27" spans="1:94" s="65" customFormat="1" ht="15.95" customHeight="1" x14ac:dyDescent="0.2">
      <c r="A27" s="83" t="s">
        <v>57</v>
      </c>
      <c r="B27" s="91">
        <v>14063032</v>
      </c>
      <c r="C27" s="91">
        <v>9743592</v>
      </c>
      <c r="D27" s="91">
        <v>4376000</v>
      </c>
      <c r="E27" s="92">
        <f t="shared" si="0"/>
        <v>28182624</v>
      </c>
      <c r="F27" s="63"/>
      <c r="G27" s="97"/>
      <c r="H27" s="97"/>
      <c r="I27" s="97"/>
      <c r="J27" s="97"/>
      <c r="K27" s="97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</row>
    <row r="28" spans="1:94" s="65" customFormat="1" ht="15.95" customHeight="1" x14ac:dyDescent="0.2">
      <c r="A28" s="83" t="s">
        <v>58</v>
      </c>
      <c r="B28" s="91">
        <v>14063032</v>
      </c>
      <c r="C28" s="91">
        <v>9743592</v>
      </c>
      <c r="D28" s="91">
        <v>4376000</v>
      </c>
      <c r="E28" s="92">
        <f t="shared" si="0"/>
        <v>28182624</v>
      </c>
      <c r="F28" s="63"/>
      <c r="G28" s="97"/>
      <c r="H28" s="97"/>
      <c r="I28" s="97"/>
      <c r="J28" s="97"/>
      <c r="K28" s="97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</row>
    <row r="29" spans="1:94" s="65" customFormat="1" ht="15.95" customHeight="1" x14ac:dyDescent="0.2">
      <c r="A29" s="83" t="s">
        <v>59</v>
      </c>
      <c r="B29" s="91">
        <v>14063032</v>
      </c>
      <c r="C29" s="91">
        <v>9743592</v>
      </c>
      <c r="D29" s="91">
        <v>4376000</v>
      </c>
      <c r="E29" s="92">
        <f t="shared" si="0"/>
        <v>28182624</v>
      </c>
      <c r="F29" s="63"/>
      <c r="G29" s="97"/>
      <c r="H29" s="97"/>
      <c r="I29" s="97"/>
      <c r="J29" s="97"/>
      <c r="K29" s="97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</row>
    <row r="30" spans="1:94" s="65" customFormat="1" ht="15.95" customHeight="1" x14ac:dyDescent="0.2">
      <c r="A30" s="83" t="s">
        <v>60</v>
      </c>
      <c r="B30" s="91">
        <v>14063032</v>
      </c>
      <c r="C30" s="91">
        <v>9743592</v>
      </c>
      <c r="D30" s="91">
        <v>4376000</v>
      </c>
      <c r="E30" s="92">
        <f t="shared" si="0"/>
        <v>28182624</v>
      </c>
      <c r="F30" s="63"/>
      <c r="G30" s="97"/>
      <c r="H30" s="97"/>
      <c r="I30" s="97"/>
      <c r="J30" s="97"/>
      <c r="K30" s="97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</row>
    <row r="31" spans="1:94" s="65" customFormat="1" ht="15.95" customHeight="1" x14ac:dyDescent="0.2">
      <c r="A31" s="83" t="s">
        <v>61</v>
      </c>
      <c r="B31" s="91">
        <v>14063032</v>
      </c>
      <c r="C31" s="91">
        <v>9743592</v>
      </c>
      <c r="D31" s="91">
        <v>4376000</v>
      </c>
      <c r="E31" s="92">
        <f t="shared" si="0"/>
        <v>28182624</v>
      </c>
      <c r="F31" s="63"/>
      <c r="G31" s="97"/>
      <c r="H31" s="97"/>
      <c r="I31" s="97"/>
      <c r="J31" s="97"/>
      <c r="K31" s="97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</row>
    <row r="32" spans="1:94" s="65" customFormat="1" ht="15.95" customHeight="1" x14ac:dyDescent="0.2">
      <c r="A32" s="83" t="s">
        <v>62</v>
      </c>
      <c r="B32" s="91">
        <v>14063032</v>
      </c>
      <c r="C32" s="91">
        <v>9743592</v>
      </c>
      <c r="D32" s="91">
        <v>4376000</v>
      </c>
      <c r="E32" s="92">
        <f t="shared" si="0"/>
        <v>28182624</v>
      </c>
      <c r="F32" s="63"/>
      <c r="G32" s="97"/>
      <c r="H32" s="97"/>
      <c r="I32" s="97"/>
      <c r="J32" s="97"/>
      <c r="K32" s="97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</row>
    <row r="33" spans="1:94" s="65" customFormat="1" ht="15.95" customHeight="1" x14ac:dyDescent="0.2">
      <c r="A33" s="83" t="s">
        <v>63</v>
      </c>
      <c r="B33" s="91">
        <v>14063032</v>
      </c>
      <c r="C33" s="91">
        <v>9743592</v>
      </c>
      <c r="D33" s="91">
        <v>4376000</v>
      </c>
      <c r="E33" s="92">
        <f t="shared" si="0"/>
        <v>28182624</v>
      </c>
      <c r="F33" s="63"/>
      <c r="G33" s="97"/>
      <c r="H33" s="97"/>
      <c r="I33" s="97"/>
      <c r="J33" s="97"/>
      <c r="K33" s="97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</row>
    <row r="34" spans="1:94" s="65" customFormat="1" ht="15.95" customHeight="1" x14ac:dyDescent="0.2">
      <c r="A34" s="83" t="s">
        <v>64</v>
      </c>
      <c r="B34" s="91">
        <v>14063032</v>
      </c>
      <c r="C34" s="91">
        <v>9743592</v>
      </c>
      <c r="D34" s="91">
        <v>4376000</v>
      </c>
      <c r="E34" s="92">
        <f t="shared" si="0"/>
        <v>28182624</v>
      </c>
      <c r="F34" s="63"/>
      <c r="G34" s="97"/>
      <c r="H34" s="97"/>
      <c r="I34" s="97"/>
      <c r="J34" s="97"/>
      <c r="K34" s="97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</row>
    <row r="35" spans="1:94" s="65" customFormat="1" ht="15.95" customHeight="1" x14ac:dyDescent="0.2">
      <c r="A35" s="83" t="s">
        <v>65</v>
      </c>
      <c r="B35" s="91">
        <v>14063032</v>
      </c>
      <c r="C35" s="91">
        <v>9743592</v>
      </c>
      <c r="D35" s="91">
        <v>4376000</v>
      </c>
      <c r="E35" s="92">
        <f t="shared" si="0"/>
        <v>28182624</v>
      </c>
      <c r="F35" s="63"/>
      <c r="G35" s="97"/>
      <c r="H35" s="97"/>
      <c r="I35" s="97"/>
      <c r="J35" s="97"/>
      <c r="K35" s="97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</row>
    <row r="36" spans="1:94" s="65" customFormat="1" ht="15.95" customHeight="1" x14ac:dyDescent="0.2">
      <c r="A36" s="83" t="s">
        <v>66</v>
      </c>
      <c r="B36" s="91">
        <v>14063032</v>
      </c>
      <c r="C36" s="91">
        <v>9743592</v>
      </c>
      <c r="D36" s="91">
        <v>4376000</v>
      </c>
      <c r="E36" s="92">
        <f t="shared" si="0"/>
        <v>28182624</v>
      </c>
      <c r="F36" s="63"/>
      <c r="G36" s="97"/>
      <c r="H36" s="97"/>
      <c r="I36" s="97"/>
      <c r="J36" s="97"/>
      <c r="K36" s="97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</row>
    <row r="37" spans="1:94" s="65" customFormat="1" ht="15.95" customHeight="1" x14ac:dyDescent="0.2">
      <c r="A37" s="83" t="s">
        <v>67</v>
      </c>
      <c r="B37" s="91">
        <v>14063032</v>
      </c>
      <c r="C37" s="91">
        <v>9743592</v>
      </c>
      <c r="D37" s="91">
        <v>4376000</v>
      </c>
      <c r="E37" s="92">
        <f t="shared" si="0"/>
        <v>28182624</v>
      </c>
      <c r="F37" s="63"/>
      <c r="G37" s="97"/>
      <c r="H37" s="97"/>
      <c r="I37" s="97"/>
      <c r="J37" s="97"/>
      <c r="K37" s="97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</row>
    <row r="38" spans="1:94" s="65" customFormat="1" ht="15.95" customHeight="1" x14ac:dyDescent="0.2">
      <c r="A38" s="83" t="s">
        <v>68</v>
      </c>
      <c r="B38" s="91">
        <v>14063032</v>
      </c>
      <c r="C38" s="91">
        <v>9743592</v>
      </c>
      <c r="D38" s="91">
        <v>4376000</v>
      </c>
      <c r="E38" s="92">
        <f t="shared" si="0"/>
        <v>28182624</v>
      </c>
      <c r="F38" s="63"/>
      <c r="G38" s="97"/>
      <c r="H38" s="97"/>
      <c r="I38" s="97"/>
      <c r="J38" s="97"/>
      <c r="K38" s="97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</row>
    <row r="39" spans="1:94" s="65" customFormat="1" ht="15.95" customHeight="1" x14ac:dyDescent="0.2">
      <c r="A39" s="83" t="s">
        <v>69</v>
      </c>
      <c r="B39" s="91">
        <v>14063032</v>
      </c>
      <c r="C39" s="91">
        <v>9743592</v>
      </c>
      <c r="D39" s="91">
        <v>4376000</v>
      </c>
      <c r="E39" s="92">
        <f t="shared" si="0"/>
        <v>28182624</v>
      </c>
      <c r="F39" s="63"/>
      <c r="G39" s="97"/>
      <c r="H39" s="97"/>
      <c r="I39" s="97"/>
      <c r="J39" s="97"/>
      <c r="K39" s="97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</row>
    <row r="40" spans="1:94" s="65" customFormat="1" ht="15.95" customHeight="1" x14ac:dyDescent="0.2">
      <c r="A40" s="83" t="s">
        <v>70</v>
      </c>
      <c r="B40" s="91">
        <v>14063032</v>
      </c>
      <c r="C40" s="91">
        <v>9743592</v>
      </c>
      <c r="D40" s="91">
        <v>4376000</v>
      </c>
      <c r="E40" s="92">
        <f t="shared" si="0"/>
        <v>28182624</v>
      </c>
      <c r="F40" s="63"/>
      <c r="G40" s="97"/>
      <c r="H40" s="97"/>
      <c r="I40" s="97"/>
      <c r="J40" s="97"/>
      <c r="K40" s="97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</row>
    <row r="41" spans="1:94" s="65" customFormat="1" ht="15.95" customHeight="1" x14ac:dyDescent="0.2">
      <c r="A41" s="83" t="s">
        <v>71</v>
      </c>
      <c r="B41" s="91">
        <v>7031547</v>
      </c>
      <c r="C41" s="91">
        <v>9743629</v>
      </c>
      <c r="D41" s="91">
        <v>4334633</v>
      </c>
      <c r="E41" s="92">
        <f t="shared" si="0"/>
        <v>21109809</v>
      </c>
      <c r="F41" s="63"/>
      <c r="G41" s="97"/>
      <c r="H41" s="97"/>
      <c r="I41" s="97"/>
      <c r="J41" s="97"/>
      <c r="K41" s="97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</row>
    <row r="42" spans="1:94" s="65" customFormat="1" ht="15.95" customHeight="1" x14ac:dyDescent="0.2">
      <c r="A42" s="98" t="s">
        <v>72</v>
      </c>
      <c r="B42" s="99"/>
      <c r="C42" s="99"/>
      <c r="D42" s="100"/>
      <c r="E42" s="92">
        <f t="shared" si="0"/>
        <v>0</v>
      </c>
      <c r="F42" s="63"/>
      <c r="G42" s="97"/>
      <c r="H42" s="97"/>
      <c r="I42" s="97"/>
      <c r="J42" s="97"/>
      <c r="K42" s="97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</row>
    <row r="43" spans="1:94" s="105" customFormat="1" ht="31.5" customHeight="1" thickBot="1" x14ac:dyDescent="0.25">
      <c r="A43" s="101" t="s">
        <v>92</v>
      </c>
      <c r="B43" s="102">
        <f>SUM(B21:B42)</f>
        <v>284776429</v>
      </c>
      <c r="C43" s="102">
        <f>SUM(C20:C42)</f>
        <v>207051367</v>
      </c>
      <c r="D43" s="102">
        <f>SUM(D20:D42)</f>
        <v>92948633</v>
      </c>
      <c r="E43" s="102">
        <f>SUM(E19:E42)</f>
        <v>584776429</v>
      </c>
      <c r="F43" s="10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</row>
    <row r="44" spans="1:94" s="109" customFormat="1" ht="31.5" customHeight="1" thickTop="1" thickBot="1" x14ac:dyDescent="0.2">
      <c r="A44" s="106" t="s">
        <v>93</v>
      </c>
      <c r="B44" s="107">
        <f>281850730+2925699</f>
        <v>284776429</v>
      </c>
      <c r="C44" s="107">
        <f>103163943+103887424</f>
        <v>207051367</v>
      </c>
      <c r="D44" s="107">
        <f>90381754+2566879</f>
        <v>92948633</v>
      </c>
      <c r="E44" s="107">
        <f>SUM(B44:D44)</f>
        <v>584776429</v>
      </c>
      <c r="F44" s="108"/>
      <c r="G44" s="108"/>
    </row>
    <row r="45" spans="1:94" s="63" customFormat="1" ht="11.25" customHeight="1" thickTop="1" x14ac:dyDescent="0.2">
      <c r="A45" s="110"/>
      <c r="B45" s="111"/>
      <c r="C45" s="111"/>
      <c r="D45" s="111"/>
      <c r="E45" s="111"/>
      <c r="F45" s="112"/>
    </row>
    <row r="46" spans="1:94" s="115" customFormat="1" ht="9" customHeight="1" x14ac:dyDescent="0.15">
      <c r="A46" s="113"/>
      <c r="B46" s="113"/>
      <c r="C46" s="114"/>
      <c r="D46" s="114"/>
      <c r="F46" s="116"/>
      <c r="G46" s="116"/>
    </row>
    <row r="47" spans="1:94" s="113" customFormat="1" ht="21" customHeight="1" x14ac:dyDescent="0.15">
      <c r="A47" s="816" t="s">
        <v>73</v>
      </c>
      <c r="B47" s="816"/>
      <c r="C47" s="117"/>
      <c r="D47" s="117"/>
      <c r="E47" s="118"/>
      <c r="F47" s="119"/>
      <c r="G47" s="119"/>
    </row>
    <row r="48" spans="1:94" s="63" customFormat="1" x14ac:dyDescent="0.2">
      <c r="A48" s="120"/>
      <c r="C48" s="67"/>
      <c r="D48" s="67"/>
      <c r="E48" s="121"/>
      <c r="F48" s="122"/>
      <c r="H48" s="122"/>
    </row>
    <row r="49" spans="1:94" s="63" customFormat="1" x14ac:dyDescent="0.2">
      <c r="A49" s="120"/>
      <c r="B49" s="122">
        <f>SUM(B16:B42)</f>
        <v>349492568</v>
      </c>
      <c r="C49" s="122"/>
      <c r="D49" s="122"/>
      <c r="F49" s="122"/>
    </row>
    <row r="50" spans="1:94" s="63" customFormat="1" ht="10.5" customHeight="1" x14ac:dyDescent="0.2"/>
    <row r="51" spans="1:94" s="63" customFormat="1" x14ac:dyDescent="0.2"/>
    <row r="52" spans="1:94" s="63" customFormat="1" x14ac:dyDescent="0.2">
      <c r="B52" s="112" t="e">
        <f>+B43-B44-#REF!</f>
        <v>#REF!</v>
      </c>
    </row>
    <row r="53" spans="1:94" s="63" customFormat="1" x14ac:dyDescent="0.2"/>
    <row r="54" spans="1:94" s="63" customFormat="1" x14ac:dyDescent="0.2">
      <c r="B54" s="122"/>
      <c r="C54" s="122"/>
      <c r="D54" s="122"/>
      <c r="E54" s="122"/>
    </row>
    <row r="55" spans="1:94" s="123" customForma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</row>
    <row r="56" spans="1:94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</row>
    <row r="57" spans="1:94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</row>
    <row r="58" spans="1:94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</row>
    <row r="59" spans="1:94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</row>
    <row r="60" spans="1:94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</row>
    <row r="61" spans="1:94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</row>
    <row r="62" spans="1:94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</row>
    <row r="63" spans="1:94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</row>
    <row r="64" spans="1:94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</row>
    <row r="65" spans="1:94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</row>
    <row r="66" spans="1:94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</row>
    <row r="67" spans="1:94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</row>
    <row r="68" spans="1:94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</row>
    <row r="69" spans="1:94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</row>
    <row r="70" spans="1:94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</row>
    <row r="71" spans="1:94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</row>
    <row r="72" spans="1:94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</row>
    <row r="73" spans="1:94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</row>
    <row r="74" spans="1:94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</row>
    <row r="75" spans="1:94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</row>
    <row r="76" spans="1:94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</row>
    <row r="77" spans="1:94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</row>
    <row r="78" spans="1:94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</row>
    <row r="79" spans="1:94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</row>
    <row r="80" spans="1:94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</row>
    <row r="81" spans="1:94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</row>
    <row r="82" spans="1:94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</row>
    <row r="83" spans="1:94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</row>
    <row r="84" spans="1:94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</row>
    <row r="85" spans="1:94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</row>
    <row r="86" spans="1:94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</row>
    <row r="87" spans="1:94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</row>
    <row r="88" spans="1:94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</row>
    <row r="89" spans="1:94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</row>
    <row r="90" spans="1:94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</row>
    <row r="91" spans="1:94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</row>
    <row r="92" spans="1:94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</row>
    <row r="93" spans="1:94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</row>
    <row r="94" spans="1:94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</row>
    <row r="95" spans="1:94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</row>
    <row r="96" spans="1:94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</row>
    <row r="97" spans="1:94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</row>
    <row r="98" spans="1:94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</row>
    <row r="99" spans="1:94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</row>
    <row r="100" spans="1:94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</row>
    <row r="101" spans="1:94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</row>
    <row r="102" spans="1:94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</row>
    <row r="103" spans="1:94" x14ac:dyDescent="0.2">
      <c r="A103" s="63"/>
      <c r="B103" s="63"/>
      <c r="C103" s="63"/>
      <c r="D103" s="63"/>
      <c r="E103" s="63"/>
      <c r="F103" s="63"/>
      <c r="G103" s="63"/>
      <c r="H103" s="124"/>
    </row>
    <row r="104" spans="1:94" x14ac:dyDescent="0.2">
      <c r="A104" s="63"/>
      <c r="B104" s="63"/>
      <c r="C104" s="63"/>
      <c r="D104" s="63"/>
      <c r="E104" s="63"/>
      <c r="F104" s="63"/>
      <c r="G104" s="63"/>
      <c r="H104" s="124"/>
    </row>
    <row r="105" spans="1:94" x14ac:dyDescent="0.2">
      <c r="A105" s="63"/>
      <c r="B105" s="63"/>
      <c r="C105" s="63"/>
      <c r="D105" s="63"/>
      <c r="E105" s="63"/>
      <c r="F105" s="63"/>
      <c r="G105" s="63"/>
      <c r="H105" s="124"/>
    </row>
    <row r="106" spans="1:94" x14ac:dyDescent="0.2">
      <c r="A106" s="63"/>
      <c r="B106" s="63"/>
      <c r="C106" s="63"/>
      <c r="D106" s="63"/>
      <c r="E106" s="63"/>
      <c r="F106" s="63"/>
      <c r="G106" s="63"/>
      <c r="H106" s="124"/>
    </row>
    <row r="107" spans="1:94" x14ac:dyDescent="0.2">
      <c r="A107" s="63"/>
      <c r="B107" s="63"/>
      <c r="C107" s="63"/>
      <c r="D107" s="63"/>
      <c r="E107" s="63"/>
      <c r="F107" s="63"/>
      <c r="G107" s="63"/>
      <c r="H107" s="124"/>
    </row>
    <row r="108" spans="1:94" x14ac:dyDescent="0.2">
      <c r="A108" s="63"/>
      <c r="B108" s="63"/>
      <c r="C108" s="63"/>
      <c r="D108" s="63"/>
      <c r="E108" s="63"/>
      <c r="F108" s="63"/>
      <c r="G108" s="63"/>
      <c r="H108" s="124"/>
    </row>
    <row r="109" spans="1:94" x14ac:dyDescent="0.2">
      <c r="A109" s="63"/>
      <c r="B109" s="63"/>
      <c r="C109" s="63"/>
      <c r="D109" s="63"/>
      <c r="E109" s="63"/>
      <c r="F109" s="63"/>
      <c r="G109" s="63"/>
      <c r="H109" s="124"/>
    </row>
    <row r="110" spans="1:94" x14ac:dyDescent="0.2">
      <c r="A110" s="63"/>
      <c r="B110" s="63"/>
      <c r="C110" s="63"/>
      <c r="D110" s="63"/>
      <c r="E110" s="63"/>
      <c r="F110" s="63"/>
      <c r="G110" s="63"/>
      <c r="H110" s="124"/>
    </row>
    <row r="111" spans="1:94" x14ac:dyDescent="0.2">
      <c r="A111" s="63"/>
      <c r="B111" s="63"/>
      <c r="C111" s="63"/>
      <c r="D111" s="63"/>
      <c r="E111" s="63"/>
      <c r="F111" s="63"/>
      <c r="G111" s="63"/>
      <c r="H111" s="124"/>
    </row>
    <row r="112" spans="1:94" x14ac:dyDescent="0.2">
      <c r="A112" s="63"/>
      <c r="B112" s="63"/>
      <c r="C112" s="63"/>
      <c r="D112" s="63"/>
      <c r="E112" s="63"/>
      <c r="F112" s="63"/>
      <c r="G112" s="63"/>
      <c r="H112" s="124"/>
    </row>
    <row r="113" spans="1:8" x14ac:dyDescent="0.2">
      <c r="A113" s="63"/>
      <c r="B113" s="63"/>
      <c r="C113" s="63"/>
      <c r="D113" s="63"/>
      <c r="E113" s="63"/>
      <c r="F113" s="63"/>
      <c r="G113" s="63"/>
      <c r="H113" s="124"/>
    </row>
    <row r="114" spans="1:8" x14ac:dyDescent="0.2">
      <c r="A114" s="63"/>
      <c r="B114" s="63"/>
      <c r="C114" s="63"/>
      <c r="D114" s="63"/>
      <c r="E114" s="63"/>
      <c r="F114" s="63"/>
      <c r="G114" s="63"/>
      <c r="H114" s="124"/>
    </row>
    <row r="115" spans="1:8" x14ac:dyDescent="0.2">
      <c r="A115" s="63"/>
      <c r="B115" s="63"/>
      <c r="C115" s="63"/>
      <c r="D115" s="63"/>
      <c r="E115" s="63"/>
      <c r="F115" s="63"/>
      <c r="G115" s="63"/>
      <c r="H115" s="124"/>
    </row>
    <row r="116" spans="1:8" x14ac:dyDescent="0.2">
      <c r="A116" s="63"/>
      <c r="B116" s="63"/>
      <c r="C116" s="63"/>
      <c r="D116" s="63"/>
      <c r="E116" s="63"/>
      <c r="F116" s="63"/>
      <c r="G116" s="63"/>
      <c r="H116" s="124"/>
    </row>
    <row r="117" spans="1:8" x14ac:dyDescent="0.2">
      <c r="A117" s="63"/>
      <c r="B117" s="63"/>
      <c r="C117" s="63"/>
      <c r="D117" s="63"/>
      <c r="E117" s="63"/>
      <c r="F117" s="63"/>
      <c r="G117" s="63"/>
      <c r="H117" s="124"/>
    </row>
    <row r="118" spans="1:8" x14ac:dyDescent="0.2">
      <c r="A118" s="63"/>
      <c r="B118" s="63"/>
      <c r="C118" s="63"/>
      <c r="D118" s="63"/>
      <c r="E118" s="63"/>
      <c r="F118" s="63"/>
      <c r="G118" s="63"/>
      <c r="H118" s="124"/>
    </row>
    <row r="119" spans="1:8" x14ac:dyDescent="0.2">
      <c r="A119" s="63"/>
      <c r="B119" s="63"/>
      <c r="C119" s="63"/>
      <c r="D119" s="63"/>
      <c r="E119" s="63"/>
      <c r="F119" s="63"/>
      <c r="G119" s="63"/>
      <c r="H119" s="124"/>
    </row>
    <row r="120" spans="1:8" x14ac:dyDescent="0.2">
      <c r="A120" s="63"/>
      <c r="B120" s="63"/>
      <c r="C120" s="63"/>
      <c r="D120" s="63"/>
      <c r="E120" s="63"/>
      <c r="F120" s="63"/>
      <c r="G120" s="63"/>
      <c r="H120" s="124"/>
    </row>
    <row r="121" spans="1:8" x14ac:dyDescent="0.2">
      <c r="A121" s="63"/>
      <c r="B121" s="63"/>
      <c r="C121" s="63"/>
      <c r="D121" s="63"/>
      <c r="E121" s="63"/>
      <c r="F121" s="63"/>
      <c r="G121" s="63"/>
      <c r="H121" s="124"/>
    </row>
    <row r="122" spans="1:8" x14ac:dyDescent="0.2">
      <c r="A122" s="63"/>
      <c r="B122" s="63"/>
      <c r="C122" s="63"/>
      <c r="D122" s="63"/>
      <c r="E122" s="63"/>
      <c r="F122" s="63"/>
      <c r="G122" s="63"/>
      <c r="H122" s="124"/>
    </row>
    <row r="123" spans="1:8" x14ac:dyDescent="0.2">
      <c r="A123" s="63"/>
      <c r="B123" s="63"/>
      <c r="C123" s="63"/>
      <c r="D123" s="63"/>
      <c r="E123" s="63"/>
      <c r="F123" s="63"/>
      <c r="G123" s="63"/>
      <c r="H123" s="124"/>
    </row>
    <row r="124" spans="1:8" x14ac:dyDescent="0.2">
      <c r="A124" s="63"/>
      <c r="B124" s="63"/>
      <c r="C124" s="63"/>
      <c r="D124" s="63"/>
      <c r="E124" s="63"/>
      <c r="F124" s="63"/>
      <c r="G124" s="63"/>
      <c r="H124" s="124"/>
    </row>
    <row r="125" spans="1:8" x14ac:dyDescent="0.2">
      <c r="A125" s="63"/>
      <c r="B125" s="63"/>
      <c r="C125" s="63"/>
      <c r="D125" s="63"/>
      <c r="E125" s="63"/>
      <c r="F125" s="63"/>
      <c r="G125" s="63"/>
      <c r="H125" s="124"/>
    </row>
    <row r="126" spans="1:8" x14ac:dyDescent="0.2">
      <c r="A126" s="63"/>
      <c r="B126" s="63"/>
      <c r="C126" s="63"/>
      <c r="D126" s="63"/>
      <c r="E126" s="63"/>
      <c r="F126" s="63"/>
      <c r="G126" s="63"/>
      <c r="H126" s="124"/>
    </row>
    <row r="127" spans="1:8" x14ac:dyDescent="0.2">
      <c r="A127" s="63"/>
      <c r="B127" s="63"/>
      <c r="C127" s="63"/>
      <c r="D127" s="63"/>
      <c r="E127" s="63"/>
      <c r="F127" s="63"/>
      <c r="G127" s="63"/>
      <c r="H127" s="124"/>
    </row>
    <row r="128" spans="1:8" x14ac:dyDescent="0.2">
      <c r="A128" s="63"/>
      <c r="B128" s="63"/>
      <c r="C128" s="63"/>
      <c r="D128" s="63"/>
      <c r="E128" s="63"/>
      <c r="F128" s="63"/>
      <c r="G128" s="63"/>
      <c r="H128" s="124"/>
    </row>
    <row r="129" spans="1:8" x14ac:dyDescent="0.2">
      <c r="A129" s="63"/>
      <c r="B129" s="63"/>
      <c r="C129" s="63"/>
      <c r="D129" s="63"/>
      <c r="E129" s="63"/>
      <c r="F129" s="63"/>
      <c r="G129" s="63"/>
      <c r="H129" s="124"/>
    </row>
    <row r="130" spans="1:8" x14ac:dyDescent="0.2">
      <c r="A130" s="63"/>
      <c r="B130" s="63"/>
      <c r="C130" s="63"/>
      <c r="D130" s="63"/>
      <c r="E130" s="63"/>
      <c r="F130" s="63"/>
      <c r="G130" s="63"/>
      <c r="H130" s="124"/>
    </row>
    <row r="131" spans="1:8" x14ac:dyDescent="0.2">
      <c r="A131" s="63"/>
      <c r="B131" s="63"/>
      <c r="C131" s="63"/>
      <c r="D131" s="63"/>
      <c r="E131" s="63"/>
      <c r="F131" s="63"/>
      <c r="G131" s="63"/>
      <c r="H131" s="124"/>
    </row>
    <row r="132" spans="1:8" x14ac:dyDescent="0.2">
      <c r="A132" s="63"/>
      <c r="B132" s="63"/>
      <c r="C132" s="63"/>
      <c r="D132" s="63"/>
      <c r="E132" s="63"/>
      <c r="F132" s="63"/>
      <c r="G132" s="63"/>
      <c r="H132" s="124"/>
    </row>
    <row r="133" spans="1:8" x14ac:dyDescent="0.2">
      <c r="A133" s="63"/>
      <c r="B133" s="63"/>
      <c r="C133" s="63"/>
      <c r="D133" s="63"/>
      <c r="E133" s="63"/>
      <c r="F133" s="63"/>
      <c r="G133" s="63"/>
      <c r="H133" s="124"/>
    </row>
    <row r="134" spans="1:8" x14ac:dyDescent="0.2">
      <c r="A134" s="63"/>
      <c r="B134" s="63"/>
      <c r="C134" s="63"/>
      <c r="D134" s="63"/>
      <c r="E134" s="63"/>
      <c r="F134" s="63"/>
      <c r="G134" s="63"/>
      <c r="H134" s="124"/>
    </row>
    <row r="135" spans="1:8" x14ac:dyDescent="0.2">
      <c r="A135" s="63"/>
      <c r="B135" s="63"/>
      <c r="C135" s="63"/>
      <c r="D135" s="63"/>
      <c r="E135" s="63"/>
      <c r="F135" s="63"/>
      <c r="G135" s="63"/>
      <c r="H135" s="124"/>
    </row>
    <row r="136" spans="1:8" x14ac:dyDescent="0.2">
      <c r="A136" s="63"/>
      <c r="B136" s="63"/>
      <c r="C136" s="63"/>
      <c r="D136" s="63"/>
      <c r="E136" s="63"/>
      <c r="F136" s="63"/>
      <c r="G136" s="63"/>
      <c r="H136" s="124"/>
    </row>
    <row r="137" spans="1:8" x14ac:dyDescent="0.2">
      <c r="A137" s="63"/>
      <c r="B137" s="63"/>
      <c r="C137" s="63"/>
      <c r="D137" s="63"/>
      <c r="E137" s="63"/>
      <c r="F137" s="63"/>
      <c r="G137" s="63"/>
      <c r="H137" s="124"/>
    </row>
    <row r="138" spans="1:8" x14ac:dyDescent="0.2">
      <c r="A138" s="63"/>
      <c r="B138" s="63"/>
      <c r="C138" s="63"/>
      <c r="D138" s="63"/>
      <c r="E138" s="63"/>
      <c r="F138" s="63"/>
      <c r="G138" s="63"/>
      <c r="H138" s="124"/>
    </row>
    <row r="139" spans="1:8" x14ac:dyDescent="0.2">
      <c r="A139" s="63"/>
      <c r="B139" s="63"/>
      <c r="C139" s="63"/>
      <c r="D139" s="63"/>
      <c r="E139" s="63"/>
      <c r="F139" s="63"/>
      <c r="G139" s="63"/>
      <c r="H139" s="124"/>
    </row>
    <row r="140" spans="1:8" x14ac:dyDescent="0.2">
      <c r="A140" s="63"/>
      <c r="B140" s="63"/>
      <c r="C140" s="63"/>
      <c r="D140" s="63"/>
      <c r="E140" s="63"/>
      <c r="F140" s="63"/>
      <c r="G140" s="63"/>
      <c r="H140" s="124"/>
    </row>
    <row r="141" spans="1:8" x14ac:dyDescent="0.2">
      <c r="A141" s="63"/>
      <c r="B141" s="63"/>
      <c r="C141" s="63"/>
      <c r="D141" s="63"/>
      <c r="E141" s="63"/>
      <c r="F141" s="63"/>
      <c r="G141" s="63"/>
      <c r="H141" s="124"/>
    </row>
    <row r="142" spans="1:8" x14ac:dyDescent="0.2">
      <c r="A142" s="63"/>
      <c r="B142" s="63"/>
      <c r="C142" s="63"/>
      <c r="D142" s="63"/>
      <c r="E142" s="63"/>
      <c r="F142" s="63"/>
      <c r="G142" s="63"/>
      <c r="H142" s="124"/>
    </row>
    <row r="143" spans="1:8" x14ac:dyDescent="0.2">
      <c r="A143" s="63"/>
      <c r="B143" s="63"/>
      <c r="C143" s="63"/>
      <c r="D143" s="63"/>
      <c r="E143" s="63"/>
      <c r="F143" s="63"/>
      <c r="G143" s="63"/>
      <c r="H143" s="124"/>
    </row>
    <row r="144" spans="1:8" x14ac:dyDescent="0.2">
      <c r="A144" s="63"/>
      <c r="B144" s="63"/>
      <c r="C144" s="63"/>
      <c r="D144" s="63"/>
      <c r="E144" s="63"/>
      <c r="F144" s="63"/>
      <c r="G144" s="63"/>
      <c r="H144" s="124"/>
    </row>
    <row r="145" spans="1:8" x14ac:dyDescent="0.2">
      <c r="A145" s="63"/>
      <c r="B145" s="63"/>
      <c r="C145" s="63"/>
      <c r="D145" s="63"/>
      <c r="E145" s="63"/>
      <c r="F145" s="63"/>
      <c r="G145" s="63"/>
      <c r="H145" s="124"/>
    </row>
    <row r="146" spans="1:8" x14ac:dyDescent="0.2">
      <c r="A146" s="63"/>
      <c r="B146" s="63"/>
      <c r="C146" s="63"/>
      <c r="D146" s="63"/>
      <c r="E146" s="63"/>
      <c r="F146" s="63"/>
      <c r="G146" s="63"/>
      <c r="H146" s="124"/>
    </row>
    <row r="147" spans="1:8" x14ac:dyDescent="0.2">
      <c r="A147" s="63"/>
      <c r="B147" s="63"/>
      <c r="C147" s="63"/>
      <c r="D147" s="63"/>
      <c r="E147" s="63"/>
      <c r="F147" s="63"/>
      <c r="G147" s="63"/>
      <c r="H147" s="124"/>
    </row>
    <row r="148" spans="1:8" x14ac:dyDescent="0.2">
      <c r="A148" s="63"/>
      <c r="B148" s="63"/>
      <c r="C148" s="63"/>
      <c r="D148" s="63"/>
      <c r="E148" s="63"/>
      <c r="F148" s="63"/>
      <c r="G148" s="63"/>
      <c r="H148" s="124"/>
    </row>
    <row r="149" spans="1:8" x14ac:dyDescent="0.2">
      <c r="A149" s="63"/>
      <c r="B149" s="63"/>
      <c r="C149" s="63"/>
      <c r="D149" s="63"/>
      <c r="E149" s="63"/>
      <c r="F149" s="63"/>
      <c r="G149" s="63"/>
      <c r="H149" s="124"/>
    </row>
    <row r="150" spans="1:8" x14ac:dyDescent="0.2">
      <c r="A150" s="63"/>
      <c r="B150" s="63"/>
      <c r="C150" s="63"/>
      <c r="D150" s="63"/>
      <c r="E150" s="63"/>
      <c r="F150" s="63"/>
      <c r="G150" s="63"/>
      <c r="H150" s="124"/>
    </row>
    <row r="151" spans="1:8" x14ac:dyDescent="0.2">
      <c r="A151" s="63"/>
      <c r="B151" s="63"/>
      <c r="C151" s="63"/>
      <c r="D151" s="63"/>
      <c r="E151" s="63"/>
      <c r="F151" s="63"/>
      <c r="G151" s="63"/>
      <c r="H151" s="124"/>
    </row>
    <row r="152" spans="1:8" x14ac:dyDescent="0.2">
      <c r="A152" s="63"/>
      <c r="B152" s="63"/>
      <c r="C152" s="63"/>
      <c r="D152" s="63"/>
      <c r="E152" s="63"/>
      <c r="F152" s="63"/>
      <c r="G152" s="63"/>
      <c r="H152" s="124"/>
    </row>
    <row r="153" spans="1:8" x14ac:dyDescent="0.2">
      <c r="A153" s="63"/>
      <c r="B153" s="63"/>
      <c r="C153" s="63"/>
      <c r="D153" s="63"/>
      <c r="E153" s="63"/>
      <c r="F153" s="63"/>
      <c r="G153" s="63"/>
      <c r="H153" s="124"/>
    </row>
    <row r="154" spans="1:8" x14ac:dyDescent="0.2">
      <c r="A154" s="63"/>
      <c r="B154" s="63"/>
      <c r="C154" s="63"/>
      <c r="D154" s="63"/>
      <c r="E154" s="63"/>
      <c r="F154" s="63"/>
      <c r="G154" s="63"/>
      <c r="H154" s="124"/>
    </row>
    <row r="155" spans="1:8" x14ac:dyDescent="0.2">
      <c r="A155" s="63"/>
      <c r="B155" s="63"/>
      <c r="C155" s="63"/>
      <c r="D155" s="63"/>
      <c r="E155" s="63"/>
      <c r="F155" s="63"/>
      <c r="G155" s="63"/>
      <c r="H155" s="124"/>
    </row>
    <row r="156" spans="1:8" x14ac:dyDescent="0.2">
      <c r="A156" s="63"/>
      <c r="B156" s="63"/>
      <c r="C156" s="63"/>
      <c r="D156" s="63"/>
      <c r="E156" s="63"/>
      <c r="F156" s="63"/>
      <c r="G156" s="63"/>
      <c r="H156" s="124"/>
    </row>
    <row r="157" spans="1:8" x14ac:dyDescent="0.2">
      <c r="A157" s="63"/>
      <c r="B157" s="63"/>
      <c r="C157" s="63"/>
      <c r="D157" s="63"/>
      <c r="E157" s="63"/>
      <c r="F157" s="63"/>
      <c r="G157" s="63"/>
      <c r="H157" s="124"/>
    </row>
    <row r="158" spans="1:8" x14ac:dyDescent="0.2">
      <c r="A158" s="63"/>
      <c r="B158" s="63"/>
      <c r="C158" s="63"/>
      <c r="D158" s="63"/>
      <c r="E158" s="63"/>
      <c r="F158" s="63"/>
      <c r="G158" s="63"/>
      <c r="H158" s="124"/>
    </row>
    <row r="159" spans="1:8" x14ac:dyDescent="0.2">
      <c r="A159" s="63"/>
      <c r="B159" s="63"/>
      <c r="C159" s="63"/>
      <c r="D159" s="63"/>
      <c r="E159" s="63"/>
      <c r="F159" s="63"/>
      <c r="G159" s="63"/>
      <c r="H159" s="124"/>
    </row>
    <row r="160" spans="1:8" x14ac:dyDescent="0.2">
      <c r="A160" s="63"/>
      <c r="B160" s="63"/>
      <c r="C160" s="63"/>
      <c r="D160" s="63"/>
      <c r="E160" s="63"/>
      <c r="F160" s="63"/>
      <c r="G160" s="63"/>
      <c r="H160" s="124"/>
    </row>
    <row r="161" spans="1:8" x14ac:dyDescent="0.2">
      <c r="A161" s="63"/>
      <c r="B161" s="63"/>
      <c r="C161" s="63"/>
      <c r="D161" s="63"/>
      <c r="E161" s="63"/>
      <c r="F161" s="63"/>
      <c r="G161" s="63"/>
      <c r="H161" s="124"/>
    </row>
    <row r="162" spans="1:8" x14ac:dyDescent="0.2">
      <c r="A162" s="63"/>
      <c r="B162" s="63"/>
      <c r="C162" s="63"/>
      <c r="D162" s="63"/>
      <c r="E162" s="63"/>
      <c r="F162" s="63"/>
      <c r="G162" s="63"/>
      <c r="H162" s="124"/>
    </row>
    <row r="163" spans="1:8" x14ac:dyDescent="0.2">
      <c r="A163" s="63"/>
      <c r="B163" s="63"/>
      <c r="C163" s="63"/>
      <c r="D163" s="63"/>
      <c r="E163" s="63"/>
      <c r="F163" s="63"/>
      <c r="G163" s="63"/>
      <c r="H163" s="124"/>
    </row>
    <row r="164" spans="1:8" x14ac:dyDescent="0.2">
      <c r="A164" s="63"/>
      <c r="B164" s="63"/>
      <c r="C164" s="63"/>
      <c r="D164" s="63"/>
      <c r="E164" s="63"/>
      <c r="F164" s="63"/>
      <c r="G164" s="63"/>
      <c r="H164" s="124"/>
    </row>
    <row r="165" spans="1:8" x14ac:dyDescent="0.2">
      <c r="A165" s="63"/>
      <c r="B165" s="63"/>
      <c r="C165" s="63"/>
      <c r="D165" s="63"/>
      <c r="E165" s="63"/>
      <c r="F165" s="63"/>
      <c r="G165" s="63"/>
      <c r="H165" s="124"/>
    </row>
    <row r="166" spans="1:8" x14ac:dyDescent="0.2">
      <c r="A166" s="63"/>
      <c r="B166" s="63"/>
      <c r="C166" s="63"/>
      <c r="D166" s="63"/>
      <c r="E166" s="63"/>
      <c r="F166" s="63"/>
      <c r="G166" s="63"/>
      <c r="H166" s="124"/>
    </row>
    <row r="167" spans="1:8" x14ac:dyDescent="0.2">
      <c r="A167" s="63"/>
      <c r="B167" s="63"/>
      <c r="C167" s="63"/>
      <c r="D167" s="63"/>
      <c r="E167" s="63"/>
      <c r="F167" s="63"/>
      <c r="G167" s="63"/>
      <c r="H167" s="124"/>
    </row>
    <row r="168" spans="1:8" x14ac:dyDescent="0.2">
      <c r="A168" s="63"/>
      <c r="B168" s="63"/>
      <c r="C168" s="63"/>
      <c r="D168" s="63"/>
      <c r="E168" s="63"/>
      <c r="F168" s="63"/>
      <c r="G168" s="63"/>
      <c r="H168" s="124"/>
    </row>
    <row r="169" spans="1:8" x14ac:dyDescent="0.2">
      <c r="A169" s="63"/>
      <c r="B169" s="63"/>
      <c r="C169" s="63"/>
      <c r="D169" s="63"/>
      <c r="E169" s="63"/>
      <c r="F169" s="63"/>
      <c r="G169" s="63"/>
      <c r="H169" s="124"/>
    </row>
    <row r="170" spans="1:8" x14ac:dyDescent="0.2">
      <c r="A170" s="63"/>
      <c r="B170" s="63"/>
      <c r="C170" s="63"/>
      <c r="D170" s="63"/>
      <c r="E170" s="63"/>
      <c r="F170" s="63"/>
      <c r="G170" s="63"/>
      <c r="H170" s="124"/>
    </row>
    <row r="171" spans="1:8" x14ac:dyDescent="0.2">
      <c r="A171" s="63"/>
      <c r="B171" s="63"/>
      <c r="C171" s="63"/>
      <c r="D171" s="63"/>
      <c r="E171" s="63"/>
      <c r="F171" s="63"/>
      <c r="G171" s="63"/>
      <c r="H171" s="124"/>
    </row>
    <row r="172" spans="1:8" x14ac:dyDescent="0.2">
      <c r="A172" s="63"/>
      <c r="B172" s="63"/>
      <c r="C172" s="63"/>
      <c r="D172" s="63"/>
      <c r="E172" s="63"/>
      <c r="F172" s="63"/>
      <c r="G172" s="63"/>
      <c r="H172" s="124"/>
    </row>
    <row r="173" spans="1:8" x14ac:dyDescent="0.2">
      <c r="A173" s="63"/>
      <c r="B173" s="63"/>
      <c r="C173" s="63"/>
      <c r="D173" s="63"/>
      <c r="E173" s="63"/>
      <c r="F173" s="63"/>
      <c r="G173" s="63"/>
      <c r="H173" s="124"/>
    </row>
    <row r="174" spans="1:8" x14ac:dyDescent="0.2">
      <c r="A174" s="63"/>
      <c r="B174" s="63"/>
      <c r="C174" s="63"/>
      <c r="D174" s="63"/>
      <c r="E174" s="63"/>
      <c r="F174" s="63"/>
      <c r="G174" s="63"/>
      <c r="H174" s="124"/>
    </row>
    <row r="175" spans="1:8" x14ac:dyDescent="0.2">
      <c r="A175" s="63"/>
      <c r="B175" s="63"/>
      <c r="C175" s="63"/>
      <c r="D175" s="63"/>
      <c r="E175" s="63"/>
      <c r="F175" s="63"/>
      <c r="G175" s="63"/>
      <c r="H175" s="124"/>
    </row>
    <row r="176" spans="1:8" x14ac:dyDescent="0.2">
      <c r="A176" s="63"/>
      <c r="B176" s="63"/>
      <c r="C176" s="63"/>
      <c r="D176" s="63"/>
      <c r="E176" s="63"/>
      <c r="F176" s="63"/>
      <c r="G176" s="63"/>
      <c r="H176" s="124"/>
    </row>
    <row r="177" spans="1:11" x14ac:dyDescent="0.2">
      <c r="A177" s="63"/>
      <c r="B177" s="63"/>
      <c r="C177" s="63"/>
      <c r="D177" s="63"/>
      <c r="E177" s="63"/>
      <c r="F177" s="63"/>
      <c r="G177" s="63"/>
      <c r="H177" s="124"/>
    </row>
    <row r="178" spans="1:11" x14ac:dyDescent="0.2">
      <c r="A178" s="63"/>
      <c r="B178" s="63"/>
      <c r="C178" s="63"/>
      <c r="D178" s="63"/>
      <c r="E178" s="63"/>
      <c r="F178" s="63"/>
      <c r="G178" s="63"/>
      <c r="H178" s="124"/>
    </row>
    <row r="179" spans="1:11" x14ac:dyDescent="0.2">
      <c r="A179" s="63"/>
      <c r="B179" s="63"/>
      <c r="C179" s="63"/>
      <c r="D179" s="63"/>
      <c r="E179" s="63"/>
      <c r="F179" s="63"/>
      <c r="G179" s="63"/>
      <c r="H179" s="124"/>
    </row>
    <row r="180" spans="1:11" x14ac:dyDescent="0.2">
      <c r="A180" s="63"/>
      <c r="B180" s="63"/>
      <c r="C180" s="63"/>
      <c r="D180" s="63"/>
      <c r="E180" s="63"/>
      <c r="F180" s="63"/>
      <c r="G180" s="63"/>
      <c r="H180" s="124"/>
    </row>
    <row r="181" spans="1:11" x14ac:dyDescent="0.2">
      <c r="A181" s="63"/>
      <c r="B181" s="63"/>
      <c r="C181" s="63"/>
      <c r="D181" s="63"/>
      <c r="E181" s="63"/>
      <c r="F181" s="63"/>
      <c r="G181" s="63"/>
      <c r="H181" s="124"/>
    </row>
    <row r="182" spans="1:11" x14ac:dyDescent="0.2">
      <c r="A182" s="63"/>
      <c r="B182" s="63"/>
      <c r="C182" s="63"/>
      <c r="D182" s="63"/>
      <c r="E182" s="63"/>
      <c r="F182" s="63"/>
      <c r="G182" s="63"/>
      <c r="H182" s="124"/>
    </row>
    <row r="183" spans="1:11" x14ac:dyDescent="0.2">
      <c r="A183" s="63"/>
      <c r="B183" s="63"/>
      <c r="C183" s="63"/>
      <c r="D183" s="63"/>
      <c r="E183" s="63"/>
      <c r="F183" s="63"/>
      <c r="G183" s="63"/>
      <c r="H183" s="124"/>
    </row>
    <row r="184" spans="1:11" x14ac:dyDescent="0.2">
      <c r="A184" s="63"/>
      <c r="B184" s="63"/>
      <c r="C184" s="63"/>
      <c r="D184" s="63"/>
      <c r="E184" s="63"/>
      <c r="F184" s="63"/>
      <c r="G184" s="63"/>
      <c r="H184" s="124"/>
    </row>
    <row r="185" spans="1:11" x14ac:dyDescent="0.2">
      <c r="A185" s="63"/>
      <c r="B185" s="63"/>
      <c r="C185" s="63"/>
      <c r="D185" s="63"/>
      <c r="E185" s="63"/>
      <c r="F185" s="63"/>
      <c r="G185" s="63"/>
      <c r="H185" s="125"/>
      <c r="I185" s="65"/>
      <c r="J185" s="65"/>
    </row>
    <row r="186" spans="1:11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124"/>
    </row>
    <row r="187" spans="1:11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124"/>
    </row>
    <row r="188" spans="1:11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124"/>
    </row>
    <row r="189" spans="1:11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124"/>
    </row>
    <row r="190" spans="1:11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124"/>
    </row>
    <row r="191" spans="1:11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124"/>
    </row>
    <row r="192" spans="1:11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124"/>
    </row>
    <row r="193" spans="1:11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124"/>
    </row>
    <row r="194" spans="1:11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124"/>
    </row>
    <row r="195" spans="1:11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124"/>
    </row>
    <row r="196" spans="1:11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124"/>
    </row>
    <row r="197" spans="1:11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124"/>
    </row>
    <row r="198" spans="1:11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124"/>
    </row>
    <row r="199" spans="1:11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124"/>
    </row>
    <row r="200" spans="1:11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124"/>
    </row>
    <row r="201" spans="1:11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124"/>
    </row>
    <row r="202" spans="1:11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124"/>
    </row>
    <row r="203" spans="1:11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124"/>
    </row>
    <row r="204" spans="1:11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124"/>
    </row>
    <row r="205" spans="1:11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124"/>
    </row>
    <row r="206" spans="1:11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124"/>
    </row>
    <row r="207" spans="1:11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124"/>
    </row>
    <row r="208" spans="1:11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124"/>
    </row>
    <row r="209" spans="1:11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124"/>
    </row>
    <row r="210" spans="1:11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124"/>
    </row>
    <row r="211" spans="1:11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124"/>
    </row>
    <row r="212" spans="1:11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124"/>
    </row>
    <row r="213" spans="1:11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124"/>
    </row>
    <row r="214" spans="1:11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124"/>
    </row>
    <row r="215" spans="1:11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124"/>
    </row>
    <row r="216" spans="1:11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124"/>
    </row>
    <row r="217" spans="1:11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124"/>
    </row>
    <row r="218" spans="1:11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124"/>
    </row>
    <row r="219" spans="1:11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124"/>
    </row>
    <row r="220" spans="1:11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124"/>
    </row>
    <row r="221" spans="1:11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124"/>
    </row>
    <row r="222" spans="1:11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124"/>
    </row>
    <row r="223" spans="1:11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124"/>
    </row>
    <row r="224" spans="1:11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124"/>
    </row>
    <row r="225" spans="1:11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124"/>
    </row>
    <row r="226" spans="1:11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124"/>
    </row>
    <row r="227" spans="1:11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124"/>
    </row>
    <row r="228" spans="1:11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124"/>
    </row>
    <row r="229" spans="1:11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124"/>
    </row>
    <row r="230" spans="1:11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124"/>
    </row>
    <row r="231" spans="1:11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124"/>
    </row>
    <row r="232" spans="1:11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124"/>
    </row>
    <row r="233" spans="1:11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124"/>
    </row>
    <row r="234" spans="1:11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124"/>
    </row>
    <row r="235" spans="1:1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124"/>
    </row>
    <row r="236" spans="1:11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124"/>
    </row>
    <row r="237" spans="1:11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124"/>
    </row>
    <row r="238" spans="1:11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124"/>
    </row>
    <row r="239" spans="1:11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124"/>
    </row>
    <row r="240" spans="1:11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124"/>
    </row>
    <row r="241" spans="1:11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124"/>
    </row>
    <row r="242" spans="1:11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124"/>
    </row>
    <row r="243" spans="1:11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124"/>
    </row>
    <row r="244" spans="1:11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124"/>
    </row>
    <row r="245" spans="1:11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124"/>
    </row>
    <row r="246" spans="1:11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124"/>
    </row>
    <row r="247" spans="1:11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124"/>
    </row>
    <row r="248" spans="1:11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124"/>
    </row>
    <row r="249" spans="1:11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124"/>
    </row>
    <row r="250" spans="1:11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124"/>
    </row>
    <row r="251" spans="1:11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124"/>
    </row>
    <row r="252" spans="1:11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124"/>
    </row>
    <row r="253" spans="1:11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124"/>
    </row>
    <row r="254" spans="1:11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124"/>
    </row>
    <row r="255" spans="1:11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124"/>
    </row>
    <row r="256" spans="1:11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124"/>
    </row>
    <row r="257" spans="1:11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124"/>
    </row>
    <row r="258" spans="1:11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124"/>
    </row>
    <row r="259" spans="1:11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124"/>
    </row>
    <row r="260" spans="1:11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124"/>
    </row>
    <row r="261" spans="1:11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124"/>
    </row>
    <row r="262" spans="1:11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124"/>
    </row>
    <row r="263" spans="1:11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124"/>
    </row>
    <row r="264" spans="1:11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124"/>
    </row>
    <row r="265" spans="1:11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124"/>
    </row>
    <row r="266" spans="1:11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124"/>
    </row>
    <row r="267" spans="1:11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124"/>
    </row>
    <row r="268" spans="1:11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124"/>
    </row>
    <row r="269" spans="1:11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124"/>
    </row>
    <row r="270" spans="1:11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124"/>
    </row>
    <row r="271" spans="1:11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124"/>
    </row>
    <row r="272" spans="1:11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124"/>
    </row>
    <row r="273" spans="1:11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124"/>
    </row>
    <row r="274" spans="1:11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124"/>
    </row>
    <row r="275" spans="1:11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124"/>
    </row>
    <row r="276" spans="1:11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124"/>
    </row>
    <row r="277" spans="1:11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124"/>
    </row>
    <row r="278" spans="1:11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124"/>
    </row>
    <row r="279" spans="1:11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124"/>
    </row>
    <row r="280" spans="1:11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124"/>
    </row>
    <row r="281" spans="1:11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124"/>
    </row>
    <row r="282" spans="1:11" x14ac:dyDescent="0.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124"/>
    </row>
    <row r="283" spans="1:11" x14ac:dyDescent="0.2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124"/>
    </row>
    <row r="284" spans="1:11" x14ac:dyDescent="0.2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124"/>
    </row>
    <row r="285" spans="1:11" x14ac:dyDescent="0.2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124"/>
    </row>
    <row r="286" spans="1:11" x14ac:dyDescent="0.2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124"/>
    </row>
    <row r="287" spans="1:11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124"/>
    </row>
    <row r="288" spans="1:11" x14ac:dyDescent="0.2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124"/>
    </row>
    <row r="289" spans="1:11" x14ac:dyDescent="0.2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124"/>
    </row>
    <row r="290" spans="1:11" x14ac:dyDescent="0.2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124"/>
    </row>
    <row r="291" spans="1:11" x14ac:dyDescent="0.2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124"/>
    </row>
    <row r="292" spans="1:1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124"/>
    </row>
    <row r="293" spans="1:11" x14ac:dyDescent="0.2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124"/>
    </row>
    <row r="294" spans="1:11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124"/>
    </row>
    <row r="295" spans="1:11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124"/>
    </row>
    <row r="296" spans="1:11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124"/>
    </row>
    <row r="297" spans="1:11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124"/>
    </row>
    <row r="298" spans="1:11" x14ac:dyDescent="0.2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124"/>
    </row>
    <row r="299" spans="1:11" x14ac:dyDescent="0.2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124"/>
    </row>
    <row r="300" spans="1:11" x14ac:dyDescent="0.2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124"/>
    </row>
    <row r="301" spans="1:11" x14ac:dyDescent="0.2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124"/>
    </row>
    <row r="302" spans="1:11" x14ac:dyDescent="0.2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124"/>
    </row>
    <row r="303" spans="1:11" x14ac:dyDescent="0.2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124"/>
    </row>
    <row r="304" spans="1:11" x14ac:dyDescent="0.2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124"/>
    </row>
    <row r="305" spans="1:11" x14ac:dyDescent="0.2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124"/>
    </row>
    <row r="306" spans="1:11" x14ac:dyDescent="0.2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124"/>
    </row>
    <row r="307" spans="1:11" x14ac:dyDescent="0.2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124"/>
    </row>
    <row r="308" spans="1:11" x14ac:dyDescent="0.2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124"/>
    </row>
    <row r="309" spans="1:11" x14ac:dyDescent="0.2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124"/>
    </row>
    <row r="310" spans="1:11" x14ac:dyDescent="0.2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124"/>
    </row>
    <row r="311" spans="1:11" x14ac:dyDescent="0.2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124"/>
    </row>
    <row r="312" spans="1:11" x14ac:dyDescent="0.2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124"/>
    </row>
    <row r="313" spans="1:11" x14ac:dyDescent="0.2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124"/>
    </row>
    <row r="314" spans="1:11" x14ac:dyDescent="0.2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124"/>
    </row>
    <row r="315" spans="1:11" x14ac:dyDescent="0.2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124"/>
    </row>
    <row r="316" spans="1:11" x14ac:dyDescent="0.2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124"/>
    </row>
    <row r="317" spans="1:11" x14ac:dyDescent="0.2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124"/>
    </row>
    <row r="318" spans="1:11" x14ac:dyDescent="0.2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124"/>
    </row>
    <row r="319" spans="1:11" x14ac:dyDescent="0.2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124"/>
    </row>
    <row r="320" spans="1:11" x14ac:dyDescent="0.2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124"/>
    </row>
    <row r="321" spans="1:11" x14ac:dyDescent="0.2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124"/>
    </row>
    <row r="322" spans="1:11" x14ac:dyDescent="0.2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124"/>
    </row>
    <row r="323" spans="1:11" x14ac:dyDescent="0.2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124"/>
    </row>
    <row r="324" spans="1:11" x14ac:dyDescent="0.2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124"/>
    </row>
    <row r="325" spans="1:11" x14ac:dyDescent="0.2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124"/>
    </row>
    <row r="326" spans="1:11" x14ac:dyDescent="0.2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124"/>
    </row>
    <row r="327" spans="1:11" x14ac:dyDescent="0.2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124"/>
    </row>
    <row r="328" spans="1:11" x14ac:dyDescent="0.2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124"/>
    </row>
    <row r="329" spans="1:11" x14ac:dyDescent="0.2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124"/>
    </row>
    <row r="330" spans="1:11" x14ac:dyDescent="0.2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124"/>
    </row>
    <row r="331" spans="1:11" x14ac:dyDescent="0.2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124"/>
    </row>
    <row r="332" spans="1:11" x14ac:dyDescent="0.2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124"/>
    </row>
    <row r="333" spans="1:11" x14ac:dyDescent="0.2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124"/>
    </row>
    <row r="334" spans="1:11" x14ac:dyDescent="0.2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124"/>
    </row>
    <row r="335" spans="1:11" x14ac:dyDescent="0.2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124"/>
    </row>
    <row r="336" spans="1:11" x14ac:dyDescent="0.2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124"/>
    </row>
    <row r="337" spans="1:11" x14ac:dyDescent="0.2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124"/>
    </row>
    <row r="338" spans="1:11" x14ac:dyDescent="0.2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124"/>
    </row>
    <row r="339" spans="1:11" x14ac:dyDescent="0.2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124"/>
    </row>
    <row r="340" spans="1:11" x14ac:dyDescent="0.2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124"/>
    </row>
    <row r="341" spans="1:11" x14ac:dyDescent="0.2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124"/>
    </row>
    <row r="342" spans="1:11" x14ac:dyDescent="0.2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124"/>
    </row>
    <row r="343" spans="1:11" x14ac:dyDescent="0.2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124"/>
    </row>
    <row r="344" spans="1:11" x14ac:dyDescent="0.2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124"/>
    </row>
    <row r="345" spans="1:11" x14ac:dyDescent="0.2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124"/>
    </row>
    <row r="346" spans="1:11" x14ac:dyDescent="0.2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124"/>
    </row>
    <row r="347" spans="1:11" x14ac:dyDescent="0.2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124"/>
    </row>
    <row r="348" spans="1:11" x14ac:dyDescent="0.2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124"/>
    </row>
    <row r="349" spans="1:11" x14ac:dyDescent="0.2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124"/>
    </row>
    <row r="350" spans="1:11" x14ac:dyDescent="0.2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124"/>
    </row>
    <row r="351" spans="1:11" x14ac:dyDescent="0.2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124"/>
    </row>
    <row r="352" spans="1:11" x14ac:dyDescent="0.2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124"/>
    </row>
    <row r="353" spans="1:11" x14ac:dyDescent="0.2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124"/>
    </row>
    <row r="354" spans="1:11" x14ac:dyDescent="0.2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124"/>
    </row>
    <row r="355" spans="1:11" x14ac:dyDescent="0.2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124"/>
    </row>
    <row r="356" spans="1:11" x14ac:dyDescent="0.2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124"/>
    </row>
    <row r="357" spans="1:11" x14ac:dyDescent="0.2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124"/>
    </row>
    <row r="358" spans="1:11" x14ac:dyDescent="0.2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124"/>
    </row>
    <row r="359" spans="1:11" x14ac:dyDescent="0.2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124"/>
    </row>
    <row r="360" spans="1:11" x14ac:dyDescent="0.2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124"/>
    </row>
    <row r="361" spans="1:11" x14ac:dyDescent="0.2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124"/>
    </row>
    <row r="362" spans="1:11" x14ac:dyDescent="0.2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124"/>
    </row>
    <row r="363" spans="1:11" x14ac:dyDescent="0.2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124"/>
    </row>
    <row r="364" spans="1:11" x14ac:dyDescent="0.2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124"/>
    </row>
    <row r="365" spans="1:11" x14ac:dyDescent="0.2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124"/>
    </row>
    <row r="366" spans="1:11" x14ac:dyDescent="0.2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124"/>
    </row>
    <row r="367" spans="1:11" x14ac:dyDescent="0.2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124"/>
    </row>
    <row r="368" spans="1:11" x14ac:dyDescent="0.2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124"/>
    </row>
    <row r="369" spans="1:11" x14ac:dyDescent="0.2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124"/>
    </row>
    <row r="370" spans="1:11" x14ac:dyDescent="0.2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124"/>
    </row>
    <row r="371" spans="1:11" x14ac:dyDescent="0.2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124"/>
    </row>
    <row r="372" spans="1:11" x14ac:dyDescent="0.2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124"/>
    </row>
    <row r="373" spans="1:11" x14ac:dyDescent="0.2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124"/>
    </row>
    <row r="374" spans="1:11" x14ac:dyDescent="0.2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124"/>
    </row>
    <row r="375" spans="1:11" x14ac:dyDescent="0.2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124"/>
    </row>
    <row r="376" spans="1:11" x14ac:dyDescent="0.2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124"/>
    </row>
    <row r="377" spans="1:11" x14ac:dyDescent="0.2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124"/>
    </row>
    <row r="378" spans="1:11" x14ac:dyDescent="0.2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124"/>
    </row>
    <row r="379" spans="1:11" x14ac:dyDescent="0.2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124"/>
    </row>
    <row r="380" spans="1:11" x14ac:dyDescent="0.2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124"/>
    </row>
    <row r="381" spans="1:11" x14ac:dyDescent="0.2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124"/>
    </row>
    <row r="382" spans="1:11" x14ac:dyDescent="0.2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124"/>
    </row>
    <row r="383" spans="1:11" x14ac:dyDescent="0.2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124"/>
    </row>
    <row r="384" spans="1:11" x14ac:dyDescent="0.2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124"/>
    </row>
    <row r="385" spans="1:11" x14ac:dyDescent="0.2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124"/>
    </row>
    <row r="386" spans="1:11" x14ac:dyDescent="0.2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124"/>
    </row>
    <row r="387" spans="1:11" x14ac:dyDescent="0.2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124"/>
    </row>
    <row r="388" spans="1:11" x14ac:dyDescent="0.2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124"/>
    </row>
    <row r="389" spans="1:11" x14ac:dyDescent="0.2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124"/>
    </row>
    <row r="390" spans="1:11" x14ac:dyDescent="0.2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124"/>
    </row>
    <row r="391" spans="1:11" x14ac:dyDescent="0.2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124"/>
    </row>
    <row r="392" spans="1:11" x14ac:dyDescent="0.2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124"/>
    </row>
    <row r="393" spans="1:11" x14ac:dyDescent="0.2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124"/>
    </row>
    <row r="394" spans="1:11" x14ac:dyDescent="0.2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124"/>
    </row>
    <row r="395" spans="1:11" x14ac:dyDescent="0.2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124"/>
    </row>
    <row r="396" spans="1:11" x14ac:dyDescent="0.2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124"/>
    </row>
    <row r="397" spans="1:11" x14ac:dyDescent="0.2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124"/>
    </row>
    <row r="398" spans="1:11" x14ac:dyDescent="0.2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124"/>
    </row>
    <row r="399" spans="1:11" x14ac:dyDescent="0.2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124"/>
    </row>
    <row r="400" spans="1:11" x14ac:dyDescent="0.2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124"/>
    </row>
    <row r="401" spans="1:11" x14ac:dyDescent="0.2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124"/>
    </row>
    <row r="402" spans="1:11" x14ac:dyDescent="0.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124"/>
    </row>
    <row r="403" spans="1:11" x14ac:dyDescent="0.2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124"/>
    </row>
    <row r="404" spans="1:11" x14ac:dyDescent="0.2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124"/>
    </row>
    <row r="405" spans="1:11" x14ac:dyDescent="0.2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124"/>
    </row>
    <row r="406" spans="1:11" x14ac:dyDescent="0.2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124"/>
    </row>
    <row r="407" spans="1:11" x14ac:dyDescent="0.2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124"/>
    </row>
    <row r="408" spans="1:11" x14ac:dyDescent="0.2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124"/>
    </row>
    <row r="409" spans="1:11" x14ac:dyDescent="0.2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124"/>
    </row>
    <row r="410" spans="1:11" x14ac:dyDescent="0.2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124"/>
    </row>
    <row r="411" spans="1:11" x14ac:dyDescent="0.2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124"/>
    </row>
    <row r="412" spans="1:11" x14ac:dyDescent="0.2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124"/>
    </row>
    <row r="413" spans="1:11" x14ac:dyDescent="0.2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124"/>
    </row>
    <row r="414" spans="1:11" x14ac:dyDescent="0.2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124"/>
    </row>
    <row r="415" spans="1:11" x14ac:dyDescent="0.2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124"/>
    </row>
    <row r="416" spans="1:11" x14ac:dyDescent="0.2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124"/>
    </row>
    <row r="417" spans="1:11" x14ac:dyDescent="0.2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124"/>
    </row>
    <row r="418" spans="1:11" x14ac:dyDescent="0.2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124"/>
    </row>
    <row r="419" spans="1:11" x14ac:dyDescent="0.2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124"/>
    </row>
    <row r="420" spans="1:11" x14ac:dyDescent="0.2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124"/>
    </row>
    <row r="421" spans="1:11" x14ac:dyDescent="0.2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124"/>
    </row>
    <row r="422" spans="1:11" x14ac:dyDescent="0.2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124"/>
    </row>
    <row r="423" spans="1:11" x14ac:dyDescent="0.2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124"/>
    </row>
    <row r="424" spans="1:11" x14ac:dyDescent="0.2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124"/>
    </row>
    <row r="425" spans="1:11" x14ac:dyDescent="0.2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124"/>
    </row>
    <row r="426" spans="1:11" x14ac:dyDescent="0.2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124"/>
    </row>
    <row r="427" spans="1:11" x14ac:dyDescent="0.2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124"/>
    </row>
    <row r="428" spans="1:11" x14ac:dyDescent="0.2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124"/>
    </row>
    <row r="429" spans="1:11" x14ac:dyDescent="0.2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124"/>
    </row>
    <row r="430" spans="1:11" x14ac:dyDescent="0.2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124"/>
    </row>
    <row r="431" spans="1:11" x14ac:dyDescent="0.2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124"/>
    </row>
    <row r="432" spans="1:11" x14ac:dyDescent="0.2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124"/>
    </row>
    <row r="433" spans="1:11" x14ac:dyDescent="0.2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124"/>
    </row>
    <row r="434" spans="1:11" x14ac:dyDescent="0.2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124"/>
    </row>
    <row r="435" spans="1:11" x14ac:dyDescent="0.2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124"/>
    </row>
    <row r="436" spans="1:11" x14ac:dyDescent="0.2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124"/>
    </row>
    <row r="437" spans="1:11" x14ac:dyDescent="0.2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124"/>
    </row>
    <row r="438" spans="1:11" x14ac:dyDescent="0.2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124"/>
    </row>
    <row r="439" spans="1:11" x14ac:dyDescent="0.2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124"/>
    </row>
    <row r="440" spans="1:11" x14ac:dyDescent="0.2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124"/>
    </row>
    <row r="441" spans="1:11" x14ac:dyDescent="0.2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124"/>
    </row>
    <row r="442" spans="1:11" x14ac:dyDescent="0.2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124"/>
    </row>
    <row r="443" spans="1:11" x14ac:dyDescent="0.2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124"/>
    </row>
    <row r="444" spans="1:11" x14ac:dyDescent="0.2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124"/>
    </row>
    <row r="445" spans="1:11" x14ac:dyDescent="0.2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124"/>
    </row>
    <row r="446" spans="1:11" x14ac:dyDescent="0.2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124"/>
    </row>
    <row r="447" spans="1:11" x14ac:dyDescent="0.2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124"/>
    </row>
    <row r="448" spans="1:11" x14ac:dyDescent="0.2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124"/>
    </row>
    <row r="449" spans="1:11" x14ac:dyDescent="0.2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124"/>
    </row>
    <row r="450" spans="1:11" x14ac:dyDescent="0.2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124"/>
    </row>
    <row r="451" spans="1:11" x14ac:dyDescent="0.2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124"/>
    </row>
    <row r="452" spans="1:11" x14ac:dyDescent="0.2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124"/>
    </row>
    <row r="453" spans="1:11" x14ac:dyDescent="0.2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124"/>
    </row>
    <row r="454" spans="1:11" x14ac:dyDescent="0.2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124"/>
    </row>
    <row r="455" spans="1:11" x14ac:dyDescent="0.2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124"/>
    </row>
    <row r="456" spans="1:11" x14ac:dyDescent="0.2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124"/>
    </row>
    <row r="457" spans="1:11" x14ac:dyDescent="0.2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124"/>
    </row>
    <row r="458" spans="1:11" x14ac:dyDescent="0.2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124"/>
    </row>
    <row r="459" spans="1:11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124"/>
    </row>
    <row r="460" spans="1:11" x14ac:dyDescent="0.2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124"/>
    </row>
    <row r="461" spans="1:11" x14ac:dyDescent="0.2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124"/>
    </row>
    <row r="462" spans="1:11" x14ac:dyDescent="0.2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124"/>
    </row>
    <row r="463" spans="1:11" x14ac:dyDescent="0.2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124"/>
    </row>
    <row r="464" spans="1:11" x14ac:dyDescent="0.2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124"/>
    </row>
    <row r="465" spans="1:11" x14ac:dyDescent="0.2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124"/>
    </row>
    <row r="466" spans="1:11" x14ac:dyDescent="0.2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124"/>
    </row>
    <row r="467" spans="1:11" x14ac:dyDescent="0.2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124"/>
    </row>
    <row r="468" spans="1:11" x14ac:dyDescent="0.2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124"/>
    </row>
    <row r="469" spans="1:11" x14ac:dyDescent="0.2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124"/>
    </row>
    <row r="470" spans="1:11" x14ac:dyDescent="0.2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124"/>
    </row>
    <row r="471" spans="1:11" x14ac:dyDescent="0.2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124"/>
    </row>
    <row r="472" spans="1:11" x14ac:dyDescent="0.2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124"/>
    </row>
    <row r="473" spans="1:11" x14ac:dyDescent="0.2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124"/>
    </row>
    <row r="474" spans="1:11" x14ac:dyDescent="0.2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124"/>
    </row>
    <row r="475" spans="1:11" x14ac:dyDescent="0.2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124"/>
    </row>
    <row r="476" spans="1:11" x14ac:dyDescent="0.2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124"/>
    </row>
    <row r="477" spans="1:11" x14ac:dyDescent="0.2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124"/>
    </row>
    <row r="478" spans="1:11" x14ac:dyDescent="0.2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124"/>
    </row>
    <row r="479" spans="1:11" x14ac:dyDescent="0.2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124"/>
    </row>
    <row r="480" spans="1:11" x14ac:dyDescent="0.2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124"/>
    </row>
    <row r="481" spans="1:11" x14ac:dyDescent="0.2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124"/>
    </row>
    <row r="482" spans="1:11" x14ac:dyDescent="0.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124"/>
    </row>
    <row r="483" spans="1:11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124"/>
    </row>
    <row r="484" spans="1:11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124"/>
    </row>
    <row r="485" spans="1:11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124"/>
    </row>
    <row r="486" spans="1:11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124"/>
    </row>
    <row r="487" spans="1:11" x14ac:dyDescent="0.2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124"/>
    </row>
    <row r="488" spans="1:11" x14ac:dyDescent="0.2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124"/>
    </row>
    <row r="489" spans="1:11" x14ac:dyDescent="0.2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124"/>
    </row>
    <row r="490" spans="1:11" x14ac:dyDescent="0.2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124"/>
    </row>
    <row r="491" spans="1:11" x14ac:dyDescent="0.2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124"/>
    </row>
    <row r="492" spans="1:11" x14ac:dyDescent="0.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124"/>
    </row>
    <row r="493" spans="1:11" x14ac:dyDescent="0.2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124"/>
    </row>
    <row r="494" spans="1:11" x14ac:dyDescent="0.2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124"/>
    </row>
    <row r="495" spans="1:11" x14ac:dyDescent="0.2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124"/>
    </row>
    <row r="496" spans="1:11" x14ac:dyDescent="0.2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124"/>
    </row>
    <row r="497" spans="1:11" x14ac:dyDescent="0.2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124"/>
    </row>
    <row r="498" spans="1:11" x14ac:dyDescent="0.2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124"/>
    </row>
    <row r="499" spans="1:11" x14ac:dyDescent="0.2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124"/>
    </row>
    <row r="500" spans="1:11" x14ac:dyDescent="0.2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124"/>
    </row>
    <row r="501" spans="1:11" x14ac:dyDescent="0.2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124"/>
    </row>
    <row r="502" spans="1:11" x14ac:dyDescent="0.2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124"/>
    </row>
    <row r="503" spans="1:11" x14ac:dyDescent="0.2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124"/>
    </row>
    <row r="504" spans="1:11" x14ac:dyDescent="0.2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124"/>
    </row>
    <row r="505" spans="1:11" x14ac:dyDescent="0.2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124"/>
    </row>
    <row r="506" spans="1:11" x14ac:dyDescent="0.2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124"/>
    </row>
    <row r="507" spans="1:11" x14ac:dyDescent="0.2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124"/>
    </row>
    <row r="508" spans="1:11" x14ac:dyDescent="0.2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124"/>
    </row>
    <row r="509" spans="1:11" x14ac:dyDescent="0.2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124"/>
    </row>
    <row r="510" spans="1:11" x14ac:dyDescent="0.2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124"/>
    </row>
    <row r="511" spans="1:11" x14ac:dyDescent="0.2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124"/>
    </row>
    <row r="512" spans="1:11" x14ac:dyDescent="0.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124"/>
    </row>
    <row r="513" spans="1:11" x14ac:dyDescent="0.2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124"/>
    </row>
    <row r="514" spans="1:11" x14ac:dyDescent="0.2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124"/>
    </row>
    <row r="515" spans="1:11" x14ac:dyDescent="0.2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124"/>
    </row>
    <row r="516" spans="1:11" x14ac:dyDescent="0.2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124"/>
    </row>
    <row r="517" spans="1:11" x14ac:dyDescent="0.2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124"/>
    </row>
    <row r="518" spans="1:11" x14ac:dyDescent="0.2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124"/>
    </row>
    <row r="519" spans="1:11" x14ac:dyDescent="0.2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124"/>
    </row>
    <row r="520" spans="1:11" x14ac:dyDescent="0.2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124"/>
    </row>
    <row r="521" spans="1:11" x14ac:dyDescent="0.2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124"/>
    </row>
    <row r="522" spans="1:11" x14ac:dyDescent="0.2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124"/>
    </row>
    <row r="523" spans="1:11" x14ac:dyDescent="0.2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124"/>
    </row>
    <row r="524" spans="1:11" x14ac:dyDescent="0.2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124"/>
    </row>
    <row r="525" spans="1:11" x14ac:dyDescent="0.2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124"/>
    </row>
    <row r="526" spans="1:11" x14ac:dyDescent="0.2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124"/>
    </row>
    <row r="527" spans="1:11" x14ac:dyDescent="0.2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124"/>
    </row>
    <row r="528" spans="1:11" x14ac:dyDescent="0.2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124"/>
    </row>
    <row r="529" spans="1:11" x14ac:dyDescent="0.2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124"/>
    </row>
    <row r="530" spans="1:11" x14ac:dyDescent="0.2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124"/>
    </row>
    <row r="531" spans="1:11" x14ac:dyDescent="0.2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124"/>
    </row>
    <row r="532" spans="1:11" x14ac:dyDescent="0.2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124"/>
    </row>
    <row r="533" spans="1:11" x14ac:dyDescent="0.2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124"/>
    </row>
    <row r="534" spans="1:11" x14ac:dyDescent="0.2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124"/>
    </row>
    <row r="535" spans="1:11" x14ac:dyDescent="0.2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124"/>
    </row>
    <row r="536" spans="1:11" x14ac:dyDescent="0.2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124"/>
    </row>
    <row r="537" spans="1:11" x14ac:dyDescent="0.2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124"/>
    </row>
    <row r="538" spans="1:11" x14ac:dyDescent="0.2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124"/>
    </row>
    <row r="539" spans="1:11" x14ac:dyDescent="0.2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124"/>
    </row>
    <row r="540" spans="1:11" x14ac:dyDescent="0.2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124"/>
    </row>
    <row r="541" spans="1:11" x14ac:dyDescent="0.2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124"/>
    </row>
    <row r="542" spans="1:11" x14ac:dyDescent="0.2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124"/>
    </row>
    <row r="543" spans="1:11" x14ac:dyDescent="0.2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124"/>
    </row>
    <row r="544" spans="1:11" x14ac:dyDescent="0.2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124"/>
    </row>
    <row r="545" spans="1:11" x14ac:dyDescent="0.2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124"/>
    </row>
    <row r="546" spans="1:11" x14ac:dyDescent="0.2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124"/>
    </row>
    <row r="547" spans="1:11" x14ac:dyDescent="0.2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124"/>
    </row>
    <row r="548" spans="1:11" x14ac:dyDescent="0.2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124"/>
    </row>
    <row r="549" spans="1:11" x14ac:dyDescent="0.2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124"/>
    </row>
    <row r="550" spans="1:11" x14ac:dyDescent="0.2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124"/>
    </row>
    <row r="551" spans="1:11" x14ac:dyDescent="0.2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124"/>
    </row>
    <row r="552" spans="1:11" x14ac:dyDescent="0.2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124"/>
    </row>
    <row r="553" spans="1:11" x14ac:dyDescent="0.2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124"/>
    </row>
    <row r="554" spans="1:11" x14ac:dyDescent="0.2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124"/>
    </row>
    <row r="555" spans="1:11" x14ac:dyDescent="0.2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124"/>
    </row>
    <row r="556" spans="1:11" x14ac:dyDescent="0.2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124"/>
    </row>
    <row r="557" spans="1:11" x14ac:dyDescent="0.2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124"/>
    </row>
    <row r="558" spans="1:11" x14ac:dyDescent="0.2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124"/>
    </row>
    <row r="559" spans="1:11" x14ac:dyDescent="0.2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124"/>
    </row>
    <row r="560" spans="1:11" x14ac:dyDescent="0.2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124"/>
    </row>
    <row r="561" spans="1:11" x14ac:dyDescent="0.2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124"/>
    </row>
    <row r="562" spans="1:11" x14ac:dyDescent="0.2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124"/>
    </row>
    <row r="563" spans="1:11" x14ac:dyDescent="0.2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124"/>
    </row>
    <row r="564" spans="1:11" x14ac:dyDescent="0.2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124"/>
    </row>
    <row r="565" spans="1:11" x14ac:dyDescent="0.2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124"/>
    </row>
    <row r="566" spans="1:11" x14ac:dyDescent="0.2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124"/>
    </row>
    <row r="567" spans="1:11" x14ac:dyDescent="0.2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124"/>
    </row>
    <row r="568" spans="1:11" x14ac:dyDescent="0.2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124"/>
    </row>
    <row r="569" spans="1:11" x14ac:dyDescent="0.2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124"/>
    </row>
    <row r="570" spans="1:11" x14ac:dyDescent="0.2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124"/>
    </row>
    <row r="571" spans="1:11" x14ac:dyDescent="0.2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124"/>
    </row>
    <row r="572" spans="1:11" x14ac:dyDescent="0.2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124"/>
    </row>
    <row r="573" spans="1:11" x14ac:dyDescent="0.2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124"/>
    </row>
    <row r="574" spans="1:11" x14ac:dyDescent="0.2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124"/>
    </row>
    <row r="575" spans="1:11" x14ac:dyDescent="0.2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124"/>
    </row>
    <row r="576" spans="1:11" x14ac:dyDescent="0.2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124"/>
    </row>
    <row r="577" spans="1:11" x14ac:dyDescent="0.2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124"/>
    </row>
    <row r="578" spans="1:11" x14ac:dyDescent="0.2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124"/>
    </row>
    <row r="579" spans="1:11" x14ac:dyDescent="0.2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124"/>
    </row>
    <row r="580" spans="1:11" x14ac:dyDescent="0.2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124"/>
    </row>
    <row r="581" spans="1:11" x14ac:dyDescent="0.2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124"/>
    </row>
    <row r="582" spans="1:11" x14ac:dyDescent="0.2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124"/>
    </row>
    <row r="583" spans="1:11" x14ac:dyDescent="0.2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124"/>
    </row>
    <row r="584" spans="1:11" x14ac:dyDescent="0.2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124"/>
    </row>
    <row r="585" spans="1:11" x14ac:dyDescent="0.2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124"/>
    </row>
    <row r="586" spans="1:11" x14ac:dyDescent="0.2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124"/>
    </row>
    <row r="587" spans="1:11" x14ac:dyDescent="0.2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124"/>
    </row>
    <row r="588" spans="1:11" x14ac:dyDescent="0.2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124"/>
    </row>
    <row r="589" spans="1:11" x14ac:dyDescent="0.2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124"/>
    </row>
    <row r="590" spans="1:11" x14ac:dyDescent="0.2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124"/>
    </row>
    <row r="591" spans="1:11" x14ac:dyDescent="0.2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124"/>
    </row>
    <row r="592" spans="1:11" x14ac:dyDescent="0.2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124"/>
    </row>
    <row r="593" spans="1:11" x14ac:dyDescent="0.2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124"/>
    </row>
    <row r="594" spans="1:11" x14ac:dyDescent="0.2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124"/>
    </row>
    <row r="595" spans="1:11" x14ac:dyDescent="0.2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124"/>
    </row>
    <row r="596" spans="1:11" x14ac:dyDescent="0.2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124"/>
    </row>
    <row r="597" spans="1:11" x14ac:dyDescent="0.2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124"/>
    </row>
    <row r="598" spans="1:11" x14ac:dyDescent="0.2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124"/>
    </row>
    <row r="599" spans="1:11" x14ac:dyDescent="0.2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124"/>
    </row>
    <row r="600" spans="1:11" x14ac:dyDescent="0.2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124"/>
    </row>
    <row r="601" spans="1:11" x14ac:dyDescent="0.2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124"/>
    </row>
    <row r="602" spans="1:11" x14ac:dyDescent="0.2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124"/>
    </row>
    <row r="603" spans="1:11" x14ac:dyDescent="0.2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124"/>
    </row>
    <row r="604" spans="1:11" x14ac:dyDescent="0.2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124"/>
    </row>
    <row r="605" spans="1:11" x14ac:dyDescent="0.2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124"/>
    </row>
    <row r="606" spans="1:11" x14ac:dyDescent="0.2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124"/>
    </row>
    <row r="607" spans="1:11" x14ac:dyDescent="0.2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124"/>
    </row>
    <row r="608" spans="1:11" x14ac:dyDescent="0.2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124"/>
    </row>
    <row r="609" spans="1:11" x14ac:dyDescent="0.2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124"/>
    </row>
    <row r="610" spans="1:11" x14ac:dyDescent="0.2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124"/>
    </row>
    <row r="611" spans="1:11" x14ac:dyDescent="0.2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124"/>
    </row>
    <row r="612" spans="1:11" x14ac:dyDescent="0.2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124"/>
    </row>
    <row r="613" spans="1:11" x14ac:dyDescent="0.2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124"/>
    </row>
    <row r="614" spans="1:11" x14ac:dyDescent="0.2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124"/>
    </row>
    <row r="615" spans="1:11" x14ac:dyDescent="0.2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124"/>
    </row>
    <row r="616" spans="1:11" x14ac:dyDescent="0.2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124"/>
    </row>
    <row r="617" spans="1:11" x14ac:dyDescent="0.2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124"/>
    </row>
    <row r="618" spans="1:11" x14ac:dyDescent="0.2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124"/>
    </row>
    <row r="619" spans="1:11" x14ac:dyDescent="0.2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124"/>
    </row>
    <row r="620" spans="1:11" x14ac:dyDescent="0.2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124"/>
    </row>
    <row r="621" spans="1:11" x14ac:dyDescent="0.2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124"/>
    </row>
    <row r="622" spans="1:11" x14ac:dyDescent="0.2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124"/>
    </row>
    <row r="623" spans="1:11" x14ac:dyDescent="0.2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124"/>
    </row>
    <row r="624" spans="1:11" x14ac:dyDescent="0.2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124"/>
    </row>
    <row r="625" spans="1:11" x14ac:dyDescent="0.2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124"/>
    </row>
    <row r="626" spans="1:11" x14ac:dyDescent="0.2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124"/>
    </row>
    <row r="627" spans="1:11" x14ac:dyDescent="0.2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124"/>
    </row>
    <row r="628" spans="1:11" x14ac:dyDescent="0.2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124"/>
    </row>
    <row r="629" spans="1:11" x14ac:dyDescent="0.2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124"/>
    </row>
    <row r="630" spans="1:11" x14ac:dyDescent="0.2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124"/>
    </row>
    <row r="631" spans="1:11" x14ac:dyDescent="0.2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124"/>
    </row>
    <row r="632" spans="1:11" x14ac:dyDescent="0.2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124"/>
    </row>
    <row r="633" spans="1:11" x14ac:dyDescent="0.2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124"/>
    </row>
    <row r="634" spans="1:11" x14ac:dyDescent="0.2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124"/>
    </row>
    <row r="635" spans="1:11" x14ac:dyDescent="0.2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124"/>
    </row>
    <row r="636" spans="1:11" x14ac:dyDescent="0.2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124"/>
    </row>
    <row r="637" spans="1:11" x14ac:dyDescent="0.2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124"/>
    </row>
    <row r="638" spans="1:11" x14ac:dyDescent="0.2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124"/>
    </row>
    <row r="639" spans="1:11" x14ac:dyDescent="0.2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124"/>
    </row>
    <row r="640" spans="1:11" x14ac:dyDescent="0.2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124"/>
    </row>
    <row r="641" spans="1:11" x14ac:dyDescent="0.2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124"/>
    </row>
    <row r="642" spans="1:11" x14ac:dyDescent="0.2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124"/>
    </row>
    <row r="643" spans="1:11" x14ac:dyDescent="0.2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124"/>
    </row>
    <row r="644" spans="1:11" x14ac:dyDescent="0.2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124"/>
    </row>
    <row r="645" spans="1:11" x14ac:dyDescent="0.2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124"/>
    </row>
    <row r="646" spans="1:11" x14ac:dyDescent="0.2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124"/>
    </row>
    <row r="647" spans="1:11" x14ac:dyDescent="0.2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124"/>
    </row>
    <row r="648" spans="1:11" x14ac:dyDescent="0.2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124"/>
    </row>
    <row r="649" spans="1:11" x14ac:dyDescent="0.2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124"/>
    </row>
    <row r="650" spans="1:11" x14ac:dyDescent="0.2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124"/>
    </row>
    <row r="651" spans="1:11" x14ac:dyDescent="0.2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124"/>
    </row>
    <row r="652" spans="1:11" x14ac:dyDescent="0.2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124"/>
    </row>
    <row r="653" spans="1:11" x14ac:dyDescent="0.2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124"/>
    </row>
    <row r="654" spans="1:11" x14ac:dyDescent="0.2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124"/>
    </row>
    <row r="655" spans="1:11" x14ac:dyDescent="0.2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124"/>
    </row>
    <row r="656" spans="1:11" x14ac:dyDescent="0.2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124"/>
    </row>
    <row r="657" spans="1:11" x14ac:dyDescent="0.2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124"/>
    </row>
    <row r="658" spans="1:11" x14ac:dyDescent="0.2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124"/>
    </row>
    <row r="659" spans="1:11" x14ac:dyDescent="0.2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124"/>
    </row>
    <row r="660" spans="1:11" x14ac:dyDescent="0.2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124"/>
    </row>
    <row r="661" spans="1:11" x14ac:dyDescent="0.2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124"/>
    </row>
    <row r="662" spans="1:11" x14ac:dyDescent="0.2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124"/>
    </row>
    <row r="663" spans="1:11" x14ac:dyDescent="0.2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124"/>
    </row>
    <row r="664" spans="1:11" x14ac:dyDescent="0.2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124"/>
    </row>
    <row r="665" spans="1:11" x14ac:dyDescent="0.2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124"/>
    </row>
    <row r="666" spans="1:11" x14ac:dyDescent="0.2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124"/>
    </row>
    <row r="667" spans="1:11" x14ac:dyDescent="0.2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124"/>
    </row>
    <row r="668" spans="1:11" x14ac:dyDescent="0.2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124"/>
    </row>
    <row r="669" spans="1:11" x14ac:dyDescent="0.2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124"/>
    </row>
    <row r="670" spans="1:11" x14ac:dyDescent="0.2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124"/>
    </row>
    <row r="671" spans="1:11" x14ac:dyDescent="0.2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124"/>
    </row>
    <row r="672" spans="1:11" x14ac:dyDescent="0.2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124"/>
    </row>
    <row r="673" spans="1:11" x14ac:dyDescent="0.2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124"/>
    </row>
    <row r="674" spans="1:11" x14ac:dyDescent="0.2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124"/>
    </row>
    <row r="675" spans="1:11" x14ac:dyDescent="0.2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124"/>
    </row>
    <row r="676" spans="1:11" x14ac:dyDescent="0.2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124"/>
    </row>
    <row r="677" spans="1:11" x14ac:dyDescent="0.2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124"/>
    </row>
    <row r="678" spans="1:11" x14ac:dyDescent="0.2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124"/>
    </row>
    <row r="679" spans="1:11" x14ac:dyDescent="0.2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124"/>
    </row>
    <row r="680" spans="1:11" x14ac:dyDescent="0.2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124"/>
    </row>
    <row r="681" spans="1:11" x14ac:dyDescent="0.2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124"/>
    </row>
    <row r="682" spans="1:11" x14ac:dyDescent="0.2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124"/>
    </row>
    <row r="683" spans="1:11" x14ac:dyDescent="0.2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124"/>
    </row>
    <row r="684" spans="1:11" x14ac:dyDescent="0.2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124"/>
    </row>
    <row r="685" spans="1:11" x14ac:dyDescent="0.2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124"/>
    </row>
    <row r="686" spans="1:11" x14ac:dyDescent="0.2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124"/>
    </row>
    <row r="687" spans="1:11" x14ac:dyDescent="0.2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124"/>
    </row>
    <row r="688" spans="1:11" x14ac:dyDescent="0.2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124"/>
    </row>
  </sheetData>
  <mergeCells count="7">
    <mergeCell ref="A47:B47"/>
    <mergeCell ref="D1:E1"/>
    <mergeCell ref="A2:E2"/>
    <mergeCell ref="A3:F3"/>
    <mergeCell ref="A6:A7"/>
    <mergeCell ref="B6:D6"/>
    <mergeCell ref="E6:E14"/>
  </mergeCells>
  <printOptions horizontalCentered="1" verticalCentered="1"/>
  <pageMargins left="0.19685039370078741" right="0.19685039370078741" top="0" bottom="0.27559055118110237" header="0" footer="0.15748031496062992"/>
  <pageSetup paperSize="9" scale="83" firstPageNumber="0" orientation="portrait" horizontalDpi="300" verticalDpi="300" r:id="rId1"/>
  <headerFooter alignWithMargins="0">
    <oddHeader>&amp;CDunaharaszti Város Önkormányzat 2017. évi zárszámadás&amp;R&amp;A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17</vt:i4>
      </vt:variant>
    </vt:vector>
  </HeadingPairs>
  <TitlesOfParts>
    <vt:vector size="42" baseType="lpstr">
      <vt:lpstr>II. előlap</vt:lpstr>
      <vt:lpstr>13.a.sz.m.Maradvány - int</vt:lpstr>
      <vt:lpstr>13.b.sz.m.Maradványkim.-Önk</vt:lpstr>
      <vt:lpstr>13.c.sz.m.Kötött maradvány</vt:lpstr>
      <vt:lpstr>13.d.sz.m.Szabad maradvány</vt:lpstr>
      <vt:lpstr> 1.sz.tájék.Részesedések </vt:lpstr>
      <vt:lpstr>2.sz.tájék.Vagyonkimutatás</vt:lpstr>
      <vt:lpstr>3.sz.tájék.tábla Többéves</vt:lpstr>
      <vt:lpstr>4.sz.tájék. Adósságszolgálat</vt:lpstr>
      <vt:lpstr>5.sz.tájék.pénzeszköz vált.</vt:lpstr>
      <vt:lpstr>6.sz.tájék.Mérleg</vt:lpstr>
      <vt:lpstr>7.sz.tájék.Eredménykimutatás</vt:lpstr>
      <vt:lpstr>8.sz.tájék.tábla Mérlegszerű</vt:lpstr>
      <vt:lpstr>9.sz.tájék.tábla Hitelképesség</vt:lpstr>
      <vt:lpstr>10.sz.tájék.tábla Közvetett tám</vt:lpstr>
      <vt:lpstr>1.sz.függ.EU-s pály. ASP</vt:lpstr>
      <vt:lpstr>2.sz.függ. EU-s pály. Bölcsőde</vt:lpstr>
      <vt:lpstr>3.sz.függ. Károlyi u. pály.</vt:lpstr>
      <vt:lpstr>4.sz. függ. Töltőállomás pály.</vt:lpstr>
      <vt:lpstr>5.sz. függ. Teniszpálya pály.</vt:lpstr>
      <vt:lpstr>6.sz.függ.körforgalom pály.</vt:lpstr>
      <vt:lpstr>7.függ. Napsugár energ. fennt.</vt:lpstr>
      <vt:lpstr>8.sz.függ. Hétszín.energ.</vt:lpstr>
      <vt:lpstr>9.függ.Kőrösi energ.fenntart</vt:lpstr>
      <vt:lpstr>10.függ.Szivárvány fennt.</vt:lpstr>
      <vt:lpstr>'2.sz.tájék.Vagyonkimutatás'!Nyomtatási_cím</vt:lpstr>
      <vt:lpstr>'3.sz.tájék.tábla Többéves'!Nyomtatási_cím</vt:lpstr>
      <vt:lpstr>'6.sz.tájék.Mérleg'!Nyomtatási_cím</vt:lpstr>
      <vt:lpstr>'9.sz.tájék.tábla Hitelképesség'!Nyomtatási_cím</vt:lpstr>
      <vt:lpstr>' 1.sz.tájék.Részesedések '!Nyomtatási_terület</vt:lpstr>
      <vt:lpstr>'10.sz.tájék.tábla Közvetett tám'!Nyomtatási_terület</vt:lpstr>
      <vt:lpstr>'13.b.sz.m.Maradványkim.-Önk'!Nyomtatási_terület</vt:lpstr>
      <vt:lpstr>'13.c.sz.m.Kötött maradvány'!Nyomtatási_terület</vt:lpstr>
      <vt:lpstr>'13.d.sz.m.Szabad maradvány'!Nyomtatási_terület</vt:lpstr>
      <vt:lpstr>'2.sz.tájék.Vagyonkimutatás'!Nyomtatási_terület</vt:lpstr>
      <vt:lpstr>'3.sz.tájék.tábla Többéves'!Nyomtatási_terület</vt:lpstr>
      <vt:lpstr>'4.sz.tájék. Adósságszolgálat'!Nyomtatási_terület</vt:lpstr>
      <vt:lpstr>'5.sz.tájék.pénzeszköz vált.'!Nyomtatási_terület</vt:lpstr>
      <vt:lpstr>'7.függ. Napsugár energ. fennt.'!Nyomtatási_terület</vt:lpstr>
      <vt:lpstr>'8.sz.tájék.tábla Mérlegszerű'!Nyomtatási_terület</vt:lpstr>
      <vt:lpstr>'9.sz.tájék.tábla Hitelképesség'!Nyomtatási_terület</vt:lpstr>
      <vt:lpstr>'II. előlap'!Nyomtatási_terület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Paskóné Éva</dc:creator>
  <cp:lastModifiedBy>Paskóné Éva</cp:lastModifiedBy>
  <cp:lastPrinted>2018-05-29T13:21:54Z</cp:lastPrinted>
  <dcterms:created xsi:type="dcterms:W3CDTF">2018-04-25T12:36:32Z</dcterms:created>
  <dcterms:modified xsi:type="dcterms:W3CDTF">2018-05-29T13:23:27Z</dcterms:modified>
</cp:coreProperties>
</file>