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HIVATAL\Közös\KÉPVISELŐ-TESTÜLET IRATAI\ELŐTERJESZTÉSEK\2018\2018. 05. 28\"/>
    </mc:Choice>
  </mc:AlternateContent>
  <bookViews>
    <workbookView xWindow="0" yWindow="0" windowWidth="20490" windowHeight="7650" firstSheet="18" activeTab="23"/>
  </bookViews>
  <sheets>
    <sheet name="I. táblák előlap" sheetId="29" r:id="rId1"/>
    <sheet name="1.1 sz. Önkormányzat 2017." sheetId="13" r:id="rId2"/>
    <sheet name="1.2 sz Önkormányzat 2017." sheetId="14" r:id="rId3"/>
    <sheet name="1.3 sz.Önkormányzat 2017.B" sheetId="15" r:id="rId4"/>
    <sheet name="2.1. sz. PMH" sheetId="16" r:id="rId5"/>
    <sheet name="2.2. sz. Hétszínvirág Óvoda" sheetId="17" r:id="rId6"/>
    <sheet name="2.3. sz. Mese Óvoda" sheetId="18" r:id="rId7"/>
    <sheet name="2.4. sz. Bölcsőde" sheetId="19" r:id="rId8"/>
    <sheet name="2.5. sz. Gyermekjóléti" sheetId="20" r:id="rId9"/>
    <sheet name="2.6 sz. Területi" sheetId="21" r:id="rId10"/>
    <sheet name="2.7. sz. Könyvtár" sheetId="22" r:id="rId11"/>
    <sheet name="2.8. sz. Műv.Ház" sheetId="26" r:id="rId12"/>
    <sheet name="2.9. sz. Szivárvány Ó." sheetId="27" r:id="rId13"/>
    <sheet name="2.10. sz. Intézmények összesen" sheetId="23" r:id="rId14"/>
    <sheet name="3. sz.Városi szintű összesen" sheetId="12" r:id="rId15"/>
    <sheet name="4.sz.Felhalm.c.pe.átadás" sheetId="2" r:id="rId16"/>
    <sheet name="5.sz.Műk.c.pe.átadás " sheetId="24" r:id="rId17"/>
    <sheet name="6.sz. Beruházások" sheetId="4" r:id="rId18"/>
    <sheet name="7. sz. Felújítások" sheetId="5" r:id="rId19"/>
    <sheet name="8.sz.Tartalékok" sheetId="6" r:id="rId20"/>
    <sheet name="9.sz. Szociális" sheetId="7" r:id="rId21"/>
    <sheet name="10.sz.Intézményfinanszírozás" sheetId="8" r:id="rId22"/>
    <sheet name="11.sz. Normatíva " sheetId="11" r:id="rId23"/>
    <sheet name="12.sz.mell. Létszámtábla" sheetId="10" r:id="rId24"/>
  </sheets>
  <externalReferences>
    <externalReference r:id="rId25"/>
    <externalReference r:id="rId26"/>
  </externalReferences>
  <definedNames>
    <definedName name="A">'1.3 sz.Önkormányzat 2017.B'!$1:$1048576</definedName>
    <definedName name="felev" localSheetId="1">#REF!</definedName>
    <definedName name="felev" localSheetId="2">#REF!</definedName>
    <definedName name="felev" localSheetId="3">#REF!</definedName>
    <definedName name="felev" localSheetId="4">#REF!</definedName>
    <definedName name="felev" localSheetId="13">#REF!</definedName>
    <definedName name="felev" localSheetId="5">#REF!</definedName>
    <definedName name="felev" localSheetId="6">#REF!</definedName>
    <definedName name="felev" localSheetId="7">#REF!</definedName>
    <definedName name="felev" localSheetId="8">#REF!</definedName>
    <definedName name="felev" localSheetId="9">#REF!</definedName>
    <definedName name="felev" localSheetId="10">#REF!</definedName>
    <definedName name="felev" localSheetId="11">#REF!</definedName>
    <definedName name="felev" localSheetId="12">#REF!</definedName>
    <definedName name="felev" localSheetId="14">#REF!</definedName>
    <definedName name="felev" localSheetId="16">#REF!</definedName>
    <definedName name="felev" localSheetId="17">#REF!</definedName>
    <definedName name="felev" localSheetId="0">#REF!</definedName>
    <definedName name="felev">#REF!</definedName>
    <definedName name="funkcio" localSheetId="1">#REF!</definedName>
    <definedName name="funkcio" localSheetId="2">#REF!</definedName>
    <definedName name="funkcio" localSheetId="3">#REF!</definedName>
    <definedName name="funkcio" localSheetId="4">#REF!</definedName>
    <definedName name="funkcio" localSheetId="13">#REF!</definedName>
    <definedName name="funkcio" localSheetId="5">#REF!</definedName>
    <definedName name="funkcio" localSheetId="6">#REF!</definedName>
    <definedName name="funkcio" localSheetId="7">#REF!</definedName>
    <definedName name="funkcio" localSheetId="8">#REF!</definedName>
    <definedName name="funkcio" localSheetId="9">#REF!</definedName>
    <definedName name="funkcio" localSheetId="10">#REF!</definedName>
    <definedName name="funkcio" localSheetId="11">#REF!</definedName>
    <definedName name="funkcio" localSheetId="12">#REF!</definedName>
    <definedName name="funkcio" localSheetId="14">#REF!</definedName>
    <definedName name="funkcio" localSheetId="16">#REF!</definedName>
    <definedName name="funkcio" localSheetId="17">#REF!</definedName>
    <definedName name="funkcio" localSheetId="0">#REF!</definedName>
    <definedName name="funkcio">#REF!</definedName>
    <definedName name="Igenyles_elszamolas_tip" localSheetId="1">#REF!</definedName>
    <definedName name="Igenyles_elszamolas_tip" localSheetId="2">#REF!</definedName>
    <definedName name="Igenyles_elszamolas_tip" localSheetId="3">#REF!</definedName>
    <definedName name="Igenyles_elszamolas_tip" localSheetId="4">#REF!</definedName>
    <definedName name="Igenyles_elszamolas_tip" localSheetId="13">#REF!</definedName>
    <definedName name="Igenyles_elszamolas_tip" localSheetId="5">#REF!</definedName>
    <definedName name="Igenyles_elszamolas_tip" localSheetId="6">#REF!</definedName>
    <definedName name="Igenyles_elszamolas_tip" localSheetId="7">#REF!</definedName>
    <definedName name="Igenyles_elszamolas_tip" localSheetId="8">#REF!</definedName>
    <definedName name="Igenyles_elszamolas_tip" localSheetId="9">#REF!</definedName>
    <definedName name="Igenyles_elszamolas_tip" localSheetId="10">#REF!</definedName>
    <definedName name="Igenyles_elszamolas_tip" localSheetId="11">#REF!</definedName>
    <definedName name="Igenyles_elszamolas_tip" localSheetId="12">#REF!</definedName>
    <definedName name="Igenyles_elszamolas_tip" localSheetId="14">#REF!</definedName>
    <definedName name="Igenyles_elszamolas_tip" localSheetId="16">#REF!</definedName>
    <definedName name="Igenyles_elszamolas_tip" localSheetId="17">#REF!</definedName>
    <definedName name="Igenyles_elszamolas_tip" localSheetId="0">#REF!</definedName>
    <definedName name="Igenyles_elszamolas_tip">#REF!</definedName>
    <definedName name="iiiiii" localSheetId="1">#REF!</definedName>
    <definedName name="iiiiii" localSheetId="2">#REF!</definedName>
    <definedName name="iiiiii" localSheetId="3">#REF!</definedName>
    <definedName name="iiiiii" localSheetId="4">#REF!</definedName>
    <definedName name="iiiiii" localSheetId="11">#REF!</definedName>
    <definedName name="iiiiii" localSheetId="12">#REF!</definedName>
    <definedName name="iiiiii" localSheetId="16">#REF!</definedName>
    <definedName name="iiiiii" localSheetId="0">#REF!</definedName>
    <definedName name="iiiiii">#REF!</definedName>
    <definedName name="jjj" localSheetId="1">#REF!</definedName>
    <definedName name="jjj" localSheetId="2">#REF!</definedName>
    <definedName name="jjj" localSheetId="3">#REF!</definedName>
    <definedName name="jjj" localSheetId="4">#REF!</definedName>
    <definedName name="jjj" localSheetId="11">#REF!</definedName>
    <definedName name="jjj" localSheetId="12">#REF!</definedName>
    <definedName name="jjj" localSheetId="16">#REF!</definedName>
    <definedName name="jjj" localSheetId="0">#REF!</definedName>
    <definedName name="jjj">#REF!</definedName>
    <definedName name="kkkk" localSheetId="1">#REF!</definedName>
    <definedName name="kkkk" localSheetId="2">#REF!</definedName>
    <definedName name="kkkk" localSheetId="3">#REF!</definedName>
    <definedName name="kkkk" localSheetId="4">#REF!</definedName>
    <definedName name="kkkk" localSheetId="11">#REF!</definedName>
    <definedName name="kkkk" localSheetId="12">#REF!</definedName>
    <definedName name="kkkk" localSheetId="16">#REF!</definedName>
    <definedName name="kkkk" localSheetId="0">#REF!</definedName>
    <definedName name="kkkk">#REF!</definedName>
    <definedName name="koltseg_k" localSheetId="1">#REF!</definedName>
    <definedName name="koltseg_k" localSheetId="2">#REF!</definedName>
    <definedName name="koltseg_k" localSheetId="3">#REF!</definedName>
    <definedName name="koltseg_k" localSheetId="4">#REF!</definedName>
    <definedName name="koltseg_k" localSheetId="13">#REF!</definedName>
    <definedName name="koltseg_k" localSheetId="5">#REF!</definedName>
    <definedName name="koltseg_k" localSheetId="6">#REF!</definedName>
    <definedName name="koltseg_k" localSheetId="7">#REF!</definedName>
    <definedName name="koltseg_k" localSheetId="8">#REF!</definedName>
    <definedName name="koltseg_k" localSheetId="9">#REF!</definedName>
    <definedName name="koltseg_k" localSheetId="10">#REF!</definedName>
    <definedName name="koltseg_k" localSheetId="11">#REF!</definedName>
    <definedName name="koltseg_k" localSheetId="12">#REF!</definedName>
    <definedName name="koltseg_k" localSheetId="14">#REF!</definedName>
    <definedName name="koltseg_k" localSheetId="16">#REF!</definedName>
    <definedName name="koltseg_k" localSheetId="17">#REF!</definedName>
    <definedName name="koltseg_k" localSheetId="0">#REF!</definedName>
    <definedName name="koltseg_k">#REF!</definedName>
    <definedName name="Koltseg_kat" localSheetId="1">#REF!</definedName>
    <definedName name="Koltseg_kat" localSheetId="2">#REF!</definedName>
    <definedName name="Koltseg_kat" localSheetId="3">#REF!</definedName>
    <definedName name="Koltseg_kat" localSheetId="4">#REF!</definedName>
    <definedName name="Koltseg_kat" localSheetId="13">#REF!</definedName>
    <definedName name="Koltseg_kat" localSheetId="5">#REF!</definedName>
    <definedName name="Koltseg_kat" localSheetId="6">#REF!</definedName>
    <definedName name="Koltseg_kat" localSheetId="7">#REF!</definedName>
    <definedName name="Koltseg_kat" localSheetId="8">#REF!</definedName>
    <definedName name="Koltseg_kat" localSheetId="9">#REF!</definedName>
    <definedName name="Koltseg_kat" localSheetId="10">#REF!</definedName>
    <definedName name="Koltseg_kat" localSheetId="11">#REF!</definedName>
    <definedName name="Koltseg_kat" localSheetId="12">#REF!</definedName>
    <definedName name="Koltseg_kat" localSheetId="14">#REF!</definedName>
    <definedName name="Koltseg_kat" localSheetId="16">#REF!</definedName>
    <definedName name="Koltseg_kat" localSheetId="17">#REF!</definedName>
    <definedName name="Koltseg_kat" localSheetId="0">#REF!</definedName>
    <definedName name="Koltseg_kat">#REF!</definedName>
    <definedName name="_xlnm.Print_Titles" localSheetId="1">'1.1 sz. Önkormányzat 2017.'!$A:$C</definedName>
    <definedName name="_xlnm.Print_Titles" localSheetId="2">'1.2 sz Önkormányzat 2017.'!$A:$C</definedName>
    <definedName name="_xlnm.Print_Titles" localSheetId="3">'1.3 sz.Önkormányzat 2017.B'!$A:$C</definedName>
    <definedName name="_xlnm.Print_Titles" localSheetId="23">'12.sz.mell. Létszámtábla'!$2:$2</definedName>
    <definedName name="_xlnm.Print_Titles" localSheetId="4">'2.1. sz. PMH'!$A:$C</definedName>
    <definedName name="_xlnm.Print_Titles" localSheetId="5">'2.2. sz. Hétszínvirág Óvoda'!$A:$C</definedName>
    <definedName name="_xlnm.Print_Titles" localSheetId="6">'2.3. sz. Mese Óvoda'!$A:$C</definedName>
    <definedName name="_xlnm.Print_Titles" localSheetId="8">'2.5. sz. Gyermekjóléti'!$A:$C</definedName>
    <definedName name="_xlnm.Print_Titles" localSheetId="9">'2.6 sz. Területi'!$A:$C</definedName>
    <definedName name="_xlnm.Print_Titles" localSheetId="10">'2.7. sz. Könyvtár'!$A:$C</definedName>
    <definedName name="_xlnm.Print_Titles" localSheetId="11">'2.8. sz. Műv.Ház'!$A:$C</definedName>
    <definedName name="_xlnm.Print_Titles" localSheetId="12">'2.9. sz. Szivárvány Ó.'!$A:$C</definedName>
    <definedName name="_xlnm.Print_Titles" localSheetId="14">'3. sz.Városi szintű összesen'!$A:$C,'3. sz.Városi szintű összesen'!$1:$6</definedName>
    <definedName name="_xlnm.Print_Titles" localSheetId="15">'4.sz.Felhalm.c.pe.átadás'!$A:$D</definedName>
    <definedName name="_xlnm.Print_Titles" localSheetId="16">'5.sz.Műk.c.pe.átadás '!$3:$4</definedName>
    <definedName name="_xlnm.Print_Titles" localSheetId="17">'6.sz. Beruházások'!$1:$6</definedName>
    <definedName name="_xlnm.Print_Titles" localSheetId="18">'7. sz. Felújítások'!$4:$6</definedName>
    <definedName name="_xlnm.Print_Area" localSheetId="1">'1.1 sz. Önkormányzat 2017.'!$A$1:$FL$48</definedName>
    <definedName name="_xlnm.Print_Area" localSheetId="2">'1.2 sz Önkormányzat 2017.'!$A$1:$GO$48</definedName>
    <definedName name="_xlnm.Print_Area" localSheetId="3">'1.3 sz.Önkormányzat 2017.B'!$A$1:$BZ$48</definedName>
    <definedName name="_xlnm.Print_Area" localSheetId="21">'10.sz.Intézményfinanszírozás'!$A$1:$J$15</definedName>
    <definedName name="_xlnm.Print_Area" localSheetId="22">'11.sz. Normatíva '!$A$1:$H$96</definedName>
    <definedName name="_xlnm.Print_Area" localSheetId="23">'12.sz.mell. Létszámtábla'!$A$1:$J$56</definedName>
    <definedName name="_xlnm.Print_Area" localSheetId="4">'2.1. sz. PMH'!$A$1:$AG$49</definedName>
    <definedName name="_xlnm.Print_Area" localSheetId="13">'2.10. sz. Intézmények összesen'!$A$1:$O$48</definedName>
    <definedName name="_xlnm.Print_Area" localSheetId="5">'2.2. sz. Hétszínvirág Óvoda'!$A$1:$X$49</definedName>
    <definedName name="_xlnm.Print_Area" localSheetId="6">'2.3. sz. Mese Óvoda'!$A$1:$R$49</definedName>
    <definedName name="_xlnm.Print_Area" localSheetId="7">'2.4. sz. Bölcsőde'!$A$1:$R$49</definedName>
    <definedName name="_xlnm.Print_Area" localSheetId="8">'2.5. sz. Gyermekjóléti'!$A$1:$AD$49</definedName>
    <definedName name="_xlnm.Print_Area" localSheetId="9">'2.6 sz. Területi'!$A$1:$BK$49</definedName>
    <definedName name="_xlnm.Print_Area" localSheetId="10">'2.7. sz. Könyvtár'!$A$1:$AD$49</definedName>
    <definedName name="_xlnm.Print_Area" localSheetId="11">'2.8. sz. Műv.Ház'!$A$1:$U$49</definedName>
    <definedName name="_xlnm.Print_Area" localSheetId="12">'2.9. sz. Szivárvány Ó.'!$A$1:$R$49</definedName>
    <definedName name="_xlnm.Print_Area" localSheetId="14">'3. sz.Városi szintű összesen'!$A$1:$R$49</definedName>
    <definedName name="_xlnm.Print_Area" localSheetId="15">'4.sz.Felhalm.c.pe.átadás'!$A$1:$AH$21</definedName>
    <definedName name="_xlnm.Print_Area" localSheetId="16">'5.sz.Műk.c.pe.átadás '!$A$1:$M$167</definedName>
    <definedName name="_xlnm.Print_Area" localSheetId="17">'6.sz. Beruházások'!$A$1:$AC$124</definedName>
    <definedName name="_xlnm.Print_Area" localSheetId="18">'7. sz. Felújítások'!$A$1:$Z$29</definedName>
    <definedName name="_xlnm.Print_Area" localSheetId="19">'8.sz.Tartalékok'!$A$1:$H$75</definedName>
    <definedName name="_xlnm.Print_Area" localSheetId="20">'9.sz. Szociális'!$A$1:$I$27</definedName>
    <definedName name="_xlnm.Print_Area" localSheetId="0">'I. táblák előlap'!$A$1:$E$27</definedName>
    <definedName name="oooooooooooo" localSheetId="1">#REF!</definedName>
    <definedName name="oooooooooooo" localSheetId="2">#REF!</definedName>
    <definedName name="oooooooooooo" localSheetId="3">#REF!</definedName>
    <definedName name="oooooooooooo" localSheetId="4">#REF!</definedName>
    <definedName name="oooooooooooo" localSheetId="13">#REF!</definedName>
    <definedName name="oooooooooooo" localSheetId="5">#REF!</definedName>
    <definedName name="oooooooooooo" localSheetId="6">#REF!</definedName>
    <definedName name="oooooooooooo" localSheetId="7">#REF!</definedName>
    <definedName name="oooooooooooo" localSheetId="8">#REF!</definedName>
    <definedName name="oooooooooooo" localSheetId="9">#REF!</definedName>
    <definedName name="oooooooooooo" localSheetId="10">#REF!</definedName>
    <definedName name="oooooooooooo" localSheetId="11">#REF!</definedName>
    <definedName name="oooooooooooo" localSheetId="12">#REF!</definedName>
    <definedName name="oooooooooooo" localSheetId="16">#REF!</definedName>
    <definedName name="oooooooooooo" localSheetId="0">#REF!</definedName>
    <definedName name="oooooooooooo">#REF!</definedName>
    <definedName name="pppppp" localSheetId="1">#REF!</definedName>
    <definedName name="pppppp" localSheetId="2">#REF!</definedName>
    <definedName name="pppppp" localSheetId="3">#REF!</definedName>
    <definedName name="pppppp" localSheetId="4">#REF!</definedName>
    <definedName name="pppppp" localSheetId="13">#REF!</definedName>
    <definedName name="pppppp" localSheetId="5">#REF!</definedName>
    <definedName name="pppppp" localSheetId="6">#REF!</definedName>
    <definedName name="pppppp" localSheetId="7">#REF!</definedName>
    <definedName name="pppppp" localSheetId="8">#REF!</definedName>
    <definedName name="pppppp" localSheetId="9">#REF!</definedName>
    <definedName name="pppppp" localSheetId="10">#REF!</definedName>
    <definedName name="pppppp" localSheetId="11">#REF!</definedName>
    <definedName name="pppppp" localSheetId="12">#REF!</definedName>
    <definedName name="pppppp" localSheetId="16">#REF!</definedName>
    <definedName name="pppppp" localSheetId="0">#REF!</definedName>
    <definedName name="pppppp">#REF!</definedName>
    <definedName name="qqqqq" localSheetId="1">#REF!</definedName>
    <definedName name="qqqqq" localSheetId="2">#REF!</definedName>
    <definedName name="qqqqq" localSheetId="3">#REF!</definedName>
    <definedName name="qqqqq" localSheetId="4">#REF!</definedName>
    <definedName name="qqqqq" localSheetId="13">#REF!</definedName>
    <definedName name="qqqqq" localSheetId="5">#REF!</definedName>
    <definedName name="qqqqq" localSheetId="6">#REF!</definedName>
    <definedName name="qqqqq" localSheetId="7">#REF!</definedName>
    <definedName name="qqqqq" localSheetId="8">#REF!</definedName>
    <definedName name="qqqqq" localSheetId="9">#REF!</definedName>
    <definedName name="qqqqq" localSheetId="10">#REF!</definedName>
    <definedName name="qqqqq" localSheetId="11">#REF!</definedName>
    <definedName name="qqqqq" localSheetId="12">#REF!</definedName>
    <definedName name="qqqqq" localSheetId="16">#REF!</definedName>
    <definedName name="qqqqq" localSheetId="0">#REF!</definedName>
    <definedName name="qqqqq">#REF!</definedName>
    <definedName name="rrrrrrrrrrr" localSheetId="1">#REF!</definedName>
    <definedName name="rrrrrrrrrrr" localSheetId="2">#REF!</definedName>
    <definedName name="rrrrrrrrrrr" localSheetId="3">#REF!</definedName>
    <definedName name="rrrrrrrrrrr" localSheetId="4">#REF!</definedName>
    <definedName name="rrrrrrrrrrr" localSheetId="11">#REF!</definedName>
    <definedName name="rrrrrrrrrrr" localSheetId="12">#REF!</definedName>
    <definedName name="rrrrrrrrrrr" localSheetId="16">#REF!</definedName>
    <definedName name="rrrrrrrrrrr" localSheetId="0">#REF!</definedName>
    <definedName name="rrrrrrrrrrr">#REF!</definedName>
    <definedName name="Szamviteli_kat" localSheetId="1">#REF!</definedName>
    <definedName name="Szamviteli_kat" localSheetId="2">#REF!</definedName>
    <definedName name="Szamviteli_kat" localSheetId="3">#REF!</definedName>
    <definedName name="Szamviteli_kat" localSheetId="4">#REF!</definedName>
    <definedName name="Szamviteli_kat" localSheetId="13">#REF!</definedName>
    <definedName name="Szamviteli_kat" localSheetId="5">#REF!</definedName>
    <definedName name="Szamviteli_kat" localSheetId="6">#REF!</definedName>
    <definedName name="Szamviteli_kat" localSheetId="7">#REF!</definedName>
    <definedName name="Szamviteli_kat" localSheetId="8">#REF!</definedName>
    <definedName name="Szamviteli_kat" localSheetId="9">#REF!</definedName>
    <definedName name="Szamviteli_kat" localSheetId="10">#REF!</definedName>
    <definedName name="Szamviteli_kat" localSheetId="11">#REF!</definedName>
    <definedName name="Szamviteli_kat" localSheetId="12">#REF!</definedName>
    <definedName name="Szamviteli_kat" localSheetId="14">#REF!</definedName>
    <definedName name="Szamviteli_kat" localSheetId="16">#REF!</definedName>
    <definedName name="Szamviteli_kat" localSheetId="17">#REF!</definedName>
    <definedName name="Szamviteli_kat" localSheetId="0">#REF!</definedName>
    <definedName name="Szamviteli_ka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12" l="1"/>
  <c r="O50" i="12"/>
  <c r="O46" i="12"/>
  <c r="AE21" i="2"/>
  <c r="AE5" i="2"/>
  <c r="AE20" i="2"/>
  <c r="J169" i="24"/>
  <c r="BB27" i="13"/>
  <c r="BB26" i="13"/>
  <c r="BB20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B53" i="13"/>
  <c r="BC53" i="13"/>
  <c r="BD53" i="13"/>
  <c r="BE53" i="13"/>
  <c r="BF53" i="13"/>
  <c r="BG53" i="13"/>
  <c r="BH53" i="13"/>
  <c r="BI53" i="13"/>
  <c r="BJ53" i="13"/>
  <c r="BK53" i="13"/>
  <c r="BL53" i="13"/>
  <c r="BM53" i="13"/>
  <c r="BN53" i="13"/>
  <c r="BO53" i="13"/>
  <c r="BP53" i="13"/>
  <c r="BQ53" i="13"/>
  <c r="BR53" i="13"/>
  <c r="BS53" i="13"/>
  <c r="BT53" i="13"/>
  <c r="BU53" i="13"/>
  <c r="BV53" i="13"/>
  <c r="BW53" i="13"/>
  <c r="BX53" i="13"/>
  <c r="BY53" i="13"/>
  <c r="BZ53" i="13"/>
  <c r="CA53" i="13"/>
  <c r="CB53" i="13"/>
  <c r="CC53" i="13"/>
  <c r="CD53" i="13"/>
  <c r="CE53" i="13"/>
  <c r="CF53" i="13"/>
  <c r="CG53" i="13"/>
  <c r="CH53" i="13"/>
  <c r="CI53" i="13"/>
  <c r="CJ53" i="13"/>
  <c r="CK53" i="13"/>
  <c r="CL53" i="13"/>
  <c r="CM53" i="13"/>
  <c r="CN53" i="13"/>
  <c r="CO53" i="13"/>
  <c r="CP53" i="13"/>
  <c r="CQ53" i="13"/>
  <c r="CR53" i="13"/>
  <c r="CS53" i="13"/>
  <c r="CT53" i="13"/>
  <c r="CU53" i="13"/>
  <c r="CV53" i="13"/>
  <c r="CW53" i="13"/>
  <c r="CX53" i="13"/>
  <c r="CY53" i="13"/>
  <c r="CZ53" i="13"/>
  <c r="DA53" i="13"/>
  <c r="DB53" i="13"/>
  <c r="DC53" i="13"/>
  <c r="DD53" i="13"/>
  <c r="DE53" i="13"/>
  <c r="DF53" i="13"/>
  <c r="DG53" i="13"/>
  <c r="DH53" i="13"/>
  <c r="DI53" i="13"/>
  <c r="DJ53" i="13"/>
  <c r="DK53" i="13"/>
  <c r="DL53" i="13"/>
  <c r="DM53" i="13"/>
  <c r="DN53" i="13"/>
  <c r="DO53" i="13"/>
  <c r="DP53" i="13"/>
  <c r="DQ53" i="13"/>
  <c r="DR53" i="13"/>
  <c r="DS53" i="13"/>
  <c r="DT53" i="13"/>
  <c r="DU53" i="13"/>
  <c r="DV53" i="13"/>
  <c r="DW53" i="13"/>
  <c r="DX53" i="13"/>
  <c r="DY53" i="13"/>
  <c r="DZ53" i="13"/>
  <c r="EA53" i="13"/>
  <c r="EB53" i="13"/>
  <c r="EC53" i="13"/>
  <c r="ED53" i="13"/>
  <c r="EE53" i="13"/>
  <c r="EF53" i="13"/>
  <c r="EG53" i="13"/>
  <c r="EH53" i="13"/>
  <c r="EI53" i="13"/>
  <c r="EJ53" i="13"/>
  <c r="EK53" i="13"/>
  <c r="EL53" i="13"/>
  <c r="EM53" i="13"/>
  <c r="EN53" i="13"/>
  <c r="EO53" i="13"/>
  <c r="EP53" i="13"/>
  <c r="EQ53" i="13"/>
  <c r="ER53" i="13"/>
  <c r="ES53" i="13"/>
  <c r="ET53" i="13"/>
  <c r="EU53" i="13"/>
  <c r="EV53" i="13"/>
  <c r="EW53" i="13"/>
  <c r="EX53" i="13"/>
  <c r="EY53" i="13"/>
  <c r="EZ53" i="13"/>
  <c r="FA53" i="13"/>
  <c r="FB53" i="13"/>
  <c r="FC53" i="13"/>
  <c r="FD53" i="13"/>
  <c r="FE53" i="13"/>
  <c r="FF53" i="13"/>
  <c r="FG53" i="13"/>
  <c r="FH53" i="13"/>
  <c r="FI53" i="13"/>
  <c r="FJ53" i="13"/>
  <c r="FK53" i="13"/>
  <c r="FL53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C54" i="13"/>
  <c r="BD54" i="13"/>
  <c r="BE54" i="13"/>
  <c r="BF54" i="13"/>
  <c r="BG54" i="13"/>
  <c r="BH54" i="13"/>
  <c r="BI54" i="13"/>
  <c r="BJ54" i="13"/>
  <c r="BK54" i="13"/>
  <c r="BL54" i="13"/>
  <c r="BM54" i="13"/>
  <c r="BN54" i="13"/>
  <c r="BO54" i="13"/>
  <c r="BP54" i="13"/>
  <c r="BQ54" i="13"/>
  <c r="BR54" i="13"/>
  <c r="BS54" i="13"/>
  <c r="BT54" i="13"/>
  <c r="BU54" i="13"/>
  <c r="BV54" i="13"/>
  <c r="BW54" i="13"/>
  <c r="BX54" i="13"/>
  <c r="BY54" i="13"/>
  <c r="BZ54" i="13"/>
  <c r="CA54" i="13"/>
  <c r="CB54" i="13"/>
  <c r="CC54" i="13"/>
  <c r="CD54" i="13"/>
  <c r="CE54" i="13"/>
  <c r="CF54" i="13"/>
  <c r="CG54" i="13"/>
  <c r="CH54" i="13"/>
  <c r="CI54" i="13"/>
  <c r="CJ54" i="13"/>
  <c r="CK54" i="13"/>
  <c r="CL54" i="13"/>
  <c r="CM54" i="13"/>
  <c r="CN54" i="13"/>
  <c r="CO54" i="13"/>
  <c r="CP54" i="13"/>
  <c r="CQ54" i="13"/>
  <c r="CR54" i="13"/>
  <c r="CS54" i="13"/>
  <c r="CT54" i="13"/>
  <c r="CU54" i="13"/>
  <c r="CV54" i="13"/>
  <c r="CW54" i="13"/>
  <c r="CX54" i="13"/>
  <c r="CY54" i="13"/>
  <c r="CZ54" i="13"/>
  <c r="DA54" i="13"/>
  <c r="DB54" i="13"/>
  <c r="DC54" i="13"/>
  <c r="DD54" i="13"/>
  <c r="DE54" i="13"/>
  <c r="DF54" i="13"/>
  <c r="DG54" i="13"/>
  <c r="DH54" i="13"/>
  <c r="DI54" i="13"/>
  <c r="DJ54" i="13"/>
  <c r="DK54" i="13"/>
  <c r="DL54" i="13"/>
  <c r="DM54" i="13"/>
  <c r="DN54" i="13"/>
  <c r="DO54" i="13"/>
  <c r="DP54" i="13"/>
  <c r="DQ54" i="13"/>
  <c r="DR54" i="13"/>
  <c r="DS54" i="13"/>
  <c r="DT54" i="13"/>
  <c r="DU54" i="13"/>
  <c r="DV54" i="13"/>
  <c r="DW54" i="13"/>
  <c r="DX54" i="13"/>
  <c r="DY54" i="13"/>
  <c r="DZ54" i="13"/>
  <c r="EA54" i="13"/>
  <c r="EB54" i="13"/>
  <c r="EC54" i="13"/>
  <c r="ED54" i="13"/>
  <c r="EE54" i="13"/>
  <c r="EF54" i="13"/>
  <c r="EG54" i="13"/>
  <c r="EH54" i="13"/>
  <c r="EI54" i="13"/>
  <c r="EJ54" i="13"/>
  <c r="EK54" i="13"/>
  <c r="EL54" i="13"/>
  <c r="EM54" i="13"/>
  <c r="EN54" i="13"/>
  <c r="EO54" i="13"/>
  <c r="EP54" i="13"/>
  <c r="EQ54" i="13"/>
  <c r="ER54" i="13"/>
  <c r="ES54" i="13"/>
  <c r="ET54" i="13"/>
  <c r="EU54" i="13"/>
  <c r="EV54" i="13"/>
  <c r="EW54" i="13"/>
  <c r="EX54" i="13"/>
  <c r="EY54" i="13"/>
  <c r="EZ54" i="13"/>
  <c r="FA54" i="13"/>
  <c r="FB54" i="13"/>
  <c r="FC54" i="13"/>
  <c r="FD54" i="13"/>
  <c r="FE54" i="13"/>
  <c r="FF54" i="13"/>
  <c r="FG54" i="13"/>
  <c r="FH54" i="13"/>
  <c r="FI54" i="13"/>
  <c r="FJ54" i="13"/>
  <c r="FK54" i="13"/>
  <c r="FL54" i="13"/>
  <c r="D54" i="13"/>
  <c r="D53" i="13"/>
  <c r="GP57" i="14"/>
  <c r="GM56" i="14"/>
  <c r="GN56" i="14"/>
  <c r="GO56" i="14"/>
  <c r="GM57" i="14"/>
  <c r="GN57" i="14"/>
  <c r="GO57" i="14"/>
  <c r="E56" i="14"/>
  <c r="F56" i="14"/>
  <c r="G56" i="14"/>
  <c r="G57" i="14" s="1"/>
  <c r="H56" i="14"/>
  <c r="H57" i="14" s="1"/>
  <c r="I56" i="14"/>
  <c r="J56" i="14"/>
  <c r="K56" i="14"/>
  <c r="K57" i="14" s="1"/>
  <c r="L56" i="14"/>
  <c r="L57" i="14" s="1"/>
  <c r="M56" i="14"/>
  <c r="N56" i="14"/>
  <c r="O56" i="14"/>
  <c r="O57" i="14" s="1"/>
  <c r="P56" i="14"/>
  <c r="P57" i="14" s="1"/>
  <c r="Q56" i="14"/>
  <c r="R56" i="14"/>
  <c r="S56" i="14"/>
  <c r="S57" i="14" s="1"/>
  <c r="T56" i="14"/>
  <c r="T57" i="14" s="1"/>
  <c r="U56" i="14"/>
  <c r="V56" i="14"/>
  <c r="W56" i="14"/>
  <c r="W57" i="14" s="1"/>
  <c r="X56" i="14"/>
  <c r="X57" i="14" s="1"/>
  <c r="Y56" i="14"/>
  <c r="Z56" i="14"/>
  <c r="AA56" i="14"/>
  <c r="AA57" i="14" s="1"/>
  <c r="AB56" i="14"/>
  <c r="AB57" i="14" s="1"/>
  <c r="AC56" i="14"/>
  <c r="AD56" i="14"/>
  <c r="AE56" i="14"/>
  <c r="AE57" i="14" s="1"/>
  <c r="AF56" i="14"/>
  <c r="AF57" i="14" s="1"/>
  <c r="AG56" i="14"/>
  <c r="AH56" i="14"/>
  <c r="AI56" i="14"/>
  <c r="AI57" i="14" s="1"/>
  <c r="AJ56" i="14"/>
  <c r="AJ57" i="14" s="1"/>
  <c r="AK56" i="14"/>
  <c r="AL56" i="14"/>
  <c r="AM56" i="14"/>
  <c r="AM57" i="14" s="1"/>
  <c r="AN56" i="14"/>
  <c r="AN57" i="14" s="1"/>
  <c r="AO56" i="14"/>
  <c r="AP56" i="14"/>
  <c r="AQ56" i="14"/>
  <c r="AQ57" i="14" s="1"/>
  <c r="AR56" i="14"/>
  <c r="AR57" i="14" s="1"/>
  <c r="AS56" i="14"/>
  <c r="AT56" i="14"/>
  <c r="AU56" i="14"/>
  <c r="AU57" i="14" s="1"/>
  <c r="AV56" i="14"/>
  <c r="AV57" i="14" s="1"/>
  <c r="AW56" i="14"/>
  <c r="AX56" i="14"/>
  <c r="AY56" i="14"/>
  <c r="AY57" i="14" s="1"/>
  <c r="AZ56" i="14"/>
  <c r="AZ57" i="14" s="1"/>
  <c r="BA56" i="14"/>
  <c r="BB56" i="14"/>
  <c r="BC56" i="14"/>
  <c r="BC57" i="14" s="1"/>
  <c r="BD56" i="14"/>
  <c r="BD57" i="14" s="1"/>
  <c r="BE56" i="14"/>
  <c r="BF56" i="14"/>
  <c r="BG56" i="14"/>
  <c r="BG57" i="14" s="1"/>
  <c r="BH56" i="14"/>
  <c r="BH57" i="14" s="1"/>
  <c r="BI56" i="14"/>
  <c r="BJ56" i="14"/>
  <c r="BK56" i="14"/>
  <c r="BK57" i="14" s="1"/>
  <c r="BL56" i="14"/>
  <c r="BL57" i="14" s="1"/>
  <c r="BM56" i="14"/>
  <c r="BN56" i="14"/>
  <c r="BO56" i="14"/>
  <c r="BO57" i="14" s="1"/>
  <c r="BP56" i="14"/>
  <c r="BP57" i="14" s="1"/>
  <c r="BQ56" i="14"/>
  <c r="BR56" i="14"/>
  <c r="BS56" i="14"/>
  <c r="BS57" i="14" s="1"/>
  <c r="BT56" i="14"/>
  <c r="BT57" i="14" s="1"/>
  <c r="BU56" i="14"/>
  <c r="BV56" i="14"/>
  <c r="BW56" i="14"/>
  <c r="BW57" i="14" s="1"/>
  <c r="BX56" i="14"/>
  <c r="BX57" i="14" s="1"/>
  <c r="BY56" i="14"/>
  <c r="BZ56" i="14"/>
  <c r="CA56" i="14"/>
  <c r="CA57" i="14" s="1"/>
  <c r="CB56" i="14"/>
  <c r="CB57" i="14" s="1"/>
  <c r="CC56" i="14"/>
  <c r="CD56" i="14"/>
  <c r="CE56" i="14"/>
  <c r="CE57" i="14" s="1"/>
  <c r="CF56" i="14"/>
  <c r="CF57" i="14" s="1"/>
  <c r="CG56" i="14"/>
  <c r="CH56" i="14"/>
  <c r="CI56" i="14"/>
  <c r="CI57" i="14" s="1"/>
  <c r="CJ56" i="14"/>
  <c r="CJ57" i="14" s="1"/>
  <c r="CK56" i="14"/>
  <c r="CL56" i="14"/>
  <c r="CM56" i="14"/>
  <c r="CM57" i="14" s="1"/>
  <c r="CN56" i="14"/>
  <c r="CN57" i="14" s="1"/>
  <c r="CO56" i="14"/>
  <c r="CP56" i="14"/>
  <c r="CQ56" i="14"/>
  <c r="CQ57" i="14" s="1"/>
  <c r="CR56" i="14"/>
  <c r="CR57" i="14" s="1"/>
  <c r="CS56" i="14"/>
  <c r="CT56" i="14"/>
  <c r="CU56" i="14"/>
  <c r="CU57" i="14" s="1"/>
  <c r="CV56" i="14"/>
  <c r="CV57" i="14" s="1"/>
  <c r="CW56" i="14"/>
  <c r="CX56" i="14"/>
  <c r="CY56" i="14"/>
  <c r="CY57" i="14" s="1"/>
  <c r="CZ56" i="14"/>
  <c r="CZ57" i="14" s="1"/>
  <c r="DA56" i="14"/>
  <c r="DB56" i="14"/>
  <c r="DC56" i="14"/>
  <c r="DC57" i="14" s="1"/>
  <c r="DD56" i="14"/>
  <c r="DD57" i="14" s="1"/>
  <c r="DE56" i="14"/>
  <c r="DF56" i="14"/>
  <c r="DG56" i="14"/>
  <c r="DG57" i="14" s="1"/>
  <c r="DH56" i="14"/>
  <c r="DH57" i="14" s="1"/>
  <c r="DI56" i="14"/>
  <c r="DJ56" i="14"/>
  <c r="DK56" i="14"/>
  <c r="DK57" i="14" s="1"/>
  <c r="DL56" i="14"/>
  <c r="DL57" i="14" s="1"/>
  <c r="DM56" i="14"/>
  <c r="DN56" i="14"/>
  <c r="DO56" i="14"/>
  <c r="DO57" i="14" s="1"/>
  <c r="DP56" i="14"/>
  <c r="DP57" i="14" s="1"/>
  <c r="DQ56" i="14"/>
  <c r="DR56" i="14"/>
  <c r="DS56" i="14"/>
  <c r="DS57" i="14" s="1"/>
  <c r="DT56" i="14"/>
  <c r="DT57" i="14" s="1"/>
  <c r="DU56" i="14"/>
  <c r="DV56" i="14"/>
  <c r="DW56" i="14"/>
  <c r="DW57" i="14" s="1"/>
  <c r="DX56" i="14"/>
  <c r="DX57" i="14" s="1"/>
  <c r="DY56" i="14"/>
  <c r="DZ56" i="14"/>
  <c r="EA56" i="14"/>
  <c r="EA57" i="14" s="1"/>
  <c r="EB56" i="14"/>
  <c r="EB57" i="14" s="1"/>
  <c r="EC56" i="14"/>
  <c r="ED56" i="14"/>
  <c r="EE56" i="14"/>
  <c r="EE57" i="14" s="1"/>
  <c r="EF56" i="14"/>
  <c r="EF57" i="14" s="1"/>
  <c r="EG56" i="14"/>
  <c r="EH56" i="14"/>
  <c r="EI56" i="14"/>
  <c r="EI57" i="14" s="1"/>
  <c r="EJ56" i="14"/>
  <c r="EJ57" i="14" s="1"/>
  <c r="EK56" i="14"/>
  <c r="EL56" i="14"/>
  <c r="EM56" i="14"/>
  <c r="EM57" i="14" s="1"/>
  <c r="EN56" i="14"/>
  <c r="EN57" i="14" s="1"/>
  <c r="EO56" i="14"/>
  <c r="EP56" i="14"/>
  <c r="EQ56" i="14"/>
  <c r="EQ57" i="14" s="1"/>
  <c r="ER56" i="14"/>
  <c r="ER57" i="14" s="1"/>
  <c r="ES56" i="14"/>
  <c r="ET56" i="14"/>
  <c r="EU56" i="14"/>
  <c r="EU57" i="14" s="1"/>
  <c r="EV56" i="14"/>
  <c r="EV57" i="14" s="1"/>
  <c r="EW56" i="14"/>
  <c r="EX56" i="14"/>
  <c r="EY56" i="14"/>
  <c r="EY57" i="14" s="1"/>
  <c r="EZ56" i="14"/>
  <c r="EZ57" i="14" s="1"/>
  <c r="FA56" i="14"/>
  <c r="FB56" i="14"/>
  <c r="FC56" i="14"/>
  <c r="FC57" i="14" s="1"/>
  <c r="FD56" i="14"/>
  <c r="FD57" i="14" s="1"/>
  <c r="FE56" i="14"/>
  <c r="FF56" i="14"/>
  <c r="FG56" i="14"/>
  <c r="FG57" i="14" s="1"/>
  <c r="FH56" i="14"/>
  <c r="FI56" i="14"/>
  <c r="FJ56" i="14"/>
  <c r="FK56" i="14"/>
  <c r="FK57" i="14" s="1"/>
  <c r="FL56" i="14"/>
  <c r="FL57" i="14" s="1"/>
  <c r="FM56" i="14"/>
  <c r="FN56" i="14"/>
  <c r="FO56" i="14"/>
  <c r="FO57" i="14" s="1"/>
  <c r="FP56" i="14"/>
  <c r="FP57" i="14" s="1"/>
  <c r="FQ56" i="14"/>
  <c r="FR56" i="14"/>
  <c r="FS56" i="14"/>
  <c r="FS57" i="14" s="1"/>
  <c r="FT56" i="14"/>
  <c r="FT57" i="14" s="1"/>
  <c r="FU56" i="14"/>
  <c r="FV56" i="14"/>
  <c r="FW56" i="14"/>
  <c r="FW57" i="14" s="1"/>
  <c r="FX56" i="14"/>
  <c r="FY56" i="14"/>
  <c r="FZ56" i="14"/>
  <c r="GA56" i="14"/>
  <c r="GA57" i="14" s="1"/>
  <c r="GB56" i="14"/>
  <c r="GB57" i="14" s="1"/>
  <c r="GC56" i="14"/>
  <c r="GD56" i="14"/>
  <c r="GE56" i="14"/>
  <c r="GE57" i="14" s="1"/>
  <c r="GF56" i="14"/>
  <c r="GF57" i="14" s="1"/>
  <c r="GG56" i="14"/>
  <c r="GH56" i="14"/>
  <c r="GI56" i="14"/>
  <c r="GI57" i="14" s="1"/>
  <c r="GJ56" i="14"/>
  <c r="GJ57" i="14" s="1"/>
  <c r="GK56" i="14"/>
  <c r="GL56" i="14"/>
  <c r="E57" i="14"/>
  <c r="F57" i="14"/>
  <c r="I57" i="14"/>
  <c r="J57" i="14"/>
  <c r="M57" i="14"/>
  <c r="N57" i="14"/>
  <c r="Q57" i="14"/>
  <c r="R57" i="14"/>
  <c r="U57" i="14"/>
  <c r="V57" i="14"/>
  <c r="Y57" i="14"/>
  <c r="Z57" i="14"/>
  <c r="AC57" i="14"/>
  <c r="AD57" i="14"/>
  <c r="AG57" i="14"/>
  <c r="AH57" i="14"/>
  <c r="AK57" i="14"/>
  <c r="AL57" i="14"/>
  <c r="AO57" i="14"/>
  <c r="AP57" i="14"/>
  <c r="AS57" i="14"/>
  <c r="AT57" i="14"/>
  <c r="AW57" i="14"/>
  <c r="AX57" i="14"/>
  <c r="BA57" i="14"/>
  <c r="BB57" i="14"/>
  <c r="BE57" i="14"/>
  <c r="BF57" i="14"/>
  <c r="BI57" i="14"/>
  <c r="BJ57" i="14"/>
  <c r="BM57" i="14"/>
  <c r="BN57" i="14"/>
  <c r="BQ57" i="14"/>
  <c r="BR57" i="14"/>
  <c r="BU57" i="14"/>
  <c r="BV57" i="14"/>
  <c r="BY57" i="14"/>
  <c r="BZ57" i="14"/>
  <c r="CC57" i="14"/>
  <c r="CD57" i="14"/>
  <c r="CG57" i="14"/>
  <c r="CH57" i="14"/>
  <c r="CK57" i="14"/>
  <c r="CL57" i="14"/>
  <c r="CO57" i="14"/>
  <c r="CP57" i="14"/>
  <c r="CS57" i="14"/>
  <c r="CT57" i="14"/>
  <c r="CW57" i="14"/>
  <c r="CX57" i="14"/>
  <c r="DA57" i="14"/>
  <c r="DB57" i="14"/>
  <c r="DE57" i="14"/>
  <c r="DF57" i="14"/>
  <c r="DI57" i="14"/>
  <c r="DJ57" i="14"/>
  <c r="DM57" i="14"/>
  <c r="DN57" i="14"/>
  <c r="DQ57" i="14"/>
  <c r="DR57" i="14"/>
  <c r="DU57" i="14"/>
  <c r="DV57" i="14"/>
  <c r="DY57" i="14"/>
  <c r="DZ57" i="14"/>
  <c r="EC57" i="14"/>
  <c r="ED57" i="14"/>
  <c r="EG57" i="14"/>
  <c r="EH57" i="14"/>
  <c r="EK57" i="14"/>
  <c r="EL57" i="14"/>
  <c r="EO57" i="14"/>
  <c r="EP57" i="14"/>
  <c r="ES57" i="14"/>
  <c r="ET57" i="14"/>
  <c r="EW57" i="14"/>
  <c r="EX57" i="14"/>
  <c r="FA57" i="14"/>
  <c r="FB57" i="14"/>
  <c r="FE57" i="14"/>
  <c r="FF57" i="14"/>
  <c r="FH57" i="14"/>
  <c r="FI57" i="14"/>
  <c r="FJ57" i="14"/>
  <c r="FM57" i="14"/>
  <c r="FN57" i="14"/>
  <c r="FQ57" i="14"/>
  <c r="FR57" i="14"/>
  <c r="FU57" i="14"/>
  <c r="FV57" i="14"/>
  <c r="FX57" i="14"/>
  <c r="FY57" i="14"/>
  <c r="FZ57" i="14"/>
  <c r="GC57" i="14"/>
  <c r="GD57" i="14"/>
  <c r="GG57" i="14"/>
  <c r="GH57" i="14"/>
  <c r="GK57" i="14"/>
  <c r="GL57" i="14"/>
  <c r="D57" i="14"/>
  <c r="D56" i="14"/>
  <c r="E54" i="15"/>
  <c r="E55" i="15" s="1"/>
  <c r="F54" i="15"/>
  <c r="G54" i="15"/>
  <c r="H54" i="15"/>
  <c r="H55" i="15" s="1"/>
  <c r="I54" i="15"/>
  <c r="I55" i="15" s="1"/>
  <c r="J54" i="15"/>
  <c r="K54" i="15"/>
  <c r="L54" i="15"/>
  <c r="L55" i="15" s="1"/>
  <c r="M54" i="15"/>
  <c r="M55" i="15" s="1"/>
  <c r="N54" i="15"/>
  <c r="O54" i="15"/>
  <c r="P54" i="15"/>
  <c r="P55" i="15" s="1"/>
  <c r="Q54" i="15"/>
  <c r="Q55" i="15" s="1"/>
  <c r="R54" i="15"/>
  <c r="S54" i="15"/>
  <c r="T54" i="15"/>
  <c r="T55" i="15" s="1"/>
  <c r="U54" i="15"/>
  <c r="U55" i="15" s="1"/>
  <c r="V54" i="15"/>
  <c r="W54" i="15"/>
  <c r="X54" i="15"/>
  <c r="X55" i="15" s="1"/>
  <c r="Y54" i="15"/>
  <c r="Y55" i="15" s="1"/>
  <c r="Z54" i="15"/>
  <c r="AA54" i="15"/>
  <c r="AB54" i="15"/>
  <c r="AB55" i="15" s="1"/>
  <c r="AC54" i="15"/>
  <c r="AC55" i="15" s="1"/>
  <c r="AD54" i="15"/>
  <c r="AE54" i="15"/>
  <c r="AF54" i="15"/>
  <c r="AF55" i="15" s="1"/>
  <c r="AG54" i="15"/>
  <c r="AG55" i="15" s="1"/>
  <c r="AH54" i="15"/>
  <c r="AI54" i="15"/>
  <c r="AJ54" i="15"/>
  <c r="AJ55" i="15" s="1"/>
  <c r="AK54" i="15"/>
  <c r="AK55" i="15" s="1"/>
  <c r="AL54" i="15"/>
  <c r="AM54" i="15"/>
  <c r="AN54" i="15"/>
  <c r="AN55" i="15" s="1"/>
  <c r="AO54" i="15"/>
  <c r="AO55" i="15" s="1"/>
  <c r="AP54" i="15"/>
  <c r="AQ54" i="15"/>
  <c r="AR54" i="15"/>
  <c r="AR55" i="15" s="1"/>
  <c r="AS54" i="15"/>
  <c r="AS55" i="15" s="1"/>
  <c r="AT54" i="15"/>
  <c r="AU54" i="15"/>
  <c r="AV54" i="15"/>
  <c r="AV55" i="15" s="1"/>
  <c r="AW54" i="15"/>
  <c r="AW55" i="15" s="1"/>
  <c r="AX54" i="15"/>
  <c r="AY54" i="15"/>
  <c r="AZ54" i="15"/>
  <c r="AZ55" i="15" s="1"/>
  <c r="BA54" i="15"/>
  <c r="BA55" i="15" s="1"/>
  <c r="BB54" i="15"/>
  <c r="BC54" i="15"/>
  <c r="BD54" i="15"/>
  <c r="BD55" i="15" s="1"/>
  <c r="BE54" i="15"/>
  <c r="BE55" i="15" s="1"/>
  <c r="BF54" i="15"/>
  <c r="BG54" i="15"/>
  <c r="BH54" i="15"/>
  <c r="BH55" i="15" s="1"/>
  <c r="BI54" i="15"/>
  <c r="BI55" i="15" s="1"/>
  <c r="BJ54" i="15"/>
  <c r="BK54" i="15"/>
  <c r="F55" i="15"/>
  <c r="G55" i="15"/>
  <c r="J55" i="15"/>
  <c r="K55" i="15"/>
  <c r="N55" i="15"/>
  <c r="O55" i="15"/>
  <c r="R55" i="15"/>
  <c r="S55" i="15"/>
  <c r="V55" i="15"/>
  <c r="W55" i="15"/>
  <c r="Z55" i="15"/>
  <c r="AA55" i="15"/>
  <c r="AD55" i="15"/>
  <c r="AE55" i="15"/>
  <c r="AH55" i="15"/>
  <c r="AI55" i="15"/>
  <c r="AL55" i="15"/>
  <c r="AM55" i="15"/>
  <c r="AP55" i="15"/>
  <c r="AQ55" i="15"/>
  <c r="AT55" i="15"/>
  <c r="AU55" i="15"/>
  <c r="AX55" i="15"/>
  <c r="AY55" i="15"/>
  <c r="BB55" i="15"/>
  <c r="BC55" i="15"/>
  <c r="BF55" i="15"/>
  <c r="BG55" i="15"/>
  <c r="BJ55" i="15"/>
  <c r="BK55" i="15"/>
  <c r="D55" i="15"/>
  <c r="D54" i="15"/>
  <c r="BP53" i="15"/>
  <c r="F54" i="12"/>
  <c r="F53" i="12"/>
  <c r="F47" i="17"/>
  <c r="F50" i="17" s="1"/>
  <c r="X45" i="17"/>
  <c r="X52" i="17"/>
  <c r="AG52" i="16"/>
  <c r="O51" i="23"/>
  <c r="Q20" i="23"/>
  <c r="N49" i="23"/>
  <c r="F50" i="12"/>
  <c r="L51" i="12"/>
  <c r="L50" i="12"/>
  <c r="I51" i="12"/>
  <c r="I50" i="12"/>
  <c r="Q54" i="12"/>
  <c r="P54" i="12"/>
  <c r="T46" i="12" l="1"/>
  <c r="T28" i="12"/>
  <c r="G15" i="10" l="1"/>
  <c r="H15" i="10"/>
  <c r="R10" i="12" l="1"/>
  <c r="R11" i="12"/>
  <c r="R12" i="12"/>
  <c r="R13" i="12"/>
  <c r="R14" i="12"/>
  <c r="R15" i="12"/>
  <c r="R16" i="12"/>
  <c r="R17" i="12"/>
  <c r="R19" i="12"/>
  <c r="R22" i="12"/>
  <c r="R23" i="12"/>
  <c r="R24" i="12"/>
  <c r="R25" i="12"/>
  <c r="R29" i="12"/>
  <c r="R30" i="12"/>
  <c r="R31" i="12"/>
  <c r="R32" i="12"/>
  <c r="R33" i="12"/>
  <c r="R34" i="12"/>
  <c r="R35" i="12"/>
  <c r="R38" i="12"/>
  <c r="R39" i="12"/>
  <c r="R40" i="12"/>
  <c r="R41" i="12"/>
  <c r="R42" i="12"/>
  <c r="R43" i="12"/>
  <c r="R47" i="12"/>
  <c r="R48" i="12"/>
  <c r="R9" i="12"/>
  <c r="I21" i="20" l="1"/>
  <c r="F38" i="20"/>
  <c r="F47" i="20" s="1"/>
  <c r="G121" i="4" l="1"/>
  <c r="R37" i="26"/>
  <c r="R45" i="26" s="1"/>
  <c r="R47" i="26" s="1"/>
  <c r="AC47" i="16" l="1"/>
  <c r="AC46" i="16"/>
  <c r="AC45" i="16"/>
  <c r="N47" i="16"/>
  <c r="N46" i="16"/>
  <c r="N45" i="16"/>
  <c r="K47" i="16"/>
  <c r="K46" i="16"/>
  <c r="K45" i="16"/>
  <c r="E47" i="16"/>
  <c r="E46" i="16"/>
  <c r="E45" i="16"/>
  <c r="AF45" i="16" s="1"/>
  <c r="T47" i="17"/>
  <c r="W47" i="17" s="1"/>
  <c r="T45" i="17"/>
  <c r="E46" i="17"/>
  <c r="W46" i="17" s="1"/>
  <c r="E45" i="17"/>
  <c r="Q46" i="18"/>
  <c r="H47" i="18"/>
  <c r="Q47" i="18" s="1"/>
  <c r="H45" i="18"/>
  <c r="Q45" i="18" s="1"/>
  <c r="AC46" i="20"/>
  <c r="Z47" i="20"/>
  <c r="Z45" i="20"/>
  <c r="T47" i="20"/>
  <c r="T45" i="20"/>
  <c r="H47" i="20"/>
  <c r="AC47" i="20" s="1"/>
  <c r="H45" i="20"/>
  <c r="AC45" i="20" s="1"/>
  <c r="BJ46" i="21"/>
  <c r="BG47" i="21"/>
  <c r="BG45" i="21"/>
  <c r="AX47" i="21"/>
  <c r="AX45" i="21"/>
  <c r="AU47" i="21"/>
  <c r="AU45" i="21"/>
  <c r="AO47" i="21"/>
  <c r="AO45" i="21"/>
  <c r="AL47" i="21"/>
  <c r="AL45" i="21"/>
  <c r="AI47" i="21"/>
  <c r="AI45" i="21"/>
  <c r="T47" i="21"/>
  <c r="T45" i="21"/>
  <c r="Q47" i="21"/>
  <c r="Q45" i="21"/>
  <c r="N47" i="21"/>
  <c r="N45" i="21"/>
  <c r="K47" i="21"/>
  <c r="K45" i="21"/>
  <c r="H47" i="21"/>
  <c r="H45" i="21"/>
  <c r="H29" i="21"/>
  <c r="BJ29" i="21" s="1"/>
  <c r="H28" i="21"/>
  <c r="BJ28" i="21" s="1"/>
  <c r="H27" i="21"/>
  <c r="BJ27" i="21" s="1"/>
  <c r="E47" i="21"/>
  <c r="BJ47" i="21" s="1"/>
  <c r="E45" i="21"/>
  <c r="AF46" i="16" l="1"/>
  <c r="AF47" i="16"/>
  <c r="BJ45" i="21"/>
  <c r="W45" i="17"/>
  <c r="X7" i="4"/>
  <c r="Y7" i="4"/>
  <c r="Z7" i="4"/>
  <c r="AA7" i="4"/>
  <c r="F7" i="4"/>
  <c r="H7" i="4"/>
  <c r="J7" i="4"/>
  <c r="K7" i="4"/>
  <c r="L7" i="4"/>
  <c r="M7" i="4"/>
  <c r="N7" i="4"/>
  <c r="P7" i="4"/>
  <c r="Q7" i="4"/>
  <c r="R7" i="4"/>
  <c r="S7" i="4"/>
  <c r="T7" i="4"/>
  <c r="U7" i="4"/>
  <c r="V7" i="4"/>
  <c r="E7" i="4"/>
  <c r="H51" i="4"/>
  <c r="J51" i="4"/>
  <c r="K51" i="4"/>
  <c r="L51" i="4"/>
  <c r="M51" i="4"/>
  <c r="N51" i="4"/>
  <c r="P51" i="4"/>
  <c r="Q51" i="4"/>
  <c r="S51" i="4"/>
  <c r="T51" i="4"/>
  <c r="U51" i="4"/>
  <c r="V51" i="4"/>
  <c r="W83" i="4"/>
  <c r="W82" i="4"/>
  <c r="W81" i="4"/>
  <c r="W80" i="4"/>
  <c r="W79" i="4"/>
  <c r="W72" i="4"/>
  <c r="W39" i="4"/>
  <c r="W38" i="4"/>
  <c r="H10" i="4"/>
  <c r="J10" i="4"/>
  <c r="K10" i="4"/>
  <c r="L10" i="4"/>
  <c r="M10" i="4"/>
  <c r="N10" i="4"/>
  <c r="P10" i="4"/>
  <c r="Q10" i="4"/>
  <c r="S10" i="4"/>
  <c r="T10" i="4"/>
  <c r="U10" i="4"/>
  <c r="V10" i="4"/>
  <c r="F10" i="4"/>
  <c r="W25" i="4"/>
  <c r="W23" i="4"/>
  <c r="W22" i="4"/>
  <c r="AB9" i="4"/>
  <c r="AB7" i="4" s="1"/>
  <c r="W9" i="4"/>
  <c r="W7" i="4" s="1"/>
  <c r="O9" i="4"/>
  <c r="O7" i="4" s="1"/>
  <c r="I9" i="4"/>
  <c r="I7" i="4" s="1"/>
  <c r="G9" i="4"/>
  <c r="G7" i="4" s="1"/>
  <c r="H69" i="11"/>
  <c r="G9" i="7" l="1"/>
  <c r="G6" i="7" s="1"/>
  <c r="J84" i="24"/>
  <c r="AE15" i="2" l="1"/>
  <c r="AE7" i="2"/>
  <c r="AE8" i="2"/>
  <c r="AE9" i="2"/>
  <c r="AE11" i="2"/>
  <c r="AE12" i="2"/>
  <c r="AE13" i="2"/>
  <c r="AE14" i="2"/>
  <c r="AE16" i="2"/>
  <c r="AE17" i="2"/>
  <c r="O21" i="2"/>
  <c r="N5" i="2"/>
  <c r="N21" i="2" s="1"/>
  <c r="O5" i="2"/>
  <c r="P5" i="2"/>
  <c r="P21" i="2" s="1"/>
  <c r="G6" i="2"/>
  <c r="AE6" i="2" s="1"/>
  <c r="J23" i="24"/>
  <c r="J10" i="24"/>
  <c r="G163" i="24"/>
  <c r="G164" i="24"/>
  <c r="I15" i="8"/>
  <c r="M7" i="8"/>
  <c r="M8" i="8"/>
  <c r="M9" i="8"/>
  <c r="M10" i="8"/>
  <c r="M11" i="8"/>
  <c r="M12" i="8"/>
  <c r="M13" i="8"/>
  <c r="M14" i="8"/>
  <c r="M6" i="8"/>
  <c r="G24" i="5"/>
  <c r="G25" i="5"/>
  <c r="G26" i="5"/>
  <c r="G39" i="4" l="1"/>
  <c r="G38" i="4"/>
  <c r="G72" i="4"/>
  <c r="G22" i="4"/>
  <c r="G23" i="4"/>
  <c r="G24" i="4"/>
  <c r="G25" i="4"/>
  <c r="G79" i="4"/>
  <c r="G80" i="4"/>
  <c r="G81" i="4"/>
  <c r="G82" i="4"/>
  <c r="G83" i="4"/>
  <c r="G13" i="5"/>
  <c r="G36" i="4"/>
  <c r="BB27" i="14"/>
  <c r="BB26" i="14"/>
  <c r="BB21" i="14"/>
  <c r="BB20" i="14"/>
  <c r="EH27" i="13"/>
  <c r="GT9" i="14"/>
  <c r="GT10" i="14"/>
  <c r="GT11" i="14"/>
  <c r="GT14" i="14"/>
  <c r="GT15" i="14"/>
  <c r="GT16" i="14"/>
  <c r="GT17" i="14"/>
  <c r="GT19" i="14"/>
  <c r="GT22" i="14"/>
  <c r="GT23" i="14"/>
  <c r="GT24" i="14"/>
  <c r="GT25" i="14"/>
  <c r="GT29" i="14"/>
  <c r="GT30" i="14"/>
  <c r="GT31" i="14"/>
  <c r="GT32" i="14"/>
  <c r="GT33" i="14"/>
  <c r="GT34" i="14"/>
  <c r="GT35" i="14"/>
  <c r="GT38" i="14"/>
  <c r="GT39" i="14"/>
  <c r="GT40" i="14"/>
  <c r="GT41" i="14"/>
  <c r="GT42" i="14"/>
  <c r="GT43" i="14"/>
  <c r="GT47" i="14"/>
  <c r="GT8" i="14"/>
  <c r="GP9" i="14"/>
  <c r="GP10" i="14"/>
  <c r="GP11" i="14"/>
  <c r="GP13" i="14"/>
  <c r="GP14" i="14"/>
  <c r="GP15" i="14"/>
  <c r="GP16" i="14"/>
  <c r="GP17" i="14"/>
  <c r="GP19" i="14"/>
  <c r="GP22" i="14"/>
  <c r="GP23" i="14"/>
  <c r="GP24" i="14"/>
  <c r="GP25" i="14"/>
  <c r="GP29" i="14"/>
  <c r="GP30" i="14"/>
  <c r="GP31" i="14"/>
  <c r="GP32" i="14"/>
  <c r="GP33" i="14"/>
  <c r="GP34" i="14"/>
  <c r="GP35" i="14"/>
  <c r="GP38" i="14"/>
  <c r="GP39" i="14"/>
  <c r="GP40" i="14"/>
  <c r="GP41" i="14"/>
  <c r="GP42" i="14"/>
  <c r="GP43" i="14"/>
  <c r="GP47" i="14"/>
  <c r="GP48" i="14"/>
  <c r="GP8" i="14"/>
  <c r="GM45" i="14"/>
  <c r="GN45" i="14"/>
  <c r="GO45" i="14"/>
  <c r="GM44" i="14"/>
  <c r="GN44" i="14"/>
  <c r="GO44" i="14"/>
  <c r="GM37" i="14"/>
  <c r="GN37" i="14"/>
  <c r="GO37" i="14"/>
  <c r="GM36" i="14"/>
  <c r="GN36" i="14"/>
  <c r="GO36" i="14"/>
  <c r="GM27" i="14"/>
  <c r="GN27" i="14"/>
  <c r="GO27" i="14"/>
  <c r="GM26" i="14"/>
  <c r="GN26" i="14"/>
  <c r="GO26" i="14"/>
  <c r="GN28" i="14" l="1"/>
  <c r="GM28" i="14"/>
  <c r="BB28" i="14"/>
  <c r="GO28" i="14"/>
  <c r="GM21" i="14"/>
  <c r="GN21" i="14"/>
  <c r="GO21" i="14"/>
  <c r="GM20" i="14"/>
  <c r="GN20" i="14"/>
  <c r="GO20" i="14"/>
  <c r="GJ45" i="14"/>
  <c r="GK45" i="14"/>
  <c r="GL45" i="14"/>
  <c r="GJ44" i="14"/>
  <c r="GK44" i="14"/>
  <c r="GL44" i="14"/>
  <c r="GJ37" i="14"/>
  <c r="GK37" i="14"/>
  <c r="GL37" i="14"/>
  <c r="GJ36" i="14"/>
  <c r="GK36" i="14"/>
  <c r="GL36" i="14"/>
  <c r="GJ27" i="14"/>
  <c r="GK27" i="14"/>
  <c r="GL27" i="14"/>
  <c r="GJ26" i="14"/>
  <c r="GK26" i="14"/>
  <c r="GL26" i="14"/>
  <c r="GJ21" i="14"/>
  <c r="GK21" i="14"/>
  <c r="GL21" i="14"/>
  <c r="GJ20" i="14"/>
  <c r="GK20" i="14"/>
  <c r="GL20" i="14"/>
  <c r="GG45" i="14"/>
  <c r="GH45" i="14"/>
  <c r="GI45" i="14"/>
  <c r="GG44" i="14"/>
  <c r="GH44" i="14"/>
  <c r="GI44" i="14"/>
  <c r="GG37" i="14"/>
  <c r="GH37" i="14"/>
  <c r="GI37" i="14"/>
  <c r="GG36" i="14"/>
  <c r="GH36" i="14"/>
  <c r="GI36" i="14"/>
  <c r="GG27" i="14"/>
  <c r="GH27" i="14"/>
  <c r="GI27" i="14"/>
  <c r="GG26" i="14"/>
  <c r="GH26" i="14"/>
  <c r="GI26" i="14"/>
  <c r="GG21" i="14"/>
  <c r="GH21" i="14"/>
  <c r="GI21" i="14"/>
  <c r="GG20" i="14"/>
  <c r="GH20" i="14"/>
  <c r="GI20" i="14"/>
  <c r="GD45" i="14"/>
  <c r="GE45" i="14"/>
  <c r="GF45" i="14"/>
  <c r="GD44" i="14"/>
  <c r="GE44" i="14"/>
  <c r="GF44" i="14"/>
  <c r="GD37" i="14"/>
  <c r="GE37" i="14"/>
  <c r="GF37" i="14"/>
  <c r="GD36" i="14"/>
  <c r="GE36" i="14"/>
  <c r="GF36" i="14"/>
  <c r="GD27" i="14"/>
  <c r="GE27" i="14"/>
  <c r="GF27" i="14"/>
  <c r="GD26" i="14"/>
  <c r="GE26" i="14"/>
  <c r="GF26" i="14"/>
  <c r="FZ21" i="14"/>
  <c r="GA21" i="14"/>
  <c r="GB21" i="14"/>
  <c r="GC21" i="14"/>
  <c r="GD21" i="14"/>
  <c r="GE21" i="14"/>
  <c r="GF21" i="14"/>
  <c r="GD20" i="14"/>
  <c r="GE20" i="14"/>
  <c r="GF20" i="14"/>
  <c r="BH44" i="14"/>
  <c r="BH46" i="14" s="1"/>
  <c r="BH36" i="14"/>
  <c r="BE37" i="14"/>
  <c r="BE45" i="14"/>
  <c r="BE44" i="14"/>
  <c r="BE36" i="14"/>
  <c r="GF46" i="14" l="1"/>
  <c r="GI28" i="14"/>
  <c r="GL28" i="14"/>
  <c r="GL46" i="14"/>
  <c r="GJ28" i="14"/>
  <c r="BE46" i="14"/>
  <c r="GK46" i="14"/>
  <c r="GE28" i="14"/>
  <c r="GJ46" i="14"/>
  <c r="GK28" i="14"/>
  <c r="GH28" i="14"/>
  <c r="GD28" i="14"/>
  <c r="GH46" i="14"/>
  <c r="GG46" i="14"/>
  <c r="GG28" i="14"/>
  <c r="GE46" i="14"/>
  <c r="GD46" i="14"/>
  <c r="GI46" i="14"/>
  <c r="GF28" i="14"/>
  <c r="I27" i="14"/>
  <c r="DJ37" i="13" l="1"/>
  <c r="DJ45" i="13"/>
  <c r="DG44" i="13"/>
  <c r="DG45" i="13"/>
  <c r="DG37" i="13"/>
  <c r="DG36" i="13"/>
  <c r="DG46" i="13" l="1"/>
  <c r="R26" i="13"/>
  <c r="R28" i="13" s="1"/>
  <c r="R20" i="13"/>
  <c r="J49" i="10"/>
  <c r="J47" i="10"/>
  <c r="J24" i="10"/>
  <c r="V10" i="2" l="1"/>
  <c r="AE10" i="2" s="1"/>
  <c r="BZ29" i="15" l="1"/>
  <c r="BZ9" i="15"/>
  <c r="BZ10" i="15"/>
  <c r="BZ11" i="15"/>
  <c r="BZ12" i="15"/>
  <c r="BZ13" i="15"/>
  <c r="BZ14" i="15"/>
  <c r="BZ15" i="15"/>
  <c r="BZ16" i="15"/>
  <c r="BZ17" i="15"/>
  <c r="BZ19" i="15"/>
  <c r="BZ22" i="15"/>
  <c r="BZ23" i="15"/>
  <c r="BZ24" i="15"/>
  <c r="BZ25" i="15"/>
  <c r="BZ30" i="15"/>
  <c r="BZ31" i="15"/>
  <c r="BZ32" i="15"/>
  <c r="BZ33" i="15"/>
  <c r="BZ34" i="15"/>
  <c r="BZ35" i="15"/>
  <c r="BZ38" i="15"/>
  <c r="BZ39" i="15"/>
  <c r="BZ40" i="15"/>
  <c r="BZ41" i="15"/>
  <c r="BZ42" i="15"/>
  <c r="BZ43" i="15"/>
  <c r="BZ47" i="15"/>
  <c r="BZ48" i="15"/>
  <c r="BZ8" i="15"/>
  <c r="R8" i="12" s="1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2" i="4"/>
  <c r="G99" i="4"/>
  <c r="G95" i="4"/>
  <c r="G96" i="4"/>
  <c r="G94" i="4"/>
  <c r="G92" i="4"/>
  <c r="G93" i="4"/>
  <c r="U54" i="14" l="1"/>
  <c r="AD54" i="14"/>
  <c r="AJ54" i="14"/>
  <c r="AM54" i="14"/>
  <c r="AP54" i="14"/>
  <c r="AS54" i="14"/>
  <c r="AV54" i="14"/>
  <c r="BB54" i="14"/>
  <c r="BE54" i="14"/>
  <c r="BH54" i="14"/>
  <c r="BK54" i="14"/>
  <c r="BN54" i="14"/>
  <c r="BQ54" i="14"/>
  <c r="BT54" i="14"/>
  <c r="BW54" i="14"/>
  <c r="BZ54" i="14"/>
  <c r="CC54" i="14"/>
  <c r="CF54" i="14"/>
  <c r="CI54" i="14"/>
  <c r="CL54" i="14"/>
  <c r="CO54" i="14"/>
  <c r="CZ54" i="14"/>
  <c r="DC54" i="14"/>
  <c r="DL54" i="14"/>
  <c r="DO54" i="14"/>
  <c r="DU54" i="14"/>
  <c r="ES54" i="14"/>
  <c r="EV54" i="14"/>
  <c r="EY54" i="14"/>
  <c r="FB54" i="14"/>
  <c r="FE54" i="14"/>
  <c r="FH54" i="14"/>
  <c r="FK54" i="14"/>
  <c r="FN54" i="14"/>
  <c r="FQ54" i="14"/>
  <c r="FT54" i="14"/>
  <c r="FW54" i="14"/>
  <c r="GR54" i="14"/>
  <c r="GU54" i="14"/>
  <c r="I50" i="15"/>
  <c r="L50" i="15"/>
  <c r="AS50" i="15"/>
  <c r="BK50" i="15"/>
  <c r="BL50" i="15"/>
  <c r="BM50" i="15"/>
  <c r="BO50" i="15"/>
  <c r="BP50" i="15"/>
  <c r="BR50" i="15"/>
  <c r="BS50" i="15"/>
  <c r="BU50" i="15"/>
  <c r="BV50" i="15"/>
  <c r="BX50" i="15"/>
  <c r="BY50" i="15"/>
  <c r="CC50" i="15"/>
  <c r="CE50" i="15"/>
  <c r="CG50" i="15"/>
  <c r="U57" i="12"/>
  <c r="U37" i="17"/>
  <c r="BT27" i="13"/>
  <c r="AI51" i="16" l="1"/>
  <c r="V51" i="16"/>
  <c r="W51" i="16"/>
  <c r="Y51" i="16"/>
  <c r="Z51" i="16"/>
  <c r="AB51" i="16"/>
  <c r="AC51" i="16"/>
  <c r="AE51" i="16"/>
  <c r="AF51" i="16"/>
  <c r="G51" i="16"/>
  <c r="H51" i="16"/>
  <c r="J51" i="16"/>
  <c r="K51" i="16"/>
  <c r="M51" i="16"/>
  <c r="N51" i="16"/>
  <c r="P51" i="16"/>
  <c r="Q51" i="16"/>
  <c r="S51" i="16"/>
  <c r="T51" i="16"/>
  <c r="F56" i="10" l="1"/>
  <c r="G24" i="10"/>
  <c r="H24" i="10"/>
  <c r="I24" i="10"/>
  <c r="E24" i="10"/>
  <c r="D24" i="10"/>
  <c r="C24" i="10"/>
  <c r="G47" i="10"/>
  <c r="H47" i="10"/>
  <c r="I47" i="10"/>
  <c r="G49" i="10"/>
  <c r="H49" i="10"/>
  <c r="I49" i="10"/>
  <c r="E49" i="10"/>
  <c r="D49" i="10"/>
  <c r="C49" i="10"/>
  <c r="E47" i="10"/>
  <c r="D47" i="10"/>
  <c r="C47" i="10"/>
  <c r="H89" i="11"/>
  <c r="H90" i="11" s="1"/>
  <c r="G10" i="5"/>
  <c r="AD122" i="4"/>
  <c r="AD121" i="4"/>
  <c r="AD119" i="4"/>
  <c r="AD98" i="4"/>
  <c r="AD97" i="4"/>
  <c r="J98" i="4"/>
  <c r="G98" i="4" s="1"/>
  <c r="J97" i="4"/>
  <c r="G97" i="4" s="1"/>
  <c r="W85" i="4"/>
  <c r="W78" i="4"/>
  <c r="W77" i="4"/>
  <c r="W76" i="4"/>
  <c r="W75" i="4"/>
  <c r="W74" i="4"/>
  <c r="W73" i="4"/>
  <c r="W71" i="4"/>
  <c r="W70" i="4"/>
  <c r="W69" i="4"/>
  <c r="W68" i="4"/>
  <c r="W67" i="4"/>
  <c r="W37" i="4"/>
  <c r="W36" i="4"/>
  <c r="W35" i="4"/>
  <c r="W34" i="4"/>
  <c r="O37" i="17" l="1"/>
  <c r="W10" i="26" l="1"/>
  <c r="W11" i="26"/>
  <c r="W12" i="26"/>
  <c r="W13" i="26"/>
  <c r="W14" i="26"/>
  <c r="W15" i="26"/>
  <c r="W16" i="26"/>
  <c r="W17" i="26"/>
  <c r="W18" i="26"/>
  <c r="W19" i="26"/>
  <c r="W20" i="26"/>
  <c r="W23" i="26"/>
  <c r="W24" i="26"/>
  <c r="W25" i="26"/>
  <c r="W26" i="26"/>
  <c r="W30" i="26"/>
  <c r="W31" i="26"/>
  <c r="W32" i="26"/>
  <c r="W33" i="26"/>
  <c r="W34" i="26"/>
  <c r="W35" i="26"/>
  <c r="W36" i="26"/>
  <c r="W37" i="26"/>
  <c r="W38" i="26"/>
  <c r="W39" i="26"/>
  <c r="W40" i="26"/>
  <c r="W41" i="26"/>
  <c r="W42" i="26"/>
  <c r="W43" i="26"/>
  <c r="W44" i="26"/>
  <c r="W45" i="26"/>
  <c r="W46" i="26"/>
  <c r="W47" i="26"/>
  <c r="W48" i="26"/>
  <c r="W49" i="26"/>
  <c r="I48" i="23" s="1"/>
  <c r="V10" i="26"/>
  <c r="V12" i="26"/>
  <c r="X12" i="26" s="1"/>
  <c r="V13" i="26"/>
  <c r="V14" i="26"/>
  <c r="V15" i="26"/>
  <c r="X15" i="26" s="1"/>
  <c r="V16" i="26"/>
  <c r="X16" i="26" s="1"/>
  <c r="V17" i="26"/>
  <c r="V18" i="26"/>
  <c r="V19" i="26"/>
  <c r="X19" i="26" s="1"/>
  <c r="V20" i="26"/>
  <c r="X20" i="26" s="1"/>
  <c r="V22" i="26"/>
  <c r="V23" i="26"/>
  <c r="V24" i="26"/>
  <c r="V25" i="26"/>
  <c r="X25" i="26" s="1"/>
  <c r="V26" i="26"/>
  <c r="V30" i="26"/>
  <c r="V31" i="26"/>
  <c r="V32" i="26"/>
  <c r="X32" i="26" s="1"/>
  <c r="V33" i="26"/>
  <c r="V34" i="26"/>
  <c r="V35" i="26"/>
  <c r="V36" i="26"/>
  <c r="X36" i="26" s="1"/>
  <c r="V39" i="26"/>
  <c r="V40" i="26"/>
  <c r="X40" i="26" s="1"/>
  <c r="V41" i="26"/>
  <c r="X41" i="26" s="1"/>
  <c r="V42" i="26"/>
  <c r="V43" i="26"/>
  <c r="V44" i="26"/>
  <c r="X44" i="26" s="1"/>
  <c r="V48" i="26"/>
  <c r="X48" i="26" s="1"/>
  <c r="V49" i="26"/>
  <c r="X49" i="26" s="1"/>
  <c r="W9" i="26"/>
  <c r="V9" i="26"/>
  <c r="X9" i="26" s="1"/>
  <c r="F46" i="27"/>
  <c r="G46" i="27"/>
  <c r="I46" i="27"/>
  <c r="J46" i="27"/>
  <c r="L46" i="27"/>
  <c r="M46" i="27"/>
  <c r="O46" i="27"/>
  <c r="F45" i="27"/>
  <c r="G45" i="27"/>
  <c r="I45" i="27"/>
  <c r="J45" i="27"/>
  <c r="L45" i="27"/>
  <c r="M45" i="27"/>
  <c r="O45" i="27"/>
  <c r="O47" i="27" s="1"/>
  <c r="F38" i="27"/>
  <c r="G38" i="27"/>
  <c r="I38" i="27"/>
  <c r="J38" i="27"/>
  <c r="L38" i="27"/>
  <c r="M38" i="27"/>
  <c r="O38" i="27"/>
  <c r="F37" i="27"/>
  <c r="G37" i="27"/>
  <c r="I37" i="27"/>
  <c r="J37" i="27"/>
  <c r="L37" i="27"/>
  <c r="M37" i="27"/>
  <c r="O37" i="27"/>
  <c r="F28" i="27"/>
  <c r="G28" i="27"/>
  <c r="I28" i="27"/>
  <c r="J28" i="27"/>
  <c r="L28" i="27"/>
  <c r="M28" i="27"/>
  <c r="O28" i="27"/>
  <c r="F27" i="27"/>
  <c r="I27" i="27"/>
  <c r="L27" i="27"/>
  <c r="O27" i="27"/>
  <c r="O29" i="27" s="1"/>
  <c r="F22" i="27"/>
  <c r="G22" i="27"/>
  <c r="I22" i="27"/>
  <c r="J22" i="27"/>
  <c r="L22" i="27"/>
  <c r="M22" i="27"/>
  <c r="O22" i="27"/>
  <c r="F21" i="27"/>
  <c r="I21" i="27"/>
  <c r="L21" i="27"/>
  <c r="O21" i="27"/>
  <c r="R10" i="27"/>
  <c r="R11" i="27"/>
  <c r="R12" i="27"/>
  <c r="R13" i="27"/>
  <c r="R14" i="27"/>
  <c r="R15" i="27"/>
  <c r="R16" i="27"/>
  <c r="R17" i="27"/>
  <c r="R18" i="27"/>
  <c r="R19" i="27"/>
  <c r="R20" i="27"/>
  <c r="R23" i="27"/>
  <c r="R24" i="27"/>
  <c r="R25" i="27"/>
  <c r="R26" i="27"/>
  <c r="R30" i="27"/>
  <c r="R31" i="27"/>
  <c r="R32" i="27"/>
  <c r="R33" i="27"/>
  <c r="R34" i="27"/>
  <c r="R35" i="27"/>
  <c r="R36" i="27"/>
  <c r="R39" i="27"/>
  <c r="R40" i="27"/>
  <c r="R41" i="27"/>
  <c r="R42" i="27"/>
  <c r="R43" i="27"/>
  <c r="R44" i="27"/>
  <c r="R48" i="27"/>
  <c r="R49" i="27"/>
  <c r="R9" i="27"/>
  <c r="J26" i="24"/>
  <c r="J6" i="24"/>
  <c r="J140" i="24"/>
  <c r="M47" i="27" l="1"/>
  <c r="X35" i="26"/>
  <c r="X24" i="26"/>
  <c r="X18" i="26"/>
  <c r="X14" i="26"/>
  <c r="G47" i="27"/>
  <c r="X31" i="26"/>
  <c r="X10" i="26"/>
  <c r="X43" i="26"/>
  <c r="X39" i="26"/>
  <c r="X33" i="26"/>
  <c r="X26" i="26"/>
  <c r="R22" i="27"/>
  <c r="F29" i="27"/>
  <c r="L47" i="27"/>
  <c r="F47" i="27"/>
  <c r="X34" i="26"/>
  <c r="X30" i="26"/>
  <c r="X23" i="26"/>
  <c r="J47" i="27"/>
  <c r="X17" i="26"/>
  <c r="X13" i="26"/>
  <c r="X42" i="26"/>
  <c r="R46" i="27"/>
  <c r="R37" i="27"/>
  <c r="R45" i="27"/>
  <c r="I47" i="27"/>
  <c r="L29" i="27"/>
  <c r="R28" i="27"/>
  <c r="R21" i="27"/>
  <c r="R27" i="27"/>
  <c r="I29" i="27"/>
  <c r="R38" i="27"/>
  <c r="G169" i="24"/>
  <c r="R29" i="27" l="1"/>
  <c r="R47" i="27"/>
  <c r="Y5" i="2"/>
  <c r="Z5" i="2"/>
  <c r="AA5" i="2"/>
  <c r="AB5" i="2"/>
  <c r="Z18" i="2"/>
  <c r="AA18" i="2"/>
  <c r="AB18" i="2"/>
  <c r="G34" i="4"/>
  <c r="G35" i="4"/>
  <c r="G37" i="4"/>
  <c r="G21" i="5"/>
  <c r="G22" i="5"/>
  <c r="G23" i="5"/>
  <c r="G27" i="5"/>
  <c r="Z21" i="2" l="1"/>
  <c r="AB21" i="2"/>
  <c r="AA21" i="2"/>
  <c r="G85" i="4"/>
  <c r="G67" i="4"/>
  <c r="G68" i="4"/>
  <c r="G69" i="4"/>
  <c r="G70" i="4"/>
  <c r="G71" i="4"/>
  <c r="G73" i="4"/>
  <c r="G74" i="4"/>
  <c r="G75" i="4"/>
  <c r="G76" i="4"/>
  <c r="G77" i="4"/>
  <c r="G78" i="4"/>
  <c r="U10" i="26"/>
  <c r="U12" i="26"/>
  <c r="U13" i="26"/>
  <c r="U14" i="26"/>
  <c r="U15" i="26"/>
  <c r="U16" i="26"/>
  <c r="U17" i="26"/>
  <c r="U18" i="26"/>
  <c r="U19" i="26"/>
  <c r="U20" i="26"/>
  <c r="U23" i="26"/>
  <c r="U24" i="26"/>
  <c r="U25" i="26"/>
  <c r="U26" i="26"/>
  <c r="U30" i="26"/>
  <c r="U31" i="26"/>
  <c r="U32" i="26"/>
  <c r="U33" i="26"/>
  <c r="U34" i="26"/>
  <c r="U35" i="26"/>
  <c r="U36" i="26"/>
  <c r="U39" i="26"/>
  <c r="U40" i="26"/>
  <c r="U41" i="26"/>
  <c r="U42" i="26"/>
  <c r="U43" i="26"/>
  <c r="U44" i="26"/>
  <c r="U48" i="26"/>
  <c r="U49" i="26"/>
  <c r="U9" i="26"/>
  <c r="O28" i="26"/>
  <c r="W28" i="26" s="1"/>
  <c r="O27" i="26"/>
  <c r="W27" i="26" s="1"/>
  <c r="O22" i="26"/>
  <c r="W22" i="26" s="1"/>
  <c r="X22" i="26" s="1"/>
  <c r="O21" i="26"/>
  <c r="W21" i="26" s="1"/>
  <c r="L46" i="26"/>
  <c r="L45" i="26"/>
  <c r="L37" i="26"/>
  <c r="L28" i="26"/>
  <c r="V11" i="26"/>
  <c r="X11" i="26" s="1"/>
  <c r="I46" i="26"/>
  <c r="I45" i="26"/>
  <c r="I38" i="26"/>
  <c r="I37" i="26"/>
  <c r="I28" i="26"/>
  <c r="I27" i="26"/>
  <c r="I21" i="26"/>
  <c r="F46" i="26"/>
  <c r="F45" i="26"/>
  <c r="F38" i="26"/>
  <c r="Q49" i="27"/>
  <c r="P49" i="27"/>
  <c r="Q48" i="27"/>
  <c r="P48" i="27"/>
  <c r="P44" i="27"/>
  <c r="N44" i="27"/>
  <c r="K44" i="27"/>
  <c r="H44" i="27"/>
  <c r="E44" i="27"/>
  <c r="N43" i="27"/>
  <c r="K43" i="27"/>
  <c r="H43" i="27"/>
  <c r="N42" i="27"/>
  <c r="K42" i="27"/>
  <c r="H42" i="27"/>
  <c r="P41" i="27"/>
  <c r="N41" i="27"/>
  <c r="K41" i="27"/>
  <c r="H41" i="27"/>
  <c r="E41" i="27"/>
  <c r="P40" i="27"/>
  <c r="N40" i="27"/>
  <c r="K40" i="27"/>
  <c r="H40" i="27"/>
  <c r="Q39" i="27"/>
  <c r="P39" i="27"/>
  <c r="D37" i="27"/>
  <c r="P37" i="27" s="1"/>
  <c r="P36" i="27"/>
  <c r="N36" i="27"/>
  <c r="K36" i="27"/>
  <c r="H36" i="27"/>
  <c r="E36" i="27"/>
  <c r="P35" i="27"/>
  <c r="N35" i="27"/>
  <c r="K35" i="27"/>
  <c r="H35" i="27"/>
  <c r="E35" i="27"/>
  <c r="P34" i="27"/>
  <c r="N34" i="27"/>
  <c r="K34" i="27"/>
  <c r="H34" i="27"/>
  <c r="E34" i="27"/>
  <c r="P33" i="27"/>
  <c r="E33" i="27"/>
  <c r="P32" i="27"/>
  <c r="N32" i="27"/>
  <c r="K32" i="27"/>
  <c r="H32" i="27"/>
  <c r="E32" i="27"/>
  <c r="P31" i="27"/>
  <c r="N31" i="27"/>
  <c r="K31" i="27"/>
  <c r="H31" i="27"/>
  <c r="E31" i="27"/>
  <c r="P30" i="27"/>
  <c r="N30" i="27"/>
  <c r="K30" i="27"/>
  <c r="H30" i="27"/>
  <c r="E30" i="27"/>
  <c r="D28" i="27"/>
  <c r="P26" i="27"/>
  <c r="N26" i="27"/>
  <c r="K26" i="27"/>
  <c r="H26" i="27"/>
  <c r="E26" i="27"/>
  <c r="P25" i="27"/>
  <c r="N25" i="27"/>
  <c r="K25" i="27"/>
  <c r="H25" i="27"/>
  <c r="E25" i="27"/>
  <c r="P24" i="27"/>
  <c r="N24" i="27"/>
  <c r="K24" i="27"/>
  <c r="H24" i="27"/>
  <c r="E24" i="27"/>
  <c r="P23" i="27"/>
  <c r="N23" i="27"/>
  <c r="K23" i="27"/>
  <c r="H23" i="27"/>
  <c r="E23" i="27"/>
  <c r="D22" i="27"/>
  <c r="P20" i="27"/>
  <c r="N20" i="27"/>
  <c r="K20" i="27"/>
  <c r="H20" i="27"/>
  <c r="E20" i="27"/>
  <c r="P19" i="27"/>
  <c r="N19" i="27"/>
  <c r="K19" i="27"/>
  <c r="H19" i="27"/>
  <c r="E19" i="27"/>
  <c r="P18" i="27"/>
  <c r="N18" i="27"/>
  <c r="K18" i="27"/>
  <c r="H18" i="27"/>
  <c r="E18" i="27"/>
  <c r="P17" i="27"/>
  <c r="N17" i="27"/>
  <c r="E17" i="27"/>
  <c r="P16" i="27"/>
  <c r="N16" i="27"/>
  <c r="K16" i="27"/>
  <c r="H16" i="27"/>
  <c r="P15" i="27"/>
  <c r="N15" i="27"/>
  <c r="K15" i="27"/>
  <c r="H15" i="27"/>
  <c r="E15" i="27"/>
  <c r="P14" i="27"/>
  <c r="N14" i="27"/>
  <c r="K14" i="27"/>
  <c r="H14" i="27"/>
  <c r="E14" i="27"/>
  <c r="M13" i="27"/>
  <c r="J13" i="27"/>
  <c r="G13" i="27"/>
  <c r="D13" i="27"/>
  <c r="D27" i="27" s="1"/>
  <c r="P12" i="27"/>
  <c r="N12" i="27"/>
  <c r="K12" i="27"/>
  <c r="H12" i="27"/>
  <c r="E12" i="27"/>
  <c r="P11" i="27"/>
  <c r="E11" i="27"/>
  <c r="P10" i="27"/>
  <c r="E10" i="27"/>
  <c r="P9" i="27"/>
  <c r="E9" i="27"/>
  <c r="Q46" i="26"/>
  <c r="P46" i="26"/>
  <c r="M46" i="26"/>
  <c r="J46" i="26"/>
  <c r="G46" i="26"/>
  <c r="Q45" i="26"/>
  <c r="P45" i="26"/>
  <c r="P47" i="26" s="1"/>
  <c r="M45" i="26"/>
  <c r="J45" i="26"/>
  <c r="G45" i="26"/>
  <c r="N44" i="26"/>
  <c r="K44" i="26"/>
  <c r="H44" i="26"/>
  <c r="E44" i="26"/>
  <c r="N43" i="26"/>
  <c r="K43" i="26"/>
  <c r="H43" i="26"/>
  <c r="N42" i="26"/>
  <c r="K42" i="26"/>
  <c r="H42" i="26"/>
  <c r="N41" i="26"/>
  <c r="K41" i="26"/>
  <c r="H41" i="26"/>
  <c r="E41" i="26"/>
  <c r="N40" i="26"/>
  <c r="K40" i="26"/>
  <c r="H40" i="26"/>
  <c r="E40" i="26"/>
  <c r="Q38" i="26"/>
  <c r="P38" i="26"/>
  <c r="M38" i="26"/>
  <c r="J38" i="26"/>
  <c r="G38" i="26"/>
  <c r="P37" i="26"/>
  <c r="M37" i="26"/>
  <c r="J37" i="26"/>
  <c r="G37" i="26"/>
  <c r="D37" i="26"/>
  <c r="N36" i="26"/>
  <c r="K36" i="26"/>
  <c r="H36" i="26"/>
  <c r="E36" i="26"/>
  <c r="N35" i="26"/>
  <c r="K35" i="26"/>
  <c r="H35" i="26"/>
  <c r="E35" i="26"/>
  <c r="N34" i="26"/>
  <c r="K34" i="26"/>
  <c r="H34" i="26"/>
  <c r="E34" i="26"/>
  <c r="N33" i="26"/>
  <c r="E33" i="26"/>
  <c r="N32" i="26"/>
  <c r="K32" i="26"/>
  <c r="E32" i="26"/>
  <c r="N31" i="26"/>
  <c r="K31" i="26"/>
  <c r="E31" i="26"/>
  <c r="N30" i="26"/>
  <c r="K30" i="26"/>
  <c r="E30" i="26"/>
  <c r="Q28" i="26"/>
  <c r="P28" i="26"/>
  <c r="M28" i="26"/>
  <c r="J28" i="26"/>
  <c r="G28" i="26"/>
  <c r="D28" i="26"/>
  <c r="N26" i="26"/>
  <c r="K26" i="26"/>
  <c r="H26" i="26"/>
  <c r="E26" i="26"/>
  <c r="N25" i="26"/>
  <c r="K25" i="26"/>
  <c r="H25" i="26"/>
  <c r="E25" i="26"/>
  <c r="N24" i="26"/>
  <c r="K24" i="26"/>
  <c r="H24" i="26"/>
  <c r="E24" i="26"/>
  <c r="N23" i="26"/>
  <c r="K23" i="26"/>
  <c r="H23" i="26"/>
  <c r="E23" i="26"/>
  <c r="Q22" i="26"/>
  <c r="P22" i="26"/>
  <c r="M22" i="26"/>
  <c r="J22" i="26"/>
  <c r="G22" i="26"/>
  <c r="D22" i="26"/>
  <c r="N20" i="26"/>
  <c r="K20" i="26"/>
  <c r="H20" i="26"/>
  <c r="E20" i="26"/>
  <c r="N19" i="26"/>
  <c r="K19" i="26"/>
  <c r="H19" i="26"/>
  <c r="E19" i="26"/>
  <c r="N18" i="26"/>
  <c r="K18" i="26"/>
  <c r="H18" i="26"/>
  <c r="E18" i="26"/>
  <c r="N17" i="26"/>
  <c r="E17" i="26"/>
  <c r="N16" i="26"/>
  <c r="K16" i="26"/>
  <c r="H16" i="26"/>
  <c r="N15" i="26"/>
  <c r="K15" i="26"/>
  <c r="H15" i="26"/>
  <c r="E15" i="26"/>
  <c r="N14" i="26"/>
  <c r="K14" i="26"/>
  <c r="H14" i="26"/>
  <c r="E14" i="26"/>
  <c r="E13" i="26" s="1"/>
  <c r="Q13" i="26"/>
  <c r="Q27" i="26" s="1"/>
  <c r="P13" i="26"/>
  <c r="P21" i="26" s="1"/>
  <c r="M13" i="26"/>
  <c r="M27" i="26" s="1"/>
  <c r="J13" i="26"/>
  <c r="J21" i="26" s="1"/>
  <c r="G13" i="26"/>
  <c r="G27" i="26" s="1"/>
  <c r="D13" i="26"/>
  <c r="D21" i="26" s="1"/>
  <c r="E12" i="26"/>
  <c r="E11" i="26"/>
  <c r="E10" i="26"/>
  <c r="E9" i="26"/>
  <c r="H88" i="4"/>
  <c r="J88" i="4"/>
  <c r="K88" i="4"/>
  <c r="M88" i="4"/>
  <c r="N88" i="4"/>
  <c r="P88" i="4"/>
  <c r="Q88" i="4"/>
  <c r="S88" i="4"/>
  <c r="T88" i="4"/>
  <c r="V88" i="4"/>
  <c r="X88" i="4"/>
  <c r="Y88" i="4"/>
  <c r="Z88" i="4"/>
  <c r="BQ38" i="15"/>
  <c r="BW38" i="15" s="1"/>
  <c r="GV32" i="14"/>
  <c r="FS32" i="13"/>
  <c r="FM32" i="13"/>
  <c r="FM16" i="13"/>
  <c r="K38" i="26" l="1"/>
  <c r="J47" i="26"/>
  <c r="K28" i="27"/>
  <c r="H46" i="27"/>
  <c r="V37" i="26"/>
  <c r="X37" i="26" s="1"/>
  <c r="V45" i="26"/>
  <c r="X45" i="26" s="1"/>
  <c r="H45" i="26"/>
  <c r="I47" i="26"/>
  <c r="H28" i="26"/>
  <c r="L47" i="26"/>
  <c r="K45" i="26"/>
  <c r="K46" i="26"/>
  <c r="K38" i="27"/>
  <c r="V28" i="26"/>
  <c r="X28" i="26" s="1"/>
  <c r="K13" i="27"/>
  <c r="Q29" i="26"/>
  <c r="K13" i="26"/>
  <c r="K27" i="26" s="1"/>
  <c r="N22" i="26"/>
  <c r="Q36" i="27"/>
  <c r="Q41" i="27"/>
  <c r="V38" i="26"/>
  <c r="X38" i="26" s="1"/>
  <c r="Q19" i="27"/>
  <c r="H22" i="27"/>
  <c r="Q24" i="27"/>
  <c r="N46" i="27"/>
  <c r="M29" i="26"/>
  <c r="E13" i="27"/>
  <c r="E21" i="27" s="1"/>
  <c r="N28" i="27"/>
  <c r="N38" i="27"/>
  <c r="V46" i="26"/>
  <c r="X46" i="26" s="1"/>
  <c r="D27" i="26"/>
  <c r="D29" i="26" s="1"/>
  <c r="H46" i="26"/>
  <c r="H47" i="26" s="1"/>
  <c r="G27" i="27"/>
  <c r="G29" i="27" s="1"/>
  <c r="G21" i="27"/>
  <c r="Q40" i="27"/>
  <c r="H38" i="27"/>
  <c r="U28" i="26"/>
  <c r="N13" i="26"/>
  <c r="N27" i="26" s="1"/>
  <c r="K28" i="26"/>
  <c r="N37" i="26"/>
  <c r="N45" i="26"/>
  <c r="N38" i="26"/>
  <c r="M47" i="26"/>
  <c r="J27" i="27"/>
  <c r="J29" i="27" s="1"/>
  <c r="J21" i="27"/>
  <c r="Q14" i="27"/>
  <c r="Q20" i="27"/>
  <c r="K22" i="27"/>
  <c r="Q22" i="27" s="1"/>
  <c r="Q25" i="27"/>
  <c r="H45" i="27"/>
  <c r="H37" i="27"/>
  <c r="O29" i="26"/>
  <c r="W29" i="26" s="1"/>
  <c r="U11" i="26"/>
  <c r="N28" i="26"/>
  <c r="H22" i="26"/>
  <c r="K22" i="26"/>
  <c r="Q12" i="27"/>
  <c r="H13" i="27"/>
  <c r="H27" i="27" s="1"/>
  <c r="Q16" i="27"/>
  <c r="E28" i="27"/>
  <c r="N22" i="27"/>
  <c r="Q26" i="27"/>
  <c r="K45" i="27"/>
  <c r="K37" i="27"/>
  <c r="Q32" i="27"/>
  <c r="Q34" i="27"/>
  <c r="L21" i="26"/>
  <c r="V21" i="26" s="1"/>
  <c r="X21" i="26" s="1"/>
  <c r="U46" i="26"/>
  <c r="U38" i="26"/>
  <c r="U22" i="26"/>
  <c r="E28" i="26"/>
  <c r="E37" i="26"/>
  <c r="N46" i="26"/>
  <c r="G47" i="26"/>
  <c r="Q47" i="26"/>
  <c r="K27" i="27"/>
  <c r="K29" i="27" s="1"/>
  <c r="M27" i="27"/>
  <c r="M29" i="27" s="1"/>
  <c r="M21" i="27"/>
  <c r="N13" i="27"/>
  <c r="N27" i="27" s="1"/>
  <c r="H28" i="27"/>
  <c r="Q18" i="27"/>
  <c r="E22" i="27"/>
  <c r="N45" i="27"/>
  <c r="N37" i="27"/>
  <c r="K46" i="27"/>
  <c r="Q35" i="27"/>
  <c r="Q44" i="27"/>
  <c r="F47" i="26"/>
  <c r="I29" i="26"/>
  <c r="L27" i="26"/>
  <c r="L29" i="26" s="1"/>
  <c r="U45" i="26"/>
  <c r="U37" i="26"/>
  <c r="P22" i="27"/>
  <c r="P28" i="27"/>
  <c r="D43" i="27" s="1"/>
  <c r="D46" i="27" s="1"/>
  <c r="P46" i="27" s="1"/>
  <c r="J27" i="26"/>
  <c r="J29" i="26" s="1"/>
  <c r="G29" i="26"/>
  <c r="P27" i="26"/>
  <c r="P29" i="26" s="1"/>
  <c r="D43" i="26"/>
  <c r="D46" i="26" s="1"/>
  <c r="D29" i="27"/>
  <c r="P13" i="27"/>
  <c r="Q23" i="27"/>
  <c r="Q31" i="27"/>
  <c r="Q15" i="27"/>
  <c r="Q30" i="27"/>
  <c r="E37" i="27"/>
  <c r="D21" i="27"/>
  <c r="E21" i="26"/>
  <c r="E22" i="26"/>
  <c r="E27" i="26"/>
  <c r="H13" i="26"/>
  <c r="H27" i="26" s="1"/>
  <c r="H29" i="26" s="1"/>
  <c r="G21" i="26"/>
  <c r="M21" i="26"/>
  <c r="H38" i="26"/>
  <c r="EN45" i="14"/>
  <c r="EO45" i="14"/>
  <c r="EP45" i="14"/>
  <c r="EN44" i="14"/>
  <c r="EO44" i="14"/>
  <c r="EP44" i="14"/>
  <c r="EN27" i="14"/>
  <c r="EO27" i="14"/>
  <c r="EP27" i="14"/>
  <c r="EN26" i="14"/>
  <c r="EO26" i="14"/>
  <c r="EP26" i="14"/>
  <c r="EN21" i="14"/>
  <c r="EO21" i="14"/>
  <c r="EP21" i="14"/>
  <c r="EN20" i="14"/>
  <c r="EO20" i="14"/>
  <c r="EP20" i="14"/>
  <c r="AY37" i="15"/>
  <c r="AY44" i="15" s="1"/>
  <c r="FZ45" i="14"/>
  <c r="GA45" i="14"/>
  <c r="GB45" i="14"/>
  <c r="GC45" i="14"/>
  <c r="FZ44" i="14"/>
  <c r="FZ46" i="14" s="1"/>
  <c r="FZ54" i="14" s="1"/>
  <c r="GA44" i="14"/>
  <c r="GA46" i="14" s="1"/>
  <c r="GA54" i="14" s="1"/>
  <c r="GB44" i="14"/>
  <c r="GC44" i="14"/>
  <c r="FZ37" i="14"/>
  <c r="GA37" i="14"/>
  <c r="GB37" i="14"/>
  <c r="GC37" i="14"/>
  <c r="FZ36" i="14"/>
  <c r="GA36" i="14"/>
  <c r="GB36" i="14"/>
  <c r="GC36" i="14"/>
  <c r="GA27" i="14"/>
  <c r="GB27" i="14"/>
  <c r="GC27" i="14"/>
  <c r="GA26" i="14"/>
  <c r="GB26" i="14"/>
  <c r="GB28" i="14" s="1"/>
  <c r="GC26" i="14"/>
  <c r="GA20" i="14"/>
  <c r="GB20" i="14"/>
  <c r="GC20" i="14"/>
  <c r="DR45" i="14"/>
  <c r="DR44" i="14"/>
  <c r="DR37" i="14"/>
  <c r="DR36" i="14"/>
  <c r="DR27" i="14"/>
  <c r="DR26" i="14"/>
  <c r="DR20" i="14"/>
  <c r="DF45" i="14"/>
  <c r="DF44" i="14"/>
  <c r="DF37" i="14"/>
  <c r="DF36" i="14"/>
  <c r="BZ27" i="14"/>
  <c r="AS26" i="14"/>
  <c r="AS28" i="14" s="1"/>
  <c r="AS20" i="14"/>
  <c r="Y44" i="14"/>
  <c r="Z44" i="14"/>
  <c r="AA44" i="14"/>
  <c r="AA46" i="14" s="1"/>
  <c r="AA54" i="14" s="1"/>
  <c r="Y36" i="14"/>
  <c r="Z36" i="14"/>
  <c r="AA36" i="14"/>
  <c r="DA27" i="13"/>
  <c r="BH27" i="13"/>
  <c r="H47" i="27" l="1"/>
  <c r="N29" i="27"/>
  <c r="K29" i="26"/>
  <c r="P29" i="27"/>
  <c r="EO46" i="14"/>
  <c r="EO54" i="14" s="1"/>
  <c r="EP28" i="14"/>
  <c r="EP46" i="14"/>
  <c r="EP54" i="14" s="1"/>
  <c r="EN28" i="14"/>
  <c r="GA28" i="14"/>
  <c r="DR28" i="14"/>
  <c r="DR46" i="14"/>
  <c r="DF46" i="14"/>
  <c r="DF54" i="14" s="1"/>
  <c r="P27" i="27"/>
  <c r="D42" i="27" s="1"/>
  <c r="P42" i="27" s="1"/>
  <c r="K47" i="26"/>
  <c r="GB46" i="14"/>
  <c r="GB54" i="14" s="1"/>
  <c r="N29" i="26"/>
  <c r="EN46" i="14"/>
  <c r="EN54" i="14" s="1"/>
  <c r="E27" i="27"/>
  <c r="Q13" i="27"/>
  <c r="N47" i="27"/>
  <c r="U21" i="26"/>
  <c r="H29" i="27"/>
  <c r="GC46" i="14"/>
  <c r="EO28" i="14"/>
  <c r="V29" i="26"/>
  <c r="X29" i="26" s="1"/>
  <c r="U29" i="26"/>
  <c r="V47" i="26"/>
  <c r="X47" i="26" s="1"/>
  <c r="U47" i="26"/>
  <c r="U27" i="26"/>
  <c r="N47" i="26"/>
  <c r="GC28" i="14"/>
  <c r="N21" i="27"/>
  <c r="K47" i="27"/>
  <c r="V27" i="26"/>
  <c r="X27" i="26" s="1"/>
  <c r="P43" i="27"/>
  <c r="D42" i="26"/>
  <c r="D45" i="26" s="1"/>
  <c r="Q37" i="27"/>
  <c r="P21" i="27"/>
  <c r="E29" i="27"/>
  <c r="E29" i="26"/>
  <c r="I140" i="24"/>
  <c r="D45" i="27" l="1"/>
  <c r="P45" i="27" s="1"/>
  <c r="DR54" i="14"/>
  <c r="D38" i="27"/>
  <c r="P38" i="27" s="1"/>
  <c r="GC54" i="14"/>
  <c r="GV43" i="14"/>
  <c r="GV45" i="14"/>
  <c r="D38" i="26"/>
  <c r="Q21" i="27"/>
  <c r="E46" i="27"/>
  <c r="Q46" i="27" s="1"/>
  <c r="D47" i="27"/>
  <c r="P47" i="27" s="1"/>
  <c r="E38" i="27"/>
  <c r="Q38" i="27" s="1"/>
  <c r="E45" i="27"/>
  <c r="D47" i="26"/>
  <c r="E46" i="26"/>
  <c r="E45" i="26"/>
  <c r="L38" i="24"/>
  <c r="K38" i="24"/>
  <c r="J38" i="24"/>
  <c r="I38" i="24"/>
  <c r="H38" i="24"/>
  <c r="F38" i="24"/>
  <c r="E38" i="24"/>
  <c r="J36" i="24"/>
  <c r="J35" i="24"/>
  <c r="I26" i="24"/>
  <c r="AM20" i="13"/>
  <c r="AM26" i="13"/>
  <c r="AM28" i="13" s="1"/>
  <c r="E47" i="27" l="1"/>
  <c r="Q47" i="27" s="1"/>
  <c r="Q45" i="27"/>
  <c r="E47" i="26"/>
  <c r="F6" i="7"/>
  <c r="E6" i="7"/>
  <c r="E51" i="6"/>
  <c r="D51" i="6"/>
  <c r="C51" i="6"/>
  <c r="D43" i="6"/>
  <c r="C43" i="6"/>
  <c r="D25" i="6"/>
  <c r="C25" i="6"/>
  <c r="E34" i="5"/>
  <c r="V45" i="4"/>
  <c r="F51" i="4"/>
  <c r="F26" i="4"/>
  <c r="K129" i="24"/>
  <c r="J129" i="24"/>
  <c r="J113" i="24"/>
  <c r="I113" i="24"/>
  <c r="J57" i="24"/>
  <c r="I57" i="24"/>
  <c r="I47" i="24"/>
  <c r="J31" i="24"/>
  <c r="I31" i="24"/>
  <c r="AC6" i="2" l="1"/>
  <c r="H123" i="4" l="1"/>
  <c r="J123" i="4"/>
  <c r="K123" i="4"/>
  <c r="M123" i="4"/>
  <c r="N123" i="4"/>
  <c r="P123" i="4"/>
  <c r="Q123" i="4"/>
  <c r="S123" i="4"/>
  <c r="T123" i="4"/>
  <c r="V123" i="4"/>
  <c r="H9" i="5"/>
  <c r="J9" i="5"/>
  <c r="J29" i="5" s="1"/>
  <c r="K9" i="5"/>
  <c r="M9" i="5"/>
  <c r="M29" i="5" s="1"/>
  <c r="N9" i="5"/>
  <c r="P9" i="5"/>
  <c r="P29" i="5" s="1"/>
  <c r="Q9" i="5"/>
  <c r="S9" i="5"/>
  <c r="S29" i="5" s="1"/>
  <c r="G12" i="5"/>
  <c r="G14" i="5"/>
  <c r="G15" i="5"/>
  <c r="G16" i="5"/>
  <c r="G17" i="5"/>
  <c r="G18" i="5"/>
  <c r="G19" i="5"/>
  <c r="G20" i="5"/>
  <c r="G28" i="5"/>
  <c r="G11" i="5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84" i="4"/>
  <c r="G86" i="4"/>
  <c r="G53" i="4"/>
  <c r="G52" i="4"/>
  <c r="G50" i="4"/>
  <c r="G49" i="4"/>
  <c r="G48" i="4"/>
  <c r="G46" i="4"/>
  <c r="G45" i="4" s="1"/>
  <c r="S45" i="4"/>
  <c r="P45" i="4"/>
  <c r="M45" i="4"/>
  <c r="J45" i="4"/>
  <c r="N26" i="4"/>
  <c r="P26" i="4"/>
  <c r="Q26" i="4"/>
  <c r="S26" i="4"/>
  <c r="T26" i="4"/>
  <c r="U26" i="4"/>
  <c r="V26" i="4"/>
  <c r="H26" i="4"/>
  <c r="J26" i="4"/>
  <c r="K26" i="4"/>
  <c r="L26" i="4"/>
  <c r="M26" i="4"/>
  <c r="G29" i="4"/>
  <c r="G30" i="4"/>
  <c r="G31" i="4"/>
  <c r="G32" i="4"/>
  <c r="G33" i="4"/>
  <c r="G40" i="4"/>
  <c r="G41" i="4"/>
  <c r="G42" i="4"/>
  <c r="G43" i="4"/>
  <c r="G44" i="4"/>
  <c r="G28" i="4"/>
  <c r="G27" i="4"/>
  <c r="G13" i="4"/>
  <c r="G14" i="4"/>
  <c r="G15" i="4"/>
  <c r="G16" i="4"/>
  <c r="G17" i="4"/>
  <c r="G18" i="4"/>
  <c r="G19" i="4"/>
  <c r="G20" i="4"/>
  <c r="G21" i="4"/>
  <c r="G12" i="4"/>
  <c r="G11" i="4"/>
  <c r="G51" i="4" l="1"/>
  <c r="G10" i="4"/>
  <c r="G33" i="5"/>
  <c r="G26" i="4"/>
  <c r="G9" i="5"/>
  <c r="G29" i="5" s="1"/>
  <c r="J53" i="10"/>
  <c r="J44" i="10"/>
  <c r="J31" i="10"/>
  <c r="J27" i="10"/>
  <c r="J19" i="10"/>
  <c r="J16" i="10"/>
  <c r="J12" i="10"/>
  <c r="J3" i="10"/>
  <c r="F15" i="8"/>
  <c r="M15" i="8" s="1"/>
  <c r="G27" i="7"/>
  <c r="Y18" i="2"/>
  <c r="V5" i="2"/>
  <c r="V21" i="2" s="1"/>
  <c r="S5" i="2"/>
  <c r="S21" i="2" s="1"/>
  <c r="M5" i="2"/>
  <c r="M21" i="2" s="1"/>
  <c r="J5" i="2"/>
  <c r="J21" i="2" s="1"/>
  <c r="G5" i="2"/>
  <c r="Y21" i="2" l="1"/>
  <c r="AE18" i="2"/>
  <c r="AK21" i="2"/>
  <c r="J56" i="10"/>
  <c r="G21" i="2"/>
  <c r="M167" i="24"/>
  <c r="K165" i="24"/>
  <c r="H165" i="24"/>
  <c r="G165" i="24"/>
  <c r="L164" i="24"/>
  <c r="I164" i="24"/>
  <c r="E164" i="24"/>
  <c r="F164" i="24" s="1"/>
  <c r="L163" i="24"/>
  <c r="I163" i="24"/>
  <c r="E163" i="24"/>
  <c r="F163" i="24" s="1"/>
  <c r="L162" i="24"/>
  <c r="I162" i="24"/>
  <c r="E162" i="24"/>
  <c r="I155" i="24"/>
  <c r="H155" i="24"/>
  <c r="E155" i="24"/>
  <c r="I151" i="24"/>
  <c r="H151" i="24"/>
  <c r="E151" i="24"/>
  <c r="I147" i="24"/>
  <c r="H147" i="24"/>
  <c r="E147" i="24"/>
  <c r="L141" i="24"/>
  <c r="L140" i="24" s="1"/>
  <c r="F141" i="24"/>
  <c r="F140" i="24" s="1"/>
  <c r="K140" i="24"/>
  <c r="H140" i="24"/>
  <c r="E140" i="24"/>
  <c r="L134" i="24"/>
  <c r="I134" i="24"/>
  <c r="F134" i="24"/>
  <c r="L133" i="24"/>
  <c r="F133" i="24"/>
  <c r="L132" i="24"/>
  <c r="F132" i="24"/>
  <c r="L131" i="24"/>
  <c r="H131" i="24"/>
  <c r="H129" i="24" s="1"/>
  <c r="F131" i="24"/>
  <c r="L130" i="24"/>
  <c r="F130" i="24"/>
  <c r="E129" i="24"/>
  <c r="L128" i="24"/>
  <c r="H128" i="24"/>
  <c r="I128" i="24" s="1"/>
  <c r="F128" i="24"/>
  <c r="L127" i="24"/>
  <c r="H127" i="24"/>
  <c r="I127" i="24" s="1"/>
  <c r="F127" i="24"/>
  <c r="K126" i="24"/>
  <c r="K135" i="24" s="1"/>
  <c r="J126" i="24"/>
  <c r="E126" i="24"/>
  <c r="I112" i="24"/>
  <c r="I111" i="24"/>
  <c r="J68" i="24"/>
  <c r="J54" i="24"/>
  <c r="I54" i="24"/>
  <c r="J47" i="24"/>
  <c r="L31" i="24"/>
  <c r="K31" i="24"/>
  <c r="H31" i="24"/>
  <c r="F31" i="24"/>
  <c r="E31" i="24"/>
  <c r="L27" i="24"/>
  <c r="L26" i="24" s="1"/>
  <c r="F27" i="24"/>
  <c r="F26" i="24" s="1"/>
  <c r="K26" i="24"/>
  <c r="H26" i="24"/>
  <c r="E26" i="24"/>
  <c r="L25" i="24"/>
  <c r="L24" i="24" s="1"/>
  <c r="I25" i="24"/>
  <c r="I24" i="24" s="1"/>
  <c r="K24" i="24"/>
  <c r="H24" i="24"/>
  <c r="G24" i="24"/>
  <c r="F24" i="24"/>
  <c r="E24" i="24"/>
  <c r="L23" i="24"/>
  <c r="L22" i="24" s="1"/>
  <c r="I23" i="24"/>
  <c r="I22" i="24" s="1"/>
  <c r="F23" i="24"/>
  <c r="F22" i="24" s="1"/>
  <c r="K22" i="24"/>
  <c r="J22" i="24"/>
  <c r="H22" i="24"/>
  <c r="E22" i="24"/>
  <c r="L20" i="24"/>
  <c r="L19" i="24" s="1"/>
  <c r="I20" i="24"/>
  <c r="I19" i="24" s="1"/>
  <c r="F20" i="24"/>
  <c r="F19" i="24" s="1"/>
  <c r="K19" i="24"/>
  <c r="H19" i="24"/>
  <c r="G19" i="24"/>
  <c r="E19" i="24"/>
  <c r="L18" i="24"/>
  <c r="L17" i="24" s="1"/>
  <c r="I17" i="24"/>
  <c r="F18" i="24"/>
  <c r="F17" i="24" s="1"/>
  <c r="K17" i="24"/>
  <c r="J17" i="24"/>
  <c r="H17" i="24"/>
  <c r="E17" i="24"/>
  <c r="L14" i="24"/>
  <c r="F14" i="24"/>
  <c r="L13" i="24"/>
  <c r="F13" i="24"/>
  <c r="L36" i="24"/>
  <c r="F36" i="24"/>
  <c r="L11" i="24"/>
  <c r="F11" i="24"/>
  <c r="L10" i="24"/>
  <c r="I10" i="24"/>
  <c r="F10" i="24"/>
  <c r="L9" i="24"/>
  <c r="H9" i="24"/>
  <c r="I9" i="24" s="1"/>
  <c r="F9" i="24"/>
  <c r="L8" i="24"/>
  <c r="I8" i="24"/>
  <c r="F8" i="24"/>
  <c r="L7" i="24"/>
  <c r="H7" i="24"/>
  <c r="F7" i="24"/>
  <c r="K6" i="24"/>
  <c r="E6" i="24"/>
  <c r="AK18" i="2" l="1"/>
  <c r="H6" i="24"/>
  <c r="I68" i="24"/>
  <c r="I121" i="24" s="1"/>
  <c r="J121" i="24"/>
  <c r="L126" i="24"/>
  <c r="F162" i="24"/>
  <c r="F165" i="24" s="1"/>
  <c r="E165" i="24"/>
  <c r="E135" i="24"/>
  <c r="F129" i="24"/>
  <c r="H126" i="24"/>
  <c r="H135" i="24" s="1"/>
  <c r="H167" i="24" s="1"/>
  <c r="F126" i="24"/>
  <c r="F6" i="24"/>
  <c r="I165" i="24"/>
  <c r="L165" i="24"/>
  <c r="L129" i="24"/>
  <c r="J135" i="24"/>
  <c r="I126" i="24"/>
  <c r="G167" i="24"/>
  <c r="I7" i="24"/>
  <c r="I6" i="24" s="1"/>
  <c r="L6" i="24"/>
  <c r="K167" i="24"/>
  <c r="I129" i="24"/>
  <c r="L135" i="24" l="1"/>
  <c r="E167" i="24"/>
  <c r="J167" i="24"/>
  <c r="M171" i="24" s="1"/>
  <c r="F135" i="24"/>
  <c r="F167" i="24" s="1"/>
  <c r="L167" i="24"/>
  <c r="I135" i="24"/>
  <c r="I167" i="24" s="1"/>
  <c r="N167" i="24"/>
  <c r="J168" i="24" l="1"/>
  <c r="L173" i="24"/>
  <c r="O167" i="24"/>
  <c r="BN48" i="21"/>
  <c r="I47" i="23" s="1"/>
  <c r="BM48" i="21"/>
  <c r="AG48" i="16"/>
  <c r="ET20" i="13"/>
  <c r="L48" i="12"/>
  <c r="I48" i="12"/>
  <c r="L38" i="23"/>
  <c r="L38" i="12" s="1"/>
  <c r="BN10" i="21"/>
  <c r="I9" i="23" s="1"/>
  <c r="BN11" i="21"/>
  <c r="I10" i="23" s="1"/>
  <c r="BN12" i="21"/>
  <c r="I11" i="23" s="1"/>
  <c r="BN14" i="21"/>
  <c r="I13" i="23" s="1"/>
  <c r="BN15" i="21"/>
  <c r="I14" i="23" s="1"/>
  <c r="BN16" i="21"/>
  <c r="I15" i="23" s="1"/>
  <c r="BN17" i="21"/>
  <c r="I16" i="23" s="1"/>
  <c r="BN18" i="21"/>
  <c r="I17" i="23" s="1"/>
  <c r="BN20" i="21"/>
  <c r="I19" i="23" s="1"/>
  <c r="BN23" i="21"/>
  <c r="I22" i="23" s="1"/>
  <c r="BN24" i="21"/>
  <c r="I23" i="23" s="1"/>
  <c r="BN25" i="21"/>
  <c r="I24" i="23" s="1"/>
  <c r="BN26" i="21"/>
  <c r="I25" i="23" s="1"/>
  <c r="BN30" i="21"/>
  <c r="I29" i="23" s="1"/>
  <c r="BN31" i="21"/>
  <c r="I30" i="23" s="1"/>
  <c r="BN32" i="21"/>
  <c r="I31" i="23" s="1"/>
  <c r="BN33" i="21"/>
  <c r="I32" i="23" s="1"/>
  <c r="BN34" i="21"/>
  <c r="I33" i="23" s="1"/>
  <c r="BN35" i="21"/>
  <c r="I34" i="23" s="1"/>
  <c r="BN36" i="21"/>
  <c r="I35" i="23" s="1"/>
  <c r="BN39" i="21"/>
  <c r="BN40" i="21"/>
  <c r="I39" i="23" s="1"/>
  <c r="BN41" i="21"/>
  <c r="I40" i="23" s="1"/>
  <c r="BN42" i="21"/>
  <c r="I41" i="23" s="1"/>
  <c r="BN43" i="21"/>
  <c r="I42" i="23" s="1"/>
  <c r="BN44" i="21"/>
  <c r="I43" i="23" s="1"/>
  <c r="BM10" i="21"/>
  <c r="BM11" i="21"/>
  <c r="BM12" i="21"/>
  <c r="BM14" i="21"/>
  <c r="BM15" i="21"/>
  <c r="BM16" i="21"/>
  <c r="BM17" i="21"/>
  <c r="BM18" i="21"/>
  <c r="BM20" i="21"/>
  <c r="BM23" i="21"/>
  <c r="BM24" i="21"/>
  <c r="BM25" i="21"/>
  <c r="BM26" i="21"/>
  <c r="BM30" i="21"/>
  <c r="BM31" i="21"/>
  <c r="BM32" i="21"/>
  <c r="BM33" i="21"/>
  <c r="BM34" i="21"/>
  <c r="BM35" i="21"/>
  <c r="BM36" i="21"/>
  <c r="BM39" i="21"/>
  <c r="BM40" i="21"/>
  <c r="BM41" i="21"/>
  <c r="BM42" i="21"/>
  <c r="BM43" i="21"/>
  <c r="BM44" i="21"/>
  <c r="BN9" i="21"/>
  <c r="I8" i="23" s="1"/>
  <c r="BM9" i="21"/>
  <c r="FF26" i="13"/>
  <c r="FF28" i="13" s="1"/>
  <c r="I38" i="23" l="1"/>
  <c r="I38" i="12" s="1"/>
  <c r="G90" i="4"/>
  <c r="G91" i="4"/>
  <c r="G89" i="4"/>
  <c r="F38" i="21"/>
  <c r="F13" i="21"/>
  <c r="AD33" i="22"/>
  <c r="I37" i="18"/>
  <c r="F38" i="18"/>
  <c r="X56" i="17"/>
  <c r="O45" i="17"/>
  <c r="O47" i="17" s="1"/>
  <c r="I37" i="17"/>
  <c r="I45" i="17" s="1"/>
  <c r="I47" i="17" s="1"/>
  <c r="F46" i="17"/>
  <c r="F45" i="17"/>
  <c r="F38" i="17" s="1"/>
  <c r="F37" i="17"/>
  <c r="AA46" i="22"/>
  <c r="X46" i="22"/>
  <c r="U46" i="22"/>
  <c r="R46" i="22"/>
  <c r="O46" i="22"/>
  <c r="L46" i="22"/>
  <c r="I46" i="22"/>
  <c r="F46" i="22"/>
  <c r="BH46" i="21"/>
  <c r="BE46" i="21"/>
  <c r="BB46" i="21"/>
  <c r="AY46" i="21"/>
  <c r="AV46" i="21"/>
  <c r="AS46" i="21"/>
  <c r="AP46" i="21"/>
  <c r="AM46" i="21"/>
  <c r="AJ46" i="21"/>
  <c r="AG46" i="21"/>
  <c r="AD46" i="21"/>
  <c r="AA46" i="21"/>
  <c r="X46" i="21"/>
  <c r="U46" i="21"/>
  <c r="R46" i="21"/>
  <c r="O46" i="21"/>
  <c r="L46" i="21"/>
  <c r="I46" i="21"/>
  <c r="F46" i="21"/>
  <c r="AD46" i="16"/>
  <c r="AA46" i="16"/>
  <c r="X46" i="16"/>
  <c r="U46" i="16"/>
  <c r="R46" i="16"/>
  <c r="O46" i="16"/>
  <c r="L46" i="16"/>
  <c r="I46" i="16"/>
  <c r="F46" i="16"/>
  <c r="BN46" i="21" l="1"/>
  <c r="I45" i="23" s="1"/>
  <c r="G88" i="4"/>
  <c r="G123" i="4" s="1"/>
  <c r="BM46" i="21"/>
  <c r="AF118" i="4"/>
  <c r="AB118" i="4"/>
  <c r="O118" i="4"/>
  <c r="L118" i="4"/>
  <c r="I118" i="4"/>
  <c r="E118" i="4"/>
  <c r="AD118" i="4" l="1"/>
  <c r="AE118" i="4" s="1"/>
  <c r="AD10" i="22"/>
  <c r="AD11" i="22"/>
  <c r="AD12" i="22"/>
  <c r="AD14" i="22"/>
  <c r="AD15" i="22"/>
  <c r="AD16" i="22"/>
  <c r="AD17" i="22"/>
  <c r="AD18" i="22"/>
  <c r="AD20" i="22"/>
  <c r="AD23" i="22"/>
  <c r="AD24" i="22"/>
  <c r="AD25" i="22"/>
  <c r="AD26" i="22"/>
  <c r="AD30" i="22"/>
  <c r="AD31" i="22"/>
  <c r="AD32" i="22"/>
  <c r="AD34" i="22"/>
  <c r="AD35" i="22"/>
  <c r="AD36" i="22"/>
  <c r="AD39" i="22"/>
  <c r="AD40" i="22"/>
  <c r="AD41" i="22"/>
  <c r="AD42" i="22"/>
  <c r="AD43" i="22"/>
  <c r="AD44" i="22"/>
  <c r="AD46" i="22"/>
  <c r="AD48" i="22"/>
  <c r="AD49" i="22"/>
  <c r="AD9" i="22"/>
  <c r="AA45" i="22"/>
  <c r="X45" i="22"/>
  <c r="U45" i="22"/>
  <c r="R45" i="22"/>
  <c r="O45" i="22"/>
  <c r="L45" i="22"/>
  <c r="I45" i="22"/>
  <c r="AA38" i="22"/>
  <c r="AA47" i="22" s="1"/>
  <c r="X38" i="22"/>
  <c r="X47" i="22" s="1"/>
  <c r="U38" i="22"/>
  <c r="U47" i="22" s="1"/>
  <c r="R38" i="22"/>
  <c r="R47" i="22" s="1"/>
  <c r="O38" i="22"/>
  <c r="O47" i="22" s="1"/>
  <c r="L38" i="22"/>
  <c r="L47" i="22" s="1"/>
  <c r="I38" i="22"/>
  <c r="I47" i="22" s="1"/>
  <c r="AA37" i="22"/>
  <c r="X37" i="22"/>
  <c r="U37" i="22"/>
  <c r="R37" i="22"/>
  <c r="O37" i="22"/>
  <c r="L37" i="22"/>
  <c r="I37" i="22"/>
  <c r="AA22" i="22"/>
  <c r="X22" i="22"/>
  <c r="U22" i="22"/>
  <c r="R22" i="22"/>
  <c r="O22" i="22"/>
  <c r="L22" i="22"/>
  <c r="I22" i="22"/>
  <c r="AA19" i="22"/>
  <c r="AA28" i="22" s="1"/>
  <c r="X19" i="22"/>
  <c r="X28" i="22" s="1"/>
  <c r="U19" i="22"/>
  <c r="U28" i="22" s="1"/>
  <c r="R19" i="22"/>
  <c r="R28" i="22" s="1"/>
  <c r="O19" i="22"/>
  <c r="O28" i="22" s="1"/>
  <c r="L19" i="22"/>
  <c r="L28" i="22" s="1"/>
  <c r="I19" i="22"/>
  <c r="I28" i="22" s="1"/>
  <c r="AA13" i="22"/>
  <c r="X13" i="22"/>
  <c r="U13" i="22"/>
  <c r="R13" i="22"/>
  <c r="R21" i="22" s="1"/>
  <c r="O13" i="22"/>
  <c r="L13" i="22"/>
  <c r="L27" i="22" s="1"/>
  <c r="I13" i="22"/>
  <c r="I27" i="22" s="1"/>
  <c r="F45" i="22"/>
  <c r="F38" i="22"/>
  <c r="F37" i="22"/>
  <c r="F22" i="22"/>
  <c r="AD22" i="22" s="1"/>
  <c r="F19" i="22"/>
  <c r="F13" i="22"/>
  <c r="BK10" i="21"/>
  <c r="BK11" i="21"/>
  <c r="BK12" i="21"/>
  <c r="BK14" i="21"/>
  <c r="BK15" i="21"/>
  <c r="BK16" i="21"/>
  <c r="BK17" i="21"/>
  <c r="BK18" i="21"/>
  <c r="BK20" i="21"/>
  <c r="BK23" i="21"/>
  <c r="BK24" i="21"/>
  <c r="BK25" i="21"/>
  <c r="BK26" i="21"/>
  <c r="BK30" i="21"/>
  <c r="BK31" i="21"/>
  <c r="BK32" i="21"/>
  <c r="BK33" i="21"/>
  <c r="BK34" i="21"/>
  <c r="BK35" i="21"/>
  <c r="BK36" i="21"/>
  <c r="BK39" i="21"/>
  <c r="BK40" i="21"/>
  <c r="BK41" i="21"/>
  <c r="BK42" i="21"/>
  <c r="BK43" i="21"/>
  <c r="BK44" i="21"/>
  <c r="BK46" i="21"/>
  <c r="BK48" i="21"/>
  <c r="BK49" i="21"/>
  <c r="BK9" i="21"/>
  <c r="AP19" i="21"/>
  <c r="AM13" i="21"/>
  <c r="AM27" i="21" s="1"/>
  <c r="AJ19" i="21"/>
  <c r="AG19" i="21"/>
  <c r="AD37" i="21"/>
  <c r="X19" i="21"/>
  <c r="U13" i="21"/>
  <c r="O19" i="21"/>
  <c r="O13" i="21"/>
  <c r="BH45" i="21"/>
  <c r="BE45" i="21"/>
  <c r="BB45" i="21"/>
  <c r="AY45" i="21"/>
  <c r="AV45" i="21"/>
  <c r="AS45" i="21"/>
  <c r="AP45" i="21"/>
  <c r="AM45" i="21"/>
  <c r="AJ45" i="21"/>
  <c r="AG45" i="21"/>
  <c r="AD45" i="21"/>
  <c r="AA45" i="21"/>
  <c r="X45" i="21"/>
  <c r="U45" i="21"/>
  <c r="R45" i="21"/>
  <c r="O45" i="21"/>
  <c r="L45" i="21"/>
  <c r="I45" i="21"/>
  <c r="BH38" i="21"/>
  <c r="BH47" i="21" s="1"/>
  <c r="BE38" i="21"/>
  <c r="BE47" i="21" s="1"/>
  <c r="BB38" i="21"/>
  <c r="BB47" i="21" s="1"/>
  <c r="AY38" i="21"/>
  <c r="AY47" i="21" s="1"/>
  <c r="AV38" i="21"/>
  <c r="AV47" i="21" s="1"/>
  <c r="AS38" i="21"/>
  <c r="AS47" i="21" s="1"/>
  <c r="AP38" i="21"/>
  <c r="AP47" i="21" s="1"/>
  <c r="AM38" i="21"/>
  <c r="AM47" i="21" s="1"/>
  <c r="AJ38" i="21"/>
  <c r="AJ47" i="21" s="1"/>
  <c r="AG38" i="21"/>
  <c r="AG47" i="21" s="1"/>
  <c r="AD38" i="21"/>
  <c r="AD47" i="21" s="1"/>
  <c r="AA38" i="21"/>
  <c r="AA47" i="21" s="1"/>
  <c r="X38" i="21"/>
  <c r="X47" i="21" s="1"/>
  <c r="U38" i="21"/>
  <c r="U47" i="21" s="1"/>
  <c r="R38" i="21"/>
  <c r="R47" i="21" s="1"/>
  <c r="O38" i="21"/>
  <c r="L38" i="21"/>
  <c r="L47" i="21" s="1"/>
  <c r="I38" i="21"/>
  <c r="BH37" i="21"/>
  <c r="BE37" i="21"/>
  <c r="BB37" i="21"/>
  <c r="AY37" i="21"/>
  <c r="AV37" i="21"/>
  <c r="AS37" i="21"/>
  <c r="AP37" i="21"/>
  <c r="AM37" i="21"/>
  <c r="AG37" i="21"/>
  <c r="AA37" i="21"/>
  <c r="X37" i="21"/>
  <c r="U37" i="21"/>
  <c r="R37" i="21"/>
  <c r="O37" i="21"/>
  <c r="L37" i="21"/>
  <c r="I37" i="21"/>
  <c r="BH28" i="21"/>
  <c r="BE28" i="21"/>
  <c r="BB28" i="21"/>
  <c r="AY28" i="21"/>
  <c r="AV28" i="21"/>
  <c r="AS28" i="21"/>
  <c r="AP28" i="21"/>
  <c r="AM28" i="21"/>
  <c r="AJ28" i="21"/>
  <c r="AG28" i="21"/>
  <c r="AD28" i="21"/>
  <c r="AA28" i="21"/>
  <c r="X28" i="21"/>
  <c r="U28" i="21"/>
  <c r="R28" i="21"/>
  <c r="O28" i="21"/>
  <c r="L28" i="21"/>
  <c r="I28" i="21"/>
  <c r="BH22" i="21"/>
  <c r="BE22" i="21"/>
  <c r="BB22" i="21"/>
  <c r="AY22" i="21"/>
  <c r="AV22" i="21"/>
  <c r="AS22" i="21"/>
  <c r="AP22" i="21"/>
  <c r="AM22" i="21"/>
  <c r="AJ22" i="21"/>
  <c r="AG22" i="21"/>
  <c r="AD22" i="21"/>
  <c r="AA22" i="21"/>
  <c r="X22" i="21"/>
  <c r="U22" i="21"/>
  <c r="R22" i="21"/>
  <c r="O22" i="21"/>
  <c r="L22" i="21"/>
  <c r="I22" i="21"/>
  <c r="BH19" i="21"/>
  <c r="BE19" i="21"/>
  <c r="BB19" i="21"/>
  <c r="AY19" i="21"/>
  <c r="AV19" i="21"/>
  <c r="AS19" i="21"/>
  <c r="AM19" i="21"/>
  <c r="AD19" i="21"/>
  <c r="AA19" i="21"/>
  <c r="U19" i="21"/>
  <c r="R19" i="21"/>
  <c r="L19" i="21"/>
  <c r="I19" i="21"/>
  <c r="BH13" i="21"/>
  <c r="BH27" i="21" s="1"/>
  <c r="BE13" i="21"/>
  <c r="BB13" i="21"/>
  <c r="BB21" i="21" s="1"/>
  <c r="AY13" i="21"/>
  <c r="AY27" i="21" s="1"/>
  <c r="AV13" i="21"/>
  <c r="AS13" i="21"/>
  <c r="AS27" i="21" s="1"/>
  <c r="AP13" i="21"/>
  <c r="AJ13" i="21"/>
  <c r="AG13" i="21"/>
  <c r="AD13" i="21"/>
  <c r="AD27" i="21" s="1"/>
  <c r="AA13" i="21"/>
  <c r="X13" i="21"/>
  <c r="X27" i="21" s="1"/>
  <c r="R13" i="21"/>
  <c r="L13" i="21"/>
  <c r="I13" i="21"/>
  <c r="F45" i="21"/>
  <c r="F47" i="21"/>
  <c r="F37" i="21"/>
  <c r="F27" i="21"/>
  <c r="F28" i="21"/>
  <c r="F22" i="21"/>
  <c r="BM22" i="21" s="1"/>
  <c r="F19" i="21"/>
  <c r="AD10" i="20"/>
  <c r="AD11" i="20"/>
  <c r="AD12" i="20"/>
  <c r="AD14" i="20"/>
  <c r="AD15" i="20"/>
  <c r="AD16" i="20"/>
  <c r="AD17" i="20"/>
  <c r="AD18" i="20"/>
  <c r="AD20" i="20"/>
  <c r="AD23" i="20"/>
  <c r="AD24" i="20"/>
  <c r="AD25" i="20"/>
  <c r="AD26" i="20"/>
  <c r="AD30" i="20"/>
  <c r="AD31" i="20"/>
  <c r="AD32" i="20"/>
  <c r="AD33" i="20"/>
  <c r="AD34" i="20"/>
  <c r="AD35" i="20"/>
  <c r="AD36" i="20"/>
  <c r="AD39" i="20"/>
  <c r="AD40" i="20"/>
  <c r="AD41" i="20"/>
  <c r="AD42" i="20"/>
  <c r="AD43" i="20"/>
  <c r="AD44" i="20"/>
  <c r="AD48" i="20"/>
  <c r="AD49" i="20"/>
  <c r="AD9" i="20"/>
  <c r="I37" i="20"/>
  <c r="R11" i="19"/>
  <c r="R12" i="19"/>
  <c r="R14" i="19"/>
  <c r="R15" i="19"/>
  <c r="R16" i="19"/>
  <c r="R17" i="19"/>
  <c r="R18" i="19"/>
  <c r="R20" i="19"/>
  <c r="R23" i="19"/>
  <c r="R24" i="19"/>
  <c r="R25" i="19"/>
  <c r="R26" i="19"/>
  <c r="R30" i="19"/>
  <c r="R31" i="19"/>
  <c r="R32" i="19"/>
  <c r="R33" i="19"/>
  <c r="R34" i="19"/>
  <c r="R35" i="19"/>
  <c r="R36" i="19"/>
  <c r="R39" i="19"/>
  <c r="R40" i="19"/>
  <c r="R41" i="19"/>
  <c r="R42" i="19"/>
  <c r="R43" i="19"/>
  <c r="R44" i="19"/>
  <c r="R48" i="19"/>
  <c r="R49" i="19"/>
  <c r="R10" i="19"/>
  <c r="R9" i="19"/>
  <c r="O28" i="18"/>
  <c r="L28" i="18"/>
  <c r="I28" i="18"/>
  <c r="U28" i="17"/>
  <c r="R28" i="17"/>
  <c r="O28" i="17"/>
  <c r="L28" i="17"/>
  <c r="I28" i="17"/>
  <c r="F28" i="17"/>
  <c r="R10" i="18"/>
  <c r="R11" i="18"/>
  <c r="R12" i="18"/>
  <c r="R14" i="18"/>
  <c r="R15" i="18"/>
  <c r="R16" i="18"/>
  <c r="R17" i="18"/>
  <c r="R18" i="18"/>
  <c r="R20" i="18"/>
  <c r="R23" i="18"/>
  <c r="R24" i="18"/>
  <c r="R25" i="18"/>
  <c r="R26" i="18"/>
  <c r="R30" i="18"/>
  <c r="R31" i="18"/>
  <c r="R32" i="18"/>
  <c r="R33" i="18"/>
  <c r="R34" i="18"/>
  <c r="R35" i="18"/>
  <c r="R36" i="18"/>
  <c r="R39" i="18"/>
  <c r="R40" i="18"/>
  <c r="R41" i="18"/>
  <c r="R42" i="18"/>
  <c r="R43" i="18"/>
  <c r="R44" i="18"/>
  <c r="R48" i="18"/>
  <c r="R49" i="18"/>
  <c r="R9" i="18"/>
  <c r="X48" i="17"/>
  <c r="X10" i="17"/>
  <c r="X11" i="17"/>
  <c r="X12" i="17"/>
  <c r="X14" i="17"/>
  <c r="X15" i="17"/>
  <c r="X16" i="17"/>
  <c r="X17" i="17"/>
  <c r="X18" i="17"/>
  <c r="X19" i="17"/>
  <c r="X20" i="17"/>
  <c r="X23" i="17"/>
  <c r="X24" i="17"/>
  <c r="X25" i="17"/>
  <c r="X26" i="17"/>
  <c r="X30" i="17"/>
  <c r="X31" i="17"/>
  <c r="X32" i="17"/>
  <c r="X33" i="17"/>
  <c r="X34" i="17"/>
  <c r="X35" i="17"/>
  <c r="X36" i="17"/>
  <c r="X39" i="17"/>
  <c r="X40" i="17"/>
  <c r="X41" i="17"/>
  <c r="X42" i="17"/>
  <c r="X43" i="17"/>
  <c r="X44" i="17"/>
  <c r="X9" i="17"/>
  <c r="AD28" i="16"/>
  <c r="AA28" i="16"/>
  <c r="X28" i="16"/>
  <c r="U28" i="16"/>
  <c r="R28" i="16"/>
  <c r="O28" i="16"/>
  <c r="L28" i="16"/>
  <c r="I28" i="16"/>
  <c r="AG20" i="16"/>
  <c r="AG12" i="16"/>
  <c r="AG14" i="16"/>
  <c r="AG15" i="16"/>
  <c r="AG30" i="16"/>
  <c r="AG31" i="16"/>
  <c r="AG39" i="16"/>
  <c r="AG43" i="16"/>
  <c r="AG44" i="16"/>
  <c r="AG35" i="16"/>
  <c r="AG18" i="16"/>
  <c r="F19" i="16"/>
  <c r="F28" i="16" s="1"/>
  <c r="BN22" i="21" l="1"/>
  <c r="I21" i="23" s="1"/>
  <c r="BN37" i="21"/>
  <c r="I36" i="23" s="1"/>
  <c r="BN28" i="21"/>
  <c r="I27" i="23" s="1"/>
  <c r="BM28" i="21"/>
  <c r="BM45" i="21"/>
  <c r="F38" i="23"/>
  <c r="O38" i="23" s="1"/>
  <c r="AD19" i="22"/>
  <c r="O27" i="22"/>
  <c r="O21" i="22"/>
  <c r="BM37" i="21"/>
  <c r="BK19" i="21"/>
  <c r="BM19" i="21"/>
  <c r="I47" i="21"/>
  <c r="BM38" i="21"/>
  <c r="BN45" i="21"/>
  <c r="I44" i="23" s="1"/>
  <c r="BN13" i="21"/>
  <c r="I12" i="23" s="1"/>
  <c r="BM47" i="21"/>
  <c r="BN19" i="21"/>
  <c r="I18" i="23" s="1"/>
  <c r="BK22" i="21"/>
  <c r="O47" i="21"/>
  <c r="BN47" i="21" s="1"/>
  <c r="I46" i="23" s="1"/>
  <c r="BN38" i="21"/>
  <c r="I37" i="23" s="1"/>
  <c r="F28" i="22"/>
  <c r="AD28" i="22" s="1"/>
  <c r="BK13" i="21"/>
  <c r="I27" i="21"/>
  <c r="BM13" i="21"/>
  <c r="BK28" i="21"/>
  <c r="BK45" i="21"/>
  <c r="BK37" i="21"/>
  <c r="F21" i="21"/>
  <c r="F29" i="21"/>
  <c r="AD13" i="22"/>
  <c r="BK38" i="21"/>
  <c r="AD38" i="22"/>
  <c r="AM21" i="21"/>
  <c r="AS21" i="21"/>
  <c r="R29" i="21"/>
  <c r="AD45" i="22"/>
  <c r="R29" i="22"/>
  <c r="AD37" i="22"/>
  <c r="F47" i="22"/>
  <c r="AD47" i="22" s="1"/>
  <c r="F21" i="22"/>
  <c r="F27" i="22"/>
  <c r="F29" i="22"/>
  <c r="AA29" i="22"/>
  <c r="AA21" i="22"/>
  <c r="AA27" i="22"/>
  <c r="X21" i="22"/>
  <c r="X27" i="22"/>
  <c r="X29" i="22"/>
  <c r="U29" i="22"/>
  <c r="U21" i="22"/>
  <c r="U27" i="22"/>
  <c r="R27" i="22"/>
  <c r="O29" i="22"/>
  <c r="L29" i="22"/>
  <c r="L21" i="22"/>
  <c r="I21" i="22"/>
  <c r="I29" i="22"/>
  <c r="BH29" i="21"/>
  <c r="BH21" i="21"/>
  <c r="BE29" i="21"/>
  <c r="BE21" i="21"/>
  <c r="BE27" i="21"/>
  <c r="BB29" i="21"/>
  <c r="BB27" i="21"/>
  <c r="AY21" i="21"/>
  <c r="AY29" i="21"/>
  <c r="AV29" i="21"/>
  <c r="AV21" i="21"/>
  <c r="AV27" i="21"/>
  <c r="AS29" i="21"/>
  <c r="AP29" i="21"/>
  <c r="AP27" i="21"/>
  <c r="AP21" i="21"/>
  <c r="AM29" i="21"/>
  <c r="AJ21" i="21"/>
  <c r="AJ29" i="21"/>
  <c r="AJ27" i="21"/>
  <c r="AG29" i="21"/>
  <c r="AG21" i="21"/>
  <c r="AG27" i="21"/>
  <c r="AD29" i="21"/>
  <c r="AD21" i="21"/>
  <c r="AA29" i="21"/>
  <c r="AA27" i="21"/>
  <c r="AA21" i="21"/>
  <c r="X21" i="21"/>
  <c r="X29" i="21"/>
  <c r="U29" i="21"/>
  <c r="U21" i="21"/>
  <c r="U27" i="21"/>
  <c r="R21" i="21"/>
  <c r="R27" i="21"/>
  <c r="O29" i="21"/>
  <c r="O27" i="21"/>
  <c r="O21" i="21"/>
  <c r="BN21" i="21" s="1"/>
  <c r="I20" i="23" s="1"/>
  <c r="L21" i="21"/>
  <c r="L29" i="21"/>
  <c r="L27" i="21"/>
  <c r="I29" i="21"/>
  <c r="I21" i="21"/>
  <c r="X28" i="17"/>
  <c r="AA46" i="20"/>
  <c r="X46" i="20"/>
  <c r="U46" i="20"/>
  <c r="R46" i="20"/>
  <c r="O46" i="20"/>
  <c r="L46" i="20"/>
  <c r="I46" i="20"/>
  <c r="AA45" i="20"/>
  <c r="X45" i="20"/>
  <c r="U45" i="20"/>
  <c r="R45" i="20"/>
  <c r="O45" i="20"/>
  <c r="L45" i="20"/>
  <c r="I45" i="20"/>
  <c r="AA38" i="20"/>
  <c r="AA47" i="20" s="1"/>
  <c r="X38" i="20"/>
  <c r="X47" i="20" s="1"/>
  <c r="U38" i="20"/>
  <c r="U47" i="20" s="1"/>
  <c r="R38" i="20"/>
  <c r="R47" i="20" s="1"/>
  <c r="O38" i="20"/>
  <c r="O47" i="20" s="1"/>
  <c r="L38" i="20"/>
  <c r="L47" i="20" s="1"/>
  <c r="I38" i="20"/>
  <c r="I47" i="20" s="1"/>
  <c r="AA37" i="20"/>
  <c r="X37" i="20"/>
  <c r="U37" i="20"/>
  <c r="R37" i="20"/>
  <c r="O37" i="20"/>
  <c r="L37" i="20"/>
  <c r="AA22" i="20"/>
  <c r="X22" i="20"/>
  <c r="U22" i="20"/>
  <c r="R22" i="20"/>
  <c r="O22" i="20"/>
  <c r="L22" i="20"/>
  <c r="I22" i="20"/>
  <c r="AA19" i="20"/>
  <c r="AA28" i="20" s="1"/>
  <c r="X19" i="20"/>
  <c r="X28" i="20" s="1"/>
  <c r="U19" i="20"/>
  <c r="U28" i="20" s="1"/>
  <c r="R19" i="20"/>
  <c r="R28" i="20" s="1"/>
  <c r="O19" i="20"/>
  <c r="O28" i="20" s="1"/>
  <c r="L19" i="20"/>
  <c r="L28" i="20" s="1"/>
  <c r="I19" i="20"/>
  <c r="I28" i="20" s="1"/>
  <c r="AA13" i="20"/>
  <c r="X13" i="20"/>
  <c r="U13" i="20"/>
  <c r="R13" i="20"/>
  <c r="O13" i="20"/>
  <c r="L13" i="20"/>
  <c r="I13" i="20"/>
  <c r="F46" i="20"/>
  <c r="F45" i="20"/>
  <c r="F37" i="20"/>
  <c r="F22" i="20"/>
  <c r="F19" i="20"/>
  <c r="F13" i="20"/>
  <c r="O46" i="19"/>
  <c r="L46" i="19"/>
  <c r="I46" i="19"/>
  <c r="O45" i="19"/>
  <c r="L45" i="19"/>
  <c r="I45" i="19"/>
  <c r="O38" i="19"/>
  <c r="O47" i="19" s="1"/>
  <c r="L38" i="19"/>
  <c r="L47" i="19" s="1"/>
  <c r="I38" i="19"/>
  <c r="I47" i="19" s="1"/>
  <c r="O37" i="19"/>
  <c r="L37" i="19"/>
  <c r="I37" i="19"/>
  <c r="O22" i="19"/>
  <c r="L22" i="19"/>
  <c r="I22" i="19"/>
  <c r="O19" i="19"/>
  <c r="O28" i="19" s="1"/>
  <c r="L19" i="19"/>
  <c r="L28" i="19" s="1"/>
  <c r="I19" i="19"/>
  <c r="I28" i="19" s="1"/>
  <c r="O13" i="19"/>
  <c r="L13" i="19"/>
  <c r="I13" i="19"/>
  <c r="F46" i="19"/>
  <c r="F45" i="19"/>
  <c r="F38" i="19"/>
  <c r="F37" i="19"/>
  <c r="F22" i="19"/>
  <c r="F19" i="19"/>
  <c r="F21" i="19" s="1"/>
  <c r="L45" i="18"/>
  <c r="I45" i="18"/>
  <c r="O38" i="18"/>
  <c r="O47" i="18" s="1"/>
  <c r="L38" i="18"/>
  <c r="L47" i="18" s="1"/>
  <c r="I38" i="18"/>
  <c r="I47" i="18" s="1"/>
  <c r="O37" i="18"/>
  <c r="L37" i="18"/>
  <c r="O22" i="18"/>
  <c r="L22" i="18"/>
  <c r="I22" i="18"/>
  <c r="O13" i="18"/>
  <c r="L13" i="18"/>
  <c r="I13" i="18"/>
  <c r="O46" i="18"/>
  <c r="L46" i="18"/>
  <c r="I46" i="18"/>
  <c r="O45" i="18"/>
  <c r="U46" i="17"/>
  <c r="R46" i="17"/>
  <c r="L46" i="17"/>
  <c r="U45" i="17"/>
  <c r="R45" i="17"/>
  <c r="L45" i="17"/>
  <c r="F46" i="18"/>
  <c r="F45" i="18"/>
  <c r="F37" i="18"/>
  <c r="F22" i="18"/>
  <c r="F19" i="18"/>
  <c r="F13" i="18"/>
  <c r="AD45" i="16"/>
  <c r="AA45" i="16"/>
  <c r="X45" i="16"/>
  <c r="U45" i="16"/>
  <c r="R45" i="16"/>
  <c r="O45" i="16"/>
  <c r="L45" i="16"/>
  <c r="I45" i="16"/>
  <c r="AD38" i="16"/>
  <c r="AD47" i="16" s="1"/>
  <c r="AA38" i="16"/>
  <c r="AA47" i="16" s="1"/>
  <c r="X38" i="16"/>
  <c r="X47" i="16" s="1"/>
  <c r="U38" i="16"/>
  <c r="U47" i="16" s="1"/>
  <c r="R38" i="16"/>
  <c r="R47" i="16" s="1"/>
  <c r="O38" i="16"/>
  <c r="O47" i="16" s="1"/>
  <c r="L38" i="16"/>
  <c r="L47" i="16" s="1"/>
  <c r="AD37" i="16"/>
  <c r="AA37" i="16"/>
  <c r="X37" i="16"/>
  <c r="U37" i="16"/>
  <c r="R37" i="16"/>
  <c r="O37" i="16"/>
  <c r="L37" i="16"/>
  <c r="AG22" i="16"/>
  <c r="AD22" i="16"/>
  <c r="AA22" i="16"/>
  <c r="X22" i="16"/>
  <c r="U22" i="16"/>
  <c r="R22" i="16"/>
  <c r="O22" i="16"/>
  <c r="L22" i="16"/>
  <c r="I22" i="16"/>
  <c r="AD13" i="16"/>
  <c r="AA13" i="16"/>
  <c r="X13" i="16"/>
  <c r="U13" i="16"/>
  <c r="R13" i="16"/>
  <c r="O13" i="16"/>
  <c r="L13" i="16"/>
  <c r="I38" i="16"/>
  <c r="I47" i="16" s="1"/>
  <c r="I37" i="16"/>
  <c r="F45" i="16"/>
  <c r="F37" i="16"/>
  <c r="I13" i="16"/>
  <c r="I27" i="16" s="1"/>
  <c r="F22" i="16"/>
  <c r="U38" i="17"/>
  <c r="U47" i="17" s="1"/>
  <c r="R38" i="17"/>
  <c r="R47" i="17" s="1"/>
  <c r="O38" i="17"/>
  <c r="L38" i="17"/>
  <c r="L47" i="17" s="1"/>
  <c r="U22" i="17"/>
  <c r="R22" i="17"/>
  <c r="O22" i="17"/>
  <c r="L22" i="17"/>
  <c r="I22" i="17"/>
  <c r="F22" i="17"/>
  <c r="U13" i="17"/>
  <c r="U27" i="17" s="1"/>
  <c r="R13" i="17"/>
  <c r="R27" i="17" s="1"/>
  <c r="O13" i="17"/>
  <c r="L13" i="17"/>
  <c r="I13" i="17"/>
  <c r="I27" i="17" s="1"/>
  <c r="I38" i="17"/>
  <c r="F13" i="17"/>
  <c r="BK47" i="21" l="1"/>
  <c r="BK52" i="21" s="1"/>
  <c r="I51" i="16"/>
  <c r="F47" i="18"/>
  <c r="BN27" i="21"/>
  <c r="I26" i="23" s="1"/>
  <c r="L51" i="16"/>
  <c r="X51" i="16"/>
  <c r="BM51" i="21"/>
  <c r="U51" i="16"/>
  <c r="U21" i="17"/>
  <c r="O51" i="16"/>
  <c r="AA51" i="16"/>
  <c r="BN29" i="21"/>
  <c r="I28" i="23" s="1"/>
  <c r="R51" i="16"/>
  <c r="AD51" i="16"/>
  <c r="F38" i="12"/>
  <c r="O38" i="12" s="1"/>
  <c r="R37" i="18"/>
  <c r="R22" i="19"/>
  <c r="R46" i="19"/>
  <c r="R45" i="18"/>
  <c r="X38" i="17"/>
  <c r="L27" i="17"/>
  <c r="L21" i="17"/>
  <c r="O27" i="17"/>
  <c r="O21" i="17"/>
  <c r="R22" i="18"/>
  <c r="BM27" i="21"/>
  <c r="R21" i="17"/>
  <c r="L29" i="17"/>
  <c r="U29" i="17"/>
  <c r="BM29" i="21"/>
  <c r="BM21" i="21"/>
  <c r="I21" i="16"/>
  <c r="I29" i="16"/>
  <c r="R38" i="19"/>
  <c r="BK27" i="21"/>
  <c r="L29" i="20"/>
  <c r="L27" i="20"/>
  <c r="L21" i="16"/>
  <c r="L27" i="16"/>
  <c r="X21" i="16"/>
  <c r="X27" i="16"/>
  <c r="L29" i="16"/>
  <c r="X29" i="16"/>
  <c r="R46" i="18"/>
  <c r="R19" i="19"/>
  <c r="F28" i="20"/>
  <c r="AD28" i="20" s="1"/>
  <c r="AD19" i="20"/>
  <c r="AD45" i="20"/>
  <c r="O29" i="20"/>
  <c r="O27" i="20"/>
  <c r="AA29" i="20"/>
  <c r="AA27" i="20"/>
  <c r="BK29" i="21"/>
  <c r="U29" i="16"/>
  <c r="O29" i="18"/>
  <c r="O27" i="18"/>
  <c r="X29" i="20"/>
  <c r="X27" i="20"/>
  <c r="X22" i="17"/>
  <c r="O21" i="16"/>
  <c r="O27" i="16"/>
  <c r="AA29" i="16"/>
  <c r="AA27" i="16"/>
  <c r="X46" i="17"/>
  <c r="I29" i="18"/>
  <c r="I27" i="18"/>
  <c r="AD22" i="20"/>
  <c r="AD46" i="20"/>
  <c r="R29" i="20"/>
  <c r="R27" i="20"/>
  <c r="BK21" i="21"/>
  <c r="U21" i="16"/>
  <c r="U27" i="16"/>
  <c r="F28" i="18"/>
  <c r="R28" i="18" s="1"/>
  <c r="R19" i="18"/>
  <c r="R29" i="16"/>
  <c r="R27" i="16"/>
  <c r="AD29" i="16"/>
  <c r="AD27" i="16"/>
  <c r="R38" i="18"/>
  <c r="L29" i="18"/>
  <c r="L27" i="18"/>
  <c r="R13" i="19"/>
  <c r="I29" i="20"/>
  <c r="I27" i="20"/>
  <c r="U29" i="20"/>
  <c r="U27" i="20"/>
  <c r="AD37" i="20"/>
  <c r="AD27" i="22"/>
  <c r="AD29" i="22"/>
  <c r="AD21" i="22"/>
  <c r="AD47" i="20"/>
  <c r="AD38" i="20"/>
  <c r="F27" i="20"/>
  <c r="AD13" i="20"/>
  <c r="F21" i="20"/>
  <c r="X13" i="17"/>
  <c r="F27" i="17"/>
  <c r="X27" i="17" s="1"/>
  <c r="R47" i="18"/>
  <c r="R13" i="18"/>
  <c r="F27" i="18"/>
  <c r="F29" i="18"/>
  <c r="F21" i="18"/>
  <c r="R37" i="19"/>
  <c r="R45" i="19"/>
  <c r="F29" i="20"/>
  <c r="F28" i="19"/>
  <c r="R28" i="19" s="1"/>
  <c r="I29" i="19"/>
  <c r="I27" i="19"/>
  <c r="L29" i="19"/>
  <c r="L27" i="19"/>
  <c r="F29" i="19"/>
  <c r="O29" i="19"/>
  <c r="O27" i="19"/>
  <c r="F27" i="19"/>
  <c r="F47" i="19"/>
  <c r="R47" i="19" s="1"/>
  <c r="AA21" i="16"/>
  <c r="L21" i="18"/>
  <c r="F21" i="17"/>
  <c r="O29" i="17"/>
  <c r="R21" i="16"/>
  <c r="AD21" i="16"/>
  <c r="O29" i="16"/>
  <c r="O21" i="18"/>
  <c r="I21" i="19"/>
  <c r="U21" i="20"/>
  <c r="R21" i="20"/>
  <c r="R29" i="17"/>
  <c r="L21" i="19"/>
  <c r="L21" i="20"/>
  <c r="X21" i="20"/>
  <c r="I21" i="18"/>
  <c r="O21" i="19"/>
  <c r="O21" i="20"/>
  <c r="AA21" i="20"/>
  <c r="F29" i="17"/>
  <c r="I29" i="17"/>
  <c r="I21" i="17"/>
  <c r="W84" i="4"/>
  <c r="W66" i="4"/>
  <c r="W65" i="4"/>
  <c r="F47" i="4"/>
  <c r="G47" i="4"/>
  <c r="H47" i="4"/>
  <c r="J47" i="4"/>
  <c r="K47" i="4"/>
  <c r="L47" i="4"/>
  <c r="M47" i="4"/>
  <c r="N47" i="4"/>
  <c r="P47" i="4"/>
  <c r="Q47" i="4"/>
  <c r="S47" i="4"/>
  <c r="S87" i="4" s="1"/>
  <c r="S124" i="4" s="1"/>
  <c r="T47" i="4"/>
  <c r="U47" i="4"/>
  <c r="V47" i="4"/>
  <c r="E47" i="4"/>
  <c r="W33" i="4"/>
  <c r="W15" i="4"/>
  <c r="R27" i="18" l="1"/>
  <c r="M87" i="4"/>
  <c r="M124" i="4" s="1"/>
  <c r="AD29" i="20"/>
  <c r="R29" i="18"/>
  <c r="V87" i="4"/>
  <c r="V124" i="4" s="1"/>
  <c r="J87" i="4"/>
  <c r="J124" i="4" s="1"/>
  <c r="G87" i="4"/>
  <c r="P87" i="4"/>
  <c r="P124" i="4" s="1"/>
  <c r="AD27" i="20"/>
  <c r="AD21" i="20"/>
  <c r="X29" i="17"/>
  <c r="X21" i="17"/>
  <c r="R21" i="18"/>
  <c r="R21" i="19"/>
  <c r="R29" i="19"/>
  <c r="R27" i="19"/>
  <c r="G124" i="4" l="1"/>
  <c r="G126" i="4" s="1"/>
  <c r="G136" i="4"/>
  <c r="G130" i="4"/>
  <c r="X37" i="17"/>
  <c r="Y18" i="5"/>
  <c r="O18" i="5"/>
  <c r="L18" i="5"/>
  <c r="G132" i="4" l="1"/>
  <c r="S48" i="12"/>
  <c r="S38" i="12"/>
  <c r="S15" i="12"/>
  <c r="EG44" i="14"/>
  <c r="EH44" i="14"/>
  <c r="EI44" i="14"/>
  <c r="EJ44" i="14"/>
  <c r="EK44" i="14"/>
  <c r="EL44" i="14"/>
  <c r="EM44" i="14"/>
  <c r="EQ44" i="14"/>
  <c r="EG45" i="14"/>
  <c r="EG46" i="14" s="1"/>
  <c r="EG54" i="14" s="1"/>
  <c r="EH45" i="14"/>
  <c r="EH46" i="14" s="1"/>
  <c r="EH54" i="14" s="1"/>
  <c r="EI45" i="14"/>
  <c r="EI46" i="14" s="1"/>
  <c r="EI54" i="14" s="1"/>
  <c r="EJ45" i="14"/>
  <c r="EJ46" i="14" s="1"/>
  <c r="EJ54" i="14" s="1"/>
  <c r="EK45" i="14"/>
  <c r="EL45" i="14"/>
  <c r="EM45" i="14"/>
  <c r="EQ45" i="14"/>
  <c r="EA44" i="14"/>
  <c r="EB44" i="14"/>
  <c r="EC44" i="14"/>
  <c r="ED44" i="14"/>
  <c r="EA45" i="14"/>
  <c r="EB45" i="14"/>
  <c r="EC45" i="14"/>
  <c r="ED45" i="14"/>
  <c r="ED46" i="14" s="1"/>
  <c r="ED54" i="14" s="1"/>
  <c r="EA46" i="14"/>
  <c r="EA54" i="14" s="1"/>
  <c r="EB27" i="14"/>
  <c r="EB28" i="14" s="1"/>
  <c r="EC27" i="14"/>
  <c r="EC28" i="14" s="1"/>
  <c r="ED27" i="14"/>
  <c r="EB20" i="14"/>
  <c r="EC20" i="14"/>
  <c r="ED20" i="14"/>
  <c r="EB21" i="14"/>
  <c r="EC21" i="14"/>
  <c r="ED21" i="14"/>
  <c r="BZ45" i="15" l="1"/>
  <c r="R45" i="12"/>
  <c r="BZ44" i="15"/>
  <c r="R44" i="12"/>
  <c r="EL46" i="14"/>
  <c r="EL54" i="14" s="1"/>
  <c r="ED28" i="14"/>
  <c r="EQ46" i="14"/>
  <c r="EQ54" i="14" s="1"/>
  <c r="EK46" i="14"/>
  <c r="EK54" i="14" s="1"/>
  <c r="EM46" i="14"/>
  <c r="R46" i="12" s="1"/>
  <c r="EB46" i="14"/>
  <c r="EB54" i="14" s="1"/>
  <c r="EC46" i="14"/>
  <c r="EC54" i="14" s="1"/>
  <c r="EM54" i="14" l="1"/>
  <c r="BZ46" i="15"/>
  <c r="AG10" i="16"/>
  <c r="AG11" i="16"/>
  <c r="AG16" i="16"/>
  <c r="AG13" i="16" s="1"/>
  <c r="AG17" i="16"/>
  <c r="AG19" i="16"/>
  <c r="AG32" i="16"/>
  <c r="AG33" i="16"/>
  <c r="AG34" i="16"/>
  <c r="AG36" i="16"/>
  <c r="AG9" i="16"/>
  <c r="AJ46" i="16"/>
  <c r="L45" i="23" s="1"/>
  <c r="AJ45" i="16"/>
  <c r="AJ29" i="16"/>
  <c r="L28" i="23" s="1"/>
  <c r="AJ28" i="16"/>
  <c r="L27" i="23" s="1"/>
  <c r="AJ21" i="16"/>
  <c r="L20" i="23" s="1"/>
  <c r="AH37" i="16"/>
  <c r="F36" i="23" s="1"/>
  <c r="AH28" i="16"/>
  <c r="F27" i="23" s="1"/>
  <c r="F38" i="16"/>
  <c r="F47" i="16" s="1"/>
  <c r="F51" i="16" s="1"/>
  <c r="F13" i="16"/>
  <c r="F27" i="16" s="1"/>
  <c r="AJ10" i="16"/>
  <c r="L9" i="23" s="1"/>
  <c r="AJ11" i="16"/>
  <c r="L10" i="23" s="1"/>
  <c r="AJ12" i="16"/>
  <c r="L11" i="23" s="1"/>
  <c r="AJ13" i="16"/>
  <c r="L12" i="23" s="1"/>
  <c r="AJ14" i="16"/>
  <c r="L13" i="23" s="1"/>
  <c r="AJ15" i="16"/>
  <c r="L14" i="23" s="1"/>
  <c r="AJ16" i="16"/>
  <c r="L15" i="23" s="1"/>
  <c r="AJ17" i="16"/>
  <c r="L16" i="23" s="1"/>
  <c r="AJ18" i="16"/>
  <c r="L17" i="23" s="1"/>
  <c r="AJ19" i="16"/>
  <c r="L18" i="23" s="1"/>
  <c r="AJ20" i="16"/>
  <c r="L19" i="23" s="1"/>
  <c r="AJ22" i="16"/>
  <c r="L21" i="23" s="1"/>
  <c r="AJ23" i="16"/>
  <c r="L22" i="23" s="1"/>
  <c r="AJ24" i="16"/>
  <c r="L23" i="23" s="1"/>
  <c r="AJ25" i="16"/>
  <c r="L24" i="23" s="1"/>
  <c r="AJ26" i="16"/>
  <c r="L25" i="23" s="1"/>
  <c r="AJ30" i="16"/>
  <c r="L29" i="23" s="1"/>
  <c r="AJ31" i="16"/>
  <c r="L30" i="23" s="1"/>
  <c r="AJ32" i="16"/>
  <c r="L31" i="23" s="1"/>
  <c r="AJ33" i="16"/>
  <c r="L32" i="23" s="1"/>
  <c r="AJ34" i="16"/>
  <c r="L33" i="23" s="1"/>
  <c r="AJ35" i="16"/>
  <c r="L34" i="23" s="1"/>
  <c r="AJ36" i="16"/>
  <c r="L35" i="23" s="1"/>
  <c r="AJ37" i="16"/>
  <c r="L36" i="23" s="1"/>
  <c r="AJ38" i="16"/>
  <c r="L37" i="23" s="1"/>
  <c r="AJ40" i="16"/>
  <c r="L39" i="23" s="1"/>
  <c r="AJ41" i="16"/>
  <c r="L40" i="23" s="1"/>
  <c r="AJ42" i="16"/>
  <c r="L41" i="23" s="1"/>
  <c r="AJ43" i="16"/>
  <c r="L42" i="23" s="1"/>
  <c r="AJ44" i="16"/>
  <c r="L43" i="23" s="1"/>
  <c r="AJ48" i="16"/>
  <c r="L47" i="23" s="1"/>
  <c r="AJ49" i="16"/>
  <c r="AJ50" i="16"/>
  <c r="AH10" i="16"/>
  <c r="F9" i="23" s="1"/>
  <c r="AH11" i="16"/>
  <c r="F10" i="23" s="1"/>
  <c r="AH12" i="16"/>
  <c r="F11" i="23" s="1"/>
  <c r="AH14" i="16"/>
  <c r="F13" i="23" s="1"/>
  <c r="AH15" i="16"/>
  <c r="F14" i="23" s="1"/>
  <c r="AH16" i="16"/>
  <c r="F15" i="23" s="1"/>
  <c r="AH17" i="16"/>
  <c r="F16" i="23" s="1"/>
  <c r="AH18" i="16"/>
  <c r="F17" i="23" s="1"/>
  <c r="AH19" i="16"/>
  <c r="F18" i="23" s="1"/>
  <c r="AH20" i="16"/>
  <c r="F19" i="23" s="1"/>
  <c r="AH22" i="16"/>
  <c r="F21" i="23" s="1"/>
  <c r="AH23" i="16"/>
  <c r="F22" i="23" s="1"/>
  <c r="AH24" i="16"/>
  <c r="F23" i="23" s="1"/>
  <c r="AH25" i="16"/>
  <c r="F24" i="23" s="1"/>
  <c r="AH26" i="16"/>
  <c r="F25" i="23" s="1"/>
  <c r="AH30" i="16"/>
  <c r="F29" i="23" s="1"/>
  <c r="AH31" i="16"/>
  <c r="F30" i="23" s="1"/>
  <c r="AH32" i="16"/>
  <c r="F31" i="23" s="1"/>
  <c r="AH33" i="16"/>
  <c r="F32" i="23" s="1"/>
  <c r="AH34" i="16"/>
  <c r="F33" i="23" s="1"/>
  <c r="AH35" i="16"/>
  <c r="F34" i="23" s="1"/>
  <c r="AH36" i="16"/>
  <c r="F35" i="23" s="1"/>
  <c r="AH48" i="16"/>
  <c r="F47" i="23" s="1"/>
  <c r="AH49" i="16"/>
  <c r="F48" i="23" s="1"/>
  <c r="AJ9" i="16"/>
  <c r="L8" i="23" s="1"/>
  <c r="AH9" i="16"/>
  <c r="F8" i="23" s="1"/>
  <c r="CB9" i="15"/>
  <c r="CB10" i="15"/>
  <c r="CB11" i="15"/>
  <c r="CB12" i="15"/>
  <c r="CB13" i="15"/>
  <c r="CB14" i="15"/>
  <c r="CB15" i="15"/>
  <c r="CB16" i="15"/>
  <c r="CB17" i="15"/>
  <c r="CB18" i="15"/>
  <c r="CB19" i="15"/>
  <c r="CB20" i="15"/>
  <c r="CB21" i="15"/>
  <c r="CB22" i="15"/>
  <c r="CB23" i="15"/>
  <c r="CB24" i="15"/>
  <c r="CB25" i="15"/>
  <c r="CB26" i="15"/>
  <c r="CB27" i="15"/>
  <c r="CB28" i="15"/>
  <c r="CB29" i="15"/>
  <c r="CB30" i="15"/>
  <c r="CB31" i="15"/>
  <c r="CB32" i="15"/>
  <c r="CB33" i="15"/>
  <c r="CB34" i="15"/>
  <c r="CB35" i="15"/>
  <c r="CB39" i="15"/>
  <c r="CB40" i="15"/>
  <c r="CB41" i="15"/>
  <c r="CB42" i="15"/>
  <c r="CB43" i="15"/>
  <c r="CB47" i="15"/>
  <c r="CB48" i="15"/>
  <c r="CA9" i="15"/>
  <c r="CA10" i="15"/>
  <c r="CA11" i="15"/>
  <c r="CA13" i="15"/>
  <c r="CA14" i="15"/>
  <c r="CA15" i="15"/>
  <c r="CD15" i="15" s="1"/>
  <c r="CA16" i="15"/>
  <c r="CA17" i="15"/>
  <c r="CA18" i="15"/>
  <c r="CA19" i="15"/>
  <c r="CD19" i="15" s="1"/>
  <c r="CA22" i="15"/>
  <c r="CD22" i="15" s="1"/>
  <c r="CA23" i="15"/>
  <c r="CA24" i="15"/>
  <c r="CA25" i="15"/>
  <c r="CA29" i="15"/>
  <c r="CA30" i="15"/>
  <c r="CA32" i="15"/>
  <c r="CA33" i="15"/>
  <c r="CA34" i="15"/>
  <c r="CA35" i="15"/>
  <c r="CA39" i="15"/>
  <c r="CA40" i="15"/>
  <c r="CA41" i="15"/>
  <c r="CA42" i="15"/>
  <c r="CA43" i="15"/>
  <c r="CA47" i="15"/>
  <c r="CA48" i="15"/>
  <c r="CD48" i="15" s="1"/>
  <c r="CA49" i="15"/>
  <c r="CD23" i="15"/>
  <c r="CB8" i="15"/>
  <c r="CA8" i="15"/>
  <c r="GQ9" i="14"/>
  <c r="GQ10" i="14"/>
  <c r="GQ11" i="14"/>
  <c r="GQ12" i="14"/>
  <c r="GQ14" i="14"/>
  <c r="GQ15" i="14"/>
  <c r="GS15" i="14" s="1"/>
  <c r="GQ16" i="14"/>
  <c r="GQ17" i="14"/>
  <c r="GQ19" i="14"/>
  <c r="GQ22" i="14"/>
  <c r="GQ23" i="14"/>
  <c r="GS23" i="14" s="1"/>
  <c r="GQ24" i="14"/>
  <c r="GQ25" i="14"/>
  <c r="GQ29" i="14"/>
  <c r="GS29" i="14" s="1"/>
  <c r="GQ30" i="14"/>
  <c r="GQ31" i="14"/>
  <c r="GQ32" i="14"/>
  <c r="GQ33" i="14"/>
  <c r="GS33" i="14" s="1"/>
  <c r="GQ34" i="14"/>
  <c r="GQ35" i="14"/>
  <c r="GQ39" i="14"/>
  <c r="GQ40" i="14"/>
  <c r="GS40" i="14" s="1"/>
  <c r="GQ41" i="14"/>
  <c r="GS41" i="14" s="1"/>
  <c r="GQ42" i="14"/>
  <c r="GQ43" i="14"/>
  <c r="GQ47" i="14"/>
  <c r="GS47" i="14" s="1"/>
  <c r="GQ48" i="14"/>
  <c r="GS48" i="14" s="1"/>
  <c r="GS17" i="14"/>
  <c r="GS24" i="14"/>
  <c r="GS31" i="14"/>
  <c r="GS35" i="14"/>
  <c r="GS42" i="14"/>
  <c r="GQ8" i="14"/>
  <c r="FO9" i="13"/>
  <c r="BT9" i="15" s="1"/>
  <c r="FO10" i="13"/>
  <c r="BT10" i="15" s="1"/>
  <c r="FO11" i="13"/>
  <c r="BT11" i="15" s="1"/>
  <c r="FO12" i="13"/>
  <c r="BT12" i="15" s="1"/>
  <c r="FO13" i="13"/>
  <c r="BT13" i="15" s="1"/>
  <c r="FO14" i="13"/>
  <c r="BT14" i="15" s="1"/>
  <c r="FO15" i="13"/>
  <c r="FO16" i="13"/>
  <c r="BT16" i="15" s="1"/>
  <c r="FO17" i="13"/>
  <c r="BT17" i="15" s="1"/>
  <c r="FO18" i="13"/>
  <c r="BT18" i="15" s="1"/>
  <c r="FO19" i="13"/>
  <c r="FO21" i="13"/>
  <c r="BT21" i="15" s="1"/>
  <c r="FO22" i="13"/>
  <c r="BT22" i="15" s="1"/>
  <c r="FO23" i="13"/>
  <c r="BT23" i="15" s="1"/>
  <c r="FO24" i="13"/>
  <c r="BT24" i="15" s="1"/>
  <c r="FO25" i="13"/>
  <c r="BT25" i="15" s="1"/>
  <c r="FO27" i="13"/>
  <c r="FO29" i="13"/>
  <c r="BT29" i="15" s="1"/>
  <c r="FO30" i="13"/>
  <c r="BT30" i="15" s="1"/>
  <c r="FO31" i="13"/>
  <c r="BT31" i="15" s="1"/>
  <c r="FO32" i="13"/>
  <c r="BT32" i="15" s="1"/>
  <c r="FO33" i="13"/>
  <c r="BT33" i="15" s="1"/>
  <c r="FO34" i="13"/>
  <c r="BT34" i="15" s="1"/>
  <c r="FO35" i="13"/>
  <c r="BT35" i="15" s="1"/>
  <c r="FO36" i="13"/>
  <c r="BT36" i="15" s="1"/>
  <c r="FO37" i="13"/>
  <c r="BT37" i="15" s="1"/>
  <c r="FO39" i="13"/>
  <c r="BT39" i="15" s="1"/>
  <c r="FO40" i="13"/>
  <c r="FO41" i="13"/>
  <c r="BT41" i="15" s="1"/>
  <c r="FO42" i="13"/>
  <c r="BT42" i="15" s="1"/>
  <c r="FO43" i="13"/>
  <c r="BT43" i="15" s="1"/>
  <c r="FO44" i="13"/>
  <c r="BT44" i="15" s="1"/>
  <c r="FO45" i="13"/>
  <c r="BT45" i="15" s="1"/>
  <c r="FO46" i="13"/>
  <c r="BT46" i="15" s="1"/>
  <c r="FO47" i="13"/>
  <c r="BT47" i="15" s="1"/>
  <c r="FO48" i="13"/>
  <c r="FN9" i="13"/>
  <c r="FN10" i="13"/>
  <c r="FN11" i="13"/>
  <c r="FN12" i="13"/>
  <c r="FN14" i="13"/>
  <c r="FN15" i="13"/>
  <c r="FN16" i="13"/>
  <c r="FN17" i="13"/>
  <c r="FN18" i="13"/>
  <c r="FN21" i="13"/>
  <c r="FN22" i="13"/>
  <c r="FN23" i="13"/>
  <c r="FN24" i="13"/>
  <c r="FN25" i="13"/>
  <c r="FN29" i="13"/>
  <c r="FN30" i="13"/>
  <c r="FN31" i="13"/>
  <c r="FN32" i="13"/>
  <c r="FN33" i="13"/>
  <c r="FN34" i="13"/>
  <c r="FN35" i="13"/>
  <c r="FN37" i="13"/>
  <c r="FN39" i="13"/>
  <c r="FN40" i="13"/>
  <c r="FN41" i="13"/>
  <c r="FN42" i="13"/>
  <c r="FN43" i="13"/>
  <c r="FN45" i="13"/>
  <c r="FN47" i="13"/>
  <c r="FN48" i="13"/>
  <c r="FM9" i="13"/>
  <c r="FM10" i="13"/>
  <c r="FM11" i="13"/>
  <c r="FM12" i="13"/>
  <c r="FM14" i="13"/>
  <c r="FM15" i="13"/>
  <c r="FM17" i="13"/>
  <c r="FM18" i="13"/>
  <c r="FM19" i="13"/>
  <c r="FM21" i="13"/>
  <c r="FM22" i="13"/>
  <c r="FM23" i="13"/>
  <c r="FM24" i="13"/>
  <c r="FM25" i="13"/>
  <c r="FM29" i="13"/>
  <c r="FM30" i="13"/>
  <c r="FM31" i="13"/>
  <c r="FM33" i="13"/>
  <c r="FM34" i="13"/>
  <c r="FM35" i="13"/>
  <c r="FM37" i="13"/>
  <c r="FM39" i="13"/>
  <c r="FM40" i="13"/>
  <c r="FM41" i="13"/>
  <c r="FM42" i="13"/>
  <c r="FM43" i="13"/>
  <c r="FM45" i="13"/>
  <c r="FM47" i="13"/>
  <c r="FM48" i="13"/>
  <c r="FO8" i="13"/>
  <c r="BT8" i="15" s="1"/>
  <c r="FN8" i="13"/>
  <c r="FM8" i="13"/>
  <c r="BN8" i="15" s="1"/>
  <c r="BH45" i="15"/>
  <c r="BH44" i="15"/>
  <c r="BH37" i="15"/>
  <c r="BH36" i="15"/>
  <c r="BE45" i="15"/>
  <c r="BE44" i="15"/>
  <c r="BE37" i="15"/>
  <c r="BE36" i="15"/>
  <c r="BB45" i="15"/>
  <c r="BB44" i="15"/>
  <c r="BB37" i="15"/>
  <c r="CB37" i="15" s="1"/>
  <c r="BB36" i="15"/>
  <c r="AY45" i="15"/>
  <c r="AV44" i="15"/>
  <c r="CB44" i="15" s="1"/>
  <c r="AV45" i="15"/>
  <c r="AV36" i="15"/>
  <c r="AP45" i="15"/>
  <c r="AP44" i="15"/>
  <c r="AP37" i="15"/>
  <c r="AP36" i="15"/>
  <c r="AP26" i="15"/>
  <c r="AP28" i="15" s="1"/>
  <c r="AP20" i="15"/>
  <c r="AM45" i="15"/>
  <c r="AM44" i="15"/>
  <c r="AM37" i="15"/>
  <c r="AM36" i="15"/>
  <c r="AJ45" i="15"/>
  <c r="AJ44" i="15"/>
  <c r="AJ37" i="15"/>
  <c r="AJ36" i="15"/>
  <c r="AG45" i="15"/>
  <c r="AG37" i="15"/>
  <c r="CA31" i="15"/>
  <c r="CD31" i="15" s="1"/>
  <c r="AD45" i="15"/>
  <c r="AD44" i="15"/>
  <c r="AD37" i="15"/>
  <c r="AD36" i="15"/>
  <c r="AA45" i="15"/>
  <c r="AA44" i="15"/>
  <c r="AA37" i="15"/>
  <c r="AA36" i="15"/>
  <c r="X45" i="15"/>
  <c r="X44" i="15"/>
  <c r="X36" i="15"/>
  <c r="U45" i="15"/>
  <c r="U44" i="15"/>
  <c r="U36" i="15"/>
  <c r="R45" i="15"/>
  <c r="R44" i="15"/>
  <c r="R37" i="15"/>
  <c r="R36" i="15"/>
  <c r="O44" i="15"/>
  <c r="O26" i="15"/>
  <c r="O27" i="15"/>
  <c r="O45" i="15"/>
  <c r="O36" i="15"/>
  <c r="F45" i="15"/>
  <c r="F44" i="15"/>
  <c r="F36" i="15"/>
  <c r="I27" i="15"/>
  <c r="I26" i="15"/>
  <c r="CA26" i="15" s="1"/>
  <c r="CD26" i="15" s="1"/>
  <c r="I21" i="15"/>
  <c r="CA21" i="15" s="1"/>
  <c r="CA12" i="15"/>
  <c r="FZ26" i="14"/>
  <c r="FZ18" i="14"/>
  <c r="FZ20" i="14" s="1"/>
  <c r="FW26" i="14"/>
  <c r="FW21" i="14"/>
  <c r="FW18" i="14"/>
  <c r="FW27" i="14" s="1"/>
  <c r="FT26" i="14"/>
  <c r="FT18" i="14"/>
  <c r="FT20" i="14" s="1"/>
  <c r="FT21" i="14"/>
  <c r="FQ27" i="14"/>
  <c r="FQ26" i="14"/>
  <c r="FQ21" i="14"/>
  <c r="FQ20" i="14"/>
  <c r="FN27" i="14"/>
  <c r="FN26" i="14"/>
  <c r="FN20" i="14"/>
  <c r="FK27" i="14"/>
  <c r="FK26" i="14"/>
  <c r="FK21" i="14"/>
  <c r="FK20" i="14"/>
  <c r="FH26" i="14"/>
  <c r="FH27" i="14"/>
  <c r="FH20" i="14"/>
  <c r="FE27" i="14"/>
  <c r="FE26" i="14"/>
  <c r="FE20" i="14"/>
  <c r="FB37" i="14"/>
  <c r="FB36" i="14"/>
  <c r="FB26" i="14"/>
  <c r="FB18" i="14"/>
  <c r="FB20" i="14" s="1"/>
  <c r="FB21" i="14"/>
  <c r="EY26" i="14"/>
  <c r="EY12" i="14"/>
  <c r="EY18" i="14"/>
  <c r="EY27" i="14" s="1"/>
  <c r="ES37" i="14"/>
  <c r="ES36" i="14"/>
  <c r="ES26" i="14"/>
  <c r="ES21" i="14"/>
  <c r="ES12" i="14"/>
  <c r="ES18" i="14"/>
  <c r="EG37" i="14"/>
  <c r="GQ37" i="14" s="1"/>
  <c r="EH37" i="14"/>
  <c r="EI37" i="14"/>
  <c r="EJ37" i="14"/>
  <c r="EK37" i="14"/>
  <c r="EL37" i="14"/>
  <c r="EM37" i="14"/>
  <c r="EG36" i="14"/>
  <c r="EH36" i="14"/>
  <c r="EI36" i="14"/>
  <c r="EJ36" i="14"/>
  <c r="EK36" i="14"/>
  <c r="EL36" i="14"/>
  <c r="EM36" i="14"/>
  <c r="EH26" i="14"/>
  <c r="EI26" i="14"/>
  <c r="EJ26" i="14"/>
  <c r="EK26" i="14"/>
  <c r="EL26" i="14"/>
  <c r="EM26" i="14"/>
  <c r="EG21" i="14"/>
  <c r="EH21" i="14"/>
  <c r="EI21" i="14"/>
  <c r="EJ21" i="14"/>
  <c r="EK21" i="14"/>
  <c r="EL21" i="14"/>
  <c r="EM21" i="14"/>
  <c r="EG18" i="14"/>
  <c r="EG27" i="14" s="1"/>
  <c r="EH18" i="14"/>
  <c r="EH27" i="14" s="1"/>
  <c r="EI18" i="14"/>
  <c r="EI20" i="14" s="1"/>
  <c r="EJ18" i="14"/>
  <c r="EK18" i="14"/>
  <c r="EK27" i="14" s="1"/>
  <c r="EL18" i="14"/>
  <c r="EL27" i="14" s="1"/>
  <c r="EM18" i="14"/>
  <c r="R18" i="12" s="1"/>
  <c r="EG13" i="14"/>
  <c r="EA27" i="14"/>
  <c r="EA28" i="14" s="1"/>
  <c r="EA21" i="14"/>
  <c r="EA20" i="14"/>
  <c r="DX45" i="14"/>
  <c r="DX44" i="14"/>
  <c r="DX37" i="14"/>
  <c r="DX36" i="14"/>
  <c r="DX27" i="14"/>
  <c r="DX26" i="14"/>
  <c r="DX20" i="14"/>
  <c r="DO26" i="14"/>
  <c r="DO28" i="14" s="1"/>
  <c r="DO20" i="14"/>
  <c r="DI45" i="14"/>
  <c r="DI44" i="14"/>
  <c r="BZ36" i="15" l="1"/>
  <c r="R36" i="12"/>
  <c r="BZ26" i="15"/>
  <c r="R26" i="12"/>
  <c r="BZ21" i="15"/>
  <c r="R21" i="12"/>
  <c r="BZ37" i="15"/>
  <c r="R37" i="12"/>
  <c r="EG26" i="14"/>
  <c r="GT13" i="14"/>
  <c r="GP18" i="14"/>
  <c r="GT18" i="14"/>
  <c r="GT12" i="14"/>
  <c r="GP12" i="14"/>
  <c r="FK28" i="14"/>
  <c r="FT27" i="14"/>
  <c r="FT28" i="14" s="1"/>
  <c r="FE28" i="14"/>
  <c r="EM20" i="14"/>
  <c r="BZ18" i="15"/>
  <c r="FQ28" i="14"/>
  <c r="CA27" i="15"/>
  <c r="CD27" i="15" s="1"/>
  <c r="BN47" i="15"/>
  <c r="F47" i="12" s="1"/>
  <c r="L44" i="23"/>
  <c r="L44" i="12" s="1"/>
  <c r="BZ50" i="15"/>
  <c r="AA46" i="15"/>
  <c r="AA50" i="15" s="1"/>
  <c r="AD46" i="15"/>
  <c r="AD50" i="15" s="1"/>
  <c r="CD11" i="15"/>
  <c r="BT50" i="15"/>
  <c r="FP30" i="13"/>
  <c r="CD47" i="15"/>
  <c r="FP34" i="13"/>
  <c r="CD21" i="15"/>
  <c r="FP43" i="13"/>
  <c r="FP39" i="13"/>
  <c r="EJ27" i="14"/>
  <c r="EJ28" i="14" s="1"/>
  <c r="BN18" i="15"/>
  <c r="GS12" i="14"/>
  <c r="FN28" i="14"/>
  <c r="O48" i="23"/>
  <c r="F48" i="12"/>
  <c r="O48" i="12" s="1"/>
  <c r="CB36" i="15"/>
  <c r="BB46" i="15"/>
  <c r="BB50" i="15" s="1"/>
  <c r="CD35" i="15"/>
  <c r="U46" i="15"/>
  <c r="U50" i="15" s="1"/>
  <c r="DI46" i="14"/>
  <c r="DI54" i="14" s="1"/>
  <c r="GS16" i="14"/>
  <c r="GS8" i="14"/>
  <c r="BN16" i="15"/>
  <c r="F16" i="12" s="1"/>
  <c r="FP10" i="13"/>
  <c r="DX46" i="14"/>
  <c r="DX54" i="14" s="1"/>
  <c r="GS43" i="14"/>
  <c r="GS39" i="14"/>
  <c r="GS14" i="14"/>
  <c r="O32" i="23"/>
  <c r="O25" i="23"/>
  <c r="O21" i="23"/>
  <c r="O16" i="23"/>
  <c r="O11" i="23"/>
  <c r="L42" i="12"/>
  <c r="L37" i="12"/>
  <c r="L33" i="12"/>
  <c r="L29" i="12"/>
  <c r="L22" i="12"/>
  <c r="L17" i="12"/>
  <c r="L13" i="12"/>
  <c r="L9" i="12"/>
  <c r="O36" i="23"/>
  <c r="AG28" i="16"/>
  <c r="F8" i="12"/>
  <c r="O8" i="23"/>
  <c r="O35" i="23"/>
  <c r="O31" i="23"/>
  <c r="O24" i="23"/>
  <c r="O19" i="23"/>
  <c r="O15" i="23"/>
  <c r="O10" i="23"/>
  <c r="L41" i="12"/>
  <c r="L36" i="12"/>
  <c r="L32" i="12"/>
  <c r="L25" i="12"/>
  <c r="L21" i="12"/>
  <c r="L16" i="12"/>
  <c r="L12" i="12"/>
  <c r="L45" i="12"/>
  <c r="L8" i="12"/>
  <c r="O34" i="23"/>
  <c r="O30" i="23"/>
  <c r="O23" i="23"/>
  <c r="O18" i="23"/>
  <c r="O14" i="23"/>
  <c r="O9" i="23"/>
  <c r="L47" i="12"/>
  <c r="L35" i="12"/>
  <c r="L31" i="12"/>
  <c r="L24" i="12"/>
  <c r="L11" i="12"/>
  <c r="BQ47" i="15"/>
  <c r="I47" i="12" s="1"/>
  <c r="O33" i="23"/>
  <c r="O29" i="23"/>
  <c r="O22" i="23"/>
  <c r="O17" i="23"/>
  <c r="O13" i="23"/>
  <c r="L43" i="12"/>
  <c r="L39" i="12"/>
  <c r="L34" i="12"/>
  <c r="L30" i="12"/>
  <c r="L23" i="12"/>
  <c r="L18" i="12"/>
  <c r="L14" i="12"/>
  <c r="L10" i="12"/>
  <c r="O27" i="23"/>
  <c r="O47" i="23"/>
  <c r="FP18" i="13"/>
  <c r="FP14" i="13"/>
  <c r="GS25" i="14"/>
  <c r="GS19" i="14"/>
  <c r="GS34" i="14"/>
  <c r="GS30" i="14"/>
  <c r="BQ8" i="15"/>
  <c r="I8" i="12" s="1"/>
  <c r="EL20" i="14"/>
  <c r="ES20" i="14"/>
  <c r="FH28" i="14"/>
  <c r="CA37" i="15"/>
  <c r="CD37" i="15" s="1"/>
  <c r="X46" i="15"/>
  <c r="X50" i="15" s="1"/>
  <c r="AP46" i="15"/>
  <c r="AP50" i="15" s="1"/>
  <c r="BE46" i="15"/>
  <c r="BE50" i="15" s="1"/>
  <c r="BH46" i="15"/>
  <c r="BH50" i="15" s="1"/>
  <c r="FP22" i="13"/>
  <c r="GS11" i="14"/>
  <c r="GS10" i="14"/>
  <c r="CD39" i="15"/>
  <c r="CD10" i="15"/>
  <c r="CD40" i="15"/>
  <c r="CA45" i="15"/>
  <c r="CB45" i="15"/>
  <c r="EL28" i="14"/>
  <c r="EH28" i="14"/>
  <c r="O46" i="15"/>
  <c r="O50" i="15" s="1"/>
  <c r="R46" i="15"/>
  <c r="R50" i="15" s="1"/>
  <c r="AJ46" i="15"/>
  <c r="AJ50" i="15" s="1"/>
  <c r="AM46" i="15"/>
  <c r="AM50" i="15" s="1"/>
  <c r="FP47" i="13"/>
  <c r="FP31" i="13"/>
  <c r="GS9" i="14"/>
  <c r="FP8" i="13"/>
  <c r="I20" i="15"/>
  <c r="CA20" i="15" s="1"/>
  <c r="CD20" i="15" s="1"/>
  <c r="I28" i="15"/>
  <c r="F46" i="15"/>
  <c r="F50" i="15" s="1"/>
  <c r="AG36" i="15"/>
  <c r="CA36" i="15" s="1"/>
  <c r="FP42" i="13"/>
  <c r="FP37" i="13"/>
  <c r="FP33" i="13"/>
  <c r="FP29" i="13"/>
  <c r="FP25" i="13"/>
  <c r="FP21" i="13"/>
  <c r="FP17" i="13"/>
  <c r="FP9" i="13"/>
  <c r="FP48" i="13"/>
  <c r="FP40" i="13"/>
  <c r="FP15" i="13"/>
  <c r="GQ13" i="14"/>
  <c r="CD8" i="15"/>
  <c r="CD43" i="15"/>
  <c r="AG29" i="16"/>
  <c r="AG27" i="16"/>
  <c r="AG21" i="16"/>
  <c r="AG37" i="16"/>
  <c r="FW28" i="14"/>
  <c r="EH20" i="14"/>
  <c r="EY28" i="14"/>
  <c r="FW20" i="14"/>
  <c r="AV46" i="15"/>
  <c r="AV50" i="15" s="1"/>
  <c r="FP45" i="13"/>
  <c r="FP41" i="13"/>
  <c r="FP32" i="13"/>
  <c r="FP24" i="13"/>
  <c r="FP12" i="13"/>
  <c r="GS22" i="14"/>
  <c r="GQ18" i="14"/>
  <c r="BQ18" i="15" s="1"/>
  <c r="I18" i="12" s="1"/>
  <c r="FZ27" i="14"/>
  <c r="FZ28" i="14" s="1"/>
  <c r="AG44" i="15"/>
  <c r="AG46" i="15" s="1"/>
  <c r="AG50" i="15" s="1"/>
  <c r="AH27" i="16"/>
  <c r="F26" i="23" s="1"/>
  <c r="F29" i="16"/>
  <c r="F21" i="16"/>
  <c r="AH21" i="16" s="1"/>
  <c r="F20" i="23" s="1"/>
  <c r="AK19" i="16"/>
  <c r="AK35" i="16"/>
  <c r="AK31" i="16"/>
  <c r="AK25" i="16"/>
  <c r="AK24" i="16"/>
  <c r="AK23" i="16"/>
  <c r="AK18" i="16"/>
  <c r="AK15" i="16"/>
  <c r="AH13" i="16"/>
  <c r="F12" i="23" s="1"/>
  <c r="AK48" i="16"/>
  <c r="AJ47" i="16"/>
  <c r="L46" i="23" s="1"/>
  <c r="L46" i="12" s="1"/>
  <c r="AK49" i="16"/>
  <c r="AK36" i="16"/>
  <c r="AK30" i="16"/>
  <c r="AK26" i="16"/>
  <c r="AK22" i="16"/>
  <c r="AK12" i="16"/>
  <c r="AJ27" i="16"/>
  <c r="AK14" i="16"/>
  <c r="AY46" i="15"/>
  <c r="AK34" i="16"/>
  <c r="AK20" i="16"/>
  <c r="AK16" i="16"/>
  <c r="AK11" i="16"/>
  <c r="AK32" i="16"/>
  <c r="AK28" i="16"/>
  <c r="FP35" i="13"/>
  <c r="FP23" i="13"/>
  <c r="FP11" i="13"/>
  <c r="BN32" i="15"/>
  <c r="BN24" i="15"/>
  <c r="F24" i="12" s="1"/>
  <c r="BQ40" i="15"/>
  <c r="I40" i="12" s="1"/>
  <c r="BQ35" i="15"/>
  <c r="I35" i="12" s="1"/>
  <c r="BQ31" i="15"/>
  <c r="I31" i="12" s="1"/>
  <c r="BQ23" i="15"/>
  <c r="I23" i="12" s="1"/>
  <c r="BQ15" i="15"/>
  <c r="I15" i="12" s="1"/>
  <c r="BQ11" i="15"/>
  <c r="I11" i="12" s="1"/>
  <c r="BN41" i="15"/>
  <c r="BT40" i="15"/>
  <c r="L40" i="12" s="1"/>
  <c r="BT27" i="15"/>
  <c r="L27" i="12" s="1"/>
  <c r="BT19" i="15"/>
  <c r="L19" i="12" s="1"/>
  <c r="BT15" i="15"/>
  <c r="L15" i="12" s="1"/>
  <c r="FP16" i="13"/>
  <c r="BQ41" i="15"/>
  <c r="BQ32" i="15"/>
  <c r="I32" i="12" s="1"/>
  <c r="BQ24" i="15"/>
  <c r="I24" i="12" s="1"/>
  <c r="BQ16" i="15"/>
  <c r="I16" i="12" s="1"/>
  <c r="BQ12" i="15"/>
  <c r="I12" i="12" s="1"/>
  <c r="BN40" i="15"/>
  <c r="BN35" i="15"/>
  <c r="F35" i="12" s="1"/>
  <c r="BN31" i="15"/>
  <c r="F31" i="12" s="1"/>
  <c r="BN23" i="15"/>
  <c r="BN19" i="15"/>
  <c r="F19" i="12" s="1"/>
  <c r="BN15" i="15"/>
  <c r="F15" i="12" s="1"/>
  <c r="O15" i="12" s="1"/>
  <c r="BN11" i="15"/>
  <c r="F11" i="12" s="1"/>
  <c r="BQ43" i="15"/>
  <c r="I43" i="12" s="1"/>
  <c r="BQ39" i="15"/>
  <c r="I39" i="12" s="1"/>
  <c r="BQ34" i="15"/>
  <c r="I34" i="12" s="1"/>
  <c r="BQ30" i="15"/>
  <c r="I30" i="12" s="1"/>
  <c r="BQ22" i="15"/>
  <c r="I22" i="12" s="1"/>
  <c r="BQ14" i="15"/>
  <c r="I14" i="12" s="1"/>
  <c r="BQ10" i="15"/>
  <c r="I10" i="12" s="1"/>
  <c r="BN12" i="15"/>
  <c r="GS32" i="14"/>
  <c r="BN43" i="15"/>
  <c r="BN34" i="15"/>
  <c r="F34" i="12" s="1"/>
  <c r="BN30" i="15"/>
  <c r="BN14" i="15"/>
  <c r="BN10" i="15"/>
  <c r="F10" i="12" s="1"/>
  <c r="BQ42" i="15"/>
  <c r="I42" i="12" s="1"/>
  <c r="BQ37" i="15"/>
  <c r="I37" i="12" s="1"/>
  <c r="BQ33" i="15"/>
  <c r="BQ29" i="15"/>
  <c r="I29" i="12" s="1"/>
  <c r="BQ25" i="15"/>
  <c r="I25" i="12" s="1"/>
  <c r="BQ17" i="15"/>
  <c r="I17" i="12" s="1"/>
  <c r="BQ9" i="15"/>
  <c r="I9" i="12" s="1"/>
  <c r="BN42" i="15"/>
  <c r="BN33" i="15"/>
  <c r="F33" i="12" s="1"/>
  <c r="BN29" i="15"/>
  <c r="F29" i="12" s="1"/>
  <c r="BN25" i="15"/>
  <c r="F25" i="12" s="1"/>
  <c r="BN17" i="15"/>
  <c r="BN9" i="15"/>
  <c r="F9" i="12" s="1"/>
  <c r="BN22" i="15"/>
  <c r="F22" i="12" s="1"/>
  <c r="CD42" i="15"/>
  <c r="CD30" i="15"/>
  <c r="CD25" i="15"/>
  <c r="CD14" i="15"/>
  <c r="CD9" i="15"/>
  <c r="CD41" i="15"/>
  <c r="CD32" i="15"/>
  <c r="CD24" i="15"/>
  <c r="CD16" i="15"/>
  <c r="CD12" i="15"/>
  <c r="CD34" i="15"/>
  <c r="CD29" i="15"/>
  <c r="CD18" i="15"/>
  <c r="CD13" i="15"/>
  <c r="BN39" i="15"/>
  <c r="CD33" i="15"/>
  <c r="CD17" i="15"/>
  <c r="AK17" i="16"/>
  <c r="AK9" i="16"/>
  <c r="AK37" i="16"/>
  <c r="AK33" i="16"/>
  <c r="AK10" i="16"/>
  <c r="EK28" i="14"/>
  <c r="EG28" i="14"/>
  <c r="EI27" i="14"/>
  <c r="EI28" i="14" s="1"/>
  <c r="DX28" i="14"/>
  <c r="EK20" i="14"/>
  <c r="EG20" i="14"/>
  <c r="ES27" i="14"/>
  <c r="ES28" i="14" s="1"/>
  <c r="FB27" i="14"/>
  <c r="FB28" i="14" s="1"/>
  <c r="EM27" i="14"/>
  <c r="R27" i="12" s="1"/>
  <c r="EJ20" i="14"/>
  <c r="O28" i="15"/>
  <c r="EY20" i="14"/>
  <c r="DI36" i="14"/>
  <c r="DI26" i="14"/>
  <c r="DI28" i="14" s="1"/>
  <c r="DI20" i="14"/>
  <c r="CZ27" i="14"/>
  <c r="CZ21" i="14"/>
  <c r="CZ26" i="14"/>
  <c r="CU44" i="14"/>
  <c r="CU46" i="14" s="1"/>
  <c r="CU54" i="14" s="1"/>
  <c r="CU36" i="14"/>
  <c r="CU26" i="14"/>
  <c r="CU28" i="14" s="1"/>
  <c r="CU20" i="14"/>
  <c r="CR44" i="14"/>
  <c r="CR46" i="14" s="1"/>
  <c r="CR54" i="14" s="1"/>
  <c r="CR36" i="14"/>
  <c r="CR26" i="14"/>
  <c r="CR28" i="14" s="1"/>
  <c r="CR20" i="14"/>
  <c r="CO27" i="14"/>
  <c r="CO26" i="14"/>
  <c r="CO21" i="14"/>
  <c r="CO20" i="14"/>
  <c r="CL26" i="14"/>
  <c r="CL28" i="14" s="1"/>
  <c r="CL20" i="14"/>
  <c r="CI27" i="14"/>
  <c r="CI26" i="14"/>
  <c r="CI20" i="14"/>
  <c r="CF27" i="14"/>
  <c r="CF26" i="14"/>
  <c r="CF20" i="14"/>
  <c r="CC26" i="14"/>
  <c r="CC28" i="14" s="1"/>
  <c r="CC20" i="14"/>
  <c r="BZ26" i="14"/>
  <c r="BZ28" i="14" s="1"/>
  <c r="BZ20" i="14"/>
  <c r="BW27" i="14"/>
  <c r="BW26" i="14"/>
  <c r="BW21" i="14"/>
  <c r="BW20" i="14"/>
  <c r="BT27" i="14"/>
  <c r="BT26" i="14"/>
  <c r="BT21" i="14"/>
  <c r="BT20" i="14"/>
  <c r="BQ27" i="14"/>
  <c r="BQ26" i="14"/>
  <c r="BQ21" i="14"/>
  <c r="BQ20" i="14"/>
  <c r="BN27" i="14"/>
  <c r="BN26" i="14"/>
  <c r="BN21" i="14"/>
  <c r="BN20" i="14"/>
  <c r="BK27" i="14"/>
  <c r="BK26" i="14"/>
  <c r="BK20" i="14"/>
  <c r="AY45" i="14"/>
  <c r="AY44" i="14"/>
  <c r="AY36" i="14"/>
  <c r="AY27" i="14"/>
  <c r="AY26" i="14"/>
  <c r="AY21" i="14"/>
  <c r="GP21" i="14" s="1"/>
  <c r="AY20" i="14"/>
  <c r="AV26" i="14"/>
  <c r="AV28" i="14" s="1"/>
  <c r="AV20" i="14"/>
  <c r="AP26" i="14"/>
  <c r="AP28" i="14" s="1"/>
  <c r="AP20" i="14"/>
  <c r="AM20" i="14"/>
  <c r="AM26" i="14"/>
  <c r="AM28" i="14" s="1"/>
  <c r="AJ27" i="14"/>
  <c r="AJ26" i="14"/>
  <c r="AJ20" i="14"/>
  <c r="AG45" i="14"/>
  <c r="AG44" i="14"/>
  <c r="AG36" i="14"/>
  <c r="AG27" i="14"/>
  <c r="AG20" i="14"/>
  <c r="AA27" i="14"/>
  <c r="AA26" i="14"/>
  <c r="AA21" i="14"/>
  <c r="AA20" i="14"/>
  <c r="X44" i="14"/>
  <c r="X46" i="14" s="1"/>
  <c r="X54" i="14" s="1"/>
  <c r="X36" i="14"/>
  <c r="X26" i="14"/>
  <c r="X28" i="14" s="1"/>
  <c r="X20" i="14"/>
  <c r="U27" i="14"/>
  <c r="U26" i="14"/>
  <c r="U20" i="14"/>
  <c r="R45" i="14"/>
  <c r="R44" i="14"/>
  <c r="R36" i="14"/>
  <c r="GQ36" i="14" s="1"/>
  <c r="R27" i="14"/>
  <c r="R26" i="14"/>
  <c r="R20" i="14"/>
  <c r="O44" i="14"/>
  <c r="O46" i="14" s="1"/>
  <c r="O54" i="14" s="1"/>
  <c r="O36" i="14"/>
  <c r="O27" i="14"/>
  <c r="O26" i="14"/>
  <c r="O20" i="14"/>
  <c r="L44" i="14"/>
  <c r="L46" i="14" s="1"/>
  <c r="L54" i="14" s="1"/>
  <c r="L36" i="14"/>
  <c r="L27" i="14"/>
  <c r="L26" i="14"/>
  <c r="L20" i="14"/>
  <c r="I45" i="14"/>
  <c r="I44" i="14"/>
  <c r="I36" i="14"/>
  <c r="I26" i="14"/>
  <c r="I28" i="14" s="1"/>
  <c r="I20" i="14"/>
  <c r="F45" i="14"/>
  <c r="F44" i="14"/>
  <c r="F37" i="14"/>
  <c r="F36" i="14"/>
  <c r="F27" i="14"/>
  <c r="F26" i="14"/>
  <c r="F20" i="14"/>
  <c r="FL27" i="13"/>
  <c r="FL26" i="13"/>
  <c r="FL20" i="13"/>
  <c r="FI27" i="13"/>
  <c r="FI26" i="13"/>
  <c r="FI20" i="13"/>
  <c r="FF20" i="13"/>
  <c r="FC26" i="13"/>
  <c r="FC28" i="13" s="1"/>
  <c r="FC20" i="13"/>
  <c r="EZ26" i="13"/>
  <c r="EZ28" i="13" s="1"/>
  <c r="EZ20" i="13"/>
  <c r="ET27" i="13"/>
  <c r="ET26" i="13"/>
  <c r="EQ26" i="13"/>
  <c r="EQ28" i="13" s="1"/>
  <c r="EQ20" i="13"/>
  <c r="BZ20" i="15" l="1"/>
  <c r="R20" i="12"/>
  <c r="GT27" i="14"/>
  <c r="GP27" i="14"/>
  <c r="GP36" i="14"/>
  <c r="GT36" i="14"/>
  <c r="GT20" i="14"/>
  <c r="GP20" i="14"/>
  <c r="GT37" i="14"/>
  <c r="GP37" i="14"/>
  <c r="GS37" i="14" s="1"/>
  <c r="GT21" i="14"/>
  <c r="O22" i="12"/>
  <c r="GT45" i="14"/>
  <c r="GP45" i="14"/>
  <c r="BN45" i="15" s="1"/>
  <c r="GT44" i="14"/>
  <c r="GP44" i="14"/>
  <c r="CD36" i="15"/>
  <c r="BW17" i="15"/>
  <c r="BQ28" i="14"/>
  <c r="BN21" i="15"/>
  <c r="F21" i="12" s="1"/>
  <c r="AJ51" i="16"/>
  <c r="EM28" i="14"/>
  <c r="BZ27" i="15"/>
  <c r="CB46" i="15"/>
  <c r="CB50" i="15" s="1"/>
  <c r="AY50" i="15"/>
  <c r="BW47" i="15"/>
  <c r="O34" i="12"/>
  <c r="O11" i="12"/>
  <c r="G31" i="7" s="1"/>
  <c r="O31" i="12"/>
  <c r="O47" i="12"/>
  <c r="GS36" i="14"/>
  <c r="GQ27" i="14"/>
  <c r="L28" i="14"/>
  <c r="AA28" i="14"/>
  <c r="CD45" i="15"/>
  <c r="BT28" i="14"/>
  <c r="BW14" i="15"/>
  <c r="CG14" i="15" s="1"/>
  <c r="O24" i="12"/>
  <c r="O29" i="12"/>
  <c r="O35" i="12"/>
  <c r="BW24" i="15"/>
  <c r="I18" i="8" s="1"/>
  <c r="I19" i="8" s="1"/>
  <c r="BW18" i="15"/>
  <c r="O25" i="12"/>
  <c r="BW31" i="15"/>
  <c r="CG31" i="15" s="1"/>
  <c r="BW23" i="15"/>
  <c r="F18" i="8" s="1"/>
  <c r="F19" i="8" s="1"/>
  <c r="GS18" i="14"/>
  <c r="BW30" i="15"/>
  <c r="CG30" i="15" s="1"/>
  <c r="AY46" i="14"/>
  <c r="AY54" i="14" s="1"/>
  <c r="O9" i="12"/>
  <c r="BW16" i="15"/>
  <c r="O10" i="12"/>
  <c r="AB10" i="12" s="1"/>
  <c r="BW11" i="15"/>
  <c r="CG11" i="15" s="1"/>
  <c r="BW32" i="15"/>
  <c r="CG32" i="15" s="1"/>
  <c r="BW12" i="15"/>
  <c r="AK13" i="16"/>
  <c r="F17" i="12"/>
  <c r="O17" i="12" s="1"/>
  <c r="H41" i="5" s="1"/>
  <c r="F23" i="12"/>
  <c r="O23" i="12" s="1"/>
  <c r="CO28" i="14"/>
  <c r="BW41" i="15"/>
  <c r="I41" i="12"/>
  <c r="AK21" i="16"/>
  <c r="F18" i="12"/>
  <c r="O18" i="12" s="1"/>
  <c r="F30" i="12"/>
  <c r="O30" i="12" s="1"/>
  <c r="O8" i="12"/>
  <c r="O16" i="12"/>
  <c r="I137" i="4" s="1"/>
  <c r="ET28" i="13"/>
  <c r="BW33" i="15"/>
  <c r="CG33" i="15" s="1"/>
  <c r="I33" i="12"/>
  <c r="O33" i="12" s="1"/>
  <c r="AK27" i="16"/>
  <c r="L26" i="23"/>
  <c r="O26" i="23" s="1"/>
  <c r="F14" i="12"/>
  <c r="O14" i="12" s="1"/>
  <c r="F32" i="12"/>
  <c r="O32" i="12" s="1"/>
  <c r="GQ44" i="14"/>
  <c r="FI28" i="13"/>
  <c r="BW29" i="15"/>
  <c r="CG29" i="15" s="1"/>
  <c r="BW15" i="15"/>
  <c r="CZ28" i="14"/>
  <c r="BW9" i="15"/>
  <c r="CG9" i="15" s="1"/>
  <c r="BW34" i="15"/>
  <c r="CG34" i="15" s="1"/>
  <c r="BW40" i="15"/>
  <c r="BW35" i="15"/>
  <c r="CG35" i="15" s="1"/>
  <c r="F28" i="14"/>
  <c r="GQ20" i="14"/>
  <c r="CA46" i="15"/>
  <c r="F46" i="14"/>
  <c r="FL28" i="13"/>
  <c r="GQ26" i="14"/>
  <c r="R46" i="14"/>
  <c r="GQ45" i="14"/>
  <c r="BQ45" i="15" s="1"/>
  <c r="I45" i="12" s="1"/>
  <c r="AG26" i="14"/>
  <c r="AG28" i="14" s="1"/>
  <c r="GS13" i="14"/>
  <c r="CA28" i="15"/>
  <c r="CD28" i="15" s="1"/>
  <c r="GQ21" i="14"/>
  <c r="BQ21" i="15" s="1"/>
  <c r="I21" i="12" s="1"/>
  <c r="CI28" i="14"/>
  <c r="CA44" i="15"/>
  <c r="CD44" i="15" s="1"/>
  <c r="AH29" i="16"/>
  <c r="F28" i="23" s="1"/>
  <c r="BW22" i="15"/>
  <c r="BW25" i="15"/>
  <c r="CG25" i="15" s="1"/>
  <c r="BW42" i="15"/>
  <c r="BW39" i="15"/>
  <c r="BW10" i="15"/>
  <c r="CG10" i="15" s="1"/>
  <c r="BW43" i="15"/>
  <c r="R28" i="14"/>
  <c r="BK28" i="14"/>
  <c r="BN28" i="14"/>
  <c r="BW28" i="14"/>
  <c r="I46" i="14"/>
  <c r="I54" i="14" s="1"/>
  <c r="O28" i="14"/>
  <c r="U28" i="14"/>
  <c r="AJ28" i="14"/>
  <c r="AY28" i="14"/>
  <c r="CF28" i="14"/>
  <c r="AG46" i="14"/>
  <c r="AG54" i="14" s="1"/>
  <c r="EN27" i="13"/>
  <c r="EN13" i="13"/>
  <c r="EN26" i="13" s="1"/>
  <c r="EN20" i="13"/>
  <c r="EK44" i="13"/>
  <c r="EK46" i="13" s="1"/>
  <c r="EK36" i="13"/>
  <c r="EK27" i="13"/>
  <c r="EK26" i="13"/>
  <c r="EK20" i="13"/>
  <c r="EH26" i="13"/>
  <c r="EH28" i="13" s="1"/>
  <c r="EH20" i="13"/>
  <c r="EE27" i="13"/>
  <c r="EE26" i="13"/>
  <c r="EE20" i="13"/>
  <c r="EB26" i="13"/>
  <c r="EB28" i="13" s="1"/>
  <c r="EB20" i="13"/>
  <c r="DY26" i="13"/>
  <c r="DY28" i="13" s="1"/>
  <c r="DY20" i="13"/>
  <c r="DV26" i="13"/>
  <c r="DV28" i="13" s="1"/>
  <c r="DV20" i="13"/>
  <c r="DS26" i="13"/>
  <c r="DS28" i="13" s="1"/>
  <c r="DS20" i="13"/>
  <c r="DP26" i="13"/>
  <c r="DP28" i="13" s="1"/>
  <c r="DP20" i="13"/>
  <c r="DM27" i="13"/>
  <c r="DM26" i="13"/>
  <c r="DM20" i="13"/>
  <c r="DJ44" i="13"/>
  <c r="DJ36" i="13"/>
  <c r="DG26" i="13"/>
  <c r="DG28" i="13" s="1"/>
  <c r="DG20" i="13"/>
  <c r="DD26" i="13"/>
  <c r="DD28" i="13" s="1"/>
  <c r="DD20" i="13"/>
  <c r="DA26" i="13"/>
  <c r="DA28" i="13" s="1"/>
  <c r="DA20" i="13"/>
  <c r="CX26" i="13"/>
  <c r="CX28" i="13" s="1"/>
  <c r="CX20" i="13"/>
  <c r="CU26" i="13"/>
  <c r="CU28" i="13" s="1"/>
  <c r="CU20" i="13"/>
  <c r="CR26" i="13"/>
  <c r="CR28" i="13" s="1"/>
  <c r="CR20" i="13"/>
  <c r="CO26" i="13"/>
  <c r="CO28" i="13" s="1"/>
  <c r="CO20" i="13"/>
  <c r="CL26" i="13"/>
  <c r="CL28" i="13" s="1"/>
  <c r="CL20" i="13"/>
  <c r="CI26" i="13"/>
  <c r="FO26" i="13" s="1"/>
  <c r="BT26" i="15" s="1"/>
  <c r="CI20" i="13"/>
  <c r="FO20" i="13" s="1"/>
  <c r="BT20" i="15" s="1"/>
  <c r="L20" i="12" s="1"/>
  <c r="CF26" i="13"/>
  <c r="CF28" i="13" s="1"/>
  <c r="CF20" i="13"/>
  <c r="CC26" i="13"/>
  <c r="CC28" i="13" s="1"/>
  <c r="CC20" i="13"/>
  <c r="BZ26" i="13"/>
  <c r="BZ28" i="13" s="1"/>
  <c r="BZ20" i="13"/>
  <c r="BW26" i="13"/>
  <c r="BW28" i="13" s="1"/>
  <c r="BW20" i="13"/>
  <c r="BT26" i="13"/>
  <c r="BT28" i="13" s="1"/>
  <c r="BT20" i="13"/>
  <c r="BQ44" i="13"/>
  <c r="FN44" i="13" s="1"/>
  <c r="BQ36" i="13"/>
  <c r="FN36" i="13" s="1"/>
  <c r="BQ36" i="15" s="1"/>
  <c r="I36" i="12" s="1"/>
  <c r="BQ20" i="13"/>
  <c r="BQ13" i="13"/>
  <c r="BQ26" i="13" s="1"/>
  <c r="BQ28" i="13" s="1"/>
  <c r="BN20" i="13"/>
  <c r="BN13" i="13"/>
  <c r="FM13" i="13" s="1"/>
  <c r="BK20" i="13"/>
  <c r="BK13" i="13"/>
  <c r="BK26" i="13" s="1"/>
  <c r="BK28" i="13" s="1"/>
  <c r="BH20" i="13"/>
  <c r="BH13" i="13"/>
  <c r="BH26" i="13" s="1"/>
  <c r="BH28" i="13" s="1"/>
  <c r="BE20" i="13"/>
  <c r="BE13" i="13"/>
  <c r="BE26" i="13" s="1"/>
  <c r="BE28" i="13" s="1"/>
  <c r="BB13" i="13"/>
  <c r="BB28" i="13" s="1"/>
  <c r="BB54" i="13" s="1"/>
  <c r="AY20" i="13"/>
  <c r="AY13" i="13"/>
  <c r="AY26" i="13" s="1"/>
  <c r="AY28" i="13" s="1"/>
  <c r="AV27" i="13"/>
  <c r="AS27" i="13"/>
  <c r="AS26" i="13"/>
  <c r="AV20" i="13"/>
  <c r="AV13" i="13"/>
  <c r="AV26" i="13" s="1"/>
  <c r="AV28" i="13" s="1"/>
  <c r="AS19" i="13"/>
  <c r="AS20" i="13"/>
  <c r="AP27" i="13"/>
  <c r="AP20" i="13"/>
  <c r="AP13" i="13"/>
  <c r="AP26" i="13" s="1"/>
  <c r="AJ27" i="13"/>
  <c r="AJ28" i="13" s="1"/>
  <c r="AJ20" i="13"/>
  <c r="AJ19" i="13"/>
  <c r="AG27" i="13"/>
  <c r="AG28" i="13" s="1"/>
  <c r="AG20" i="13"/>
  <c r="AG19" i="13"/>
  <c r="AD27" i="13"/>
  <c r="AD28" i="13" s="1"/>
  <c r="AD20" i="13"/>
  <c r="AD19" i="13"/>
  <c r="X27" i="13"/>
  <c r="X28" i="13" s="1"/>
  <c r="X20" i="13"/>
  <c r="U26" i="13"/>
  <c r="U20" i="13"/>
  <c r="I27" i="13"/>
  <c r="I28" i="13" s="1"/>
  <c r="I20" i="13"/>
  <c r="F27" i="13"/>
  <c r="F28" i="13" s="1"/>
  <c r="F20" i="13"/>
  <c r="BZ28" i="15" l="1"/>
  <c r="R28" i="12"/>
  <c r="CG12" i="15"/>
  <c r="G135" i="4"/>
  <c r="G137" i="4" s="1"/>
  <c r="CG16" i="15"/>
  <c r="U29" i="2"/>
  <c r="CG18" i="15"/>
  <c r="GT26" i="14"/>
  <c r="F54" i="14"/>
  <c r="GP46" i="14"/>
  <c r="GT46" i="14"/>
  <c r="GT54" i="14" s="1"/>
  <c r="GP28" i="14"/>
  <c r="GT28" i="14"/>
  <c r="G37" i="5"/>
  <c r="G38" i="5" s="1"/>
  <c r="CG17" i="15"/>
  <c r="GP26" i="14"/>
  <c r="BQ44" i="15"/>
  <c r="I44" i="12" s="1"/>
  <c r="GS27" i="14"/>
  <c r="GQ46" i="14"/>
  <c r="GQ54" i="14" s="1"/>
  <c r="R54" i="14"/>
  <c r="CD46" i="15"/>
  <c r="CA50" i="15"/>
  <c r="BN37" i="15"/>
  <c r="BW37" i="15" s="1"/>
  <c r="CG37" i="15" s="1"/>
  <c r="GS26" i="14"/>
  <c r="AS28" i="13"/>
  <c r="FM44" i="13"/>
  <c r="BN44" i="15" s="1"/>
  <c r="GS44" i="14"/>
  <c r="GS20" i="14"/>
  <c r="O20" i="23"/>
  <c r="P20" i="23" s="1"/>
  <c r="F12" i="12"/>
  <c r="O12" i="12" s="1"/>
  <c r="O12" i="23"/>
  <c r="P12" i="23" s="1"/>
  <c r="DM28" i="13"/>
  <c r="O21" i="12"/>
  <c r="V25" i="12" s="1"/>
  <c r="L26" i="12"/>
  <c r="AK29" i="16"/>
  <c r="BN26" i="13"/>
  <c r="BN28" i="13" s="1"/>
  <c r="EE28" i="13"/>
  <c r="GS45" i="14"/>
  <c r="FM36" i="13"/>
  <c r="FP36" i="13" s="1"/>
  <c r="EN28" i="13"/>
  <c r="BW45" i="15"/>
  <c r="FN26" i="13"/>
  <c r="BQ26" i="15" s="1"/>
  <c r="I26" i="12" s="1"/>
  <c r="FN19" i="13"/>
  <c r="BW21" i="15"/>
  <c r="CG21" i="15" s="1"/>
  <c r="GS21" i="14"/>
  <c r="FM20" i="13"/>
  <c r="U28" i="13"/>
  <c r="BQ46" i="13"/>
  <c r="FN46" i="13" s="1"/>
  <c r="FM27" i="13"/>
  <c r="FN20" i="13"/>
  <c r="BQ20" i="15" s="1"/>
  <c r="I20" i="12" s="1"/>
  <c r="AP28" i="13"/>
  <c r="DJ46" i="13"/>
  <c r="FM46" i="13" s="1"/>
  <c r="GQ28" i="14"/>
  <c r="FN13" i="13"/>
  <c r="BQ13" i="15" s="1"/>
  <c r="I13" i="12" s="1"/>
  <c r="FN27" i="13"/>
  <c r="BQ27" i="15" s="1"/>
  <c r="I27" i="12" s="1"/>
  <c r="BN13" i="15"/>
  <c r="F13" i="12" s="1"/>
  <c r="CI28" i="13"/>
  <c r="FO28" i="13" s="1"/>
  <c r="BT28" i="15" s="1"/>
  <c r="L28" i="12" s="1"/>
  <c r="EK28" i="13"/>
  <c r="P47" i="23"/>
  <c r="Q46" i="23"/>
  <c r="P36" i="23"/>
  <c r="P35" i="23"/>
  <c r="P34" i="23"/>
  <c r="P33" i="23"/>
  <c r="P32" i="23"/>
  <c r="P31" i="23"/>
  <c r="P30" i="23"/>
  <c r="P29" i="23"/>
  <c r="P27" i="23"/>
  <c r="Q26" i="23"/>
  <c r="P26" i="23"/>
  <c r="P25" i="23"/>
  <c r="P24" i="23"/>
  <c r="P23" i="23"/>
  <c r="P22" i="23"/>
  <c r="P21" i="23"/>
  <c r="P19" i="23"/>
  <c r="P18" i="23"/>
  <c r="P17" i="23"/>
  <c r="P16" i="23"/>
  <c r="P14" i="23"/>
  <c r="P13" i="23"/>
  <c r="P11" i="23"/>
  <c r="EB10" i="23"/>
  <c r="P10" i="23"/>
  <c r="P9" i="23"/>
  <c r="P8" i="23"/>
  <c r="P29" i="22"/>
  <c r="AR48" i="21"/>
  <c r="AL48" i="21"/>
  <c r="AI48" i="21"/>
  <c r="AF48" i="21"/>
  <c r="Z48" i="21"/>
  <c r="Q48" i="21"/>
  <c r="K48" i="21"/>
  <c r="K48" i="20"/>
  <c r="H48" i="20"/>
  <c r="N33" i="19"/>
  <c r="N48" i="18"/>
  <c r="G11" i="17"/>
  <c r="BW44" i="15" l="1"/>
  <c r="BQ46" i="15"/>
  <c r="I46" i="12" s="1"/>
  <c r="FP44" i="13"/>
  <c r="CD50" i="15"/>
  <c r="CF46" i="15"/>
  <c r="CF50" i="15" s="1"/>
  <c r="GS46" i="14"/>
  <c r="GS54" i="14" s="1"/>
  <c r="GP54" i="14"/>
  <c r="FM26" i="13"/>
  <c r="FP26" i="13" s="1"/>
  <c r="BN36" i="15"/>
  <c r="F36" i="12" s="1"/>
  <c r="O36" i="12" s="1"/>
  <c r="FN28" i="13"/>
  <c r="BQ28" i="15" s="1"/>
  <c r="FP13" i="13"/>
  <c r="O13" i="12"/>
  <c r="AA16" i="12" s="1"/>
  <c r="O28" i="23"/>
  <c r="P28" i="23" s="1"/>
  <c r="FM28" i="13"/>
  <c r="BW13" i="15"/>
  <c r="GS28" i="14"/>
  <c r="BQ19" i="15"/>
  <c r="FP19" i="13"/>
  <c r="FP20" i="13"/>
  <c r="BN20" i="15"/>
  <c r="FP46" i="13"/>
  <c r="BN46" i="15"/>
  <c r="BN27" i="15"/>
  <c r="FP27" i="13"/>
  <c r="Y37" i="17"/>
  <c r="Y21" i="17"/>
  <c r="I28" i="12" l="1"/>
  <c r="O28" i="12" s="1"/>
  <c r="U28" i="12" s="1"/>
  <c r="BP54" i="15"/>
  <c r="J170" i="24"/>
  <c r="CH13" i="15"/>
  <c r="BQ50" i="15"/>
  <c r="BN26" i="15"/>
  <c r="BW26" i="15" s="1"/>
  <c r="BW46" i="15"/>
  <c r="CG48" i="15" s="1"/>
  <c r="BN50" i="15"/>
  <c r="BW36" i="15"/>
  <c r="CF48" i="15" s="1"/>
  <c r="FP28" i="13"/>
  <c r="FS28" i="13" s="1"/>
  <c r="BW19" i="15"/>
  <c r="I19" i="12"/>
  <c r="O19" i="12" s="1"/>
  <c r="BW27" i="15"/>
  <c r="F27" i="12"/>
  <c r="O27" i="12" s="1"/>
  <c r="BW20" i="15"/>
  <c r="CG20" i="15" s="1"/>
  <c r="F20" i="12"/>
  <c r="O20" i="12" s="1"/>
  <c r="BN28" i="15"/>
  <c r="Y45" i="17"/>
  <c r="BW50" i="15" l="1"/>
  <c r="F26" i="12"/>
  <c r="O26" i="12" s="1"/>
  <c r="BW28" i="15"/>
  <c r="F28" i="12"/>
  <c r="V23" i="12" s="1"/>
  <c r="BL48" i="21"/>
  <c r="AE48" i="20"/>
  <c r="S47" i="19"/>
  <c r="Y47" i="17"/>
  <c r="V22" i="12" l="1"/>
  <c r="N48" i="16"/>
  <c r="K48" i="16"/>
  <c r="BI45" i="15"/>
  <c r="BG45" i="15"/>
  <c r="BF45" i="15"/>
  <c r="AZ45" i="15"/>
  <c r="AX45" i="15"/>
  <c r="AX46" i="15" s="1"/>
  <c r="AX50" i="15" s="1"/>
  <c r="AW45" i="15"/>
  <c r="AT45" i="15"/>
  <c r="AR45" i="15"/>
  <c r="AQ45" i="15"/>
  <c r="AO45" i="15"/>
  <c r="AN45" i="15"/>
  <c r="AL45" i="15"/>
  <c r="AK45" i="15"/>
  <c r="AI45" i="15"/>
  <c r="AH45" i="15"/>
  <c r="AF45" i="15"/>
  <c r="AE45" i="15"/>
  <c r="AC45" i="15"/>
  <c r="AB45" i="15"/>
  <c r="Z45" i="15"/>
  <c r="Y45" i="15"/>
  <c r="W45" i="15"/>
  <c r="V45" i="15"/>
  <c r="T45" i="15"/>
  <c r="S45" i="15"/>
  <c r="Q45" i="15"/>
  <c r="P45" i="15"/>
  <c r="N45" i="15"/>
  <c r="M45" i="15"/>
  <c r="K45" i="15"/>
  <c r="J45" i="15"/>
  <c r="H45" i="15"/>
  <c r="G45" i="15"/>
  <c r="E45" i="15"/>
  <c r="D45" i="15"/>
  <c r="BI44" i="15"/>
  <c r="BF44" i="15"/>
  <c r="BF46" i="15" s="1"/>
  <c r="BF50" i="15" s="1"/>
  <c r="AZ44" i="15"/>
  <c r="AW44" i="15"/>
  <c r="AU44" i="15"/>
  <c r="AT44" i="15"/>
  <c r="AT46" i="15" s="1"/>
  <c r="AT50" i="15" s="1"/>
  <c r="AQ44" i="15"/>
  <c r="AN44" i="15"/>
  <c r="AN46" i="15" s="1"/>
  <c r="AN50" i="15" s="1"/>
  <c r="AK44" i="15"/>
  <c r="AH44" i="15"/>
  <c r="AH46" i="15" s="1"/>
  <c r="AH50" i="15" s="1"/>
  <c r="AB44" i="15"/>
  <c r="Y44" i="15"/>
  <c r="V44" i="15"/>
  <c r="V46" i="15" s="1"/>
  <c r="V50" i="15" s="1"/>
  <c r="S44" i="15"/>
  <c r="P44" i="15"/>
  <c r="M44" i="15"/>
  <c r="K44" i="15"/>
  <c r="J44" i="15"/>
  <c r="J46" i="15" s="1"/>
  <c r="J50" i="15" s="1"/>
  <c r="H44" i="15"/>
  <c r="G44" i="15"/>
  <c r="D44" i="15"/>
  <c r="D46" i="15" s="1"/>
  <c r="BD43" i="15"/>
  <c r="BD42" i="15"/>
  <c r="BD41" i="15"/>
  <c r="BC45" i="15"/>
  <c r="BC44" i="15"/>
  <c r="BJ37" i="15"/>
  <c r="BI37" i="15"/>
  <c r="BG37" i="15"/>
  <c r="BF37" i="15"/>
  <c r="BC37" i="15"/>
  <c r="BA37" i="15"/>
  <c r="AZ37" i="15"/>
  <c r="AW37" i="15"/>
  <c r="AU37" i="15"/>
  <c r="AT37" i="15"/>
  <c r="AR37" i="15"/>
  <c r="AQ37" i="15"/>
  <c r="AO37" i="15"/>
  <c r="AN37" i="15"/>
  <c r="AL37" i="15"/>
  <c r="AK37" i="15"/>
  <c r="AI37" i="15"/>
  <c r="AH37" i="15"/>
  <c r="AF37" i="15"/>
  <c r="AE37" i="15"/>
  <c r="AC37" i="15"/>
  <c r="AB37" i="15"/>
  <c r="Z37" i="15"/>
  <c r="Y37" i="15"/>
  <c r="W37" i="15"/>
  <c r="V37" i="15"/>
  <c r="T37" i="15"/>
  <c r="S37" i="15"/>
  <c r="Q37" i="15"/>
  <c r="P37" i="15"/>
  <c r="N37" i="15"/>
  <c r="M37" i="15"/>
  <c r="K37" i="15"/>
  <c r="J37" i="15"/>
  <c r="H37" i="15"/>
  <c r="G37" i="15"/>
  <c r="E37" i="15"/>
  <c r="D37" i="15"/>
  <c r="BI36" i="15"/>
  <c r="BC36" i="15"/>
  <c r="AX36" i="15"/>
  <c r="AW36" i="15"/>
  <c r="AT36" i="15"/>
  <c r="AR36" i="15"/>
  <c r="AQ36" i="15"/>
  <c r="AN36" i="15"/>
  <c r="AL36" i="15"/>
  <c r="AK36" i="15"/>
  <c r="AH36" i="15"/>
  <c r="AB36" i="15"/>
  <c r="Z36" i="15"/>
  <c r="Y36" i="15"/>
  <c r="V36" i="15"/>
  <c r="T36" i="15"/>
  <c r="S36" i="15"/>
  <c r="P36" i="15"/>
  <c r="M36" i="15"/>
  <c r="K36" i="15"/>
  <c r="J36" i="15"/>
  <c r="H36" i="15"/>
  <c r="G36" i="15"/>
  <c r="D36" i="15"/>
  <c r="AU36" i="15"/>
  <c r="BJ34" i="15"/>
  <c r="BJ44" i="15" s="1"/>
  <c r="BJ33" i="15"/>
  <c r="BJ45" i="15" s="1"/>
  <c r="BA45" i="15"/>
  <c r="AZ36" i="15"/>
  <c r="BA36" i="15"/>
  <c r="AR44" i="15"/>
  <c r="AO36" i="15"/>
  <c r="AL44" i="15"/>
  <c r="N44" i="15"/>
  <c r="BD36" i="15"/>
  <c r="AI36" i="15"/>
  <c r="AE36" i="15"/>
  <c r="AC36" i="15"/>
  <c r="Z44" i="15"/>
  <c r="W36" i="15"/>
  <c r="T44" i="15"/>
  <c r="Q36" i="15"/>
  <c r="E36" i="15"/>
  <c r="BJ26" i="15"/>
  <c r="BI26" i="15"/>
  <c r="BG26" i="15"/>
  <c r="BF26" i="15"/>
  <c r="BD26" i="15"/>
  <c r="BC26" i="15"/>
  <c r="BA26" i="15"/>
  <c r="AZ26" i="15"/>
  <c r="AX26" i="15"/>
  <c r="AW26" i="15"/>
  <c r="AU26" i="15"/>
  <c r="AT26" i="15"/>
  <c r="AR26" i="15"/>
  <c r="AQ26" i="15"/>
  <c r="AL26" i="15"/>
  <c r="AK26" i="15"/>
  <c r="AI26" i="15"/>
  <c r="AH26" i="15"/>
  <c r="AF26" i="15"/>
  <c r="AE26" i="15"/>
  <c r="AC26" i="15"/>
  <c r="AB26" i="15"/>
  <c r="Z26" i="15"/>
  <c r="Y26" i="15"/>
  <c r="W26" i="15"/>
  <c r="V26" i="15"/>
  <c r="T26" i="15"/>
  <c r="S26" i="15"/>
  <c r="Q26" i="15"/>
  <c r="P26" i="15"/>
  <c r="N26" i="15"/>
  <c r="M26" i="15"/>
  <c r="K26" i="15"/>
  <c r="J26" i="15"/>
  <c r="G26" i="15"/>
  <c r="E26" i="15"/>
  <c r="D26" i="15"/>
  <c r="BJ21" i="15"/>
  <c r="BI21" i="15"/>
  <c r="BG21" i="15"/>
  <c r="BF21" i="15"/>
  <c r="BD21" i="15"/>
  <c r="BC21" i="15"/>
  <c r="BA21" i="15"/>
  <c r="AZ21" i="15"/>
  <c r="AX21" i="15"/>
  <c r="AW21" i="15"/>
  <c r="AU21" i="15"/>
  <c r="AT21" i="15"/>
  <c r="AR21" i="15"/>
  <c r="AQ21" i="15"/>
  <c r="AO21" i="15"/>
  <c r="AN21" i="15"/>
  <c r="AL21" i="15"/>
  <c r="AK21" i="15"/>
  <c r="AI21" i="15"/>
  <c r="AH21" i="15"/>
  <c r="AF21" i="15"/>
  <c r="AE21" i="15"/>
  <c r="AC21" i="15"/>
  <c r="AB21" i="15"/>
  <c r="Z21" i="15"/>
  <c r="Y21" i="15"/>
  <c r="W21" i="15"/>
  <c r="V21" i="15"/>
  <c r="T21" i="15"/>
  <c r="S21" i="15"/>
  <c r="Q21" i="15"/>
  <c r="P21" i="15"/>
  <c r="N21" i="15"/>
  <c r="M21" i="15"/>
  <c r="K21" i="15"/>
  <c r="J21" i="15"/>
  <c r="H21" i="15"/>
  <c r="G21" i="15"/>
  <c r="E21" i="15"/>
  <c r="D21" i="15"/>
  <c r="BJ18" i="15"/>
  <c r="BJ27" i="15" s="1"/>
  <c r="BI18" i="15"/>
  <c r="BI27" i="15" s="1"/>
  <c r="BG18" i="15"/>
  <c r="BG27" i="15" s="1"/>
  <c r="BF18" i="15"/>
  <c r="BF27" i="15" s="1"/>
  <c r="BD18" i="15"/>
  <c r="BD27" i="15" s="1"/>
  <c r="BC18" i="15"/>
  <c r="BA18" i="15"/>
  <c r="BA27" i="15" s="1"/>
  <c r="AZ18" i="15"/>
  <c r="AZ27" i="15" s="1"/>
  <c r="AX18" i="15"/>
  <c r="AX27" i="15" s="1"/>
  <c r="AW18" i="15"/>
  <c r="AU18" i="15"/>
  <c r="AU27" i="15" s="1"/>
  <c r="AT18" i="15"/>
  <c r="AT27" i="15" s="1"/>
  <c r="AR18" i="15"/>
  <c r="AR27" i="15" s="1"/>
  <c r="AQ18" i="15"/>
  <c r="AQ27" i="15" s="1"/>
  <c r="AO18" i="15"/>
  <c r="AO27" i="15" s="1"/>
  <c r="AN18" i="15"/>
  <c r="AN27" i="15" s="1"/>
  <c r="AL18" i="15"/>
  <c r="AL27" i="15" s="1"/>
  <c r="AK18" i="15"/>
  <c r="AK27" i="15" s="1"/>
  <c r="AI18" i="15"/>
  <c r="AI27" i="15" s="1"/>
  <c r="AH18" i="15"/>
  <c r="AH27" i="15" s="1"/>
  <c r="AF18" i="15"/>
  <c r="AF27" i="15" s="1"/>
  <c r="AE18" i="15"/>
  <c r="AC18" i="15"/>
  <c r="AC27" i="15" s="1"/>
  <c r="AB18" i="15"/>
  <c r="AB27" i="15" s="1"/>
  <c r="Z18" i="15"/>
  <c r="Z27" i="15" s="1"/>
  <c r="Y18" i="15"/>
  <c r="Y27" i="15" s="1"/>
  <c r="W18" i="15"/>
  <c r="W27" i="15" s="1"/>
  <c r="V18" i="15"/>
  <c r="V27" i="15" s="1"/>
  <c r="T18" i="15"/>
  <c r="T27" i="15" s="1"/>
  <c r="S18" i="15"/>
  <c r="S27" i="15" s="1"/>
  <c r="Q18" i="15"/>
  <c r="Q27" i="15" s="1"/>
  <c r="P18" i="15"/>
  <c r="P27" i="15" s="1"/>
  <c r="N18" i="15"/>
  <c r="N27" i="15" s="1"/>
  <c r="M18" i="15"/>
  <c r="K18" i="15"/>
  <c r="K27" i="15" s="1"/>
  <c r="J18" i="15"/>
  <c r="J27" i="15" s="1"/>
  <c r="H18" i="15"/>
  <c r="H27" i="15" s="1"/>
  <c r="G18" i="15"/>
  <c r="G27" i="15" s="1"/>
  <c r="E18" i="15"/>
  <c r="E27" i="15" s="1"/>
  <c r="D18" i="15"/>
  <c r="D27" i="15" s="1"/>
  <c r="H26" i="15"/>
  <c r="H28" i="15" s="1"/>
  <c r="BJ12" i="15"/>
  <c r="BI12" i="15"/>
  <c r="BG12" i="15"/>
  <c r="BF12" i="15"/>
  <c r="BD12" i="15"/>
  <c r="BC12" i="15"/>
  <c r="BA12" i="15"/>
  <c r="AZ12" i="15"/>
  <c r="AX12" i="15"/>
  <c r="AW12" i="15"/>
  <c r="AU12" i="15"/>
  <c r="AT12" i="15"/>
  <c r="AR12" i="15"/>
  <c r="AQ12" i="15"/>
  <c r="AO12" i="15"/>
  <c r="AN12" i="15"/>
  <c r="AL12" i="15"/>
  <c r="AK12" i="15"/>
  <c r="AI12" i="15"/>
  <c r="AH12" i="15"/>
  <c r="AF12" i="15"/>
  <c r="AE12" i="15"/>
  <c r="AC12" i="15"/>
  <c r="AB12" i="15"/>
  <c r="Z12" i="15"/>
  <c r="Y12" i="15"/>
  <c r="W12" i="15"/>
  <c r="V12" i="15"/>
  <c r="T12" i="15"/>
  <c r="S12" i="15"/>
  <c r="Q12" i="15"/>
  <c r="P12" i="15"/>
  <c r="N12" i="15"/>
  <c r="M12" i="15"/>
  <c r="K12" i="15"/>
  <c r="J12" i="15"/>
  <c r="E12" i="15"/>
  <c r="D12" i="15"/>
  <c r="AO26" i="15"/>
  <c r="AN26" i="15"/>
  <c r="K26" i="14"/>
  <c r="T26" i="14"/>
  <c r="Z26" i="14"/>
  <c r="AI26" i="14"/>
  <c r="BJ26" i="14"/>
  <c r="BV26" i="14"/>
  <c r="CB26" i="14"/>
  <c r="CH26" i="14"/>
  <c r="CT26" i="14"/>
  <c r="DE26" i="14"/>
  <c r="DQ26" i="14"/>
  <c r="FI10" i="14"/>
  <c r="FV26" i="14"/>
  <c r="FM26" i="14"/>
  <c r="FY26" i="14"/>
  <c r="D12" i="14"/>
  <c r="E12" i="14"/>
  <c r="G12" i="14"/>
  <c r="H12" i="14"/>
  <c r="J12" i="14"/>
  <c r="K12" i="14"/>
  <c r="M12" i="14"/>
  <c r="N12" i="14"/>
  <c r="P12" i="14"/>
  <c r="Q12" i="14"/>
  <c r="S12" i="14"/>
  <c r="T12" i="14"/>
  <c r="V12" i="14"/>
  <c r="W12" i="14"/>
  <c r="Y12" i="14"/>
  <c r="Z12" i="14"/>
  <c r="AB12" i="14"/>
  <c r="AC12" i="14"/>
  <c r="AH12" i="14"/>
  <c r="AI12" i="14"/>
  <c r="AK12" i="14"/>
  <c r="AL12" i="14"/>
  <c r="AN12" i="14"/>
  <c r="AO12" i="14"/>
  <c r="AQ12" i="14"/>
  <c r="AR12" i="14"/>
  <c r="AT12" i="14"/>
  <c r="AU12" i="14"/>
  <c r="AW12" i="14"/>
  <c r="AX12" i="14"/>
  <c r="AZ12" i="14"/>
  <c r="BA12" i="14"/>
  <c r="BC12" i="14"/>
  <c r="BD12" i="14"/>
  <c r="BF12" i="14"/>
  <c r="BG12" i="14"/>
  <c r="BI12" i="14"/>
  <c r="BJ12" i="14"/>
  <c r="BL12" i="14"/>
  <c r="BM12" i="14"/>
  <c r="BO12" i="14"/>
  <c r="BP12" i="14"/>
  <c r="BR12" i="14"/>
  <c r="BS12" i="14"/>
  <c r="BU12" i="14"/>
  <c r="BX12" i="14"/>
  <c r="CA12" i="14"/>
  <c r="CD12" i="14"/>
  <c r="CG12" i="14"/>
  <c r="CJ12" i="14"/>
  <c r="CM12" i="14"/>
  <c r="CP12" i="14"/>
  <c r="CQ12" i="14"/>
  <c r="CS12" i="14"/>
  <c r="CT12" i="14"/>
  <c r="CX12" i="14"/>
  <c r="CY12" i="14"/>
  <c r="DA12" i="14"/>
  <c r="DB12" i="14"/>
  <c r="DD12" i="14"/>
  <c r="DE12" i="14"/>
  <c r="DG12" i="14"/>
  <c r="DH12" i="14"/>
  <c r="DJ12" i="14"/>
  <c r="DK12" i="14"/>
  <c r="DM12" i="14"/>
  <c r="DN12" i="14"/>
  <c r="DP12" i="14"/>
  <c r="DQ12" i="14"/>
  <c r="DS12" i="14"/>
  <c r="DT12" i="14"/>
  <c r="DV12" i="14"/>
  <c r="DW12" i="14"/>
  <c r="DY12" i="14"/>
  <c r="DZ12" i="14"/>
  <c r="EQ12" i="14"/>
  <c r="ER12" i="14"/>
  <c r="ET12" i="14"/>
  <c r="EU12" i="14"/>
  <c r="EW12" i="14"/>
  <c r="EX12" i="14"/>
  <c r="EZ12" i="14"/>
  <c r="FA12" i="14"/>
  <c r="FC12" i="14"/>
  <c r="FD12" i="14"/>
  <c r="FF12" i="14"/>
  <c r="FG12" i="14"/>
  <c r="FI12" i="14"/>
  <c r="FJ12" i="14"/>
  <c r="FL12" i="14"/>
  <c r="FM12" i="14"/>
  <c r="FO12" i="14"/>
  <c r="FP12" i="14"/>
  <c r="FR12" i="14"/>
  <c r="FS12" i="14"/>
  <c r="FU12" i="14"/>
  <c r="FV12" i="14"/>
  <c r="FX12" i="14"/>
  <c r="FY12" i="14"/>
  <c r="D18" i="14"/>
  <c r="D27" i="14" s="1"/>
  <c r="E18" i="14"/>
  <c r="E27" i="14" s="1"/>
  <c r="G18" i="14"/>
  <c r="G27" i="14" s="1"/>
  <c r="H18" i="14"/>
  <c r="H27" i="14" s="1"/>
  <c r="J18" i="14"/>
  <c r="J27" i="14" s="1"/>
  <c r="K18" i="14"/>
  <c r="M18" i="14"/>
  <c r="M27" i="14" s="1"/>
  <c r="N18" i="14"/>
  <c r="P18" i="14"/>
  <c r="Q18" i="14"/>
  <c r="Q27" i="14" s="1"/>
  <c r="S18" i="14"/>
  <c r="S27" i="14" s="1"/>
  <c r="T18" i="14"/>
  <c r="T27" i="14" s="1"/>
  <c r="V18" i="14"/>
  <c r="V27" i="14" s="1"/>
  <c r="W18" i="14"/>
  <c r="W27" i="14" s="1"/>
  <c r="Y18" i="14"/>
  <c r="Y27" i="14" s="1"/>
  <c r="Z18" i="14"/>
  <c r="Z27" i="14" s="1"/>
  <c r="AB18" i="14"/>
  <c r="AC18" i="14"/>
  <c r="AC27" i="14" s="1"/>
  <c r="AE18" i="14"/>
  <c r="AE27" i="14" s="1"/>
  <c r="AF18" i="14"/>
  <c r="AF27" i="14" s="1"/>
  <c r="AH18" i="14"/>
  <c r="AH27" i="14" s="1"/>
  <c r="AI18" i="14"/>
  <c r="AK18" i="14"/>
  <c r="AK27" i="14" s="1"/>
  <c r="AL18" i="14"/>
  <c r="AL27" i="14" s="1"/>
  <c r="AN18" i="14"/>
  <c r="AO18" i="14"/>
  <c r="AQ18" i="14"/>
  <c r="AQ27" i="14" s="1"/>
  <c r="AR18" i="14"/>
  <c r="AR27" i="14" s="1"/>
  <c r="AT18" i="14"/>
  <c r="AU18" i="14"/>
  <c r="AW18" i="14"/>
  <c r="AW27" i="14" s="1"/>
  <c r="AX18" i="14"/>
  <c r="AX27" i="14" s="1"/>
  <c r="AZ18" i="14"/>
  <c r="BA18" i="14"/>
  <c r="BC18" i="14"/>
  <c r="BC27" i="14" s="1"/>
  <c r="BD18" i="14"/>
  <c r="BF18" i="14"/>
  <c r="BG18" i="14"/>
  <c r="BI18" i="14"/>
  <c r="BI27" i="14" s="1"/>
  <c r="BJ18" i="14"/>
  <c r="BJ27" i="14" s="1"/>
  <c r="BL18" i="14"/>
  <c r="BM18" i="14"/>
  <c r="BM27" i="14" s="1"/>
  <c r="BO18" i="14"/>
  <c r="BO27" i="14" s="1"/>
  <c r="BP18" i="14"/>
  <c r="BP27" i="14" s="1"/>
  <c r="BR18" i="14"/>
  <c r="BS18" i="14"/>
  <c r="BS27" i="14" s="1"/>
  <c r="BU18" i="14"/>
  <c r="BU27" i="14" s="1"/>
  <c r="BV18" i="14"/>
  <c r="BV27" i="14" s="1"/>
  <c r="BX18" i="14"/>
  <c r="BY18" i="14"/>
  <c r="BY27" i="14" s="1"/>
  <c r="CA18" i="14"/>
  <c r="CB18" i="14"/>
  <c r="CB27" i="14" s="1"/>
  <c r="CD18" i="14"/>
  <c r="CD27" i="14" s="1"/>
  <c r="CE18" i="14"/>
  <c r="CE27" i="14" s="1"/>
  <c r="CG18" i="14"/>
  <c r="CG27" i="14" s="1"/>
  <c r="CH18" i="14"/>
  <c r="CJ18" i="14"/>
  <c r="CK18" i="14"/>
  <c r="CK27" i="14" s="1"/>
  <c r="CM18" i="14"/>
  <c r="CM27" i="14" s="1"/>
  <c r="CN18" i="14"/>
  <c r="CN27" i="14" s="1"/>
  <c r="CP18" i="14"/>
  <c r="CP27" i="14" s="1"/>
  <c r="CQ18" i="14"/>
  <c r="CQ27" i="14" s="1"/>
  <c r="CS18" i="14"/>
  <c r="CS27" i="14" s="1"/>
  <c r="CT18" i="14"/>
  <c r="CT27" i="14" s="1"/>
  <c r="CV18" i="14"/>
  <c r="CV27" i="14" s="1"/>
  <c r="CW18" i="14"/>
  <c r="CW27" i="14" s="1"/>
  <c r="CX18" i="14"/>
  <c r="CX27" i="14" s="1"/>
  <c r="CY18" i="14"/>
  <c r="CY27" i="14" s="1"/>
  <c r="DA18" i="14"/>
  <c r="DB18" i="14"/>
  <c r="DB27" i="14" s="1"/>
  <c r="DD18" i="14"/>
  <c r="DD27" i="14" s="1"/>
  <c r="DE18" i="14"/>
  <c r="DE27" i="14" s="1"/>
  <c r="DG18" i="14"/>
  <c r="DH18" i="14"/>
  <c r="DH27" i="14" s="1"/>
  <c r="DJ18" i="14"/>
  <c r="DJ27" i="14" s="1"/>
  <c r="DK18" i="14"/>
  <c r="DK27" i="14" s="1"/>
  <c r="DM18" i="14"/>
  <c r="DN18" i="14"/>
  <c r="DN27" i="14" s="1"/>
  <c r="DP18" i="14"/>
  <c r="DP27" i="14" s="1"/>
  <c r="DQ18" i="14"/>
  <c r="DS18" i="14"/>
  <c r="DT18" i="14"/>
  <c r="DT27" i="14" s="1"/>
  <c r="DV18" i="14"/>
  <c r="DV27" i="14" s="1"/>
  <c r="DW18" i="14"/>
  <c r="DW27" i="14" s="1"/>
  <c r="DY18" i="14"/>
  <c r="DZ18" i="14"/>
  <c r="EE18" i="14"/>
  <c r="EE27" i="14" s="1"/>
  <c r="EF18" i="14"/>
  <c r="EF27" i="14" s="1"/>
  <c r="EQ18" i="14"/>
  <c r="ER18" i="14"/>
  <c r="ER27" i="14" s="1"/>
  <c r="ET18" i="14"/>
  <c r="ET27" i="14" s="1"/>
  <c r="EU18" i="14"/>
  <c r="EU27" i="14" s="1"/>
  <c r="EW18" i="14"/>
  <c r="EX18" i="14"/>
  <c r="EX27" i="14" s="1"/>
  <c r="EZ18" i="14"/>
  <c r="EZ27" i="14" s="1"/>
  <c r="FA18" i="14"/>
  <c r="FA27" i="14" s="1"/>
  <c r="FC18" i="14"/>
  <c r="FD18" i="14"/>
  <c r="FD27" i="14" s="1"/>
  <c r="FF18" i="14"/>
  <c r="FG18" i="14"/>
  <c r="FI18" i="14"/>
  <c r="FI27" i="14" s="1"/>
  <c r="FJ18" i="14"/>
  <c r="FJ27" i="14" s="1"/>
  <c r="FL18" i="14"/>
  <c r="FL27" i="14" s="1"/>
  <c r="FM18" i="14"/>
  <c r="FM27" i="14" s="1"/>
  <c r="FO18" i="14"/>
  <c r="FP18" i="14"/>
  <c r="FP27" i="14" s="1"/>
  <c r="FR18" i="14"/>
  <c r="FR27" i="14" s="1"/>
  <c r="FS18" i="14"/>
  <c r="FS27" i="14" s="1"/>
  <c r="FU18" i="14"/>
  <c r="FU27" i="14" s="1"/>
  <c r="FV18" i="14"/>
  <c r="FX18" i="14"/>
  <c r="FX27" i="14" s="1"/>
  <c r="FY18" i="14"/>
  <c r="FY27" i="14" s="1"/>
  <c r="D21" i="14"/>
  <c r="E21" i="14"/>
  <c r="G21" i="14"/>
  <c r="H21" i="14"/>
  <c r="J21" i="14"/>
  <c r="K21" i="14"/>
  <c r="M21" i="14"/>
  <c r="N21" i="14"/>
  <c r="P21" i="14"/>
  <c r="Q21" i="14"/>
  <c r="S21" i="14"/>
  <c r="T21" i="14"/>
  <c r="V21" i="14"/>
  <c r="W21" i="14"/>
  <c r="Y21" i="14"/>
  <c r="Z21" i="14"/>
  <c r="AB21" i="14"/>
  <c r="AC21" i="14"/>
  <c r="AE21" i="14"/>
  <c r="AF21" i="14"/>
  <c r="AH21" i="14"/>
  <c r="AI21" i="14"/>
  <c r="AK21" i="14"/>
  <c r="AL21" i="14"/>
  <c r="AN21" i="14"/>
  <c r="AO21" i="14"/>
  <c r="AQ21" i="14"/>
  <c r="AR21" i="14"/>
  <c r="AT21" i="14"/>
  <c r="AU21" i="14"/>
  <c r="AW21" i="14"/>
  <c r="AX21" i="14"/>
  <c r="AZ21" i="14"/>
  <c r="BA21" i="14"/>
  <c r="BC21" i="14"/>
  <c r="BD21" i="14"/>
  <c r="BF21" i="14"/>
  <c r="BG21" i="14"/>
  <c r="BI21" i="14"/>
  <c r="BJ21" i="14"/>
  <c r="BL21" i="14"/>
  <c r="BM21" i="14"/>
  <c r="BO21" i="14"/>
  <c r="BP21" i="14"/>
  <c r="BR21" i="14"/>
  <c r="BS21" i="14"/>
  <c r="BU21" i="14"/>
  <c r="BV21" i="14"/>
  <c r="BX21" i="14"/>
  <c r="BY21" i="14"/>
  <c r="CA21" i="14"/>
  <c r="CB21" i="14"/>
  <c r="CD21" i="14"/>
  <c r="CE21" i="14"/>
  <c r="CG21" i="14"/>
  <c r="CH21" i="14"/>
  <c r="CJ21" i="14"/>
  <c r="CK21" i="14"/>
  <c r="CM21" i="14"/>
  <c r="CN21" i="14"/>
  <c r="CP21" i="14"/>
  <c r="CQ21" i="14"/>
  <c r="CS21" i="14"/>
  <c r="CT21" i="14"/>
  <c r="CV21" i="14"/>
  <c r="CW21" i="14"/>
  <c r="DA21" i="14"/>
  <c r="DB21" i="14"/>
  <c r="DD21" i="14"/>
  <c r="DE21" i="14"/>
  <c r="DG21" i="14"/>
  <c r="DH21" i="14"/>
  <c r="DJ21" i="14"/>
  <c r="DK21" i="14"/>
  <c r="DM21" i="14"/>
  <c r="DN21" i="14"/>
  <c r="DP21" i="14"/>
  <c r="DQ21" i="14"/>
  <c r="DS21" i="14"/>
  <c r="DT21" i="14"/>
  <c r="DV21" i="14"/>
  <c r="DW21" i="14"/>
  <c r="DY21" i="14"/>
  <c r="DZ21" i="14"/>
  <c r="EE21" i="14"/>
  <c r="EF21" i="14"/>
  <c r="EQ21" i="14"/>
  <c r="ER21" i="14"/>
  <c r="ET21" i="14"/>
  <c r="EU21" i="14"/>
  <c r="EW21" i="14"/>
  <c r="EX21" i="14"/>
  <c r="EZ21" i="14"/>
  <c r="FA21" i="14"/>
  <c r="FC21" i="14"/>
  <c r="FD21" i="14"/>
  <c r="FF21" i="14"/>
  <c r="FG21" i="14"/>
  <c r="FI21" i="14"/>
  <c r="FJ21" i="14"/>
  <c r="FL21" i="14"/>
  <c r="FM21" i="14"/>
  <c r="FO21" i="14"/>
  <c r="FP21" i="14"/>
  <c r="FR21" i="14"/>
  <c r="FS21" i="14"/>
  <c r="FU21" i="14"/>
  <c r="FV21" i="14"/>
  <c r="FX21" i="14"/>
  <c r="FY21" i="14"/>
  <c r="D26" i="14"/>
  <c r="E26" i="14"/>
  <c r="G26" i="14"/>
  <c r="H26" i="14"/>
  <c r="M26" i="14"/>
  <c r="P26" i="14"/>
  <c r="S26" i="14"/>
  <c r="Y26" i="14"/>
  <c r="AB26" i="14"/>
  <c r="AE26" i="14"/>
  <c r="AH26" i="14"/>
  <c r="AK26" i="14"/>
  <c r="AN26" i="14"/>
  <c r="AO26" i="14"/>
  <c r="AQ26" i="14"/>
  <c r="AR26" i="14"/>
  <c r="AT26" i="14"/>
  <c r="AU26" i="14"/>
  <c r="AW26" i="14"/>
  <c r="AX26" i="14"/>
  <c r="AZ26" i="14"/>
  <c r="BA26" i="14"/>
  <c r="BC26" i="14"/>
  <c r="BD26" i="14"/>
  <c r="BF26" i="14"/>
  <c r="BG26" i="14"/>
  <c r="BI26" i="14"/>
  <c r="BL26" i="14"/>
  <c r="BO26" i="14"/>
  <c r="BR26" i="14"/>
  <c r="BU26" i="14"/>
  <c r="BX26" i="14"/>
  <c r="CD26" i="14"/>
  <c r="CG26" i="14"/>
  <c r="CJ26" i="14"/>
  <c r="CM26" i="14"/>
  <c r="CP26" i="14"/>
  <c r="CS26" i="14"/>
  <c r="DA26" i="14"/>
  <c r="DB26" i="14"/>
  <c r="DD26" i="14"/>
  <c r="DG26" i="14"/>
  <c r="DJ26" i="14"/>
  <c r="DK26" i="14"/>
  <c r="DM26" i="14"/>
  <c r="DP26" i="14"/>
  <c r="DV26" i="14"/>
  <c r="DY26" i="14"/>
  <c r="DZ26" i="14"/>
  <c r="EE26" i="14"/>
  <c r="EQ26" i="14"/>
  <c r="ET26" i="14"/>
  <c r="EU26" i="14"/>
  <c r="FC26" i="14"/>
  <c r="FF26" i="14"/>
  <c r="FG26" i="14"/>
  <c r="FO26" i="14"/>
  <c r="FR26" i="14"/>
  <c r="FS26" i="14"/>
  <c r="FU26" i="14"/>
  <c r="FX26" i="14"/>
  <c r="N27" i="14"/>
  <c r="CA27" i="14"/>
  <c r="CH27" i="14"/>
  <c r="EW27" i="14"/>
  <c r="AF44" i="14"/>
  <c r="H36" i="14"/>
  <c r="Q36" i="14"/>
  <c r="W36" i="14"/>
  <c r="AX44" i="14"/>
  <c r="DH36" i="14"/>
  <c r="AX45" i="14"/>
  <c r="D36" i="14"/>
  <c r="E36" i="14"/>
  <c r="G36" i="14"/>
  <c r="J36" i="14"/>
  <c r="M36" i="14"/>
  <c r="N36" i="14"/>
  <c r="P36" i="14"/>
  <c r="S36" i="14"/>
  <c r="T36" i="14"/>
  <c r="V36" i="14"/>
  <c r="AB36" i="14"/>
  <c r="AC36" i="14"/>
  <c r="AE36" i="14"/>
  <c r="AH36" i="14"/>
  <c r="AI36" i="14"/>
  <c r="AK36" i="14"/>
  <c r="AL36" i="14"/>
  <c r="AN36" i="14"/>
  <c r="AO36" i="14"/>
  <c r="AQ36" i="14"/>
  <c r="AR36" i="14"/>
  <c r="AT36" i="14"/>
  <c r="AU36" i="14"/>
  <c r="AW36" i="14"/>
  <c r="AZ36" i="14"/>
  <c r="BA36" i="14"/>
  <c r="BC36" i="14"/>
  <c r="BD36" i="14"/>
  <c r="BF36" i="14"/>
  <c r="BG36" i="14"/>
  <c r="BI36" i="14"/>
  <c r="BJ36" i="14"/>
  <c r="BL36" i="14"/>
  <c r="BM36" i="14"/>
  <c r="BO36" i="14"/>
  <c r="BP36" i="14"/>
  <c r="BR36" i="14"/>
  <c r="BS36" i="14"/>
  <c r="BU36" i="14"/>
  <c r="BV36" i="14"/>
  <c r="BX36" i="14"/>
  <c r="BY36" i="14"/>
  <c r="CA36" i="14"/>
  <c r="CB36" i="14"/>
  <c r="CD36" i="14"/>
  <c r="CE36" i="14"/>
  <c r="CG36" i="14"/>
  <c r="CH36" i="14"/>
  <c r="CJ36" i="14"/>
  <c r="CK36" i="14"/>
  <c r="CM36" i="14"/>
  <c r="CN36" i="14"/>
  <c r="CP36" i="14"/>
  <c r="CQ36" i="14"/>
  <c r="CS36" i="14"/>
  <c r="CT36" i="14"/>
  <c r="CV36" i="14"/>
  <c r="CW36" i="14"/>
  <c r="CX36" i="14"/>
  <c r="CY36" i="14"/>
  <c r="DA36" i="14"/>
  <c r="DB36" i="14"/>
  <c r="DD36" i="14"/>
  <c r="DE36" i="14"/>
  <c r="DG36" i="14"/>
  <c r="DJ36" i="14"/>
  <c r="DK36" i="14"/>
  <c r="DM36" i="14"/>
  <c r="DN36" i="14"/>
  <c r="DP36" i="14"/>
  <c r="DQ36" i="14"/>
  <c r="DS36" i="14"/>
  <c r="DT36" i="14"/>
  <c r="DV36" i="14"/>
  <c r="DW36" i="14"/>
  <c r="DY36" i="14"/>
  <c r="DZ36" i="14"/>
  <c r="EE36" i="14"/>
  <c r="EF36" i="14"/>
  <c r="EQ36" i="14"/>
  <c r="ER36" i="14"/>
  <c r="ET36" i="14"/>
  <c r="EU36" i="14"/>
  <c r="EW36" i="14"/>
  <c r="EX36" i="14"/>
  <c r="EZ36" i="14"/>
  <c r="FA36" i="14"/>
  <c r="FC36" i="14"/>
  <c r="FD36" i="14"/>
  <c r="FF36" i="14"/>
  <c r="FG36" i="14"/>
  <c r="FI36" i="14"/>
  <c r="FJ36" i="14"/>
  <c r="FL36" i="14"/>
  <c r="FM36" i="14"/>
  <c r="FO36" i="14"/>
  <c r="FP36" i="14"/>
  <c r="FR36" i="14"/>
  <c r="FS36" i="14"/>
  <c r="FU36" i="14"/>
  <c r="FV36" i="14"/>
  <c r="FX36" i="14"/>
  <c r="FY36" i="14"/>
  <c r="D37" i="14"/>
  <c r="D50" i="14" s="1"/>
  <c r="E37" i="14"/>
  <c r="G37" i="14"/>
  <c r="G50" i="14" s="1"/>
  <c r="H37" i="14"/>
  <c r="J37" i="14"/>
  <c r="J50" i="14" s="1"/>
  <c r="K37" i="14"/>
  <c r="M37" i="14"/>
  <c r="M50" i="14" s="1"/>
  <c r="N37" i="14"/>
  <c r="P37" i="14"/>
  <c r="P50" i="14" s="1"/>
  <c r="Q37" i="14"/>
  <c r="S37" i="14"/>
  <c r="S50" i="14" s="1"/>
  <c r="T37" i="14"/>
  <c r="V37" i="14"/>
  <c r="V50" i="14" s="1"/>
  <c r="W37" i="14"/>
  <c r="Y37" i="14"/>
  <c r="Z37" i="14"/>
  <c r="AB37" i="14"/>
  <c r="AB50" i="14" s="1"/>
  <c r="AC37" i="14"/>
  <c r="AE37" i="14"/>
  <c r="AE50" i="14" s="1"/>
  <c r="AF37" i="14"/>
  <c r="AH37" i="14"/>
  <c r="AH50" i="14" s="1"/>
  <c r="AI37" i="14"/>
  <c r="AK37" i="14"/>
  <c r="AK50" i="14" s="1"/>
  <c r="AL37" i="14"/>
  <c r="AN37" i="14"/>
  <c r="AN50" i="14" s="1"/>
  <c r="AO37" i="14"/>
  <c r="AQ37" i="14"/>
  <c r="AQ50" i="14" s="1"/>
  <c r="AR37" i="14"/>
  <c r="AT37" i="14"/>
  <c r="AU37" i="14"/>
  <c r="AW37" i="14"/>
  <c r="AX37" i="14"/>
  <c r="AZ37" i="14"/>
  <c r="AZ50" i="14" s="1"/>
  <c r="BA37" i="14"/>
  <c r="BC37" i="14"/>
  <c r="BC50" i="14" s="1"/>
  <c r="BD37" i="14"/>
  <c r="BF37" i="14"/>
  <c r="BG37" i="14"/>
  <c r="BI37" i="14"/>
  <c r="BI50" i="14" s="1"/>
  <c r="BJ37" i="14"/>
  <c r="BL37" i="14"/>
  <c r="BL50" i="14" s="1"/>
  <c r="BM37" i="14"/>
  <c r="BO37" i="14"/>
  <c r="BO50" i="14" s="1"/>
  <c r="BP37" i="14"/>
  <c r="BR37" i="14"/>
  <c r="BR50" i="14" s="1"/>
  <c r="BS37" i="14"/>
  <c r="BU37" i="14"/>
  <c r="BU50" i="14" s="1"/>
  <c r="BV37" i="14"/>
  <c r="BX37" i="14"/>
  <c r="BX50" i="14" s="1"/>
  <c r="BY37" i="14"/>
  <c r="CA37" i="14"/>
  <c r="CA50" i="14" s="1"/>
  <c r="CB37" i="14"/>
  <c r="CD37" i="14"/>
  <c r="CD50" i="14" s="1"/>
  <c r="CE37" i="14"/>
  <c r="CG37" i="14"/>
  <c r="CG50" i="14" s="1"/>
  <c r="CH37" i="14"/>
  <c r="CJ37" i="14"/>
  <c r="CJ50" i="14" s="1"/>
  <c r="CK37" i="14"/>
  <c r="CM37" i="14"/>
  <c r="CM50" i="14" s="1"/>
  <c r="CN37" i="14"/>
  <c r="CP37" i="14"/>
  <c r="CP50" i="14" s="1"/>
  <c r="CQ37" i="14"/>
  <c r="CS37" i="14"/>
  <c r="CS50" i="14" s="1"/>
  <c r="CT37" i="14"/>
  <c r="CV37" i="14"/>
  <c r="CV50" i="14" s="1"/>
  <c r="CW37" i="14"/>
  <c r="CX37" i="14"/>
  <c r="CX50" i="14" s="1"/>
  <c r="CY37" i="14"/>
  <c r="DA37" i="14"/>
  <c r="DA50" i="14" s="1"/>
  <c r="DB37" i="14"/>
  <c r="DD37" i="14"/>
  <c r="DE37" i="14"/>
  <c r="DG37" i="14"/>
  <c r="DH37" i="14"/>
  <c r="DJ37" i="14"/>
  <c r="DJ50" i="14" s="1"/>
  <c r="DK37" i="14"/>
  <c r="DM37" i="14"/>
  <c r="DM50" i="14" s="1"/>
  <c r="DN37" i="14"/>
  <c r="DP37" i="14"/>
  <c r="DQ37" i="14"/>
  <c r="DS37" i="14"/>
  <c r="DT37" i="14"/>
  <c r="DV37" i="14"/>
  <c r="DV50" i="14" s="1"/>
  <c r="DW37" i="14"/>
  <c r="DY37" i="14"/>
  <c r="DZ37" i="14"/>
  <c r="EE37" i="14"/>
  <c r="EF37" i="14"/>
  <c r="EQ37" i="14"/>
  <c r="EQ50" i="14" s="1"/>
  <c r="ER37" i="14"/>
  <c r="ET37" i="14"/>
  <c r="ET50" i="14" s="1"/>
  <c r="EU37" i="14"/>
  <c r="EW37" i="14"/>
  <c r="EW50" i="14" s="1"/>
  <c r="EX37" i="14"/>
  <c r="EZ37" i="14"/>
  <c r="EZ50" i="14" s="1"/>
  <c r="FA37" i="14"/>
  <c r="FC37" i="14"/>
  <c r="FC50" i="14" s="1"/>
  <c r="FD37" i="14"/>
  <c r="FF37" i="14"/>
  <c r="FG37" i="14"/>
  <c r="FI37" i="14"/>
  <c r="FI50" i="14" s="1"/>
  <c r="FJ37" i="14"/>
  <c r="FL37" i="14"/>
  <c r="FL50" i="14" s="1"/>
  <c r="FM37" i="14"/>
  <c r="FO37" i="14"/>
  <c r="FO50" i="14" s="1"/>
  <c r="FP37" i="14"/>
  <c r="FR37" i="14"/>
  <c r="FR50" i="14" s="1"/>
  <c r="FS37" i="14"/>
  <c r="FU37" i="14"/>
  <c r="FV37" i="14"/>
  <c r="FX37" i="14"/>
  <c r="FY37" i="14"/>
  <c r="D44" i="14"/>
  <c r="D51" i="14" s="1"/>
  <c r="E44" i="14"/>
  <c r="G44" i="14"/>
  <c r="G51" i="14" s="1"/>
  <c r="J44" i="14"/>
  <c r="M44" i="14"/>
  <c r="M51" i="14" s="1"/>
  <c r="N44" i="14"/>
  <c r="P44" i="14"/>
  <c r="Q44" i="14"/>
  <c r="S44" i="14"/>
  <c r="S51" i="14" s="1"/>
  <c r="T44" i="14"/>
  <c r="V44" i="14"/>
  <c r="AB44" i="14"/>
  <c r="AC44" i="14"/>
  <c r="AE44" i="14"/>
  <c r="AE51" i="14" s="1"/>
  <c r="AH44" i="14"/>
  <c r="AI44" i="14"/>
  <c r="AK44" i="14"/>
  <c r="AK51" i="14" s="1"/>
  <c r="AL44" i="14"/>
  <c r="AL46" i="14" s="1"/>
  <c r="AL54" i="14" s="1"/>
  <c r="AN44" i="14"/>
  <c r="AO44" i="14"/>
  <c r="AQ44" i="14"/>
  <c r="AR44" i="14"/>
  <c r="AT44" i="14"/>
  <c r="AU44" i="14"/>
  <c r="AW44" i="14"/>
  <c r="AZ44" i="14"/>
  <c r="BA44" i="14"/>
  <c r="BC44" i="14"/>
  <c r="BC51" i="14" s="1"/>
  <c r="BD44" i="14"/>
  <c r="BF44" i="14"/>
  <c r="BG44" i="14"/>
  <c r="BI44" i="14"/>
  <c r="BI51" i="14" s="1"/>
  <c r="BJ44" i="14"/>
  <c r="BL44" i="14"/>
  <c r="BL51" i="14" s="1"/>
  <c r="BM44" i="14"/>
  <c r="BO44" i="14"/>
  <c r="BP44" i="14"/>
  <c r="BR44" i="14"/>
  <c r="BS44" i="14"/>
  <c r="BU44" i="14"/>
  <c r="BV44" i="14"/>
  <c r="BX44" i="14"/>
  <c r="BX51" i="14" s="1"/>
  <c r="BY44" i="14"/>
  <c r="CA44" i="14"/>
  <c r="CA51" i="14" s="1"/>
  <c r="CB44" i="14"/>
  <c r="CD44" i="14"/>
  <c r="CE44" i="14"/>
  <c r="CG44" i="14"/>
  <c r="CG51" i="14" s="1"/>
  <c r="CH44" i="14"/>
  <c r="CJ44" i="14"/>
  <c r="CJ51" i="14" s="1"/>
  <c r="CK44" i="14"/>
  <c r="CM44" i="14"/>
  <c r="CN44" i="14"/>
  <c r="CP44" i="14"/>
  <c r="CQ44" i="14"/>
  <c r="CS44" i="14"/>
  <c r="CT44" i="14"/>
  <c r="CV44" i="14"/>
  <c r="CV51" i="14" s="1"/>
  <c r="CW44" i="14"/>
  <c r="CX44" i="14"/>
  <c r="CX51" i="14" s="1"/>
  <c r="CY44" i="14"/>
  <c r="DA44" i="14"/>
  <c r="DB44" i="14"/>
  <c r="DD44" i="14"/>
  <c r="DE44" i="14"/>
  <c r="DG44" i="14"/>
  <c r="DH44" i="14"/>
  <c r="DJ44" i="14"/>
  <c r="DJ51" i="14" s="1"/>
  <c r="DK44" i="14"/>
  <c r="DM44" i="14"/>
  <c r="DN44" i="14"/>
  <c r="DP44" i="14"/>
  <c r="DQ44" i="14"/>
  <c r="DS44" i="14"/>
  <c r="DT44" i="14"/>
  <c r="DV44" i="14"/>
  <c r="DW44" i="14"/>
  <c r="DY44" i="14"/>
  <c r="DZ44" i="14"/>
  <c r="EE44" i="14"/>
  <c r="EF44" i="14"/>
  <c r="ER44" i="14"/>
  <c r="ER46" i="14" s="1"/>
  <c r="ER54" i="14" s="1"/>
  <c r="ET44" i="14"/>
  <c r="ET51" i="14" s="1"/>
  <c r="EU44" i="14"/>
  <c r="EW44" i="14"/>
  <c r="EW51" i="14" s="1"/>
  <c r="EX44" i="14"/>
  <c r="EZ44" i="14"/>
  <c r="EZ51" i="14" s="1"/>
  <c r="FA44" i="14"/>
  <c r="FC44" i="14"/>
  <c r="FC51" i="14" s="1"/>
  <c r="FD44" i="14"/>
  <c r="FF44" i="14"/>
  <c r="FG44" i="14"/>
  <c r="FI44" i="14"/>
  <c r="FI51" i="14" s="1"/>
  <c r="FJ44" i="14"/>
  <c r="FL44" i="14"/>
  <c r="FL51" i="14" s="1"/>
  <c r="FM44" i="14"/>
  <c r="FO44" i="14"/>
  <c r="FO51" i="14" s="1"/>
  <c r="FP44" i="14"/>
  <c r="FR44" i="14"/>
  <c r="FR51" i="14" s="1"/>
  <c r="FS44" i="14"/>
  <c r="FU44" i="14"/>
  <c r="FV44" i="14"/>
  <c r="FX44" i="14"/>
  <c r="FY44" i="14"/>
  <c r="FX51" i="14" s="1"/>
  <c r="D45" i="14"/>
  <c r="D46" i="14" s="1"/>
  <c r="E45" i="14"/>
  <c r="G45" i="14"/>
  <c r="H45" i="14"/>
  <c r="J45" i="14"/>
  <c r="J46" i="14" s="1"/>
  <c r="J54" i="14" s="1"/>
  <c r="K45" i="14"/>
  <c r="M45" i="14"/>
  <c r="N45" i="14"/>
  <c r="P45" i="14"/>
  <c r="Q45" i="14"/>
  <c r="S45" i="14"/>
  <c r="T45" i="14"/>
  <c r="V45" i="14"/>
  <c r="W45" i="14"/>
  <c r="Y45" i="14"/>
  <c r="Y46" i="14" s="1"/>
  <c r="Y54" i="14" s="1"/>
  <c r="Z45" i="14"/>
  <c r="AB45" i="14"/>
  <c r="AC45" i="14"/>
  <c r="AE45" i="14"/>
  <c r="AF45" i="14"/>
  <c r="AH45" i="14"/>
  <c r="AI45" i="14"/>
  <c r="AK45" i="14"/>
  <c r="AL45" i="14"/>
  <c r="AN45" i="14"/>
  <c r="AO45" i="14"/>
  <c r="AQ45" i="14"/>
  <c r="AR45" i="14"/>
  <c r="AT45" i="14"/>
  <c r="AU45" i="14"/>
  <c r="AW45" i="14"/>
  <c r="AZ45" i="14"/>
  <c r="BA45" i="14"/>
  <c r="BC45" i="14"/>
  <c r="BD45" i="14"/>
  <c r="BF45" i="14"/>
  <c r="BG45" i="14"/>
  <c r="BI45" i="14"/>
  <c r="BJ45" i="14"/>
  <c r="BL45" i="14"/>
  <c r="BM45" i="14"/>
  <c r="BO45" i="14"/>
  <c r="BP45" i="14"/>
  <c r="BR45" i="14"/>
  <c r="BS45" i="14"/>
  <c r="BU45" i="14"/>
  <c r="BV45" i="14"/>
  <c r="BX45" i="14"/>
  <c r="BY45" i="14"/>
  <c r="CA45" i="14"/>
  <c r="CB45" i="14"/>
  <c r="CD45" i="14"/>
  <c r="CE45" i="14"/>
  <c r="CG45" i="14"/>
  <c r="CH45" i="14"/>
  <c r="CJ45" i="14"/>
  <c r="CK45" i="14"/>
  <c r="CM45" i="14"/>
  <c r="CN45" i="14"/>
  <c r="CP45" i="14"/>
  <c r="CQ45" i="14"/>
  <c r="CS45" i="14"/>
  <c r="CT45" i="14"/>
  <c r="CV45" i="14"/>
  <c r="CW45" i="14"/>
  <c r="CX45" i="14"/>
  <c r="CY45" i="14"/>
  <c r="DA45" i="14"/>
  <c r="DB45" i="14"/>
  <c r="DD45" i="14"/>
  <c r="DE45" i="14"/>
  <c r="DG45" i="14"/>
  <c r="DH45" i="14"/>
  <c r="DJ45" i="14"/>
  <c r="DK45" i="14"/>
  <c r="DM45" i="14"/>
  <c r="DN45" i="14"/>
  <c r="DP45" i="14"/>
  <c r="DQ45" i="14"/>
  <c r="DS45" i="14"/>
  <c r="DT45" i="14"/>
  <c r="DV45" i="14"/>
  <c r="DW45" i="14"/>
  <c r="DY45" i="14"/>
  <c r="DZ45" i="14"/>
  <c r="EE45" i="14"/>
  <c r="EF45" i="14"/>
  <c r="ER45" i="14"/>
  <c r="ET45" i="14"/>
  <c r="EU45" i="14"/>
  <c r="EW45" i="14"/>
  <c r="EX45" i="14"/>
  <c r="EZ45" i="14"/>
  <c r="FA45" i="14"/>
  <c r="FC45" i="14"/>
  <c r="FD45" i="14"/>
  <c r="FF45" i="14"/>
  <c r="FG45" i="14"/>
  <c r="FI45" i="14"/>
  <c r="FJ45" i="14"/>
  <c r="FL45" i="14"/>
  <c r="FM45" i="14"/>
  <c r="FO45" i="14"/>
  <c r="FP45" i="14"/>
  <c r="FR45" i="14"/>
  <c r="FS45" i="14"/>
  <c r="FU45" i="14"/>
  <c r="FV45" i="14"/>
  <c r="FX45" i="14"/>
  <c r="FY45" i="14"/>
  <c r="FP46" i="14"/>
  <c r="FP54" i="14" s="1"/>
  <c r="N47" i="14"/>
  <c r="M48" i="14"/>
  <c r="N48" i="14" s="1"/>
  <c r="T48" i="14"/>
  <c r="W48" i="14"/>
  <c r="Z48" i="14"/>
  <c r="CW48" i="14"/>
  <c r="DH48" i="14"/>
  <c r="EF48" i="14"/>
  <c r="FA48" i="14"/>
  <c r="FJ48" i="14"/>
  <c r="FM48" i="14"/>
  <c r="FP48" i="14"/>
  <c r="FY48" i="14"/>
  <c r="FX49" i="14" s="1"/>
  <c r="D49" i="14"/>
  <c r="G49" i="14"/>
  <c r="J49" i="14"/>
  <c r="P49" i="14"/>
  <c r="V49" i="14"/>
  <c r="Y49" i="14"/>
  <c r="AB49" i="14"/>
  <c r="AE49" i="14"/>
  <c r="AH49" i="14"/>
  <c r="AK49" i="14"/>
  <c r="AN49" i="14"/>
  <c r="AQ49" i="14"/>
  <c r="AZ49" i="14"/>
  <c r="BC49" i="14"/>
  <c r="BI49" i="14"/>
  <c r="BL49" i="14"/>
  <c r="BO49" i="14"/>
  <c r="BR49" i="14"/>
  <c r="BU49" i="14"/>
  <c r="BX49" i="14"/>
  <c r="CA49" i="14"/>
  <c r="CD49" i="14"/>
  <c r="CG49" i="14"/>
  <c r="CJ49" i="14"/>
  <c r="CM49" i="14"/>
  <c r="CP49" i="14"/>
  <c r="CS49" i="14"/>
  <c r="CX49" i="14"/>
  <c r="DA49" i="14"/>
  <c r="DJ49" i="14"/>
  <c r="DM49" i="14"/>
  <c r="DV49" i="14"/>
  <c r="EQ49" i="14"/>
  <c r="ET49" i="14"/>
  <c r="EW49" i="14"/>
  <c r="EZ49" i="14"/>
  <c r="FC49" i="14"/>
  <c r="FI49" i="14"/>
  <c r="FZ49" i="14"/>
  <c r="Y50" i="14"/>
  <c r="FX50" i="14"/>
  <c r="J51" i="14"/>
  <c r="Y51" i="14"/>
  <c r="AQ51" i="14"/>
  <c r="BO51" i="14"/>
  <c r="BU51" i="14"/>
  <c r="CM51" i="14"/>
  <c r="CS51" i="14"/>
  <c r="DV51" i="14"/>
  <c r="EQ51" i="14"/>
  <c r="AH59" i="13"/>
  <c r="FJ49" i="13"/>
  <c r="FG49" i="13"/>
  <c r="FD49" i="13"/>
  <c r="FA49" i="13"/>
  <c r="EX49" i="13"/>
  <c r="EU49" i="13"/>
  <c r="ER49" i="13"/>
  <c r="EO49" i="13"/>
  <c r="EI49" i="13"/>
  <c r="EF49" i="13"/>
  <c r="EC49" i="13"/>
  <c r="DZ49" i="13"/>
  <c r="DW49" i="13"/>
  <c r="DT49" i="13"/>
  <c r="DQ49" i="13"/>
  <c r="DN49" i="13"/>
  <c r="DK49" i="13"/>
  <c r="DH49" i="13"/>
  <c r="DE49" i="13"/>
  <c r="DB49" i="13"/>
  <c r="CV49" i="13"/>
  <c r="CS49" i="13"/>
  <c r="BO49" i="13"/>
  <c r="BI49" i="13"/>
  <c r="BF49" i="13"/>
  <c r="BC49" i="13"/>
  <c r="AZ49" i="13"/>
  <c r="AW49" i="13"/>
  <c r="AT49" i="13"/>
  <c r="AQ49" i="13"/>
  <c r="AE49" i="13"/>
  <c r="AB49" i="13"/>
  <c r="Y49" i="13"/>
  <c r="V49" i="13"/>
  <c r="S49" i="13"/>
  <c r="M49" i="13"/>
  <c r="J49" i="13"/>
  <c r="G49" i="13"/>
  <c r="FH48" i="13"/>
  <c r="FB48" i="13"/>
  <c r="EM48" i="13"/>
  <c r="DU48" i="13"/>
  <c r="DR48" i="13"/>
  <c r="DO48" i="13"/>
  <c r="DF48" i="13"/>
  <c r="DC48" i="13"/>
  <c r="CZ48" i="13"/>
  <c r="CY49" i="13"/>
  <c r="CW48" i="13"/>
  <c r="CP48" i="13"/>
  <c r="CM49" i="13"/>
  <c r="CK48" i="13"/>
  <c r="CH48" i="13"/>
  <c r="CB48" i="13"/>
  <c r="BM48" i="13"/>
  <c r="AL48" i="13"/>
  <c r="E48" i="13"/>
  <c r="FE47" i="13"/>
  <c r="EJ47" i="13"/>
  <c r="BV47" i="13"/>
  <c r="BS47" i="13"/>
  <c r="FK45" i="13"/>
  <c r="FJ45" i="13"/>
  <c r="FH45" i="13"/>
  <c r="FG45" i="13"/>
  <c r="FE45" i="13"/>
  <c r="FD45" i="13"/>
  <c r="FB45" i="13"/>
  <c r="FA45" i="13"/>
  <c r="EY45" i="13"/>
  <c r="EX45" i="13"/>
  <c r="EV45" i="13"/>
  <c r="EU45" i="13"/>
  <c r="ES45" i="13"/>
  <c r="ER45" i="13"/>
  <c r="EP45" i="13"/>
  <c r="EO45" i="13"/>
  <c r="EM45" i="13"/>
  <c r="EL45" i="13"/>
  <c r="EJ45" i="13"/>
  <c r="EI45" i="13"/>
  <c r="EG45" i="13"/>
  <c r="EF45" i="13"/>
  <c r="ED45" i="13"/>
  <c r="EC45" i="13"/>
  <c r="EA45" i="13"/>
  <c r="DZ45" i="13"/>
  <c r="DX45" i="13"/>
  <c r="DW45" i="13"/>
  <c r="DU45" i="13"/>
  <c r="DT45" i="13"/>
  <c r="DR45" i="13"/>
  <c r="DQ45" i="13"/>
  <c r="DO45" i="13"/>
  <c r="DN45" i="13"/>
  <c r="DL45" i="13"/>
  <c r="DK45" i="13"/>
  <c r="DI45" i="13"/>
  <c r="DH45" i="13"/>
  <c r="DF45" i="13"/>
  <c r="DE45" i="13"/>
  <c r="DC45" i="13"/>
  <c r="DB45" i="13"/>
  <c r="CZ45" i="13"/>
  <c r="CY45" i="13"/>
  <c r="CW45" i="13"/>
  <c r="CV45" i="13"/>
  <c r="CT45" i="13"/>
  <c r="CS45" i="13"/>
  <c r="CQ45" i="13"/>
  <c r="CP45" i="13"/>
  <c r="CN45" i="13"/>
  <c r="CM45" i="13"/>
  <c r="CK45" i="13"/>
  <c r="CJ45" i="13"/>
  <c r="CH45" i="13"/>
  <c r="CG45" i="13"/>
  <c r="CE45" i="13"/>
  <c r="CD45" i="13"/>
  <c r="CB45" i="13"/>
  <c r="CA45" i="13"/>
  <c r="BY45" i="13"/>
  <c r="BX45" i="13"/>
  <c r="BV45" i="13"/>
  <c r="BU45" i="13"/>
  <c r="BS45" i="13"/>
  <c r="BR45" i="13"/>
  <c r="BP45" i="13"/>
  <c r="BO45" i="13"/>
  <c r="BM45" i="13"/>
  <c r="BL45" i="13"/>
  <c r="BJ45" i="13"/>
  <c r="BI45" i="13"/>
  <c r="BG45" i="13"/>
  <c r="BF45" i="13"/>
  <c r="BD45" i="13"/>
  <c r="BC45" i="13"/>
  <c r="BA45" i="13"/>
  <c r="AZ45" i="13"/>
  <c r="AX45" i="13"/>
  <c r="AW45" i="13"/>
  <c r="AU45" i="13"/>
  <c r="AT45" i="13"/>
  <c r="AR45" i="13"/>
  <c r="AQ45" i="13"/>
  <c r="AO45" i="13"/>
  <c r="AN45" i="13"/>
  <c r="AL45" i="13"/>
  <c r="AK45" i="13"/>
  <c r="AI45" i="13"/>
  <c r="AH45" i="13"/>
  <c r="AF45" i="13"/>
  <c r="AE45" i="13"/>
  <c r="AB45" i="13"/>
  <c r="Z45" i="13"/>
  <c r="Y45" i="13"/>
  <c r="V45" i="13"/>
  <c r="T45" i="13"/>
  <c r="S45" i="13"/>
  <c r="P45" i="13"/>
  <c r="M45" i="13"/>
  <c r="J45" i="13"/>
  <c r="G45" i="13"/>
  <c r="D45" i="13"/>
  <c r="FK44" i="13"/>
  <c r="FK46" i="13" s="1"/>
  <c r="FJ44" i="13"/>
  <c r="FH44" i="13"/>
  <c r="FG44" i="13"/>
  <c r="FG51" i="13" s="1"/>
  <c r="FE44" i="13"/>
  <c r="FE46" i="13" s="1"/>
  <c r="FD44" i="13"/>
  <c r="FB44" i="13"/>
  <c r="FA44" i="13"/>
  <c r="FA51" i="13" s="1"/>
  <c r="EY44" i="13"/>
  <c r="EY46" i="13" s="1"/>
  <c r="EX44" i="13"/>
  <c r="EV44" i="13"/>
  <c r="EU44" i="13"/>
  <c r="EU51" i="13" s="1"/>
  <c r="ES44" i="13"/>
  <c r="ES46" i="13" s="1"/>
  <c r="ER44" i="13"/>
  <c r="EP44" i="13"/>
  <c r="EO44" i="13"/>
  <c r="EO51" i="13" s="1"/>
  <c r="EM44" i="13"/>
  <c r="EM46" i="13" s="1"/>
  <c r="EL44" i="13"/>
  <c r="EI44" i="13"/>
  <c r="EI51" i="13" s="1"/>
  <c r="EG44" i="13"/>
  <c r="EG46" i="13" s="1"/>
  <c r="EF44" i="13"/>
  <c r="ED44" i="13"/>
  <c r="EC44" i="13"/>
  <c r="EC51" i="13" s="1"/>
  <c r="EA44" i="13"/>
  <c r="EA46" i="13" s="1"/>
  <c r="DZ44" i="13"/>
  <c r="DX44" i="13"/>
  <c r="DW44" i="13"/>
  <c r="DW51" i="13" s="1"/>
  <c r="DU44" i="13"/>
  <c r="DU46" i="13" s="1"/>
  <c r="DT44" i="13"/>
  <c r="DR44" i="13"/>
  <c r="DQ44" i="13"/>
  <c r="DQ51" i="13" s="1"/>
  <c r="DO44" i="13"/>
  <c r="DO46" i="13" s="1"/>
  <c r="DN44" i="13"/>
  <c r="DL44" i="13"/>
  <c r="DK44" i="13"/>
  <c r="DK51" i="13" s="1"/>
  <c r="DI44" i="13"/>
  <c r="DH44" i="13"/>
  <c r="DF44" i="13"/>
  <c r="DE44" i="13"/>
  <c r="DE51" i="13" s="1"/>
  <c r="DC44" i="13"/>
  <c r="DC46" i="13" s="1"/>
  <c r="DB44" i="13"/>
  <c r="CZ44" i="13"/>
  <c r="CY44" i="13"/>
  <c r="CW44" i="13"/>
  <c r="CW46" i="13" s="1"/>
  <c r="CV44" i="13"/>
  <c r="CV51" i="13" s="1"/>
  <c r="CT44" i="13"/>
  <c r="CS44" i="13"/>
  <c r="CS51" i="13" s="1"/>
  <c r="CQ44" i="13"/>
  <c r="CQ46" i="13" s="1"/>
  <c r="CP44" i="13"/>
  <c r="CN44" i="13"/>
  <c r="CM44" i="13"/>
  <c r="CK44" i="13"/>
  <c r="CK46" i="13" s="1"/>
  <c r="CJ44" i="13"/>
  <c r="CH44" i="13"/>
  <c r="CG44" i="13"/>
  <c r="CG51" i="13" s="1"/>
  <c r="CE44" i="13"/>
  <c r="CE46" i="13" s="1"/>
  <c r="CD44" i="13"/>
  <c r="CB44" i="13"/>
  <c r="CA44" i="13"/>
  <c r="CA51" i="13" s="1"/>
  <c r="BY44" i="13"/>
  <c r="BY46" i="13" s="1"/>
  <c r="BX44" i="13"/>
  <c r="BV44" i="13"/>
  <c r="BU44" i="13"/>
  <c r="BS44" i="13"/>
  <c r="BS46" i="13" s="1"/>
  <c r="BR44" i="13"/>
  <c r="BP44" i="13"/>
  <c r="BO44" i="13"/>
  <c r="BO51" i="13" s="1"/>
  <c r="BM44" i="13"/>
  <c r="BM46" i="13" s="1"/>
  <c r="BL44" i="13"/>
  <c r="BJ44" i="13"/>
  <c r="BI44" i="13"/>
  <c r="BI51" i="13" s="1"/>
  <c r="BG44" i="13"/>
  <c r="BG46" i="13" s="1"/>
  <c r="BF44" i="13"/>
  <c r="BD44" i="13"/>
  <c r="BC44" i="13"/>
  <c r="BC51" i="13" s="1"/>
  <c r="BA44" i="13"/>
  <c r="BA46" i="13" s="1"/>
  <c r="AZ44" i="13"/>
  <c r="AX44" i="13"/>
  <c r="AW44" i="13"/>
  <c r="AW51" i="13" s="1"/>
  <c r="AU44" i="13"/>
  <c r="AU46" i="13" s="1"/>
  <c r="AT44" i="13"/>
  <c r="AT51" i="13" s="1"/>
  <c r="AR44" i="13"/>
  <c r="AQ44" i="13"/>
  <c r="AQ51" i="13" s="1"/>
  <c r="AO44" i="13"/>
  <c r="AO46" i="13" s="1"/>
  <c r="AN44" i="13"/>
  <c r="AL44" i="13"/>
  <c r="AK44" i="13"/>
  <c r="AK51" i="13" s="1"/>
  <c r="AI44" i="13"/>
  <c r="AI46" i="13" s="1"/>
  <c r="AH44" i="13"/>
  <c r="AF44" i="13"/>
  <c r="AE44" i="13"/>
  <c r="AE51" i="13" s="1"/>
  <c r="AB44" i="13"/>
  <c r="AB46" i="13" s="1"/>
  <c r="Z44" i="13"/>
  <c r="Y44" i="13"/>
  <c r="Y51" i="13" s="1"/>
  <c r="V44" i="13"/>
  <c r="T44" i="13"/>
  <c r="T46" i="13" s="1"/>
  <c r="S44" i="13"/>
  <c r="S51" i="13" s="1"/>
  <c r="P44" i="13"/>
  <c r="M44" i="13"/>
  <c r="M51" i="13" s="1"/>
  <c r="J44" i="13"/>
  <c r="G44" i="13"/>
  <c r="D44" i="13"/>
  <c r="D51" i="13" s="1"/>
  <c r="W43" i="13"/>
  <c r="Q43" i="13"/>
  <c r="N43" i="13"/>
  <c r="K43" i="13"/>
  <c r="H43" i="13"/>
  <c r="E43" i="13"/>
  <c r="W42" i="13"/>
  <c r="Q42" i="13"/>
  <c r="N42" i="13"/>
  <c r="K42" i="13"/>
  <c r="H42" i="13"/>
  <c r="E42" i="13"/>
  <c r="W41" i="13"/>
  <c r="Q41" i="13"/>
  <c r="N41" i="13"/>
  <c r="K41" i="13"/>
  <c r="H41" i="13"/>
  <c r="E41" i="13"/>
  <c r="W40" i="13"/>
  <c r="Q40" i="13"/>
  <c r="N40" i="13"/>
  <c r="K40" i="13"/>
  <c r="H40" i="13"/>
  <c r="E40" i="13"/>
  <c r="W39" i="13"/>
  <c r="W37" i="13" s="1"/>
  <c r="Q39" i="13"/>
  <c r="Q37" i="13" s="1"/>
  <c r="N39" i="13"/>
  <c r="K39" i="13"/>
  <c r="H39" i="13"/>
  <c r="E39" i="13"/>
  <c r="E37" i="13" s="1"/>
  <c r="FK37" i="13"/>
  <c r="FJ37" i="13"/>
  <c r="FJ50" i="13" s="1"/>
  <c r="FH37" i="13"/>
  <c r="FG37" i="13"/>
  <c r="FG50" i="13" s="1"/>
  <c r="FG52" i="13" s="1"/>
  <c r="FE37" i="13"/>
  <c r="FD37" i="13"/>
  <c r="FD50" i="13" s="1"/>
  <c r="FB37" i="13"/>
  <c r="FA37" i="13"/>
  <c r="FA50" i="13" s="1"/>
  <c r="FA52" i="13" s="1"/>
  <c r="EY37" i="13"/>
  <c r="EX37" i="13"/>
  <c r="EX50" i="13" s="1"/>
  <c r="EV37" i="13"/>
  <c r="EU37" i="13"/>
  <c r="EU50" i="13" s="1"/>
  <c r="EU52" i="13" s="1"/>
  <c r="ES37" i="13"/>
  <c r="ER37" i="13"/>
  <c r="ER50" i="13" s="1"/>
  <c r="EP37" i="13"/>
  <c r="EO37" i="13"/>
  <c r="EO50" i="13" s="1"/>
  <c r="EO52" i="13" s="1"/>
  <c r="EM37" i="13"/>
  <c r="EL37" i="13"/>
  <c r="EL50" i="13" s="1"/>
  <c r="EJ37" i="13"/>
  <c r="EI37" i="13"/>
  <c r="EI50" i="13" s="1"/>
  <c r="EG37" i="13"/>
  <c r="EF37" i="13"/>
  <c r="EF50" i="13" s="1"/>
  <c r="ED37" i="13"/>
  <c r="EC37" i="13"/>
  <c r="EC50" i="13" s="1"/>
  <c r="EA37" i="13"/>
  <c r="DZ37" i="13"/>
  <c r="DZ50" i="13" s="1"/>
  <c r="DX37" i="13"/>
  <c r="DW37" i="13"/>
  <c r="DW50" i="13" s="1"/>
  <c r="DU37" i="13"/>
  <c r="DT37" i="13"/>
  <c r="DT50" i="13" s="1"/>
  <c r="DR37" i="13"/>
  <c r="DQ37" i="13"/>
  <c r="DQ50" i="13" s="1"/>
  <c r="DO37" i="13"/>
  <c r="DN37" i="13"/>
  <c r="DN50" i="13" s="1"/>
  <c r="DL37" i="13"/>
  <c r="DK37" i="13"/>
  <c r="DK50" i="13" s="1"/>
  <c r="DI37" i="13"/>
  <c r="DH37" i="13"/>
  <c r="DF37" i="13"/>
  <c r="DE37" i="13"/>
  <c r="DE50" i="13" s="1"/>
  <c r="DC37" i="13"/>
  <c r="DB37" i="13"/>
  <c r="DB50" i="13" s="1"/>
  <c r="CZ37" i="13"/>
  <c r="CY37" i="13"/>
  <c r="CY50" i="13" s="1"/>
  <c r="CW37" i="13"/>
  <c r="CV37" i="13"/>
  <c r="CV50" i="13" s="1"/>
  <c r="CT37" i="13"/>
  <c r="CS37" i="13"/>
  <c r="CS50" i="13" s="1"/>
  <c r="CQ37" i="13"/>
  <c r="CP37" i="13"/>
  <c r="CP50" i="13" s="1"/>
  <c r="CN37" i="13"/>
  <c r="CM37" i="13"/>
  <c r="CM50" i="13" s="1"/>
  <c r="CK37" i="13"/>
  <c r="CJ37" i="13"/>
  <c r="CH37" i="13"/>
  <c r="CG37" i="13"/>
  <c r="CG50" i="13" s="1"/>
  <c r="CE37" i="13"/>
  <c r="CD37" i="13"/>
  <c r="CD50" i="13" s="1"/>
  <c r="CB37" i="13"/>
  <c r="CA37" i="13"/>
  <c r="CA50" i="13" s="1"/>
  <c r="BY37" i="13"/>
  <c r="BX37" i="13"/>
  <c r="BX50" i="13" s="1"/>
  <c r="BV37" i="13"/>
  <c r="BU37" i="13"/>
  <c r="BS37" i="13"/>
  <c r="BR37" i="13"/>
  <c r="BP37" i="13"/>
  <c r="BO37" i="13"/>
  <c r="BO50" i="13" s="1"/>
  <c r="BM37" i="13"/>
  <c r="BL37" i="13"/>
  <c r="BL50" i="13" s="1"/>
  <c r="BJ37" i="13"/>
  <c r="BI37" i="13"/>
  <c r="BI50" i="13" s="1"/>
  <c r="BG37" i="13"/>
  <c r="BF37" i="13"/>
  <c r="BF50" i="13" s="1"/>
  <c r="BD37" i="13"/>
  <c r="BC37" i="13"/>
  <c r="BC50" i="13" s="1"/>
  <c r="BA37" i="13"/>
  <c r="AZ37" i="13"/>
  <c r="AZ50" i="13" s="1"/>
  <c r="AX37" i="13"/>
  <c r="AW37" i="13"/>
  <c r="AW50" i="13" s="1"/>
  <c r="AU37" i="13"/>
  <c r="AT37" i="13"/>
  <c r="AT50" i="13" s="1"/>
  <c r="AR37" i="13"/>
  <c r="AQ37" i="13"/>
  <c r="AQ50" i="13" s="1"/>
  <c r="AO37" i="13"/>
  <c r="AN37" i="13"/>
  <c r="AN50" i="13" s="1"/>
  <c r="AL37" i="13"/>
  <c r="AK37" i="13"/>
  <c r="AK50" i="13" s="1"/>
  <c r="AI37" i="13"/>
  <c r="AH37" i="13"/>
  <c r="AH50" i="13" s="1"/>
  <c r="AF37" i="13"/>
  <c r="AE37" i="13"/>
  <c r="AE50" i="13" s="1"/>
  <c r="AC37" i="13"/>
  <c r="AB37" i="13"/>
  <c r="AB50" i="13" s="1"/>
  <c r="Z37" i="13"/>
  <c r="Y37" i="13"/>
  <c r="Y50" i="13" s="1"/>
  <c r="V37" i="13"/>
  <c r="V50" i="13" s="1"/>
  <c r="T37" i="13"/>
  <c r="S37" i="13"/>
  <c r="S50" i="13" s="1"/>
  <c r="P37" i="13"/>
  <c r="M37" i="13"/>
  <c r="M50" i="13" s="1"/>
  <c r="J37" i="13"/>
  <c r="J50" i="13" s="1"/>
  <c r="G37" i="13"/>
  <c r="G50" i="13" s="1"/>
  <c r="D37" i="13"/>
  <c r="D50" i="13" s="1"/>
  <c r="FK36" i="13"/>
  <c r="FJ36" i="13"/>
  <c r="FH36" i="13"/>
  <c r="FG36" i="13"/>
  <c r="FE36" i="13"/>
  <c r="FD36" i="13"/>
  <c r="FB36" i="13"/>
  <c r="FA36" i="13"/>
  <c r="EY36" i="13"/>
  <c r="EX36" i="13"/>
  <c r="EV36" i="13"/>
  <c r="EU36" i="13"/>
  <c r="ES36" i="13"/>
  <c r="ER36" i="13"/>
  <c r="EP36" i="13"/>
  <c r="EO36" i="13"/>
  <c r="EM36" i="13"/>
  <c r="EL36" i="13"/>
  <c r="EJ36" i="13"/>
  <c r="EI36" i="13"/>
  <c r="EG36" i="13"/>
  <c r="EF36" i="13"/>
  <c r="ED36" i="13"/>
  <c r="EC36" i="13"/>
  <c r="EA36" i="13"/>
  <c r="DZ36" i="13"/>
  <c r="DX36" i="13"/>
  <c r="DW36" i="13"/>
  <c r="DU36" i="13"/>
  <c r="DT36" i="13"/>
  <c r="DR36" i="13"/>
  <c r="DQ36" i="13"/>
  <c r="DO36" i="13"/>
  <c r="DN36" i="13"/>
  <c r="DL36" i="13"/>
  <c r="DK36" i="13"/>
  <c r="DH36" i="13"/>
  <c r="DF36" i="13"/>
  <c r="DE36" i="13"/>
  <c r="DC36" i="13"/>
  <c r="DB36" i="13"/>
  <c r="CZ36" i="13"/>
  <c r="CY36" i="13"/>
  <c r="CW36" i="13"/>
  <c r="CV36" i="13"/>
  <c r="CT36" i="13"/>
  <c r="CS36" i="13"/>
  <c r="CQ36" i="13"/>
  <c r="CP36" i="13"/>
  <c r="CN36" i="13"/>
  <c r="CM36" i="13"/>
  <c r="CK36" i="13"/>
  <c r="CJ36" i="13"/>
  <c r="CH36" i="13"/>
  <c r="CG36" i="13"/>
  <c r="CE36" i="13"/>
  <c r="CD36" i="13"/>
  <c r="CB36" i="13"/>
  <c r="CA36" i="13"/>
  <c r="BY36" i="13"/>
  <c r="BX36" i="13"/>
  <c r="BV36" i="13"/>
  <c r="BU36" i="13"/>
  <c r="BS36" i="13"/>
  <c r="BR36" i="13"/>
  <c r="BP36" i="13"/>
  <c r="BO36" i="13"/>
  <c r="BM36" i="13"/>
  <c r="BL36" i="13"/>
  <c r="BJ36" i="13"/>
  <c r="BI36" i="13"/>
  <c r="BG36" i="13"/>
  <c r="BF36" i="13"/>
  <c r="BD36" i="13"/>
  <c r="BC36" i="13"/>
  <c r="BA36" i="13"/>
  <c r="AZ36" i="13"/>
  <c r="AX36" i="13"/>
  <c r="AW36" i="13"/>
  <c r="AU36" i="13"/>
  <c r="AT36" i="13"/>
  <c r="AR36" i="13"/>
  <c r="AQ36" i="13"/>
  <c r="AO36" i="13"/>
  <c r="AN36" i="13"/>
  <c r="AL36" i="13"/>
  <c r="AK36" i="13"/>
  <c r="AI36" i="13"/>
  <c r="AH36" i="13"/>
  <c r="AF36" i="13"/>
  <c r="AE36" i="13"/>
  <c r="AB36" i="13"/>
  <c r="Z36" i="13"/>
  <c r="Y36" i="13"/>
  <c r="V36" i="13"/>
  <c r="T36" i="13"/>
  <c r="S36" i="13"/>
  <c r="P36" i="13"/>
  <c r="M36" i="13"/>
  <c r="J36" i="13"/>
  <c r="G36" i="13"/>
  <c r="D36" i="13"/>
  <c r="AC35" i="13"/>
  <c r="W35" i="13"/>
  <c r="Q35" i="13"/>
  <c r="N35" i="13"/>
  <c r="K35" i="13"/>
  <c r="H35" i="13"/>
  <c r="E35" i="13"/>
  <c r="DI36" i="13"/>
  <c r="AC34" i="13"/>
  <c r="W34" i="13"/>
  <c r="Q34" i="13"/>
  <c r="N34" i="13"/>
  <c r="K34" i="13"/>
  <c r="H34" i="13"/>
  <c r="E34" i="13"/>
  <c r="AC33" i="13"/>
  <c r="W33" i="13"/>
  <c r="Q33" i="13"/>
  <c r="N33" i="13"/>
  <c r="K33" i="13"/>
  <c r="H33" i="13"/>
  <c r="E33" i="13"/>
  <c r="EJ44" i="13"/>
  <c r="AC32" i="13"/>
  <c r="W32" i="13"/>
  <c r="Q32" i="13"/>
  <c r="N32" i="13"/>
  <c r="K32" i="13"/>
  <c r="H32" i="13"/>
  <c r="E32" i="13"/>
  <c r="AC31" i="13"/>
  <c r="W31" i="13"/>
  <c r="Q31" i="13"/>
  <c r="N31" i="13"/>
  <c r="K31" i="13"/>
  <c r="H31" i="13"/>
  <c r="E31" i="13"/>
  <c r="AC30" i="13"/>
  <c r="W30" i="13"/>
  <c r="Q30" i="13"/>
  <c r="N30" i="13"/>
  <c r="K30" i="13"/>
  <c r="H30" i="13"/>
  <c r="E30" i="13"/>
  <c r="AC29" i="13"/>
  <c r="W29" i="13"/>
  <c r="Q29" i="13"/>
  <c r="N29" i="13"/>
  <c r="K29" i="13"/>
  <c r="H29" i="13"/>
  <c r="E29" i="13"/>
  <c r="FJ26" i="13"/>
  <c r="FG26" i="13"/>
  <c r="FD26" i="13"/>
  <c r="EY26" i="13"/>
  <c r="EX26" i="13"/>
  <c r="EV26" i="13"/>
  <c r="EU26" i="13"/>
  <c r="EO26" i="13"/>
  <c r="EF26" i="13"/>
  <c r="EC26" i="13"/>
  <c r="DI26" i="13"/>
  <c r="DH26" i="13"/>
  <c r="CS26" i="13"/>
  <c r="BC26" i="13"/>
  <c r="AZ26" i="13"/>
  <c r="AW26" i="13"/>
  <c r="AT26" i="13"/>
  <c r="AI26" i="13"/>
  <c r="AH26" i="13"/>
  <c r="AF26" i="13"/>
  <c r="AE26" i="13"/>
  <c r="AB26" i="13"/>
  <c r="Z26" i="13"/>
  <c r="Y26" i="13"/>
  <c r="V26" i="13"/>
  <c r="S26" i="13"/>
  <c r="P26" i="13"/>
  <c r="M26" i="13"/>
  <c r="J26" i="13"/>
  <c r="G26" i="13"/>
  <c r="D26" i="13"/>
  <c r="AC25" i="13"/>
  <c r="W25" i="13"/>
  <c r="Q25" i="13"/>
  <c r="N25" i="13"/>
  <c r="K25" i="13"/>
  <c r="H25" i="13"/>
  <c r="E25" i="13"/>
  <c r="ES24" i="13"/>
  <c r="AC24" i="13"/>
  <c r="W24" i="13"/>
  <c r="Q24" i="13"/>
  <c r="N24" i="13"/>
  <c r="K24" i="13"/>
  <c r="H24" i="13"/>
  <c r="E24" i="13"/>
  <c r="ES23" i="13"/>
  <c r="AC23" i="13"/>
  <c r="W23" i="13"/>
  <c r="Q23" i="13"/>
  <c r="N23" i="13"/>
  <c r="K23" i="13"/>
  <c r="H23" i="13"/>
  <c r="E23" i="13"/>
  <c r="AC22" i="13"/>
  <c r="W22" i="13"/>
  <c r="Q22" i="13"/>
  <c r="N22" i="13"/>
  <c r="N21" i="13" s="1"/>
  <c r="K22" i="13"/>
  <c r="H22" i="13"/>
  <c r="E22" i="13"/>
  <c r="FK21" i="13"/>
  <c r="FJ21" i="13"/>
  <c r="FH21" i="13"/>
  <c r="FG21" i="13"/>
  <c r="FE21" i="13"/>
  <c r="FD21" i="13"/>
  <c r="FB21" i="13"/>
  <c r="FA21" i="13"/>
  <c r="EY21" i="13"/>
  <c r="EX21" i="13"/>
  <c r="EV21" i="13"/>
  <c r="EU21" i="13"/>
  <c r="EP21" i="13"/>
  <c r="EO21" i="13"/>
  <c r="EM21" i="13"/>
  <c r="EL21" i="13"/>
  <c r="EJ21" i="13"/>
  <c r="EI21" i="13"/>
  <c r="EG21" i="13"/>
  <c r="EF21" i="13"/>
  <c r="ED21" i="13"/>
  <c r="EC21" i="13"/>
  <c r="EA21" i="13"/>
  <c r="DZ21" i="13"/>
  <c r="DX21" i="13"/>
  <c r="DW21" i="13"/>
  <c r="DU21" i="13"/>
  <c r="DT21" i="13"/>
  <c r="DR21" i="13"/>
  <c r="DQ21" i="13"/>
  <c r="DO21" i="13"/>
  <c r="DN21" i="13"/>
  <c r="DL21" i="13"/>
  <c r="DK21" i="13"/>
  <c r="DI21" i="13"/>
  <c r="DH21" i="13"/>
  <c r="DF21" i="13"/>
  <c r="DE21" i="13"/>
  <c r="DC21" i="13"/>
  <c r="DB21" i="13"/>
  <c r="CZ21" i="13"/>
  <c r="CY21" i="13"/>
  <c r="CW21" i="13"/>
  <c r="CV21" i="13"/>
  <c r="CT21" i="13"/>
  <c r="CS21" i="13"/>
  <c r="CQ21" i="13"/>
  <c r="CP21" i="13"/>
  <c r="CN21" i="13"/>
  <c r="CM21" i="13"/>
  <c r="CK21" i="13"/>
  <c r="CJ21" i="13"/>
  <c r="CH21" i="13"/>
  <c r="CG21" i="13"/>
  <c r="CE21" i="13"/>
  <c r="CD21" i="13"/>
  <c r="CB21" i="13"/>
  <c r="CA21" i="13"/>
  <c r="BY21" i="13"/>
  <c r="BX21" i="13"/>
  <c r="BV21" i="13"/>
  <c r="BU21" i="13"/>
  <c r="BS21" i="13"/>
  <c r="BR21" i="13"/>
  <c r="BP21" i="13"/>
  <c r="BO21" i="13"/>
  <c r="BM21" i="13"/>
  <c r="BL21" i="13"/>
  <c r="BJ21" i="13"/>
  <c r="BI21" i="13"/>
  <c r="BG21" i="13"/>
  <c r="BF21" i="13"/>
  <c r="BD21" i="13"/>
  <c r="BC21" i="13"/>
  <c r="BA21" i="13"/>
  <c r="AZ21" i="13"/>
  <c r="AX21" i="13"/>
  <c r="AW21" i="13"/>
  <c r="AU21" i="13"/>
  <c r="AT21" i="13"/>
  <c r="AR21" i="13"/>
  <c r="AQ21" i="13"/>
  <c r="AO21" i="13"/>
  <c r="AN21" i="13"/>
  <c r="AL21" i="13"/>
  <c r="AK21" i="13"/>
  <c r="AI21" i="13"/>
  <c r="AH21" i="13"/>
  <c r="AF21" i="13"/>
  <c r="AE21" i="13"/>
  <c r="AB21" i="13"/>
  <c r="Z21" i="13"/>
  <c r="Y21" i="13"/>
  <c r="V21" i="13"/>
  <c r="T21" i="13"/>
  <c r="S21" i="13"/>
  <c r="P21" i="13"/>
  <c r="M21" i="13"/>
  <c r="J21" i="13"/>
  <c r="G21" i="13"/>
  <c r="D21" i="13"/>
  <c r="AH19" i="13"/>
  <c r="AH18" i="13" s="1"/>
  <c r="FK18" i="13"/>
  <c r="FK27" i="13" s="1"/>
  <c r="FJ18" i="13"/>
  <c r="FH18" i="13"/>
  <c r="FH27" i="13" s="1"/>
  <c r="FG18" i="13"/>
  <c r="FG27" i="13" s="1"/>
  <c r="FE18" i="13"/>
  <c r="FE27" i="13" s="1"/>
  <c r="FD18" i="13"/>
  <c r="FB18" i="13"/>
  <c r="FB27" i="13" s="1"/>
  <c r="FA18" i="13"/>
  <c r="FA27" i="13" s="1"/>
  <c r="EY18" i="13"/>
  <c r="EY27" i="13" s="1"/>
  <c r="EX18" i="13"/>
  <c r="EV18" i="13"/>
  <c r="EV27" i="13" s="1"/>
  <c r="EU18" i="13"/>
  <c r="EU27" i="13" s="1"/>
  <c r="ES18" i="13"/>
  <c r="ER18" i="13"/>
  <c r="ER27" i="13" s="1"/>
  <c r="EP18" i="13"/>
  <c r="EP27" i="13" s="1"/>
  <c r="EO18" i="13"/>
  <c r="EO27" i="13" s="1"/>
  <c r="EM18" i="13"/>
  <c r="EM27" i="13" s="1"/>
  <c r="EL18" i="13"/>
  <c r="EJ18" i="13"/>
  <c r="EJ27" i="13" s="1"/>
  <c r="EI18" i="13"/>
  <c r="EI27" i="13" s="1"/>
  <c r="EG18" i="13"/>
  <c r="EG27" i="13" s="1"/>
  <c r="EF18" i="13"/>
  <c r="ED18" i="13"/>
  <c r="EC18" i="13"/>
  <c r="EC27" i="13" s="1"/>
  <c r="EA18" i="13"/>
  <c r="EA27" i="13" s="1"/>
  <c r="DZ18" i="13"/>
  <c r="DX18" i="13"/>
  <c r="DX27" i="13" s="1"/>
  <c r="DW18" i="13"/>
  <c r="DW27" i="13" s="1"/>
  <c r="DU18" i="13"/>
  <c r="DT18" i="13"/>
  <c r="DR18" i="13"/>
  <c r="DR27" i="13" s="1"/>
  <c r="DQ18" i="13"/>
  <c r="DQ27" i="13" s="1"/>
  <c r="DO18" i="13"/>
  <c r="DO27" i="13" s="1"/>
  <c r="DN18" i="13"/>
  <c r="DL18" i="13"/>
  <c r="DL27" i="13" s="1"/>
  <c r="DK18" i="13"/>
  <c r="DK27" i="13" s="1"/>
  <c r="DI18" i="13"/>
  <c r="DI27" i="13" s="1"/>
  <c r="DH18" i="13"/>
  <c r="DF18" i="13"/>
  <c r="DF27" i="13" s="1"/>
  <c r="DE18" i="13"/>
  <c r="DE27" i="13" s="1"/>
  <c r="DC18" i="13"/>
  <c r="DC27" i="13" s="1"/>
  <c r="DB18" i="13"/>
  <c r="CZ18" i="13"/>
  <c r="CZ27" i="13" s="1"/>
  <c r="CY18" i="13"/>
  <c r="CY27" i="13" s="1"/>
  <c r="CW18" i="13"/>
  <c r="CW27" i="13" s="1"/>
  <c r="CV18" i="13"/>
  <c r="CV27" i="13" s="1"/>
  <c r="CT18" i="13"/>
  <c r="CT27" i="13" s="1"/>
  <c r="CS18" i="13"/>
  <c r="CS27" i="13" s="1"/>
  <c r="CQ18" i="13"/>
  <c r="CQ27" i="13" s="1"/>
  <c r="CP18" i="13"/>
  <c r="CN18" i="13"/>
  <c r="CN27" i="13" s="1"/>
  <c r="CM18" i="13"/>
  <c r="CM27" i="13" s="1"/>
  <c r="CK18" i="13"/>
  <c r="CK27" i="13" s="1"/>
  <c r="CJ18" i="13"/>
  <c r="CJ27" i="13" s="1"/>
  <c r="CH18" i="13"/>
  <c r="CH27" i="13" s="1"/>
  <c r="CG18" i="13"/>
  <c r="CG27" i="13" s="1"/>
  <c r="CE18" i="13"/>
  <c r="CE27" i="13" s="1"/>
  <c r="CD18" i="13"/>
  <c r="CB18" i="13"/>
  <c r="CB27" i="13" s="1"/>
  <c r="CA18" i="13"/>
  <c r="CA27" i="13" s="1"/>
  <c r="BY18" i="13"/>
  <c r="BY27" i="13" s="1"/>
  <c r="BX18" i="13"/>
  <c r="BV18" i="13"/>
  <c r="BV27" i="13" s="1"/>
  <c r="BU18" i="13"/>
  <c r="BU27" i="13" s="1"/>
  <c r="BS18" i="13"/>
  <c r="BS27" i="13" s="1"/>
  <c r="BR18" i="13"/>
  <c r="BP18" i="13"/>
  <c r="BP27" i="13" s="1"/>
  <c r="BO18" i="13"/>
  <c r="BO27" i="13" s="1"/>
  <c r="BM18" i="13"/>
  <c r="BM27" i="13" s="1"/>
  <c r="BL18" i="13"/>
  <c r="BJ18" i="13"/>
  <c r="BJ27" i="13" s="1"/>
  <c r="BI18" i="13"/>
  <c r="BI27" i="13" s="1"/>
  <c r="BG27" i="13"/>
  <c r="BF18" i="13"/>
  <c r="BD18" i="13"/>
  <c r="BD27" i="13" s="1"/>
  <c r="BC18" i="13"/>
  <c r="BC27" i="13" s="1"/>
  <c r="BA18" i="13"/>
  <c r="BA27" i="13" s="1"/>
  <c r="AZ18" i="13"/>
  <c r="AZ27" i="13" s="1"/>
  <c r="AX18" i="13"/>
  <c r="AX27" i="13" s="1"/>
  <c r="AW18" i="13"/>
  <c r="AW27" i="13" s="1"/>
  <c r="AU18" i="13"/>
  <c r="AU27" i="13" s="1"/>
  <c r="AT18" i="13"/>
  <c r="AR27" i="13"/>
  <c r="AQ18" i="13"/>
  <c r="AQ27" i="13" s="1"/>
  <c r="AL18" i="13"/>
  <c r="AL27" i="13" s="1"/>
  <c r="AK18" i="13"/>
  <c r="AK27" i="13" s="1"/>
  <c r="AI27" i="13"/>
  <c r="Z18" i="13"/>
  <c r="Z27" i="13" s="1"/>
  <c r="Y18" i="13"/>
  <c r="W18" i="13"/>
  <c r="V18" i="13"/>
  <c r="V27" i="13" s="1"/>
  <c r="T18" i="13"/>
  <c r="T27" i="13" s="1"/>
  <c r="S18" i="13"/>
  <c r="S27" i="13" s="1"/>
  <c r="Q18" i="13"/>
  <c r="P18" i="13"/>
  <c r="N18" i="13"/>
  <c r="M18" i="13"/>
  <c r="M27" i="13" s="1"/>
  <c r="K18" i="13"/>
  <c r="J18" i="13"/>
  <c r="H18" i="13"/>
  <c r="G18" i="13"/>
  <c r="G27" i="13" s="1"/>
  <c r="E18" i="13"/>
  <c r="D18" i="13"/>
  <c r="AC17" i="13"/>
  <c r="Q17" i="13"/>
  <c r="N17" i="13"/>
  <c r="K17" i="13"/>
  <c r="DU16" i="13"/>
  <c r="AC16" i="13"/>
  <c r="Q16" i="13"/>
  <c r="N16" i="13"/>
  <c r="K16" i="13"/>
  <c r="AC15" i="13"/>
  <c r="W15" i="13"/>
  <c r="Q15" i="13"/>
  <c r="N15" i="13"/>
  <c r="K15" i="13"/>
  <c r="H15" i="13"/>
  <c r="E15" i="13"/>
  <c r="AC14" i="13"/>
  <c r="W14" i="13"/>
  <c r="Q14" i="13"/>
  <c r="N14" i="13"/>
  <c r="K14" i="13"/>
  <c r="H14" i="13"/>
  <c r="E14" i="13"/>
  <c r="BO26" i="13"/>
  <c r="BJ26" i="13"/>
  <c r="BD26" i="13"/>
  <c r="BA26" i="13"/>
  <c r="AX26" i="13"/>
  <c r="AU26" i="13"/>
  <c r="AR26" i="13"/>
  <c r="AL26" i="13"/>
  <c r="AC13" i="13"/>
  <c r="W13" i="13"/>
  <c r="Q13" i="13"/>
  <c r="N13" i="13"/>
  <c r="K13" i="13"/>
  <c r="H13" i="13"/>
  <c r="E13" i="13"/>
  <c r="FK12" i="13"/>
  <c r="FJ12" i="13"/>
  <c r="FH12" i="13"/>
  <c r="FG12" i="13"/>
  <c r="FE12" i="13"/>
  <c r="FD12" i="13"/>
  <c r="FB12" i="13"/>
  <c r="FA12" i="13"/>
  <c r="EY12" i="13"/>
  <c r="EX12" i="13"/>
  <c r="EV12" i="13"/>
  <c r="EU12" i="13"/>
  <c r="ES12" i="13"/>
  <c r="ER12" i="13"/>
  <c r="EP12" i="13"/>
  <c r="EO12" i="13"/>
  <c r="EJ12" i="13"/>
  <c r="EI12" i="13"/>
  <c r="EG12" i="13"/>
  <c r="EF12" i="13"/>
  <c r="ED12" i="13"/>
  <c r="EC12" i="13"/>
  <c r="EA12" i="13"/>
  <c r="DZ12" i="13"/>
  <c r="DX12" i="13"/>
  <c r="DW12" i="13"/>
  <c r="DU12" i="13"/>
  <c r="DT12" i="13"/>
  <c r="DR12" i="13"/>
  <c r="DQ12" i="13"/>
  <c r="DO12" i="13"/>
  <c r="DN12" i="13"/>
  <c r="DL12" i="13"/>
  <c r="DK12" i="13"/>
  <c r="DI12" i="13"/>
  <c r="DH12" i="13"/>
  <c r="DF12" i="13"/>
  <c r="DE12" i="13"/>
  <c r="DC12" i="13"/>
  <c r="DB12" i="13"/>
  <c r="CZ12" i="13"/>
  <c r="CY12" i="13"/>
  <c r="CW12" i="13"/>
  <c r="CV12" i="13"/>
  <c r="CT12" i="13"/>
  <c r="CS12" i="13"/>
  <c r="CQ12" i="13"/>
  <c r="CP12" i="13"/>
  <c r="CN12" i="13"/>
  <c r="CM12" i="13"/>
  <c r="CK12" i="13"/>
  <c r="CJ12" i="13"/>
  <c r="CH12" i="13"/>
  <c r="CG12" i="13"/>
  <c r="CE12" i="13"/>
  <c r="CD12" i="13"/>
  <c r="CB12" i="13"/>
  <c r="CA12" i="13"/>
  <c r="BV12" i="13"/>
  <c r="BU12" i="13"/>
  <c r="BS12" i="13"/>
  <c r="BR12" i="13"/>
  <c r="BC12" i="13"/>
  <c r="BC20" i="13" s="1"/>
  <c r="AZ12" i="13"/>
  <c r="AW12" i="13"/>
  <c r="AT12" i="13"/>
  <c r="AI12" i="13"/>
  <c r="AH12" i="13"/>
  <c r="AF12" i="13"/>
  <c r="AE12" i="13"/>
  <c r="AB12" i="13"/>
  <c r="Z12" i="13"/>
  <c r="Y12" i="13"/>
  <c r="V12" i="13"/>
  <c r="T12" i="13"/>
  <c r="S12" i="13"/>
  <c r="P12" i="13"/>
  <c r="M12" i="13"/>
  <c r="J12" i="13"/>
  <c r="G12" i="13"/>
  <c r="D12" i="13"/>
  <c r="CP26" i="13"/>
  <c r="CM26" i="13"/>
  <c r="CM28" i="13" s="1"/>
  <c r="CJ26" i="13"/>
  <c r="CG26" i="13"/>
  <c r="CG28" i="13" s="1"/>
  <c r="CD26" i="13"/>
  <c r="CA26" i="13"/>
  <c r="CA28" i="13" s="1"/>
  <c r="BS11" i="13"/>
  <c r="AC11" i="13"/>
  <c r="W11" i="13"/>
  <c r="Q11" i="13"/>
  <c r="N11" i="13"/>
  <c r="K11" i="13"/>
  <c r="H11" i="13"/>
  <c r="E11" i="13"/>
  <c r="FK26" i="13"/>
  <c r="FB26" i="13"/>
  <c r="FA26" i="13"/>
  <c r="FA28" i="13" s="1"/>
  <c r="ER10" i="13"/>
  <c r="EP26" i="13"/>
  <c r="EI26" i="13"/>
  <c r="EI28" i="13" s="1"/>
  <c r="EG26" i="13"/>
  <c r="ED26" i="13"/>
  <c r="DZ26" i="13"/>
  <c r="DW26" i="13"/>
  <c r="DW28" i="13" s="1"/>
  <c r="DR26" i="13"/>
  <c r="DR28" i="13" s="1"/>
  <c r="DQ26" i="13"/>
  <c r="DQ28" i="13" s="1"/>
  <c r="DN26" i="13"/>
  <c r="DL26" i="13"/>
  <c r="DK26" i="13"/>
  <c r="DK28" i="13" s="1"/>
  <c r="DE26" i="13"/>
  <c r="DE28" i="13" s="1"/>
  <c r="DC26" i="13"/>
  <c r="DB26" i="13"/>
  <c r="CY26" i="13"/>
  <c r="CY28" i="13" s="1"/>
  <c r="CW26" i="13"/>
  <c r="CW28" i="13" s="1"/>
  <c r="CV26" i="13"/>
  <c r="CT26" i="13"/>
  <c r="AC10" i="13"/>
  <c r="W10" i="13"/>
  <c r="T26" i="13"/>
  <c r="N10" i="13"/>
  <c r="K10" i="13"/>
  <c r="H10" i="13"/>
  <c r="E10" i="13"/>
  <c r="AC9" i="13"/>
  <c r="W9" i="13"/>
  <c r="Q9" i="13"/>
  <c r="N9" i="13"/>
  <c r="K9" i="13"/>
  <c r="H9" i="13"/>
  <c r="E9" i="13"/>
  <c r="FE26" i="13"/>
  <c r="BU26" i="13"/>
  <c r="BU28" i="13" s="1"/>
  <c r="BS26" i="13"/>
  <c r="BR26" i="13"/>
  <c r="AC8" i="13"/>
  <c r="W8" i="13"/>
  <c r="Q8" i="13"/>
  <c r="N8" i="13"/>
  <c r="K8" i="13"/>
  <c r="H8" i="13"/>
  <c r="E8" i="13"/>
  <c r="AU28" i="13" l="1"/>
  <c r="N37" i="13"/>
  <c r="BL46" i="14"/>
  <c r="BL54" i="14" s="1"/>
  <c r="CJ46" i="14"/>
  <c r="CJ54" i="14" s="1"/>
  <c r="T28" i="13"/>
  <c r="BU20" i="13"/>
  <c r="EO20" i="13"/>
  <c r="EU20" i="13"/>
  <c r="FG20" i="13"/>
  <c r="CS20" i="13"/>
  <c r="BO28" i="13"/>
  <c r="H37" i="13"/>
  <c r="AB46" i="14"/>
  <c r="AB54" i="14" s="1"/>
  <c r="DI46" i="13"/>
  <c r="DG46" i="14"/>
  <c r="DG54" i="14" s="1"/>
  <c r="Y52" i="14"/>
  <c r="Y28" i="14"/>
  <c r="AB51" i="14"/>
  <c r="S46" i="14"/>
  <c r="S54" i="14" s="1"/>
  <c r="M46" i="14"/>
  <c r="M54" i="14" s="1"/>
  <c r="CX20" i="14"/>
  <c r="M52" i="13"/>
  <c r="FY46" i="14"/>
  <c r="FY54" i="14" s="1"/>
  <c r="FS46" i="14"/>
  <c r="FS54" i="14" s="1"/>
  <c r="FM46" i="14"/>
  <c r="FM54" i="14" s="1"/>
  <c r="FG46" i="14"/>
  <c r="FG54" i="14" s="1"/>
  <c r="FA46" i="14"/>
  <c r="FA54" i="14" s="1"/>
  <c r="EU46" i="14"/>
  <c r="EU54" i="14" s="1"/>
  <c r="EE46" i="14"/>
  <c r="EE54" i="14" s="1"/>
  <c r="DV46" i="14"/>
  <c r="DV54" i="14" s="1"/>
  <c r="DP46" i="14"/>
  <c r="DP54" i="14" s="1"/>
  <c r="DJ46" i="14"/>
  <c r="DJ54" i="14" s="1"/>
  <c r="DD46" i="14"/>
  <c r="DD54" i="14" s="1"/>
  <c r="CX46" i="14"/>
  <c r="CX54" i="14" s="1"/>
  <c r="CS46" i="14"/>
  <c r="CS54" i="14" s="1"/>
  <c r="CM46" i="14"/>
  <c r="CM54" i="14" s="1"/>
  <c r="CG46" i="14"/>
  <c r="CG54" i="14" s="1"/>
  <c r="CA46" i="14"/>
  <c r="CA54" i="14" s="1"/>
  <c r="BU46" i="14"/>
  <c r="BU54" i="14" s="1"/>
  <c r="BO46" i="14"/>
  <c r="BO54" i="14" s="1"/>
  <c r="BI46" i="14"/>
  <c r="BI54" i="14" s="1"/>
  <c r="BC46" i="14"/>
  <c r="BC54" i="14" s="1"/>
  <c r="AU46" i="14"/>
  <c r="AU54" i="14" s="1"/>
  <c r="AO46" i="14"/>
  <c r="AO54" i="14" s="1"/>
  <c r="AI46" i="14"/>
  <c r="AI54" i="14" s="1"/>
  <c r="Q46" i="14"/>
  <c r="Q54" i="14" s="1"/>
  <c r="FV46" i="14"/>
  <c r="FV54" i="14" s="1"/>
  <c r="FJ46" i="14"/>
  <c r="FJ54" i="14" s="1"/>
  <c r="FD46" i="14"/>
  <c r="FD54" i="14" s="1"/>
  <c r="EX46" i="14"/>
  <c r="EX54" i="14" s="1"/>
  <c r="DY46" i="14"/>
  <c r="DY54" i="14" s="1"/>
  <c r="DS46" i="14"/>
  <c r="DS54" i="14" s="1"/>
  <c r="DM46" i="14"/>
  <c r="DM54" i="14" s="1"/>
  <c r="DA46" i="14"/>
  <c r="DA54" i="14" s="1"/>
  <c r="CP46" i="14"/>
  <c r="CP54" i="14" s="1"/>
  <c r="CD46" i="14"/>
  <c r="CD54" i="14" s="1"/>
  <c r="BR46" i="14"/>
  <c r="BR54" i="14" s="1"/>
  <c r="BF46" i="14"/>
  <c r="BF54" i="14" s="1"/>
  <c r="AZ46" i="14"/>
  <c r="AZ54" i="14" s="1"/>
  <c r="AR46" i="14"/>
  <c r="AR54" i="14" s="1"/>
  <c r="T46" i="14"/>
  <c r="T54" i="14" s="1"/>
  <c r="N46" i="14"/>
  <c r="N54" i="14" s="1"/>
  <c r="CA20" i="14"/>
  <c r="P46" i="15"/>
  <c r="P50" i="15" s="1"/>
  <c r="AB46" i="15"/>
  <c r="AB50" i="15" s="1"/>
  <c r="CT28" i="13"/>
  <c r="FB28" i="13"/>
  <c r="DA51" i="14"/>
  <c r="CP51" i="14"/>
  <c r="CD51" i="14"/>
  <c r="BR51" i="14"/>
  <c r="AW28" i="14"/>
  <c r="AQ28" i="14"/>
  <c r="FL20" i="14"/>
  <c r="CS20" i="14"/>
  <c r="BJ46" i="15"/>
  <c r="BJ50" i="15" s="1"/>
  <c r="ES27" i="13"/>
  <c r="E21" i="13"/>
  <c r="Q21" i="13"/>
  <c r="AZ51" i="14"/>
  <c r="AZ52" i="14" s="1"/>
  <c r="CV46" i="14"/>
  <c r="CV54" i="14" s="1"/>
  <c r="BX46" i="14"/>
  <c r="BX54" i="14" s="1"/>
  <c r="DB28" i="14"/>
  <c r="K46" i="15"/>
  <c r="K50" i="15" s="1"/>
  <c r="BJ28" i="13"/>
  <c r="K37" i="13"/>
  <c r="DM51" i="14"/>
  <c r="AE46" i="14"/>
  <c r="AE54" i="14" s="1"/>
  <c r="ET28" i="14"/>
  <c r="AK28" i="14"/>
  <c r="EU28" i="14"/>
  <c r="AW46" i="15"/>
  <c r="AW50" i="15" s="1"/>
  <c r="BS28" i="13"/>
  <c r="EG28" i="13"/>
  <c r="EJ46" i="13"/>
  <c r="BI28" i="14"/>
  <c r="E20" i="14"/>
  <c r="AK46" i="15"/>
  <c r="AK50" i="15" s="1"/>
  <c r="P46" i="13"/>
  <c r="AF46" i="13"/>
  <c r="AL46" i="13"/>
  <c r="AR46" i="13"/>
  <c r="AX46" i="13"/>
  <c r="BD46" i="13"/>
  <c r="BJ46" i="13"/>
  <c r="BP46" i="13"/>
  <c r="BV46" i="13"/>
  <c r="CB46" i="13"/>
  <c r="CH46" i="13"/>
  <c r="CN46" i="13"/>
  <c r="CT46" i="13"/>
  <c r="CZ46" i="13"/>
  <c r="DF46" i="13"/>
  <c r="DL46" i="13"/>
  <c r="DR46" i="13"/>
  <c r="DX46" i="13"/>
  <c r="ED46" i="13"/>
  <c r="CE46" i="14"/>
  <c r="CE54" i="14" s="1"/>
  <c r="BC28" i="14"/>
  <c r="FE28" i="13"/>
  <c r="DC28" i="13"/>
  <c r="FK28" i="13"/>
  <c r="DJ28" i="14"/>
  <c r="AX28" i="13"/>
  <c r="V46" i="14"/>
  <c r="V54" i="14" s="1"/>
  <c r="P46" i="14"/>
  <c r="P54" i="14" s="1"/>
  <c r="BC52" i="14"/>
  <c r="FS28" i="14"/>
  <c r="AX28" i="14"/>
  <c r="AR28" i="14"/>
  <c r="H28" i="14"/>
  <c r="DV20" i="14"/>
  <c r="DJ20" i="14"/>
  <c r="DD20" i="14"/>
  <c r="EP28" i="13"/>
  <c r="S20" i="13"/>
  <c r="Q12" i="13"/>
  <c r="BD28" i="13"/>
  <c r="W12" i="13"/>
  <c r="AC12" i="13"/>
  <c r="AC20" i="13" s="1"/>
  <c r="EP46" i="13"/>
  <c r="EV46" i="13"/>
  <c r="FB46" i="13"/>
  <c r="FH46" i="13"/>
  <c r="FX52" i="14"/>
  <c r="Z46" i="14"/>
  <c r="Z54" i="14" s="1"/>
  <c r="DH20" i="13"/>
  <c r="EF20" i="13"/>
  <c r="H12" i="13"/>
  <c r="H20" i="13" s="1"/>
  <c r="K12" i="13"/>
  <c r="K20" i="13" s="1"/>
  <c r="H44" i="13"/>
  <c r="W36" i="13"/>
  <c r="K45" i="13"/>
  <c r="AC45" i="13"/>
  <c r="V51" i="14"/>
  <c r="M28" i="14"/>
  <c r="CM20" i="14"/>
  <c r="Y20" i="14"/>
  <c r="S20" i="14"/>
  <c r="M20" i="14"/>
  <c r="G20" i="14"/>
  <c r="DE28" i="14"/>
  <c r="G46" i="15"/>
  <c r="G50" i="15" s="1"/>
  <c r="M46" i="15"/>
  <c r="M50" i="15" s="1"/>
  <c r="Y46" i="15"/>
  <c r="Y50" i="15" s="1"/>
  <c r="BI46" i="15"/>
  <c r="BI50" i="15" s="1"/>
  <c r="ER28" i="13"/>
  <c r="E12" i="13"/>
  <c r="V46" i="13"/>
  <c r="BU46" i="13"/>
  <c r="CM46" i="13"/>
  <c r="CY46" i="13"/>
  <c r="P51" i="14"/>
  <c r="P52" i="14" s="1"/>
  <c r="FU46" i="14"/>
  <c r="FU54" i="14" s="1"/>
  <c r="FO46" i="14"/>
  <c r="FO54" i="14" s="1"/>
  <c r="FI46" i="14"/>
  <c r="FI54" i="14" s="1"/>
  <c r="FC46" i="14"/>
  <c r="FC54" i="14" s="1"/>
  <c r="EW46" i="14"/>
  <c r="EW54" i="14" s="1"/>
  <c r="EF46" i="14"/>
  <c r="EF54" i="14" s="1"/>
  <c r="DQ46" i="14"/>
  <c r="DQ54" i="14" s="1"/>
  <c r="DK46" i="14"/>
  <c r="DK54" i="14" s="1"/>
  <c r="DE46" i="14"/>
  <c r="DE54" i="14" s="1"/>
  <c r="CY46" i="14"/>
  <c r="CY54" i="14" s="1"/>
  <c r="CT46" i="14"/>
  <c r="CT54" i="14" s="1"/>
  <c r="CN46" i="14"/>
  <c r="CN54" i="14" s="1"/>
  <c r="CH46" i="14"/>
  <c r="CH54" i="14" s="1"/>
  <c r="CB46" i="14"/>
  <c r="CB54" i="14" s="1"/>
  <c r="BV46" i="14"/>
  <c r="BV54" i="14" s="1"/>
  <c r="BP46" i="14"/>
  <c r="BP54" i="14" s="1"/>
  <c r="BJ46" i="14"/>
  <c r="BJ54" i="14" s="1"/>
  <c r="AW46" i="14"/>
  <c r="AW54" i="14" s="1"/>
  <c r="AQ46" i="14"/>
  <c r="AQ54" i="14" s="1"/>
  <c r="AK46" i="14"/>
  <c r="AK54" i="14" s="1"/>
  <c r="G46" i="14"/>
  <c r="G54" i="14" s="1"/>
  <c r="DZ46" i="14"/>
  <c r="DZ54" i="14" s="1"/>
  <c r="DT46" i="14"/>
  <c r="DT54" i="14" s="1"/>
  <c r="DN46" i="14"/>
  <c r="DN54" i="14" s="1"/>
  <c r="DH46" i="14"/>
  <c r="DH54" i="14" s="1"/>
  <c r="DB46" i="14"/>
  <c r="DB54" i="14" s="1"/>
  <c r="CW46" i="14"/>
  <c r="CW54" i="14" s="1"/>
  <c r="CQ46" i="14"/>
  <c r="CQ54" i="14" s="1"/>
  <c r="CK46" i="14"/>
  <c r="CK54" i="14" s="1"/>
  <c r="BY46" i="14"/>
  <c r="BY54" i="14" s="1"/>
  <c r="BS46" i="14"/>
  <c r="BS54" i="14" s="1"/>
  <c r="BM46" i="14"/>
  <c r="BM54" i="14" s="1"/>
  <c r="BG46" i="14"/>
  <c r="BG54" i="14" s="1"/>
  <c r="BA46" i="14"/>
  <c r="BA54" i="14" s="1"/>
  <c r="AT46" i="14"/>
  <c r="AT54" i="14" s="1"/>
  <c r="FI52" i="14"/>
  <c r="FC52" i="14"/>
  <c r="DM52" i="14"/>
  <c r="DA52" i="14"/>
  <c r="CV52" i="14"/>
  <c r="CP52" i="14"/>
  <c r="CJ52" i="14"/>
  <c r="CD52" i="14"/>
  <c r="BX52" i="14"/>
  <c r="BR52" i="14"/>
  <c r="BL52" i="14"/>
  <c r="AB52" i="14"/>
  <c r="AU20" i="14"/>
  <c r="AO20" i="14"/>
  <c r="AI20" i="14"/>
  <c r="BD45" i="15"/>
  <c r="AQ46" i="15"/>
  <c r="AQ50" i="15" s="1"/>
  <c r="H26" i="13"/>
  <c r="W26" i="13"/>
  <c r="AW20" i="13"/>
  <c r="H21" i="13"/>
  <c r="H27" i="13"/>
  <c r="H28" i="13" s="1"/>
  <c r="CV52" i="13"/>
  <c r="CY51" i="13"/>
  <c r="AC46" i="14"/>
  <c r="AC54" i="14" s="1"/>
  <c r="CG28" i="14"/>
  <c r="FO20" i="14"/>
  <c r="AN28" i="15"/>
  <c r="S46" i="15"/>
  <c r="S50" i="15" s="1"/>
  <c r="EW52" i="14"/>
  <c r="D52" i="14"/>
  <c r="V28" i="13"/>
  <c r="W21" i="13"/>
  <c r="EF27" i="13"/>
  <c r="AH46" i="14"/>
  <c r="AH54" i="14" s="1"/>
  <c r="AH51" i="14"/>
  <c r="AH52" i="14" s="1"/>
  <c r="BD37" i="15"/>
  <c r="BD44" i="15"/>
  <c r="N26" i="13"/>
  <c r="Y27" i="13"/>
  <c r="Y28" i="13" s="1"/>
  <c r="Y20" i="13"/>
  <c r="EL46" i="13"/>
  <c r="EL51" i="13"/>
  <c r="ER46" i="13"/>
  <c r="EX46" i="13"/>
  <c r="FD46" i="13"/>
  <c r="FJ46" i="13"/>
  <c r="FJ51" i="13"/>
  <c r="FJ52" i="13" s="1"/>
  <c r="FC20" i="14"/>
  <c r="FC27" i="14"/>
  <c r="FC28" i="14" s="1"/>
  <c r="EQ20" i="14"/>
  <c r="EQ27" i="14"/>
  <c r="CJ27" i="14"/>
  <c r="CJ28" i="14" s="1"/>
  <c r="CJ20" i="14"/>
  <c r="BX27" i="14"/>
  <c r="BX20" i="14"/>
  <c r="BR20" i="14"/>
  <c r="BL27" i="14"/>
  <c r="BL28" i="14" s="1"/>
  <c r="BL20" i="14"/>
  <c r="AT27" i="14"/>
  <c r="AT20" i="14"/>
  <c r="AN20" i="14"/>
  <c r="AN51" i="14"/>
  <c r="AN46" i="14"/>
  <c r="AN54" i="14" s="1"/>
  <c r="N12" i="13"/>
  <c r="E26" i="13"/>
  <c r="Q26" i="13"/>
  <c r="CV28" i="13"/>
  <c r="CJ28" i="13"/>
  <c r="M20" i="13"/>
  <c r="H36" i="13"/>
  <c r="G46" i="13"/>
  <c r="G51" i="13"/>
  <c r="G52" i="13" s="1"/>
  <c r="EX51" i="13"/>
  <c r="AL46" i="15"/>
  <c r="AL50" i="15" s="1"/>
  <c r="EY28" i="13"/>
  <c r="K36" i="13"/>
  <c r="AC36" i="13"/>
  <c r="N36" i="13"/>
  <c r="E44" i="13"/>
  <c r="Q44" i="13"/>
  <c r="W44" i="13"/>
  <c r="H45" i="13"/>
  <c r="CY52" i="13"/>
  <c r="J46" i="13"/>
  <c r="Z46" i="13"/>
  <c r="AH46" i="13"/>
  <c r="AN46" i="13"/>
  <c r="AT46" i="13"/>
  <c r="AZ46" i="13"/>
  <c r="BF46" i="13"/>
  <c r="BL46" i="13"/>
  <c r="BR46" i="13"/>
  <c r="BX46" i="13"/>
  <c r="CD46" i="13"/>
  <c r="CJ46" i="13"/>
  <c r="CP46" i="13"/>
  <c r="DB46" i="13"/>
  <c r="DH46" i="13"/>
  <c r="DN46" i="13"/>
  <c r="DT46" i="13"/>
  <c r="DZ46" i="13"/>
  <c r="EF46" i="13"/>
  <c r="BF51" i="13"/>
  <c r="BF52" i="13" s="1"/>
  <c r="DN51" i="13"/>
  <c r="DN52" i="13" s="1"/>
  <c r="FR52" i="14"/>
  <c r="M52" i="14"/>
  <c r="DP28" i="14"/>
  <c r="DD28" i="14"/>
  <c r="BO28" i="14"/>
  <c r="T28" i="14"/>
  <c r="FR20" i="14"/>
  <c r="ET20" i="14"/>
  <c r="N28" i="15"/>
  <c r="Z46" i="15"/>
  <c r="Z50" i="15" s="1"/>
  <c r="BJ36" i="15"/>
  <c r="H46" i="15"/>
  <c r="H50" i="15" s="1"/>
  <c r="AL28" i="13"/>
  <c r="BA28" i="13"/>
  <c r="N27" i="13"/>
  <c r="N20" i="13"/>
  <c r="DQ20" i="13"/>
  <c r="K21" i="13"/>
  <c r="AC21" i="13"/>
  <c r="N44" i="13"/>
  <c r="E45" i="13"/>
  <c r="Q45" i="13"/>
  <c r="K44" i="13"/>
  <c r="K46" i="13" s="1"/>
  <c r="N45" i="13"/>
  <c r="V51" i="13"/>
  <c r="BX51" i="13"/>
  <c r="DZ51" i="13"/>
  <c r="DZ52" i="13" s="1"/>
  <c r="V52" i="14"/>
  <c r="J52" i="14"/>
  <c r="FX46" i="14"/>
  <c r="FX54" i="14" s="1"/>
  <c r="FR46" i="14"/>
  <c r="FR54" i="14" s="1"/>
  <c r="FL46" i="14"/>
  <c r="FL54" i="14" s="1"/>
  <c r="FF46" i="14"/>
  <c r="FF54" i="14" s="1"/>
  <c r="EZ46" i="14"/>
  <c r="EZ54" i="14" s="1"/>
  <c r="ET46" i="14"/>
  <c r="ET54" i="14" s="1"/>
  <c r="FL52" i="14"/>
  <c r="EZ52" i="14"/>
  <c r="ET52" i="14"/>
  <c r="DV52" i="14"/>
  <c r="DJ52" i="14"/>
  <c r="CX52" i="14"/>
  <c r="CS52" i="14"/>
  <c r="CM52" i="14"/>
  <c r="CG52" i="14"/>
  <c r="CA52" i="14"/>
  <c r="BU52" i="14"/>
  <c r="BO52" i="14"/>
  <c r="BI52" i="14"/>
  <c r="AQ52" i="14"/>
  <c r="AE52" i="14"/>
  <c r="S52" i="14"/>
  <c r="DK28" i="14"/>
  <c r="CM28" i="14"/>
  <c r="BX28" i="14"/>
  <c r="CG20" i="14"/>
  <c r="BU20" i="14"/>
  <c r="BO20" i="14"/>
  <c r="BI20" i="14"/>
  <c r="AW20" i="14"/>
  <c r="AQ20" i="14"/>
  <c r="AK20" i="14"/>
  <c r="D20" i="14"/>
  <c r="J28" i="15"/>
  <c r="P28" i="15"/>
  <c r="V28" i="15"/>
  <c r="AB28" i="15"/>
  <c r="AH28" i="15"/>
  <c r="AQ28" i="15"/>
  <c r="BI28" i="15"/>
  <c r="AR46" i="15"/>
  <c r="AR50" i="15" s="1"/>
  <c r="AZ46" i="15"/>
  <c r="AZ50" i="15" s="1"/>
  <c r="Q27" i="13"/>
  <c r="DU27" i="13"/>
  <c r="FG28" i="13"/>
  <c r="V52" i="13"/>
  <c r="AT52" i="13"/>
  <c r="BX52" i="13"/>
  <c r="EL52" i="13"/>
  <c r="EX52" i="13"/>
  <c r="AH51" i="13"/>
  <c r="AH52" i="13" s="1"/>
  <c r="CM51" i="13"/>
  <c r="CM52" i="13" s="1"/>
  <c r="FO52" i="14"/>
  <c r="AK52" i="14"/>
  <c r="DV28" i="14"/>
  <c r="S28" i="14"/>
  <c r="G28" i="14"/>
  <c r="DB20" i="14"/>
  <c r="AO28" i="15"/>
  <c r="T46" i="15"/>
  <c r="T50" i="15" s="1"/>
  <c r="N46" i="15"/>
  <c r="N50" i="15" s="1"/>
  <c r="BC46" i="15"/>
  <c r="BC50" i="15" s="1"/>
  <c r="M20" i="15"/>
  <c r="AE20" i="15"/>
  <c r="AW20" i="15"/>
  <c r="BC20" i="15"/>
  <c r="EQ52" i="14"/>
  <c r="DW46" i="14"/>
  <c r="DW54" i="14" s="1"/>
  <c r="CS28" i="14"/>
  <c r="BU28" i="14"/>
  <c r="BD46" i="14"/>
  <c r="BD54" i="14" s="1"/>
  <c r="E46" i="14"/>
  <c r="E54" i="14" s="1"/>
  <c r="E28" i="14"/>
  <c r="AR28" i="13"/>
  <c r="EM26" i="13"/>
  <c r="EM28" i="13" s="1"/>
  <c r="BF27" i="14"/>
  <c r="G52" i="14"/>
  <c r="AN52" i="14"/>
  <c r="FR28" i="14"/>
  <c r="AI27" i="14"/>
  <c r="AI28" i="14" s="1"/>
  <c r="EW26" i="14"/>
  <c r="EW28" i="14" s="1"/>
  <c r="DS26" i="14"/>
  <c r="CA26" i="14"/>
  <c r="CA28" i="14" s="1"/>
  <c r="EW20" i="14"/>
  <c r="DS20" i="14"/>
  <c r="DM20" i="14"/>
  <c r="DG20" i="14"/>
  <c r="DA20" i="14"/>
  <c r="AB20" i="14"/>
  <c r="P20" i="14"/>
  <c r="W44" i="14"/>
  <c r="W46" i="14" s="1"/>
  <c r="W54" i="14" s="1"/>
  <c r="AO27" i="14"/>
  <c r="AO28" i="14" s="1"/>
  <c r="H44" i="14"/>
  <c r="H46" i="14" s="1"/>
  <c r="H54" i="14" s="1"/>
  <c r="EQ28" i="14"/>
  <c r="BF28" i="14"/>
  <c r="AU27" i="14"/>
  <c r="AU28" i="14" s="1"/>
  <c r="BC20" i="14"/>
  <c r="AL26" i="14"/>
  <c r="AL28" i="14" s="1"/>
  <c r="BP26" i="14"/>
  <c r="BP28" i="14" s="1"/>
  <c r="AQ20" i="13"/>
  <c r="DY27" i="14"/>
  <c r="DY28" i="14" s="1"/>
  <c r="CV26" i="14"/>
  <c r="CV28" i="14" s="1"/>
  <c r="BO20" i="13"/>
  <c r="AF46" i="14"/>
  <c r="AF54" i="14" s="1"/>
  <c r="FX28" i="14"/>
  <c r="FU20" i="14"/>
  <c r="EU20" i="14"/>
  <c r="CN20" i="14"/>
  <c r="CH20" i="14"/>
  <c r="AX20" i="14"/>
  <c r="AR20" i="14"/>
  <c r="FM28" i="14"/>
  <c r="CH28" i="14"/>
  <c r="EE28" i="14"/>
  <c r="CP28" i="14"/>
  <c r="CD28" i="14"/>
  <c r="BF20" i="14"/>
  <c r="AT28" i="14"/>
  <c r="AH28" i="14"/>
  <c r="D28" i="14"/>
  <c r="CV20" i="14"/>
  <c r="CN26" i="14"/>
  <c r="CN28" i="14" s="1"/>
  <c r="S49" i="14"/>
  <c r="AE28" i="14"/>
  <c r="EE20" i="14"/>
  <c r="DW20" i="14"/>
  <c r="DK20" i="14"/>
  <c r="DE20" i="14"/>
  <c r="CY20" i="14"/>
  <c r="T20" i="14"/>
  <c r="H20" i="14"/>
  <c r="FY28" i="14"/>
  <c r="CT28" i="14"/>
  <c r="BV28" i="14"/>
  <c r="BJ28" i="14"/>
  <c r="Z28" i="14"/>
  <c r="W26" i="14"/>
  <c r="W28" i="14" s="1"/>
  <c r="FL49" i="14"/>
  <c r="FI20" i="14"/>
  <c r="BD20" i="14"/>
  <c r="AF20" i="14"/>
  <c r="CB28" i="14"/>
  <c r="DW26" i="14"/>
  <c r="DW28" i="14" s="1"/>
  <c r="BA27" i="14"/>
  <c r="BA28" i="14" s="1"/>
  <c r="BA20" i="14"/>
  <c r="D27" i="13"/>
  <c r="D28" i="13" s="1"/>
  <c r="FX20" i="14"/>
  <c r="DP20" i="14"/>
  <c r="FL26" i="14"/>
  <c r="FL28" i="14" s="1"/>
  <c r="AZ27" i="14"/>
  <c r="AZ28" i="14" s="1"/>
  <c r="AL20" i="13"/>
  <c r="CE26" i="13"/>
  <c r="CE28" i="13" s="1"/>
  <c r="CK26" i="13"/>
  <c r="CK28" i="13" s="1"/>
  <c r="CQ26" i="13"/>
  <c r="CQ28" i="13" s="1"/>
  <c r="BJ20" i="13"/>
  <c r="AK26" i="13"/>
  <c r="AK28" i="13" s="1"/>
  <c r="AQ26" i="13"/>
  <c r="AQ28" i="13" s="1"/>
  <c r="EL26" i="13"/>
  <c r="AK49" i="13"/>
  <c r="EL49" i="13"/>
  <c r="CV49" i="14"/>
  <c r="FY20" i="14"/>
  <c r="FS20" i="14"/>
  <c r="CB26" i="13"/>
  <c r="CB28" i="13" s="1"/>
  <c r="CH26" i="13"/>
  <c r="CH28" i="13" s="1"/>
  <c r="CN26" i="13"/>
  <c r="CN28" i="13" s="1"/>
  <c r="AK20" i="13"/>
  <c r="EC20" i="13"/>
  <c r="BI26" i="13"/>
  <c r="BI28" i="13" s="1"/>
  <c r="G28" i="13"/>
  <c r="CA49" i="13"/>
  <c r="FU28" i="14"/>
  <c r="EF26" i="14"/>
  <c r="EF28" i="14" s="1"/>
  <c r="BI20" i="13"/>
  <c r="EC28" i="13"/>
  <c r="D28" i="15"/>
  <c r="K28" i="15"/>
  <c r="Q28" i="15"/>
  <c r="W28" i="15"/>
  <c r="AC28" i="15"/>
  <c r="AI28" i="15"/>
  <c r="AR28" i="15"/>
  <c r="AX28" i="15"/>
  <c r="BD28" i="15"/>
  <c r="BJ28" i="15"/>
  <c r="BG36" i="15"/>
  <c r="BG44" i="15"/>
  <c r="BG46" i="15" s="1"/>
  <c r="BG50" i="15" s="1"/>
  <c r="E28" i="15"/>
  <c r="S28" i="15"/>
  <c r="Y28" i="15"/>
  <c r="AK28" i="15"/>
  <c r="AT28" i="15"/>
  <c r="AZ28" i="15"/>
  <c r="BF28" i="15"/>
  <c r="G28" i="15"/>
  <c r="T28" i="15"/>
  <c r="Z28" i="15"/>
  <c r="AF28" i="15"/>
  <c r="AL28" i="15"/>
  <c r="AU28" i="15"/>
  <c r="BA28" i="15"/>
  <c r="BG28" i="15"/>
  <c r="S20" i="15"/>
  <c r="AK20" i="15"/>
  <c r="AQ20" i="15"/>
  <c r="BI20" i="15"/>
  <c r="M27" i="15"/>
  <c r="M28" i="15" s="1"/>
  <c r="AE27" i="15"/>
  <c r="AE28" i="15" s="1"/>
  <c r="AW27" i="15"/>
  <c r="AW28" i="15" s="1"/>
  <c r="H20" i="15"/>
  <c r="N20" i="15"/>
  <c r="T20" i="15"/>
  <c r="Z20" i="15"/>
  <c r="AF20" i="15"/>
  <c r="AL20" i="15"/>
  <c r="AR20" i="15"/>
  <c r="AX20" i="15"/>
  <c r="BD20" i="15"/>
  <c r="BJ20" i="15"/>
  <c r="BF36" i="15"/>
  <c r="E44" i="15"/>
  <c r="E46" i="15" s="1"/>
  <c r="Q44" i="15"/>
  <c r="Q46" i="15" s="1"/>
  <c r="Q50" i="15" s="1"/>
  <c r="W44" i="15"/>
  <c r="W46" i="15" s="1"/>
  <c r="W50" i="15" s="1"/>
  <c r="AC44" i="15"/>
  <c r="AC46" i="15" s="1"/>
  <c r="AC50" i="15" s="1"/>
  <c r="AI44" i="15"/>
  <c r="AI46" i="15" s="1"/>
  <c r="AI50" i="15" s="1"/>
  <c r="AO44" i="15"/>
  <c r="AO46" i="15" s="1"/>
  <c r="AO50" i="15" s="1"/>
  <c r="BA44" i="15"/>
  <c r="BA46" i="15" s="1"/>
  <c r="BA50" i="15" s="1"/>
  <c r="AU45" i="15"/>
  <c r="AU46" i="15" s="1"/>
  <c r="AU50" i="15" s="1"/>
  <c r="G20" i="15"/>
  <c r="Y20" i="15"/>
  <c r="BC27" i="15"/>
  <c r="BC28" i="15" s="1"/>
  <c r="D20" i="15"/>
  <c r="J20" i="15"/>
  <c r="P20" i="15"/>
  <c r="V20" i="15"/>
  <c r="AB20" i="15"/>
  <c r="AH20" i="15"/>
  <c r="AN20" i="15"/>
  <c r="AT20" i="15"/>
  <c r="AZ20" i="15"/>
  <c r="BF20" i="15"/>
  <c r="AE44" i="15"/>
  <c r="AE46" i="15" s="1"/>
  <c r="AE50" i="15" s="1"/>
  <c r="N36" i="15"/>
  <c r="E20" i="15"/>
  <c r="K20" i="15"/>
  <c r="Q20" i="15"/>
  <c r="W20" i="15"/>
  <c r="AC20" i="15"/>
  <c r="AI20" i="15"/>
  <c r="AO20" i="15"/>
  <c r="AU20" i="15"/>
  <c r="BA20" i="15"/>
  <c r="BG20" i="15"/>
  <c r="AX46" i="14"/>
  <c r="AX54" i="14" s="1"/>
  <c r="DZ20" i="14"/>
  <c r="DZ27" i="14"/>
  <c r="DZ28" i="14" s="1"/>
  <c r="K20" i="14"/>
  <c r="K27" i="14"/>
  <c r="K28" i="14" s="1"/>
  <c r="FP20" i="14"/>
  <c r="FP26" i="14"/>
  <c r="FP28" i="14" s="1"/>
  <c r="CK20" i="14"/>
  <c r="CK26" i="14"/>
  <c r="CK28" i="14" s="1"/>
  <c r="N26" i="14"/>
  <c r="N28" i="14" s="1"/>
  <c r="BR27" i="14"/>
  <c r="BR28" i="14" s="1"/>
  <c r="DY20" i="14"/>
  <c r="AZ20" i="14"/>
  <c r="J20" i="14"/>
  <c r="FD20" i="14"/>
  <c r="FD26" i="14"/>
  <c r="FD28" i="14" s="1"/>
  <c r="BS20" i="14"/>
  <c r="BS26" i="14"/>
  <c r="BS28" i="14" s="1"/>
  <c r="W20" i="14"/>
  <c r="FO49" i="14"/>
  <c r="AX36" i="14"/>
  <c r="AF36" i="14"/>
  <c r="FO27" i="14"/>
  <c r="FO28" i="14" s="1"/>
  <c r="DM27" i="14"/>
  <c r="DM28" i="14" s="1"/>
  <c r="DG27" i="14"/>
  <c r="DG28" i="14" s="1"/>
  <c r="DA27" i="14"/>
  <c r="DA28" i="14" s="1"/>
  <c r="FI26" i="14"/>
  <c r="FI28" i="14" s="1"/>
  <c r="V26" i="14"/>
  <c r="V28" i="14" s="1"/>
  <c r="J26" i="14"/>
  <c r="J28" i="14" s="1"/>
  <c r="CP20" i="14"/>
  <c r="CD20" i="14"/>
  <c r="AH20" i="14"/>
  <c r="FF20" i="14"/>
  <c r="FF27" i="14"/>
  <c r="FF28" i="14" s="1"/>
  <c r="FM20" i="14"/>
  <c r="Z20" i="14"/>
  <c r="N20" i="14"/>
  <c r="FA26" i="14"/>
  <c r="FA28" i="14" s="1"/>
  <c r="EZ20" i="14"/>
  <c r="EZ26" i="14"/>
  <c r="EZ28" i="14" s="1"/>
  <c r="DH20" i="14"/>
  <c r="DH26" i="14"/>
  <c r="DH28" i="14" s="1"/>
  <c r="BY20" i="14"/>
  <c r="BY26" i="14"/>
  <c r="BY28" i="14" s="1"/>
  <c r="AF26" i="14"/>
  <c r="AF28" i="14" s="1"/>
  <c r="CX26" i="14"/>
  <c r="CX28" i="14" s="1"/>
  <c r="FJ20" i="14"/>
  <c r="FJ26" i="14"/>
  <c r="FJ28" i="14" s="1"/>
  <c r="BM20" i="14"/>
  <c r="BM26" i="14"/>
  <c r="BM28" i="14" s="1"/>
  <c r="M49" i="14"/>
  <c r="K36" i="14"/>
  <c r="K44" i="14"/>
  <c r="K46" i="14" s="1"/>
  <c r="K54" i="14" s="1"/>
  <c r="V20" i="14"/>
  <c r="DQ20" i="14"/>
  <c r="DQ27" i="14"/>
  <c r="DQ28" i="14" s="1"/>
  <c r="ER20" i="14"/>
  <c r="ER26" i="14"/>
  <c r="ER28" i="14" s="1"/>
  <c r="DN20" i="14"/>
  <c r="DN26" i="14"/>
  <c r="DN28" i="14" s="1"/>
  <c r="CQ20" i="14"/>
  <c r="CQ26" i="14"/>
  <c r="CQ28" i="14" s="1"/>
  <c r="DS27" i="14"/>
  <c r="AN27" i="14"/>
  <c r="AN28" i="14" s="1"/>
  <c r="AB27" i="14"/>
  <c r="AB28" i="14" s="1"/>
  <c r="P27" i="14"/>
  <c r="P28" i="14" s="1"/>
  <c r="FV20" i="14"/>
  <c r="FV27" i="14"/>
  <c r="FV28" i="14" s="1"/>
  <c r="BG20" i="14"/>
  <c r="BG27" i="14"/>
  <c r="BG28" i="14" s="1"/>
  <c r="CT20" i="14"/>
  <c r="CB20" i="14"/>
  <c r="BV20" i="14"/>
  <c r="BP20" i="14"/>
  <c r="BJ20" i="14"/>
  <c r="AL20" i="14"/>
  <c r="EX20" i="14"/>
  <c r="EX26" i="14"/>
  <c r="EX28" i="14" s="1"/>
  <c r="DT20" i="14"/>
  <c r="DT26" i="14"/>
  <c r="DT28" i="14" s="1"/>
  <c r="CE20" i="14"/>
  <c r="CE26" i="14"/>
  <c r="CE28" i="14" s="1"/>
  <c r="AC20" i="14"/>
  <c r="AC26" i="14"/>
  <c r="AC28" i="14" s="1"/>
  <c r="Q20" i="14"/>
  <c r="Q26" i="14"/>
  <c r="Q28" i="14" s="1"/>
  <c r="AE20" i="14"/>
  <c r="DU26" i="13"/>
  <c r="DU28" i="13" s="1"/>
  <c r="DL20" i="13"/>
  <c r="FH20" i="13"/>
  <c r="K26" i="13"/>
  <c r="AC26" i="13"/>
  <c r="BV26" i="13"/>
  <c r="BV28" i="13" s="1"/>
  <c r="FH26" i="13"/>
  <c r="FH28" i="13" s="1"/>
  <c r="DT26" i="13"/>
  <c r="CZ26" i="13"/>
  <c r="CZ28" i="13" s="1"/>
  <c r="DF26" i="13"/>
  <c r="DF28" i="13" s="1"/>
  <c r="DO26" i="13"/>
  <c r="DO28" i="13" s="1"/>
  <c r="EA26" i="13"/>
  <c r="EA28" i="13" s="1"/>
  <c r="EJ20" i="13"/>
  <c r="ES26" i="13"/>
  <c r="ES28" i="13" s="1"/>
  <c r="BF26" i="13"/>
  <c r="BX26" i="13"/>
  <c r="BX20" i="13"/>
  <c r="D20" i="13"/>
  <c r="J27" i="13"/>
  <c r="J28" i="13" s="1"/>
  <c r="J20" i="13"/>
  <c r="P20" i="13"/>
  <c r="V20" i="13"/>
  <c r="AB20" i="13"/>
  <c r="AT27" i="13"/>
  <c r="AT28" i="13" s="1"/>
  <c r="AT20" i="13"/>
  <c r="AZ20" i="13"/>
  <c r="BF27" i="13"/>
  <c r="BF20" i="13"/>
  <c r="BL20" i="13"/>
  <c r="BR27" i="13"/>
  <c r="BR28" i="13" s="1"/>
  <c r="BR20" i="13"/>
  <c r="CD27" i="13"/>
  <c r="CD28" i="13" s="1"/>
  <c r="CD20" i="13"/>
  <c r="CJ20" i="13"/>
  <c r="CP27" i="13"/>
  <c r="CP28" i="13" s="1"/>
  <c r="CP20" i="13"/>
  <c r="CV20" i="13"/>
  <c r="DB27" i="13"/>
  <c r="DB28" i="13" s="1"/>
  <c r="DB20" i="13"/>
  <c r="DN27" i="13"/>
  <c r="DN28" i="13" s="1"/>
  <c r="DN20" i="13"/>
  <c r="DT20" i="13"/>
  <c r="DZ27" i="13"/>
  <c r="DZ28" i="13" s="1"/>
  <c r="DZ20" i="13"/>
  <c r="EL27" i="13"/>
  <c r="EL20" i="13"/>
  <c r="EX27" i="13"/>
  <c r="EX20" i="13"/>
  <c r="FD27" i="13"/>
  <c r="FD28" i="13" s="1"/>
  <c r="FD20" i="13"/>
  <c r="FJ27" i="13"/>
  <c r="FJ28" i="13" s="1"/>
  <c r="FJ20" i="13"/>
  <c r="G20" i="13"/>
  <c r="CA20" i="13"/>
  <c r="CY20" i="13"/>
  <c r="DW20" i="13"/>
  <c r="S28" i="13"/>
  <c r="AW28" i="13"/>
  <c r="P27" i="13"/>
  <c r="P28" i="13" s="1"/>
  <c r="BL27" i="13"/>
  <c r="DH27" i="13"/>
  <c r="DH28" i="13" s="1"/>
  <c r="DX26" i="13"/>
  <c r="DX28" i="13" s="1"/>
  <c r="AR20" i="13"/>
  <c r="Q20" i="13"/>
  <c r="AH27" i="13"/>
  <c r="AH28" i="13" s="1"/>
  <c r="AH20" i="13"/>
  <c r="AN20" i="13"/>
  <c r="DU20" i="13"/>
  <c r="CG20" i="13"/>
  <c r="DE20" i="13"/>
  <c r="FA20" i="13"/>
  <c r="AZ28" i="13"/>
  <c r="AB27" i="13"/>
  <c r="AB28" i="13" s="1"/>
  <c r="BX27" i="13"/>
  <c r="DT27" i="13"/>
  <c r="DL28" i="13"/>
  <c r="AN26" i="13"/>
  <c r="BL26" i="13"/>
  <c r="AO27" i="13"/>
  <c r="CM20" i="13"/>
  <c r="DK20" i="13"/>
  <c r="EI20" i="13"/>
  <c r="M28" i="13"/>
  <c r="BC28" i="13"/>
  <c r="EX28" i="13"/>
  <c r="AN27" i="13"/>
  <c r="T20" i="13"/>
  <c r="Z20" i="13"/>
  <c r="AX20" i="13"/>
  <c r="BD20" i="13"/>
  <c r="BV20" i="13"/>
  <c r="CB20" i="13"/>
  <c r="CH20" i="13"/>
  <c r="CN20" i="13"/>
  <c r="CT20" i="13"/>
  <c r="DR20" i="13"/>
  <c r="DX20" i="13"/>
  <c r="EP20" i="13"/>
  <c r="EV20" i="13"/>
  <c r="FB20" i="13"/>
  <c r="Z28" i="13"/>
  <c r="EF28" i="13"/>
  <c r="EU28" i="13"/>
  <c r="H46" i="13"/>
  <c r="CS52" i="13"/>
  <c r="K27" i="13"/>
  <c r="W27" i="13"/>
  <c r="W28" i="13" s="1"/>
  <c r="CS28" i="13"/>
  <c r="DI28" i="13"/>
  <c r="EO28" i="13"/>
  <c r="AN49" i="13"/>
  <c r="AO48" i="13"/>
  <c r="CD49" i="13"/>
  <c r="CE48" i="13"/>
  <c r="CQ48" i="13"/>
  <c r="CP49" i="13"/>
  <c r="DE52" i="13"/>
  <c r="E27" i="13"/>
  <c r="E28" i="13" s="1"/>
  <c r="AC27" i="13"/>
  <c r="ED27" i="13"/>
  <c r="ED28" i="13" s="1"/>
  <c r="AI20" i="13"/>
  <c r="AU20" i="13"/>
  <c r="BA20" i="13"/>
  <c r="BS20" i="13"/>
  <c r="CE20" i="13"/>
  <c r="CK20" i="13"/>
  <c r="CQ20" i="13"/>
  <c r="CW20" i="13"/>
  <c r="DC20" i="13"/>
  <c r="DI20" i="13"/>
  <c r="DO20" i="13"/>
  <c r="EA20" i="13"/>
  <c r="EG20" i="13"/>
  <c r="EM20" i="13"/>
  <c r="EY20" i="13"/>
  <c r="FE20" i="13"/>
  <c r="FK20" i="13"/>
  <c r="AI28" i="13"/>
  <c r="D52" i="13"/>
  <c r="S52" i="13"/>
  <c r="Y52" i="13"/>
  <c r="AE52" i="13"/>
  <c r="AK52" i="13"/>
  <c r="AQ52" i="13"/>
  <c r="AW52" i="13"/>
  <c r="BC52" i="13"/>
  <c r="BI52" i="13"/>
  <c r="BO52" i="13"/>
  <c r="CA52" i="13"/>
  <c r="CG52" i="13"/>
  <c r="DK52" i="13"/>
  <c r="DQ52" i="13"/>
  <c r="DW52" i="13"/>
  <c r="EC52" i="13"/>
  <c r="EI52" i="13"/>
  <c r="AH49" i="13"/>
  <c r="AI48" i="13"/>
  <c r="BX49" i="13"/>
  <c r="BY48" i="13"/>
  <c r="EV28" i="13"/>
  <c r="E36" i="13"/>
  <c r="Q36" i="13"/>
  <c r="W45" i="13"/>
  <c r="W46" i="13" s="1"/>
  <c r="AC44" i="13"/>
  <c r="AC46" i="13" s="1"/>
  <c r="M46" i="13"/>
  <c r="S46" i="13"/>
  <c r="Y46" i="13"/>
  <c r="AE46" i="13"/>
  <c r="AK46" i="13"/>
  <c r="AQ46" i="13"/>
  <c r="AW46" i="13"/>
  <c r="BC46" i="13"/>
  <c r="BI46" i="13"/>
  <c r="BO46" i="13"/>
  <c r="CA46" i="13"/>
  <c r="CG46" i="13"/>
  <c r="CS46" i="13"/>
  <c r="DE46" i="13"/>
  <c r="DK46" i="13"/>
  <c r="DQ46" i="13"/>
  <c r="DW46" i="13"/>
  <c r="EC46" i="13"/>
  <c r="EI46" i="13"/>
  <c r="EO46" i="13"/>
  <c r="EU46" i="13"/>
  <c r="FA46" i="13"/>
  <c r="FG46" i="13"/>
  <c r="BL49" i="13"/>
  <c r="J51" i="13"/>
  <c r="J52" i="13" s="1"/>
  <c r="CP51" i="13"/>
  <c r="CP52" i="13" s="1"/>
  <c r="DB51" i="13"/>
  <c r="DB52" i="13" s="1"/>
  <c r="D49" i="13"/>
  <c r="CG49" i="13"/>
  <c r="AB51" i="13"/>
  <c r="AB52" i="13" s="1"/>
  <c r="AN51" i="13"/>
  <c r="AN52" i="13" s="1"/>
  <c r="AZ51" i="13"/>
  <c r="AZ52" i="13" s="1"/>
  <c r="BL51" i="13"/>
  <c r="BL52" i="13" s="1"/>
  <c r="CD51" i="13"/>
  <c r="CD52" i="13" s="1"/>
  <c r="DT51" i="13"/>
  <c r="DT52" i="13" s="1"/>
  <c r="EF51" i="13"/>
  <c r="EF52" i="13" s="1"/>
  <c r="ER51" i="13"/>
  <c r="ER52" i="13" s="1"/>
  <c r="FD51" i="13"/>
  <c r="FD52" i="13" s="1"/>
  <c r="D46" i="13"/>
  <c r="CV46" i="13"/>
  <c r="CN48" i="13"/>
  <c r="DS28" i="14" l="1"/>
  <c r="EL28" i="13"/>
  <c r="N46" i="13"/>
  <c r="BD46" i="15"/>
  <c r="BD50" i="15" s="1"/>
  <c r="Q46" i="13"/>
  <c r="E46" i="13"/>
  <c r="BL28" i="13"/>
  <c r="Q28" i="13"/>
  <c r="N28" i="13"/>
  <c r="DF20" i="13"/>
  <c r="EF20" i="14"/>
  <c r="BD27" i="14"/>
  <c r="BD28" i="14" s="1"/>
  <c r="AN28" i="13"/>
  <c r="AC28" i="13"/>
  <c r="AF44" i="15"/>
  <c r="AF46" i="15" s="1"/>
  <c r="AF50" i="15" s="1"/>
  <c r="AF36" i="15"/>
  <c r="CW26" i="14"/>
  <c r="CW28" i="14" s="1"/>
  <c r="CW20" i="14"/>
  <c r="CY26" i="14"/>
  <c r="CY28" i="14" s="1"/>
  <c r="FA20" i="14"/>
  <c r="FG20" i="14"/>
  <c r="FG27" i="14"/>
  <c r="FG28" i="14" s="1"/>
  <c r="BP26" i="13"/>
  <c r="BP28" i="13" s="1"/>
  <c r="BP20" i="13"/>
  <c r="CZ20" i="13"/>
  <c r="BM26" i="13"/>
  <c r="BM28" i="13" s="1"/>
  <c r="BM20" i="13"/>
  <c r="BF28" i="13"/>
  <c r="DT28" i="13"/>
  <c r="K28" i="13"/>
  <c r="AF27" i="13"/>
  <c r="AF28" i="13" s="1"/>
  <c r="AF20" i="13"/>
  <c r="ED20" i="13"/>
  <c r="BG26" i="13"/>
  <c r="BG28" i="13" s="1"/>
  <c r="BG20" i="13"/>
  <c r="EJ26" i="13"/>
  <c r="EJ28" i="13" s="1"/>
  <c r="E20" i="13"/>
  <c r="BY20" i="13"/>
  <c r="BY26" i="13"/>
  <c r="BY28" i="13" s="1"/>
  <c r="AE27" i="13"/>
  <c r="AE28" i="13" s="1"/>
  <c r="AE20" i="13"/>
  <c r="AO26" i="13"/>
  <c r="AO28" i="13" s="1"/>
  <c r="AO20" i="13"/>
  <c r="W20" i="13"/>
  <c r="BX28" i="13"/>
  <c r="U42" i="12" l="1"/>
  <c r="U41" i="12"/>
  <c r="S34" i="12"/>
  <c r="N52" i="12"/>
  <c r="S24" i="12"/>
  <c r="W19" i="12"/>
  <c r="T18" i="12"/>
  <c r="W17" i="12"/>
  <c r="T17" i="12"/>
  <c r="W16" i="12"/>
  <c r="T16" i="12"/>
  <c r="N57" i="12"/>
  <c r="W14" i="12"/>
  <c r="T14" i="12"/>
  <c r="S14" i="12"/>
  <c r="W13" i="12"/>
  <c r="T13" i="12"/>
  <c r="S13" i="12"/>
  <c r="W11" i="12"/>
  <c r="S9" i="12"/>
  <c r="H95" i="11"/>
  <c r="I91" i="11"/>
  <c r="H86" i="11"/>
  <c r="G77" i="11"/>
  <c r="C76" i="11" s="1"/>
  <c r="H76" i="11" s="1"/>
  <c r="D77" i="11"/>
  <c r="H77" i="11" s="1"/>
  <c r="G75" i="11"/>
  <c r="D75" i="11"/>
  <c r="H75" i="11" s="1"/>
  <c r="G74" i="11"/>
  <c r="G72" i="11"/>
  <c r="G70" i="11"/>
  <c r="G69" i="11" s="1"/>
  <c r="D70" i="11"/>
  <c r="G67" i="11"/>
  <c r="C66" i="11" s="1"/>
  <c r="D67" i="11"/>
  <c r="H67" i="11" s="1"/>
  <c r="G65" i="11"/>
  <c r="D65" i="11"/>
  <c r="H65" i="11" s="1"/>
  <c r="G64" i="11"/>
  <c r="D64" i="11"/>
  <c r="H64" i="11" s="1"/>
  <c r="G63" i="11"/>
  <c r="D63" i="11"/>
  <c r="H63" i="11" s="1"/>
  <c r="G61" i="11"/>
  <c r="D61" i="11"/>
  <c r="G60" i="11"/>
  <c r="C59" i="11" s="1"/>
  <c r="D60" i="11"/>
  <c r="H60" i="11" s="1"/>
  <c r="H57" i="11"/>
  <c r="H54" i="11"/>
  <c r="G54" i="11"/>
  <c r="H53" i="11"/>
  <c r="G53" i="11"/>
  <c r="H52" i="11"/>
  <c r="G50" i="11"/>
  <c r="D50" i="11"/>
  <c r="G49" i="11"/>
  <c r="D49" i="11"/>
  <c r="H49" i="11" s="1"/>
  <c r="F46" i="11"/>
  <c r="G46" i="11" s="1"/>
  <c r="D46" i="11"/>
  <c r="F45" i="11"/>
  <c r="G45" i="11" s="1"/>
  <c r="D45" i="11"/>
  <c r="F44" i="11"/>
  <c r="G44" i="11" s="1"/>
  <c r="D44" i="11"/>
  <c r="F43" i="11"/>
  <c r="G43" i="11" s="1"/>
  <c r="D43" i="11"/>
  <c r="F41" i="11"/>
  <c r="D41" i="11"/>
  <c r="G40" i="11"/>
  <c r="D40" i="11"/>
  <c r="F39" i="11"/>
  <c r="G39" i="11" s="1"/>
  <c r="D39" i="11"/>
  <c r="F37" i="11"/>
  <c r="G37" i="11" s="1"/>
  <c r="D37" i="11"/>
  <c r="F36" i="11"/>
  <c r="G36" i="11" s="1"/>
  <c r="D36" i="11"/>
  <c r="H31" i="11"/>
  <c r="H30" i="11"/>
  <c r="H29" i="11"/>
  <c r="H27" i="11"/>
  <c r="H25" i="11"/>
  <c r="H24" i="11"/>
  <c r="G23" i="11"/>
  <c r="D23" i="11"/>
  <c r="H23" i="11" s="1"/>
  <c r="H22" i="11"/>
  <c r="G21" i="11"/>
  <c r="D21" i="11"/>
  <c r="H21" i="11" s="1"/>
  <c r="H20" i="11"/>
  <c r="G19" i="11"/>
  <c r="D19" i="11"/>
  <c r="H19" i="11" s="1"/>
  <c r="H18" i="11"/>
  <c r="G17" i="11"/>
  <c r="D17" i="11"/>
  <c r="H17" i="11" s="1"/>
  <c r="H16" i="11"/>
  <c r="G15" i="11"/>
  <c r="D15" i="11"/>
  <c r="H15" i="11" s="1"/>
  <c r="H14" i="11"/>
  <c r="G13" i="11"/>
  <c r="D13" i="11"/>
  <c r="H13" i="11" s="1"/>
  <c r="H12" i="11"/>
  <c r="G11" i="11"/>
  <c r="D11" i="11"/>
  <c r="H11" i="11" s="1"/>
  <c r="H10" i="11"/>
  <c r="G10" i="11"/>
  <c r="H8" i="11"/>
  <c r="G7" i="11"/>
  <c r="D7" i="11"/>
  <c r="H7" i="11" s="1"/>
  <c r="C6" i="11"/>
  <c r="H6" i="11" s="1"/>
  <c r="D55" i="10"/>
  <c r="D54" i="10"/>
  <c r="I53" i="10"/>
  <c r="H53" i="10"/>
  <c r="G53" i="10"/>
  <c r="E53" i="10"/>
  <c r="C53" i="10"/>
  <c r="I44" i="10"/>
  <c r="H44" i="10"/>
  <c r="G44" i="10"/>
  <c r="E44" i="10"/>
  <c r="C44" i="10"/>
  <c r="D43" i="10"/>
  <c r="D42" i="10"/>
  <c r="D41" i="10"/>
  <c r="D40" i="10"/>
  <c r="D39" i="10"/>
  <c r="D38" i="10"/>
  <c r="D37" i="10"/>
  <c r="D36" i="10"/>
  <c r="D35" i="10"/>
  <c r="D33" i="10"/>
  <c r="I31" i="10"/>
  <c r="H31" i="10"/>
  <c r="G31" i="10"/>
  <c r="E31" i="10"/>
  <c r="C31" i="10"/>
  <c r="D30" i="10"/>
  <c r="I27" i="10"/>
  <c r="H27" i="10"/>
  <c r="G27" i="10"/>
  <c r="E27" i="10"/>
  <c r="C27" i="10"/>
  <c r="D23" i="10"/>
  <c r="I19" i="10"/>
  <c r="H19" i="10"/>
  <c r="G19" i="10"/>
  <c r="E19" i="10"/>
  <c r="C19" i="10"/>
  <c r="D17" i="10"/>
  <c r="I16" i="10"/>
  <c r="H16" i="10"/>
  <c r="G16" i="10"/>
  <c r="E16" i="10"/>
  <c r="C16" i="10"/>
  <c r="I15" i="10"/>
  <c r="I12" i="10" s="1"/>
  <c r="H12" i="10"/>
  <c r="G12" i="10"/>
  <c r="D15" i="10"/>
  <c r="D14" i="10"/>
  <c r="E12" i="10"/>
  <c r="C12" i="10"/>
  <c r="D10" i="10"/>
  <c r="D8" i="10"/>
  <c r="D6" i="10"/>
  <c r="D5" i="10"/>
  <c r="D4" i="10"/>
  <c r="I3" i="10"/>
  <c r="H3" i="10"/>
  <c r="G3" i="10"/>
  <c r="E3" i="10"/>
  <c r="C3" i="10"/>
  <c r="H15" i="8"/>
  <c r="G15" i="8"/>
  <c r="E15" i="8"/>
  <c r="D15" i="8"/>
  <c r="F25" i="7"/>
  <c r="E25" i="7"/>
  <c r="I19" i="7"/>
  <c r="I18" i="7"/>
  <c r="I17" i="7"/>
  <c r="I15" i="7"/>
  <c r="I14" i="7"/>
  <c r="I13" i="7"/>
  <c r="I12" i="7"/>
  <c r="I11" i="7"/>
  <c r="I10" i="7"/>
  <c r="I9" i="7"/>
  <c r="I8" i="7"/>
  <c r="I7" i="7"/>
  <c r="H6" i="7"/>
  <c r="H27" i="7" s="1"/>
  <c r="F72" i="6"/>
  <c r="F71" i="6"/>
  <c r="C70" i="6"/>
  <c r="E67" i="6"/>
  <c r="C67" i="6"/>
  <c r="F65" i="6"/>
  <c r="F61" i="6"/>
  <c r="F60" i="6"/>
  <c r="F59" i="6"/>
  <c r="F58" i="6"/>
  <c r="F57" i="6"/>
  <c r="F56" i="6"/>
  <c r="F55" i="6"/>
  <c r="F54" i="6"/>
  <c r="F53" i="6"/>
  <c r="F52" i="6"/>
  <c r="F49" i="6"/>
  <c r="F48" i="6"/>
  <c r="F47" i="6"/>
  <c r="F46" i="6"/>
  <c r="F45" i="6"/>
  <c r="F44" i="6"/>
  <c r="E43" i="6"/>
  <c r="F41" i="6"/>
  <c r="F40" i="6" s="1"/>
  <c r="C41" i="6"/>
  <c r="D40" i="6" s="1"/>
  <c r="E40" i="6"/>
  <c r="F38" i="6"/>
  <c r="F36" i="6"/>
  <c r="F35" i="6"/>
  <c r="F34" i="6"/>
  <c r="F33" i="6"/>
  <c r="F32" i="6"/>
  <c r="F31" i="6"/>
  <c r="F30" i="6"/>
  <c r="F29" i="6"/>
  <c r="E28" i="6"/>
  <c r="F27" i="6"/>
  <c r="F26" i="6"/>
  <c r="F22" i="6"/>
  <c r="E22" i="6"/>
  <c r="D22" i="6"/>
  <c r="C22" i="6"/>
  <c r="E19" i="6"/>
  <c r="C19" i="6"/>
  <c r="F12" i="6"/>
  <c r="E12" i="6"/>
  <c r="C12" i="6"/>
  <c r="F11" i="6"/>
  <c r="F10" i="6"/>
  <c r="F9" i="6"/>
  <c r="F8" i="6"/>
  <c r="F7" i="6"/>
  <c r="F6" i="6"/>
  <c r="E5" i="6"/>
  <c r="Y28" i="5"/>
  <c r="O28" i="5"/>
  <c r="L28" i="5"/>
  <c r="Y15" i="5"/>
  <c r="O15" i="5"/>
  <c r="L15" i="5"/>
  <c r="Y12" i="5"/>
  <c r="R12" i="5"/>
  <c r="R9" i="5" s="1"/>
  <c r="R29" i="5" s="1"/>
  <c r="O12" i="5"/>
  <c r="L12" i="5"/>
  <c r="I12" i="5"/>
  <c r="I9" i="5" s="1"/>
  <c r="I29" i="5" s="1"/>
  <c r="Y11" i="5"/>
  <c r="O11" i="5"/>
  <c r="L11" i="5"/>
  <c r="Y10" i="5"/>
  <c r="O10" i="5"/>
  <c r="L10" i="5"/>
  <c r="X9" i="5"/>
  <c r="W9" i="5"/>
  <c r="V9" i="5"/>
  <c r="U9" i="5"/>
  <c r="E8" i="5"/>
  <c r="E7" i="5" s="1"/>
  <c r="E29" i="5" s="1"/>
  <c r="X7" i="5"/>
  <c r="W7" i="5"/>
  <c r="V7" i="5"/>
  <c r="U7" i="5"/>
  <c r="Q7" i="5"/>
  <c r="Q29" i="5" s="1"/>
  <c r="N7" i="5"/>
  <c r="N29" i="5" s="1"/>
  <c r="K7" i="5"/>
  <c r="K29" i="5" s="1"/>
  <c r="H7" i="5"/>
  <c r="H29" i="5" s="1"/>
  <c r="AF124" i="4"/>
  <c r="AA123" i="4"/>
  <c r="Z123" i="4"/>
  <c r="Y123" i="4"/>
  <c r="X123" i="4"/>
  <c r="AB120" i="4"/>
  <c r="O120" i="4"/>
  <c r="L120" i="4"/>
  <c r="I120" i="4"/>
  <c r="E120" i="4"/>
  <c r="AD120" i="4" s="1"/>
  <c r="AB117" i="4"/>
  <c r="O117" i="4"/>
  <c r="L117" i="4"/>
  <c r="I117" i="4"/>
  <c r="E117" i="4"/>
  <c r="AD117" i="4" s="1"/>
  <c r="AF116" i="4"/>
  <c r="AB116" i="4"/>
  <c r="O116" i="4"/>
  <c r="L116" i="4"/>
  <c r="I116" i="4"/>
  <c r="E116" i="4"/>
  <c r="AD116" i="4" s="1"/>
  <c r="AB115" i="4"/>
  <c r="L115" i="4"/>
  <c r="E115" i="4"/>
  <c r="AB114" i="4"/>
  <c r="U114" i="4"/>
  <c r="R114" i="4"/>
  <c r="O114" i="4"/>
  <c r="L114" i="4"/>
  <c r="I114" i="4"/>
  <c r="E114" i="4"/>
  <c r="W114" i="4" s="1"/>
  <c r="AD114" i="4" s="1"/>
  <c r="AB113" i="4"/>
  <c r="U113" i="4"/>
  <c r="R113" i="4"/>
  <c r="O113" i="4"/>
  <c r="L113" i="4"/>
  <c r="I113" i="4"/>
  <c r="E113" i="4"/>
  <c r="W113" i="4" s="1"/>
  <c r="AD113" i="4" s="1"/>
  <c r="AE113" i="4" s="1"/>
  <c r="AB112" i="4"/>
  <c r="O112" i="4"/>
  <c r="L112" i="4"/>
  <c r="E112" i="4"/>
  <c r="AD112" i="4" s="1"/>
  <c r="AB111" i="4"/>
  <c r="U111" i="4"/>
  <c r="R111" i="4"/>
  <c r="O111" i="4"/>
  <c r="L111" i="4"/>
  <c r="I111" i="4"/>
  <c r="E111" i="4"/>
  <c r="AB110" i="4"/>
  <c r="O110" i="4"/>
  <c r="L110" i="4"/>
  <c r="I110" i="4"/>
  <c r="E110" i="4"/>
  <c r="AD110" i="4" s="1"/>
  <c r="AB109" i="4"/>
  <c r="L109" i="4"/>
  <c r="I109" i="4"/>
  <c r="E109" i="4"/>
  <c r="AD109" i="4" s="1"/>
  <c r="AB108" i="4"/>
  <c r="U108" i="4"/>
  <c r="R108" i="4"/>
  <c r="O108" i="4"/>
  <c r="L108" i="4"/>
  <c r="I108" i="4"/>
  <c r="E108" i="4"/>
  <c r="AB107" i="4"/>
  <c r="U107" i="4"/>
  <c r="R107" i="4"/>
  <c r="O107" i="4"/>
  <c r="L107" i="4"/>
  <c r="I107" i="4"/>
  <c r="E107" i="4"/>
  <c r="AB106" i="4"/>
  <c r="O106" i="4"/>
  <c r="L106" i="4"/>
  <c r="I106" i="4"/>
  <c r="E106" i="4"/>
  <c r="AD106" i="4" s="1"/>
  <c r="AB105" i="4"/>
  <c r="L105" i="4"/>
  <c r="I105" i="4"/>
  <c r="E105" i="4"/>
  <c r="AB104" i="4"/>
  <c r="O104" i="4"/>
  <c r="L104" i="4"/>
  <c r="I104" i="4"/>
  <c r="E104" i="4"/>
  <c r="AB103" i="4"/>
  <c r="O103" i="4"/>
  <c r="L103" i="4"/>
  <c r="I103" i="4"/>
  <c r="E103" i="4"/>
  <c r="AB102" i="4"/>
  <c r="U102" i="4"/>
  <c r="R102" i="4"/>
  <c r="O102" i="4"/>
  <c r="L102" i="4"/>
  <c r="I102" i="4"/>
  <c r="E102" i="4"/>
  <c r="AF101" i="4"/>
  <c r="AB101" i="4"/>
  <c r="O101" i="4"/>
  <c r="L101" i="4"/>
  <c r="I101" i="4"/>
  <c r="E101" i="4"/>
  <c r="AD101" i="4" s="1"/>
  <c r="AB100" i="4"/>
  <c r="L100" i="4"/>
  <c r="I100" i="4"/>
  <c r="E100" i="4"/>
  <c r="AF99" i="4"/>
  <c r="AB99" i="4"/>
  <c r="O99" i="4"/>
  <c r="L99" i="4"/>
  <c r="I99" i="4"/>
  <c r="E99" i="4"/>
  <c r="AB96" i="4"/>
  <c r="L96" i="4"/>
  <c r="I96" i="4"/>
  <c r="E96" i="4"/>
  <c r="AD96" i="4" s="1"/>
  <c r="AB95" i="4"/>
  <c r="O95" i="4"/>
  <c r="L95" i="4"/>
  <c r="I95" i="4"/>
  <c r="E95" i="4"/>
  <c r="AD95" i="4" s="1"/>
  <c r="AF94" i="4"/>
  <c r="AB94" i="4"/>
  <c r="L94" i="4"/>
  <c r="E94" i="4"/>
  <c r="AD94" i="4" s="1"/>
  <c r="AB93" i="4"/>
  <c r="O93" i="4"/>
  <c r="L93" i="4"/>
  <c r="E93" i="4"/>
  <c r="AF92" i="4"/>
  <c r="AB92" i="4"/>
  <c r="U92" i="4"/>
  <c r="R92" i="4"/>
  <c r="O92" i="4"/>
  <c r="L92" i="4"/>
  <c r="I92" i="4"/>
  <c r="E92" i="4"/>
  <c r="W92" i="4" s="1"/>
  <c r="AD92" i="4" s="1"/>
  <c r="AB91" i="4"/>
  <c r="L91" i="4"/>
  <c r="I91" i="4"/>
  <c r="E91" i="4"/>
  <c r="AB90" i="4"/>
  <c r="L90" i="4"/>
  <c r="E90" i="4"/>
  <c r="AF89" i="4"/>
  <c r="AB89" i="4"/>
  <c r="L89" i="4"/>
  <c r="AB88" i="4"/>
  <c r="AC87" i="4"/>
  <c r="AB86" i="4"/>
  <c r="R86" i="4"/>
  <c r="R51" i="4" s="1"/>
  <c r="O86" i="4"/>
  <c r="I86" i="4"/>
  <c r="W86" i="4" s="1"/>
  <c r="E86" i="4"/>
  <c r="W64" i="4"/>
  <c r="W63" i="4"/>
  <c r="W61" i="4"/>
  <c r="W60" i="4"/>
  <c r="W59" i="4"/>
  <c r="W58" i="4"/>
  <c r="AB57" i="4"/>
  <c r="O57" i="4"/>
  <c r="I57" i="4"/>
  <c r="W57" i="4"/>
  <c r="AB56" i="4"/>
  <c r="O56" i="4"/>
  <c r="I56" i="4"/>
  <c r="W56" i="4" s="1"/>
  <c r="E56" i="4"/>
  <c r="AB55" i="4"/>
  <c r="O55" i="4"/>
  <c r="I55" i="4"/>
  <c r="W55" i="4"/>
  <c r="AB54" i="4"/>
  <c r="O54" i="4"/>
  <c r="I54" i="4"/>
  <c r="W54" i="4"/>
  <c r="AB53" i="4"/>
  <c r="O53" i="4"/>
  <c r="I53" i="4"/>
  <c r="W53" i="4" s="1"/>
  <c r="AB52" i="4"/>
  <c r="O52" i="4"/>
  <c r="I52" i="4"/>
  <c r="AF51" i="4"/>
  <c r="AG51" i="4" s="1"/>
  <c r="AA51" i="4"/>
  <c r="Z51" i="4"/>
  <c r="Y51" i="4"/>
  <c r="X51" i="4"/>
  <c r="AF48" i="4"/>
  <c r="AG48" i="4" s="1"/>
  <c r="R48" i="4"/>
  <c r="R47" i="4" s="1"/>
  <c r="O48" i="4"/>
  <c r="O47" i="4" s="1"/>
  <c r="I48" i="4"/>
  <c r="I47" i="4" s="1"/>
  <c r="AF47" i="4"/>
  <c r="AB47" i="4"/>
  <c r="AA47" i="4"/>
  <c r="Z47" i="4"/>
  <c r="Y47" i="4"/>
  <c r="X47" i="4"/>
  <c r="U45" i="4"/>
  <c r="U87" i="4" s="1"/>
  <c r="R46" i="4"/>
  <c r="R45" i="4" s="1"/>
  <c r="O46" i="4"/>
  <c r="O45" i="4" s="1"/>
  <c r="L45" i="4"/>
  <c r="L87" i="4" s="1"/>
  <c r="W46" i="4"/>
  <c r="W45" i="4" s="1"/>
  <c r="AF45" i="4"/>
  <c r="AG45" i="4" s="1"/>
  <c r="AB45" i="4"/>
  <c r="AA45" i="4"/>
  <c r="Z45" i="4"/>
  <c r="Y45" i="4"/>
  <c r="X45" i="4"/>
  <c r="T45" i="4"/>
  <c r="T87" i="4" s="1"/>
  <c r="T124" i="4" s="1"/>
  <c r="Q45" i="4"/>
  <c r="Q87" i="4" s="1"/>
  <c r="Q124" i="4" s="1"/>
  <c r="N45" i="4"/>
  <c r="N87" i="4" s="1"/>
  <c r="N124" i="4" s="1"/>
  <c r="K45" i="4"/>
  <c r="K87" i="4" s="1"/>
  <c r="K124" i="4" s="1"/>
  <c r="H45" i="4"/>
  <c r="H87" i="4" s="1"/>
  <c r="H124" i="4" s="1"/>
  <c r="AB44" i="4"/>
  <c r="R44" i="4"/>
  <c r="O44" i="4"/>
  <c r="I44" i="4"/>
  <c r="W44" i="4"/>
  <c r="AB43" i="4"/>
  <c r="R43" i="4"/>
  <c r="O43" i="4"/>
  <c r="I43" i="4"/>
  <c r="W43" i="4"/>
  <c r="W42" i="4"/>
  <c r="W32" i="4"/>
  <c r="W31" i="4"/>
  <c r="W29" i="4"/>
  <c r="AB28" i="4"/>
  <c r="R28" i="4"/>
  <c r="O28" i="4"/>
  <c r="I28" i="4"/>
  <c r="AB27" i="4"/>
  <c r="R27" i="4"/>
  <c r="O27" i="4"/>
  <c r="I27" i="4"/>
  <c r="W27" i="4"/>
  <c r="AF26" i="4"/>
  <c r="AG26" i="4" s="1"/>
  <c r="AA26" i="4"/>
  <c r="Z26" i="4"/>
  <c r="Y26" i="4"/>
  <c r="X26" i="4"/>
  <c r="AB24" i="4"/>
  <c r="R24" i="4"/>
  <c r="O24" i="4"/>
  <c r="I24" i="4"/>
  <c r="W24" i="4" s="1"/>
  <c r="E24" i="4"/>
  <c r="W21" i="4"/>
  <c r="W20" i="4"/>
  <c r="W19" i="4"/>
  <c r="W18" i="4"/>
  <c r="AB17" i="4"/>
  <c r="W17" i="4"/>
  <c r="R17" i="4"/>
  <c r="O17" i="4"/>
  <c r="I17" i="4"/>
  <c r="AB16" i="4"/>
  <c r="R16" i="4"/>
  <c r="O16" i="4"/>
  <c r="I16" i="4"/>
  <c r="W16" i="4"/>
  <c r="AB14" i="4"/>
  <c r="R14" i="4"/>
  <c r="O14" i="4"/>
  <c r="I14" i="4"/>
  <c r="E14" i="4"/>
  <c r="AB13" i="4"/>
  <c r="R13" i="4"/>
  <c r="O13" i="4"/>
  <c r="I13" i="4"/>
  <c r="E13" i="4"/>
  <c r="AB12" i="4"/>
  <c r="R12" i="4"/>
  <c r="O12" i="4"/>
  <c r="I12" i="4"/>
  <c r="W12" i="4"/>
  <c r="E12" i="4"/>
  <c r="AB11" i="4"/>
  <c r="AA10" i="4"/>
  <c r="R11" i="4"/>
  <c r="O11" i="4"/>
  <c r="I11" i="4"/>
  <c r="E11" i="4"/>
  <c r="AF10" i="4"/>
  <c r="AG10" i="4" s="1"/>
  <c r="Z10" i="4"/>
  <c r="Y10" i="4"/>
  <c r="X10" i="4"/>
  <c r="AF7" i="4"/>
  <c r="AG7" i="4" s="1"/>
  <c r="AD7" i="4"/>
  <c r="AE7" i="4" s="1"/>
  <c r="U20" i="2"/>
  <c r="U18" i="2" s="1"/>
  <c r="R20" i="2"/>
  <c r="R18" i="2" s="1"/>
  <c r="I20" i="2"/>
  <c r="I18" i="2" s="1"/>
  <c r="F20" i="2"/>
  <c r="AG18" i="2"/>
  <c r="AF18" i="2"/>
  <c r="T18" i="2"/>
  <c r="Q18" i="2"/>
  <c r="H18" i="2"/>
  <c r="E18" i="2"/>
  <c r="AG17" i="2"/>
  <c r="AC17" i="2"/>
  <c r="X17" i="2"/>
  <c r="U17" i="2"/>
  <c r="I17" i="2"/>
  <c r="F17" i="2"/>
  <c r="AG11" i="2"/>
  <c r="X11" i="2"/>
  <c r="R11" i="2"/>
  <c r="I11" i="2"/>
  <c r="F11" i="2"/>
  <c r="AG10" i="2"/>
  <c r="X10" i="2"/>
  <c r="R10" i="2"/>
  <c r="I10" i="2"/>
  <c r="F10" i="2"/>
  <c r="AG9" i="2"/>
  <c r="X9" i="2"/>
  <c r="U9" i="2"/>
  <c r="R9" i="2"/>
  <c r="I9" i="2"/>
  <c r="AG8" i="2"/>
  <c r="X8" i="2"/>
  <c r="U8" i="2"/>
  <c r="R8" i="2"/>
  <c r="I8" i="2"/>
  <c r="AG7" i="2"/>
  <c r="X7" i="2"/>
  <c r="U7" i="2"/>
  <c r="R7" i="2"/>
  <c r="F7" i="2"/>
  <c r="AG6" i="2"/>
  <c r="X6" i="2"/>
  <c r="U6" i="2"/>
  <c r="R6" i="2"/>
  <c r="I6" i="2"/>
  <c r="AF5" i="2"/>
  <c r="W5" i="2"/>
  <c r="Q5" i="2"/>
  <c r="L5" i="2"/>
  <c r="L21" i="2" s="1"/>
  <c r="K5" i="2"/>
  <c r="K21" i="2" s="1"/>
  <c r="H5" i="2"/>
  <c r="E5" i="2"/>
  <c r="I10" i="4" l="1"/>
  <c r="O51" i="4"/>
  <c r="O9" i="5"/>
  <c r="O29" i="5" s="1"/>
  <c r="F70" i="6"/>
  <c r="H56" i="10"/>
  <c r="I51" i="4"/>
  <c r="O10" i="4"/>
  <c r="R10" i="4"/>
  <c r="R87" i="4" s="1"/>
  <c r="E10" i="4"/>
  <c r="R26" i="4"/>
  <c r="E56" i="10"/>
  <c r="Y9" i="5"/>
  <c r="Y29" i="5" s="1"/>
  <c r="I6" i="7"/>
  <c r="I27" i="7" s="1"/>
  <c r="G56" i="10"/>
  <c r="I56" i="10"/>
  <c r="O26" i="4"/>
  <c r="AD90" i="4"/>
  <c r="E88" i="4"/>
  <c r="E130" i="4"/>
  <c r="I88" i="4"/>
  <c r="I123" i="4" s="1"/>
  <c r="R88" i="4"/>
  <c r="R123" i="4" s="1"/>
  <c r="L88" i="4"/>
  <c r="L123" i="4" s="1"/>
  <c r="L124" i="4" s="1"/>
  <c r="U88" i="4"/>
  <c r="U123" i="4" s="1"/>
  <c r="U124" i="4" s="1"/>
  <c r="O88" i="4"/>
  <c r="O123" i="4" s="1"/>
  <c r="F28" i="6"/>
  <c r="E25" i="6"/>
  <c r="G52" i="11"/>
  <c r="E33" i="5"/>
  <c r="E127" i="4"/>
  <c r="I26" i="4"/>
  <c r="L9" i="5"/>
  <c r="L29" i="5" s="1"/>
  <c r="F33" i="5" s="1"/>
  <c r="D12" i="10"/>
  <c r="D44" i="10"/>
  <c r="C71" i="11"/>
  <c r="D3" i="10"/>
  <c r="D16" i="10"/>
  <c r="D31" i="10"/>
  <c r="D53" i="10"/>
  <c r="H43" i="11"/>
  <c r="H45" i="11"/>
  <c r="F102" i="4"/>
  <c r="AB26" i="4"/>
  <c r="F111" i="4"/>
  <c r="G35" i="11"/>
  <c r="H44" i="11"/>
  <c r="G48" i="11"/>
  <c r="C47" i="11" s="1"/>
  <c r="F107" i="4"/>
  <c r="D27" i="10"/>
  <c r="H37" i="11"/>
  <c r="F43" i="6"/>
  <c r="AB10" i="4"/>
  <c r="W14" i="4"/>
  <c r="E21" i="2"/>
  <c r="C5" i="6"/>
  <c r="D12" i="6"/>
  <c r="W29" i="5"/>
  <c r="E51" i="4"/>
  <c r="K7" i="8"/>
  <c r="K8" i="8"/>
  <c r="K9" i="8"/>
  <c r="K11" i="8"/>
  <c r="K12" i="8"/>
  <c r="K14" i="8"/>
  <c r="U5" i="2"/>
  <c r="U21" i="2" s="1"/>
  <c r="AF21" i="2"/>
  <c r="E26" i="4"/>
  <c r="Z87" i="4"/>
  <c r="Z124" i="4" s="1"/>
  <c r="F12" i="5"/>
  <c r="F9" i="5" s="1"/>
  <c r="F5" i="6"/>
  <c r="E70" i="6"/>
  <c r="G9" i="11"/>
  <c r="C5" i="11" s="1"/>
  <c r="C42" i="11"/>
  <c r="X5" i="2"/>
  <c r="AG5" i="2"/>
  <c r="AG21" i="2" s="1"/>
  <c r="W30" i="4"/>
  <c r="W41" i="4"/>
  <c r="AG47" i="4"/>
  <c r="AA87" i="4"/>
  <c r="AA124" i="4" s="1"/>
  <c r="AB51" i="4"/>
  <c r="F92" i="4"/>
  <c r="F113" i="4"/>
  <c r="X29" i="5"/>
  <c r="F51" i="6"/>
  <c r="D70" i="6"/>
  <c r="C56" i="10"/>
  <c r="D19" i="10"/>
  <c r="T5" i="2"/>
  <c r="AC5" i="2" s="1"/>
  <c r="R5" i="2"/>
  <c r="R21" i="2" s="1"/>
  <c r="W13" i="4"/>
  <c r="AD45" i="4"/>
  <c r="X87" i="4"/>
  <c r="X124" i="4" s="1"/>
  <c r="W62" i="4"/>
  <c r="AD93" i="4"/>
  <c r="AE93" i="4" s="1"/>
  <c r="F108" i="4"/>
  <c r="F114" i="4"/>
  <c r="V29" i="5"/>
  <c r="T8" i="5"/>
  <c r="U29" i="5"/>
  <c r="C40" i="6"/>
  <c r="H36" i="11"/>
  <c r="G62" i="11"/>
  <c r="C58" i="11" s="1"/>
  <c r="W40" i="4"/>
  <c r="F45" i="4"/>
  <c r="F87" i="4" s="1"/>
  <c r="Y87" i="4"/>
  <c r="Y124" i="4" s="1"/>
  <c r="AE92" i="4"/>
  <c r="F25" i="6"/>
  <c r="H21" i="2"/>
  <c r="Q21" i="2"/>
  <c r="U43" i="12"/>
  <c r="U10" i="12"/>
  <c r="M57" i="12"/>
  <c r="T23" i="12"/>
  <c r="S20" i="12"/>
  <c r="M52" i="12"/>
  <c r="U32" i="12"/>
  <c r="T34" i="12"/>
  <c r="U33" i="12"/>
  <c r="T41" i="12"/>
  <c r="U40" i="12"/>
  <c r="T42" i="12"/>
  <c r="U20" i="12"/>
  <c r="S10" i="12"/>
  <c r="N53" i="12"/>
  <c r="N54" i="12" s="1"/>
  <c r="U44" i="12"/>
  <c r="N56" i="12"/>
  <c r="S12" i="12"/>
  <c r="S16" i="12"/>
  <c r="S17" i="12"/>
  <c r="S21" i="12"/>
  <c r="S23" i="12"/>
  <c r="S29" i="12"/>
  <c r="S31" i="12"/>
  <c r="S33" i="12"/>
  <c r="S37" i="12"/>
  <c r="S40" i="12"/>
  <c r="S47" i="12"/>
  <c r="S30" i="12"/>
  <c r="S39" i="12"/>
  <c r="S44" i="12"/>
  <c r="M56" i="12"/>
  <c r="S18" i="12"/>
  <c r="T24" i="12"/>
  <c r="S25" i="12"/>
  <c r="T27" i="12"/>
  <c r="S27" i="12"/>
  <c r="T35" i="12"/>
  <c r="S35" i="12"/>
  <c r="S41" i="12"/>
  <c r="S42" i="12"/>
  <c r="S43" i="12"/>
  <c r="S45" i="12"/>
  <c r="S46" i="12"/>
  <c r="S8" i="12"/>
  <c r="S11" i="12"/>
  <c r="S19" i="12"/>
  <c r="S22" i="12"/>
  <c r="S28" i="12"/>
  <c r="S32" i="12"/>
  <c r="S36" i="12"/>
  <c r="H35" i="11"/>
  <c r="H9" i="11"/>
  <c r="H62" i="11"/>
  <c r="H66" i="11"/>
  <c r="G41" i="11"/>
  <c r="G38" i="11" s="1"/>
  <c r="K15" i="8"/>
  <c r="K6" i="8"/>
  <c r="F27" i="7"/>
  <c r="E27" i="7"/>
  <c r="D5" i="6"/>
  <c r="T9" i="5"/>
  <c r="W89" i="4"/>
  <c r="AF120" i="4"/>
  <c r="W28" i="4"/>
  <c r="AE44" i="4"/>
  <c r="I45" i="4"/>
  <c r="W48" i="4"/>
  <c r="W47" i="4" s="1"/>
  <c r="W52" i="4"/>
  <c r="AF88" i="4"/>
  <c r="AE96" i="4"/>
  <c r="AD99" i="4"/>
  <c r="AE99" i="4" s="1"/>
  <c r="AD100" i="4"/>
  <c r="AE100" i="4" s="1"/>
  <c r="AD104" i="4"/>
  <c r="AE104" i="4" s="1"/>
  <c r="AE110" i="4"/>
  <c r="W111" i="4"/>
  <c r="AD111" i="4" s="1"/>
  <c r="AE111" i="4" s="1"/>
  <c r="AE114" i="4"/>
  <c r="AD115" i="4"/>
  <c r="AE115" i="4" s="1"/>
  <c r="AB123" i="4"/>
  <c r="E45" i="4"/>
  <c r="AE94" i="4"/>
  <c r="AE95" i="4"/>
  <c r="AE109" i="4"/>
  <c r="AE120" i="4"/>
  <c r="AE90" i="4"/>
  <c r="AE101" i="4"/>
  <c r="AE106" i="4"/>
  <c r="AE112" i="4"/>
  <c r="AE116" i="4"/>
  <c r="AE117" i="4"/>
  <c r="X18" i="2"/>
  <c r="W18" i="2"/>
  <c r="W21" i="2" s="1"/>
  <c r="F18" i="2"/>
  <c r="D56" i="10" l="1"/>
  <c r="F88" i="4"/>
  <c r="F123" i="4" s="1"/>
  <c r="W88" i="4"/>
  <c r="AD88" i="4" s="1"/>
  <c r="AE88" i="4" s="1"/>
  <c r="O87" i="4"/>
  <c r="O124" i="4" s="1"/>
  <c r="R124" i="4"/>
  <c r="I87" i="4"/>
  <c r="I124" i="4" s="1"/>
  <c r="E73" i="6"/>
  <c r="X21" i="2"/>
  <c r="AF87" i="4"/>
  <c r="AG87" i="4" s="1"/>
  <c r="AF123" i="4"/>
  <c r="AB87" i="4"/>
  <c r="AB124" i="4" s="1"/>
  <c r="W51" i="4"/>
  <c r="AD51" i="4" s="1"/>
  <c r="AE51" i="4" s="1"/>
  <c r="W26" i="4"/>
  <c r="AD26" i="4" s="1"/>
  <c r="AE26" i="4" s="1"/>
  <c r="AE45" i="4"/>
  <c r="W10" i="4"/>
  <c r="AD10" i="4" s="1"/>
  <c r="AE10" i="4" s="1"/>
  <c r="C73" i="6"/>
  <c r="F73" i="6"/>
  <c r="T21" i="2"/>
  <c r="AC21" i="2" s="1"/>
  <c r="D73" i="6"/>
  <c r="D81" i="6" s="1"/>
  <c r="F29" i="5"/>
  <c r="C34" i="11"/>
  <c r="C33" i="11" s="1"/>
  <c r="AA8" i="5"/>
  <c r="AB8" i="5" s="1"/>
  <c r="T7" i="5"/>
  <c r="AA7" i="5" s="1"/>
  <c r="AB7" i="5" s="1"/>
  <c r="T22" i="12"/>
  <c r="U9" i="12"/>
  <c r="M53" i="12"/>
  <c r="S26" i="12"/>
  <c r="G28" i="11"/>
  <c r="H5" i="11"/>
  <c r="H28" i="11" s="1"/>
  <c r="C56" i="11"/>
  <c r="H79" i="11" s="1"/>
  <c r="H91" i="11" s="1"/>
  <c r="AA9" i="5"/>
  <c r="AB9" i="5" s="1"/>
  <c r="E87" i="4"/>
  <c r="AD48" i="4"/>
  <c r="AE48" i="4" s="1"/>
  <c r="AD47" i="4"/>
  <c r="AE47" i="4" s="1"/>
  <c r="E123" i="4"/>
  <c r="AD89" i="4"/>
  <c r="AE89" i="4" s="1"/>
  <c r="AD18" i="2"/>
  <c r="AC18" i="2"/>
  <c r="I5" i="2"/>
  <c r="I21" i="2" s="1"/>
  <c r="F5" i="2"/>
  <c r="F130" i="4" l="1"/>
  <c r="F124" i="4"/>
  <c r="T29" i="5"/>
  <c r="AA29" i="5" s="1"/>
  <c r="AB29" i="5" s="1"/>
  <c r="C79" i="11"/>
  <c r="C91" i="11" s="1"/>
  <c r="W123" i="4"/>
  <c r="E124" i="4"/>
  <c r="W87" i="4"/>
  <c r="AD87" i="4" s="1"/>
  <c r="AE87" i="4" s="1"/>
  <c r="F21" i="2"/>
  <c r="AD123" i="4" l="1"/>
  <c r="AE123" i="4" s="1"/>
  <c r="W124" i="4"/>
  <c r="Y128" i="4" l="1"/>
  <c r="AD124" i="4"/>
  <c r="AE124" i="4" s="1"/>
  <c r="AA126" i="4"/>
  <c r="BW8" i="15"/>
  <c r="CG8" i="15" s="1"/>
  <c r="AE48" i="22"/>
  <c r="AG40" i="16" l="1"/>
  <c r="AG41" i="16"/>
  <c r="AH43" i="16"/>
  <c r="F42" i="23" s="1"/>
  <c r="AH40" i="16"/>
  <c r="F39" i="23" s="1"/>
  <c r="AH38" i="16"/>
  <c r="F37" i="23" s="1"/>
  <c r="AH44" i="16"/>
  <c r="F43" i="23" s="1"/>
  <c r="AH42" i="16"/>
  <c r="F41" i="23" s="1"/>
  <c r="AG42" i="16"/>
  <c r="AH46" i="16"/>
  <c r="F45" i="23" s="1"/>
  <c r="AG45" i="16"/>
  <c r="AH41" i="16"/>
  <c r="F40" i="23" s="1"/>
  <c r="AK42" i="16" l="1"/>
  <c r="AK40" i="16"/>
  <c r="AK41" i="16"/>
  <c r="AK43" i="16"/>
  <c r="AK44" i="16"/>
  <c r="AK46" i="16"/>
  <c r="AK38" i="16"/>
  <c r="AG38" i="16"/>
  <c r="AH45" i="16"/>
  <c r="AG46" i="16"/>
  <c r="F44" i="23" l="1"/>
  <c r="AK45" i="16"/>
  <c r="F45" i="12"/>
  <c r="O45" i="12" s="1"/>
  <c r="O45" i="23"/>
  <c r="P45" i="23" s="1"/>
  <c r="F39" i="12"/>
  <c r="O39" i="12" s="1"/>
  <c r="O39" i="23"/>
  <c r="P39" i="23" s="1"/>
  <c r="F42" i="12"/>
  <c r="O42" i="12" s="1"/>
  <c r="O42" i="23"/>
  <c r="P42" i="23" s="1"/>
  <c r="F37" i="12"/>
  <c r="O37" i="12" s="1"/>
  <c r="Z46" i="12" s="1"/>
  <c r="O37" i="23"/>
  <c r="P37" i="23" s="1"/>
  <c r="F40" i="12"/>
  <c r="O40" i="12" s="1"/>
  <c r="O40" i="23"/>
  <c r="P40" i="23" s="1"/>
  <c r="F41" i="12"/>
  <c r="O41" i="12" s="1"/>
  <c r="O41" i="23"/>
  <c r="P41" i="23" s="1"/>
  <c r="F43" i="12"/>
  <c r="O43" i="12" s="1"/>
  <c r="O43" i="23"/>
  <c r="P43" i="23" s="1"/>
  <c r="AG47" i="16"/>
  <c r="AH47" i="16"/>
  <c r="AH51" i="16" s="1"/>
  <c r="AO51" i="16" l="1"/>
  <c r="AG51" i="16"/>
  <c r="AH53" i="16"/>
  <c r="U50" i="12"/>
  <c r="AK47" i="16"/>
  <c r="AK51" i="16" s="1"/>
  <c r="F44" i="12"/>
  <c r="O44" i="12" s="1"/>
  <c r="O44" i="23"/>
  <c r="X47" i="17"/>
  <c r="X57" i="17" l="1"/>
  <c r="AB49" i="17"/>
  <c r="P44" i="23"/>
  <c r="P53" i="23"/>
  <c r="Z48" i="12"/>
  <c r="F46" i="23"/>
  <c r="F50" i="23" s="1"/>
  <c r="O46" i="23" l="1"/>
  <c r="O52" i="23" s="1"/>
  <c r="F46" i="12"/>
  <c r="F51" i="12" l="1"/>
  <c r="V49" i="23"/>
  <c r="T47" i="23"/>
  <c r="T48" i="23"/>
  <c r="P46" i="23"/>
  <c r="P54" i="23"/>
  <c r="P55" i="23" s="1"/>
  <c r="Z50" i="12" l="1"/>
  <c r="W43" i="12"/>
  <c r="W40" i="12"/>
</calcChain>
</file>

<file path=xl/sharedStrings.xml><?xml version="1.0" encoding="utf-8"?>
<sst xmlns="http://schemas.openxmlformats.org/spreadsheetml/2006/main" count="5514" uniqueCount="1519">
  <si>
    <t>adatok Ft-ban</t>
  </si>
  <si>
    <t>Kiadások</t>
  </si>
  <si>
    <t>VÁROSI SZINTŰ DUNAHARASZTI ÖNKORMÁNYZAT MINDÖSSZESEN</t>
  </si>
  <si>
    <t>Sor-
szám</t>
  </si>
  <si>
    <t>Kormányzati funkciók száma és megnevezése</t>
  </si>
  <si>
    <t>Ellátott feladat típusa</t>
  </si>
  <si>
    <t>Eredeti előirányzat</t>
  </si>
  <si>
    <t>Módosított előirányzat</t>
  </si>
  <si>
    <t>Részgazda száma és megnevezése</t>
  </si>
  <si>
    <t>Rovat megnevezése</t>
  </si>
  <si>
    <t>Rovat száma</t>
  </si>
  <si>
    <t>kötelező</t>
  </si>
  <si>
    <t xml:space="preserve">önként vállalt </t>
  </si>
  <si>
    <t>államigazgatási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</si>
  <si>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</si>
  <si>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</si>
  <si>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</si>
  <si>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</si>
  <si>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</si>
  <si>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</si>
  <si>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</si>
  <si>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</si>
  <si>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</si>
  <si>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Személyi juttatások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</si>
  <si>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</si>
  <si>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</si>
  <si>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</si>
  <si>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</si>
  <si>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</si>
  <si>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>Ellátottak pénzbeli juttatásai</t>
  </si>
  <si>
    <t>K4</t>
  </si>
  <si>
    <t xml:space="preserve">Egyéb működési célú kiadások </t>
  </si>
  <si>
    <t>K5</t>
  </si>
  <si>
    <t xml:space="preserve"> Ebből: működési célú pénzeszköz átadások, támogatások</t>
  </si>
  <si>
    <t xml:space="preserve"> Ebből: működési tartalékok</t>
  </si>
  <si>
    <t xml:space="preserve"> Ebből: elvonások és befizetések</t>
  </si>
  <si>
    <t>9.</t>
  </si>
  <si>
    <t xml:space="preserve">Beruházások </t>
  </si>
  <si>
    <t>K6</t>
  </si>
  <si>
    <t>10.</t>
  </si>
  <si>
    <t>Felújítások</t>
  </si>
  <si>
    <t>K7</t>
  </si>
  <si>
    <t>11.</t>
  </si>
  <si>
    <t xml:space="preserve">Egyéb felhalmozási célú kiadások </t>
  </si>
  <si>
    <t>K8</t>
  </si>
  <si>
    <t>12.</t>
  </si>
  <si>
    <t xml:space="preserve"> Ebből: felhalmozási célú pénzeszköz átadások, támogatások</t>
  </si>
  <si>
    <t>13.</t>
  </si>
  <si>
    <t xml:space="preserve">Költségvetési kiadások </t>
  </si>
  <si>
    <t>K1-K8</t>
  </si>
  <si>
    <t>14.</t>
  </si>
  <si>
    <t>Finanszírozási kiadások</t>
  </si>
  <si>
    <t>K9</t>
  </si>
  <si>
    <t>15.</t>
  </si>
  <si>
    <t xml:space="preserve">      Ebből: államháztartáson belüli megelőlegezések visszafizetése</t>
  </si>
  <si>
    <t>16.</t>
  </si>
  <si>
    <t xml:space="preserve">    Ebből: működési célú intézményfinanszírozás kiadása</t>
  </si>
  <si>
    <t>17.</t>
  </si>
  <si>
    <t xml:space="preserve">    Ebből: felhalmozási célú intézményfinanszírozás kiadása</t>
  </si>
  <si>
    <t>18.</t>
  </si>
  <si>
    <t xml:space="preserve">   Ebből: hitelfelvétellel kapcsolatos kiadások</t>
  </si>
  <si>
    <t>19.</t>
  </si>
  <si>
    <t>TÁRGYÉVI MŰKÖDÉSI KIADÁSOK (K1+K2+K3+K4+K5+K9)</t>
  </si>
  <si>
    <t>20.</t>
  </si>
  <si>
    <t>TÁRGYÉVI FELHALMOZÁSI KIADÁSOK (K6+K7+K8+K9)</t>
  </si>
  <si>
    <t>21.</t>
  </si>
  <si>
    <t>TÁRGYÉVI KIADÁSOK ÖSSZESEN</t>
  </si>
  <si>
    <t>K1-K9</t>
  </si>
  <si>
    <t>22.</t>
  </si>
  <si>
    <t xml:space="preserve">Működési célú támogatások államháztartáson belülről </t>
  </si>
  <si>
    <t>B1</t>
  </si>
  <si>
    <t>23.</t>
  </si>
  <si>
    <t xml:space="preserve">Felhalmozási célú támogatások államháztartáson belülről </t>
  </si>
  <si>
    <t>B2</t>
  </si>
  <si>
    <t>24.</t>
  </si>
  <si>
    <t xml:space="preserve">Közhatalmi bevételek </t>
  </si>
  <si>
    <t>B3</t>
  </si>
  <si>
    <t>25.</t>
  </si>
  <si>
    <t>Működési bevételek</t>
  </si>
  <si>
    <t>B4</t>
  </si>
  <si>
    <t>26.</t>
  </si>
  <si>
    <t xml:space="preserve">Felhalmozási bevételek </t>
  </si>
  <si>
    <t>B5</t>
  </si>
  <si>
    <t>27.</t>
  </si>
  <si>
    <t xml:space="preserve">Működési célú átvett pénzeszközök </t>
  </si>
  <si>
    <t>B6</t>
  </si>
  <si>
    <t>28.</t>
  </si>
  <si>
    <t xml:space="preserve">Felhalmozási célú átvett pénzeszközök </t>
  </si>
  <si>
    <t>B7</t>
  </si>
  <si>
    <t>29.</t>
  </si>
  <si>
    <t xml:space="preserve">Költségvetési bevételek </t>
  </si>
  <si>
    <t>B1-B7</t>
  </si>
  <si>
    <t>30.</t>
  </si>
  <si>
    <t>Finanszírozási bevételek</t>
  </si>
  <si>
    <t>B8</t>
  </si>
  <si>
    <t>31.</t>
  </si>
  <si>
    <t xml:space="preserve">    Ebből: működési célú pénzmaradvány</t>
  </si>
  <si>
    <t>32.</t>
  </si>
  <si>
    <t xml:space="preserve">    Ebből: felhalmozási célú pénzmaradvány</t>
  </si>
  <si>
    <t>33.</t>
  </si>
  <si>
    <t xml:space="preserve">    Ebből: működési célú intézményfinanszírozás bevétele</t>
  </si>
  <si>
    <t>34.</t>
  </si>
  <si>
    <t xml:space="preserve">    Ebből: felhalmozási célú intézményfinanszírozás bevétele</t>
  </si>
  <si>
    <t>35.</t>
  </si>
  <si>
    <t xml:space="preserve">   Ebből: hitelfelvétel</t>
  </si>
  <si>
    <t>36.</t>
  </si>
  <si>
    <t>TÁRGYÉVI MŰKÖDÉSI BEVÉTELEK (B1+B3+B4+B6+B8)</t>
  </si>
  <si>
    <t>37.</t>
  </si>
  <si>
    <t>TÁRGYÉVI FELHALMOZÁSI BEVÉTELEK (B2+B5+B7+B8)</t>
  </si>
  <si>
    <t>38.</t>
  </si>
  <si>
    <t>TÁRGYÉVI BEVÉTELEK ÖSSZESEN</t>
  </si>
  <si>
    <t>39.</t>
  </si>
  <si>
    <t>Létszámkeret</t>
  </si>
  <si>
    <t>40.</t>
  </si>
  <si>
    <t>2017. évben megvalósítható halasztott tételek</t>
  </si>
  <si>
    <t>Bev</t>
  </si>
  <si>
    <t>Működési célú</t>
  </si>
  <si>
    <t>Felhalmozási célú</t>
  </si>
  <si>
    <t>kiad</t>
  </si>
  <si>
    <t>Felhalmozási célú pénzeszköz átadások, kölcsönök, lakástámogatás</t>
  </si>
  <si>
    <t>Sorszám</t>
  </si>
  <si>
    <t>Részgazda</t>
  </si>
  <si>
    <t>Rovat</t>
  </si>
  <si>
    <t>Megnevezés</t>
  </si>
  <si>
    <t>084031                                   Civil szervezetek működési támogatása</t>
  </si>
  <si>
    <t>084040                           Egyházak közösségi és hitéleti tevékeny-ségének támogatása</t>
  </si>
  <si>
    <t>081041                                                               Versenysport- és utánpótlás-nevelési tevékenység és támogatása</t>
  </si>
  <si>
    <t>011130 Önkormányzatok és önkormányzati hivatalok igazgatási tevékenysége</t>
  </si>
  <si>
    <t>Összesen</t>
  </si>
  <si>
    <t>2017. évben megvalósuló halasztott tételek</t>
  </si>
  <si>
    <t>A, Önkormányzat</t>
  </si>
  <si>
    <t>009</t>
  </si>
  <si>
    <t>K-89</t>
  </si>
  <si>
    <t>Lakossági járdaépítés költsége</t>
  </si>
  <si>
    <t>010</t>
  </si>
  <si>
    <t>Felhalmozási célú pénzeszköz átadás lakosságnak: Első lakáshoz jutók támogatása</t>
  </si>
  <si>
    <t>K-84</t>
  </si>
  <si>
    <t>Pest Megyei Katasztrófavédelmi Igazgatóság eszközfejlesztési támogatása</t>
  </si>
  <si>
    <t>Szigetszentmiklósi Szakorvosi rendelő eszközpark korszerűsítés</t>
  </si>
  <si>
    <t>013</t>
  </si>
  <si>
    <t>DMTK támogatás: 48/2015. (IV. 27.) sz. Kt. határozat; 45/2016. (IV. 25.) sz. Kt. határozat; 91/2016. (X.24.) sz. Kt. Határozat: Sportcsarnok beruházás</t>
  </si>
  <si>
    <t>DMTK támogatás: 111/2016. (XII. 19.) sz. Kt. határozat: Sportcsarnok kivitelezési munkáira többletfedezet biztosítása</t>
  </si>
  <si>
    <t>014</t>
  </si>
  <si>
    <t>Ráckeve Térségi Közhasznú Mentőalapítvány támogatása</t>
  </si>
  <si>
    <t>50/2017. (V.29.) sz. Kt. Határozat Bárka Alapítvány támogatása</t>
  </si>
  <si>
    <t>011</t>
  </si>
  <si>
    <t>Egyházak eszközfejlesztésének támogatása (Dunaharaszti Református Egyházközség lelkész lakás és gyülekezeti ház felújítása)</t>
  </si>
  <si>
    <t>B, Intézmények</t>
  </si>
  <si>
    <t>Polgármesteri Hivatal</t>
  </si>
  <si>
    <t>002</t>
  </si>
  <si>
    <t>K-86</t>
  </si>
  <si>
    <t>Felhalmozási célú kölcsön nyújtása munkavállalók</t>
  </si>
  <si>
    <t>DUNAHARASZTI ÖNKORMÁNYZAT VÁROSI SZINTEN ÖSSZESEN</t>
  </si>
  <si>
    <t>Működési célú támogatások</t>
  </si>
  <si>
    <t xml:space="preserve">Eredeti előirányzat </t>
  </si>
  <si>
    <t>Kormányzati funkció</t>
  </si>
  <si>
    <t>Egyéb működési célú támogatások államháztartáson belülre</t>
  </si>
  <si>
    <t>Egyéb működési célú támogatások államháztartáson kívülre</t>
  </si>
  <si>
    <t>K-506</t>
  </si>
  <si>
    <t>K-512</t>
  </si>
  <si>
    <t>084031</t>
  </si>
  <si>
    <t>I. Civil szervezetek működési támogatatása</t>
  </si>
  <si>
    <t>042</t>
  </si>
  <si>
    <t>KisDuna TV támogatása</t>
  </si>
  <si>
    <t>önként vállalt</t>
  </si>
  <si>
    <t>Mozgáskorlátozottak Egyesületének internet kiadások támogatása</t>
  </si>
  <si>
    <t>Dunaharaszti Vöröskereszt szervezetének támogatása</t>
  </si>
  <si>
    <t>060</t>
  </si>
  <si>
    <t xml:space="preserve">Ügyeleti Szolgálat (Haraszti Fraxinus Kft.) támogatása </t>
  </si>
  <si>
    <t>Mályvavirág Központ (Alapítvány) támogatása</t>
  </si>
  <si>
    <t>Heimatland Harast Alapítvány támogatása</t>
  </si>
  <si>
    <t>Német Ifjúsági Hagyományőrző Egyesület Dunaharaszti támogatása</t>
  </si>
  <si>
    <t>28/2017. (III.27.) sz. Kt. Határozat: Peter Cerny Alapítvány támogatása</t>
  </si>
  <si>
    <t>29/2017. (III.27.) sz. Kt. Határozat: Beszélj Velem Alapítvány támogatása</t>
  </si>
  <si>
    <t>022010</t>
  </si>
  <si>
    <t>II. Polgári honvédelem ágazati feladatai, a lakosság felkészítése</t>
  </si>
  <si>
    <t>015</t>
  </si>
  <si>
    <t>Polgárőr Egyesület működési költség támogatása</t>
  </si>
  <si>
    <t>066020</t>
  </si>
  <si>
    <t>III.    Város- és község-gazdálkodási egyéb szolgáltatások</t>
  </si>
  <si>
    <t>016</t>
  </si>
  <si>
    <t>Pest Megyei Katasztrófavédelmi Igazgatóság támogatása</t>
  </si>
  <si>
    <t>045140</t>
  </si>
  <si>
    <t>IV. Városi és elővárosi közúti személyszállítás</t>
  </si>
  <si>
    <t>017</t>
  </si>
  <si>
    <t>Helyi tömegközlekedés támogatása (alapfeladat és éjszakai járat)</t>
  </si>
  <si>
    <t>094260</t>
  </si>
  <si>
    <t>V. Hallgatói és oktatói ösztöndíjak, egyéb juttatások</t>
  </si>
  <si>
    <t>018</t>
  </si>
  <si>
    <t>BURSA-HUNGARICA ösztöndíj pályázat</t>
  </si>
  <si>
    <t>081041</t>
  </si>
  <si>
    <t>VI. Versenysport- és utánpótlás-nevelési tevék.és tám.</t>
  </si>
  <si>
    <t>Szigetszentmiklós-Tököl Sportegyesület támogatása</t>
  </si>
  <si>
    <t>084032</t>
  </si>
  <si>
    <t>VII. Civil  szervezetek programtámogatása</t>
  </si>
  <si>
    <t xml:space="preserve"> Haraszti Fiatal Svábok Egyesülete és Haraster Dorfmusik Fúvószenekar támogatása</t>
  </si>
  <si>
    <t>TEA Egyesület Vagabond Korzó Fesztivál támogatása</t>
  </si>
  <si>
    <t>A 35/2017. (IV.24.) sz. Kt. Határozat alapján civil szervezetek, egyházak támogatása keretből felosztott 14.000.000,- Ft</t>
  </si>
  <si>
    <t>I. Versenysport- és utánpótlás-nevelés tevékenység és támogatás</t>
  </si>
  <si>
    <t>Kisdunamenti Ashihara Karate és Szabadidős Sport Egyesület</t>
  </si>
  <si>
    <t>MOHA SC (Morcos Harcosok Sport Club)</t>
  </si>
  <si>
    <t>Acél Ököl Shaolin Kung-Fu és Szabadidősport Egyesület</t>
  </si>
  <si>
    <t>Dunaharaszti Judo Club</t>
  </si>
  <si>
    <t>Dunaharaszti Goju-Ryu Karate Sportegyesület</t>
  </si>
  <si>
    <t>Dunaharaszti Kempo SE.</t>
  </si>
  <si>
    <t>081045</t>
  </si>
  <si>
    <t>II. Szabadidősport- (rekreációs sport-) tevékenység</t>
  </si>
  <si>
    <t>Dunaharaszti Nádor Lakóövezetért Közhasznú Egyesület</t>
  </si>
  <si>
    <t>Fut a Haraszti (Dunaharaszti Futók)</t>
  </si>
  <si>
    <t>III. Civil szervezetek működési támogatása</t>
  </si>
  <si>
    <t>Lányok, Asszonyok a Városért Egyesület (LAVE)</t>
  </si>
  <si>
    <t>Mozgáskorlátozottak Dunaharaszti Egyesülete</t>
  </si>
  <si>
    <t>Dunaharaszti Környezetbarátok Egyesülete</t>
  </si>
  <si>
    <t>Alkotók Dunaharaszti Egyesülete</t>
  </si>
  <si>
    <t>HardSteppers Tánc és Sport Egyesület</t>
  </si>
  <si>
    <t>Dunaharaszti Polgári Kör</t>
  </si>
  <si>
    <t>Napfény Tánccsoport</t>
  </si>
  <si>
    <t>Önkéntes Összefogás Dunaharaszti</t>
  </si>
  <si>
    <t>Dunaharaszti Foltvarázslók</t>
  </si>
  <si>
    <t>IV. Civil  szervezetek programtámogatása</t>
  </si>
  <si>
    <t>Dunaharaszti Honismereti Kör</t>
  </si>
  <si>
    <t>Dunaharaszti Liget Kórus</t>
  </si>
  <si>
    <t>Dunaharaszti Őszirózsa Nyugdíjas Egyesület</t>
  </si>
  <si>
    <t>Gazdakör Dunaharaszti</t>
  </si>
  <si>
    <t>Barátság Nyugdíjas Egyesület Dunaharaszti</t>
  </si>
  <si>
    <t>Rocky Nagyik Tánccsoport Egyesület</t>
  </si>
  <si>
    <t>Dunaharaszti Polgárok Vállalkozói Egyesülete</t>
  </si>
  <si>
    <t>Fiatalok Dunaharasztiért (FIDU) Egyesület</t>
  </si>
  <si>
    <t>DH Venus Rúdsport Akadémia</t>
  </si>
  <si>
    <t>Paradicsomsziget Egyesület</t>
  </si>
  <si>
    <t>Dunaharaszti Nőegylet</t>
  </si>
  <si>
    <t>Dunaharaszti Környezetvédelmi és Kulturális Egyesület</t>
  </si>
  <si>
    <t>Tenni Akarunk Dunaharasztiért Egyesület (TEA Egyesület)</t>
  </si>
  <si>
    <t>Dunaharaszti Gyermekbarátok Mozgalma</t>
  </si>
  <si>
    <t>Dunamenti Összművészeti Egyesület DÖME</t>
  </si>
  <si>
    <t>Mozaik Közhasznú Egyesület az Autizmussal Élő Emberekért</t>
  </si>
  <si>
    <t>Dunaharaszti Szent István Templom Szent Cecília Kórus</t>
  </si>
  <si>
    <t>NEDH Dunaharaszti Nagycsaládos Egyesület</t>
  </si>
  <si>
    <t>Dunaharaszti Művészeti Egyesület</t>
  </si>
  <si>
    <t>After School Tánc- és Sportegyesület</t>
  </si>
  <si>
    <t>Dunaharaszti Ifjúsági Egyesület</t>
  </si>
  <si>
    <t>Dunaharaszti Nyugdíjasok Egyesülete</t>
  </si>
  <si>
    <t>Székely Honvágy Kör</t>
  </si>
  <si>
    <t>Alsófalusi Nyugdíjas Klub</t>
  </si>
  <si>
    <t>Petőfi - ligetért Baráti Kör</t>
  </si>
  <si>
    <t>Dunaharaszti Szent Erzsébet Karitász Csoport</t>
  </si>
  <si>
    <t>Dunaharaszti Katonai Hagyományőrző Egyesület</t>
  </si>
  <si>
    <t>Dunaharaszti Művészetbarátok Köre</t>
  </si>
  <si>
    <t>Dunaharaszti 647 számú Tomori Pál Cserkészcsapat</t>
  </si>
  <si>
    <t xml:space="preserve">Pet-Ro Állatvédelem Dunaharaszti </t>
  </si>
  <si>
    <t>41.</t>
  </si>
  <si>
    <t>Terembura Szerepkör</t>
  </si>
  <si>
    <t>42.</t>
  </si>
  <si>
    <t>Dunaharaszti Állatvédők</t>
  </si>
  <si>
    <t>43.</t>
  </si>
  <si>
    <t>Dunaharaszti Baptista Gyülekezet</t>
  </si>
  <si>
    <t>44.</t>
  </si>
  <si>
    <t>TEÉRTED Keresztény Misszió</t>
  </si>
  <si>
    <t>084040</t>
  </si>
  <si>
    <t>V. Egyházak közösségi és hitéleti tevékenységének támogatása</t>
  </si>
  <si>
    <t>Dunaharszti Református Egyházközség</t>
  </si>
  <si>
    <t>Rákóczi ligeti Római Katolikus Egyházközség Dunaharaszti</t>
  </si>
  <si>
    <t>Pesterzsébeti Görögkatolikus Egyházközség (dunaharaszti csoport)</t>
  </si>
  <si>
    <t>Dunaharaszti Evangélikus Egyházközség</t>
  </si>
  <si>
    <t>Pénzeszköz átadás összesen:</t>
  </si>
  <si>
    <t xml:space="preserve">DMTK részére nyújtott támogatások </t>
  </si>
  <si>
    <t>081030</t>
  </si>
  <si>
    <t>I. Sportlétesítmények, edzőtáborok működtetése és fejlesztése</t>
  </si>
  <si>
    <t>012</t>
  </si>
  <si>
    <t>DMTK szakosztályainak működési célú támogatása (ebből: előző évi maradvány ,- Ft)</t>
  </si>
  <si>
    <t>DMTK sportpálya rezsi kiadások támogatása (ebből: előző évi maradvány 2.656.409,- Ft)</t>
  </si>
  <si>
    <t>II. Versenysport és utánpótlás-nevelési tevékenységek támogatása</t>
  </si>
  <si>
    <t xml:space="preserve">DMTK szakosztályainak működési célú támogatása </t>
  </si>
  <si>
    <t>DMTK szakosztályainak működési célú támogatása átvállalt terembérlet Művelődési Ház és intézmények  (ebből: előző évi maradvány 8.223.412,- Ft)</t>
  </si>
  <si>
    <t>Pályázati önrész</t>
  </si>
  <si>
    <t>Pályázati önerő (labdarúgás)</t>
  </si>
  <si>
    <t>Gyakorló pálya műfű gondozás</t>
  </si>
  <si>
    <t>-</t>
  </si>
  <si>
    <t>DMTK támogatásai mindösszesen:</t>
  </si>
  <si>
    <t>DMTK-KVSE Aquasport Egyesület részére nyújtott támogatás</t>
  </si>
  <si>
    <t>I. Versenysport és utánpótlás-nevelési tevékenységek támogatása</t>
  </si>
  <si>
    <t>104</t>
  </si>
  <si>
    <t>Úszó szakosztály támogatása</t>
  </si>
  <si>
    <t>091220</t>
  </si>
  <si>
    <t>I. Köznevelési intézmény 1–4. évfolyamán tanulók nevelésével, oktatásával összefüggő működtetési feladatok</t>
  </si>
  <si>
    <t>075</t>
  </si>
  <si>
    <t>Dunaharaszti Hunyadi János Német Nemzetiségi Általános Iskola</t>
  </si>
  <si>
    <t>076</t>
  </si>
  <si>
    <t>Dunaharaszti II. Rákóczi Ferenc Általános Iskola</t>
  </si>
  <si>
    <t>077</t>
  </si>
  <si>
    <t>Dunaharaszti Kőrösi Csoma Sándor Általános Iskola</t>
  </si>
  <si>
    <t>092120</t>
  </si>
  <si>
    <t>II. Köznevelési intézmény 5–8. évfolyamán tanulók nevelésével, oktatásával összefüggő működési feladatok</t>
  </si>
  <si>
    <t>078</t>
  </si>
  <si>
    <t>079</t>
  </si>
  <si>
    <t>080</t>
  </si>
  <si>
    <t>092260</t>
  </si>
  <si>
    <t>III. Gimnázium és szakközépiskola és szakiskola tan.köz.</t>
  </si>
  <si>
    <t>081</t>
  </si>
  <si>
    <t>Baktay Ervin Gimnázium</t>
  </si>
  <si>
    <t>Dunaharaszti Nemzetiségi Önkormányzatok részére nyújtott támogatás államháztartáson belül</t>
  </si>
  <si>
    <t>021</t>
  </si>
  <si>
    <t>Bolgár Nemzetiségi Önkormányzat</t>
  </si>
  <si>
    <t>Német Nemzetiségi Önkormányzat</t>
  </si>
  <si>
    <t>Roma Nemzetiségi Önkormányzat (ebből: előző évi maradvány 1.000.000,- Ft)</t>
  </si>
  <si>
    <t>Nemzetiségi Önkormányzatok részére nyújtott támogatás összesen:</t>
  </si>
  <si>
    <t>DUNAHARASZTI VÁROS ÖNKORMÁNYZATA ÁLTAL NYÚJTOTT MŰKÖDÉSI CÉLÚ TÁMOGATÁSOK MINDÖSSZESEN</t>
  </si>
  <si>
    <t>Beruházási kiadások</t>
  </si>
  <si>
    <t>2017. évi ütem forrásai</t>
  </si>
  <si>
    <t>Rész-gazda</t>
  </si>
  <si>
    <t>Beru-házási kód</t>
  </si>
  <si>
    <t>2017. évi előirányzat</t>
  </si>
  <si>
    <t>ebből: immateriális javak</t>
  </si>
  <si>
    <t>ebből: ingatlan</t>
  </si>
  <si>
    <t>ebből informatikai eszközök</t>
  </si>
  <si>
    <t>ebből: egyéb tárgyi eszközök</t>
  </si>
  <si>
    <t>ebből: áfa</t>
  </si>
  <si>
    <t>Halasztott</t>
  </si>
  <si>
    <t>saját forrásai</t>
  </si>
  <si>
    <t>EU-s pályázat</t>
  </si>
  <si>
    <t>Pályázati forrás</t>
  </si>
  <si>
    <t>hitelfelvétel</t>
  </si>
  <si>
    <t>K-61</t>
  </si>
  <si>
    <t>K-62</t>
  </si>
  <si>
    <t>K-63</t>
  </si>
  <si>
    <t>K-64</t>
  </si>
  <si>
    <t>K-67</t>
  </si>
  <si>
    <t xml:space="preserve">A/I. Önkormányzat: Európai Uniós kiadások </t>
  </si>
  <si>
    <t>A/II. Önkormányzat: Út-, járdaépítés</t>
  </si>
  <si>
    <t>001</t>
  </si>
  <si>
    <t>045160</t>
  </si>
  <si>
    <t>Levendula u. útépítés</t>
  </si>
  <si>
    <t>Zágoni u. útépítés</t>
  </si>
  <si>
    <t>Kaszala u. útépítés</t>
  </si>
  <si>
    <t>Zsálya u. útépítés</t>
  </si>
  <si>
    <t>Uszoda útcsatlakozás, belső út, parkoló, vízelvezetés tervezése</t>
  </si>
  <si>
    <t>96/2016.(X.24.)sz.Kt.határozat: 51. főút és Puskás Tivadar utca kereszteződésében létesítendő körforgalom (ebből: előző évi maradvány: 1.270.000,- Ft)</t>
  </si>
  <si>
    <t>Arany-Eötvös-Jókai utcák csomópontjában mini körforgalom útépítési engedélyes terveinek elkészítése, engedélyek beszerzése</t>
  </si>
  <si>
    <t>Puskás Tivadar u. -51-es főút csomóponti turbó körforgalom kivitelezési terve (kiviteli terv, konzol terv és kapcsolódó statika, ill. tömörségi vizsgálat</t>
  </si>
  <si>
    <t>Zágoni utca földutjának stabilizációja II. ütem</t>
  </si>
  <si>
    <t>Dózsa Gy. Út - Klapka u. körforgalom tervezése, engedélyezése</t>
  </si>
  <si>
    <t>Járdaépítés</t>
  </si>
  <si>
    <t>A/III. Önkormányzat: Szennyvíz, csapadékvíz, ivóvíz beruházások</t>
  </si>
  <si>
    <t>052080/                                    063080</t>
  </si>
  <si>
    <t>Uszoda külső közmű víz és szennyvíz tervezése</t>
  </si>
  <si>
    <r>
      <t xml:space="preserve">052080/                                    </t>
    </r>
    <r>
      <rPr>
        <strike/>
        <sz val="10"/>
        <rFont val="Garamond"/>
        <family val="1"/>
        <charset val="238"/>
      </rPr>
      <t>063080</t>
    </r>
  </si>
  <si>
    <t>A 3/7 mederszélesítés</t>
  </si>
  <si>
    <t>052080</t>
  </si>
  <si>
    <t>A3 belvízelvezető torkolati áteresz kapacitásnövelő átépítésére vízjogi létesítési engedélyes tervek elkészítése, engedélyek beszerzése</t>
  </si>
  <si>
    <t>Dunaharaszti Sportcsarnok 1./B ütem csapadékvíz elvezetése beszivárogtatással, vízjogi engedélyi  terveinek elkészítése és engedélyek beszerzése</t>
  </si>
  <si>
    <t>Városi Uszoda vízjogi létesítési engedélyeztetési tervének elkészítése, engedélyek beszerzése</t>
  </si>
  <si>
    <t xml:space="preserve">Bláthy Ottó és Jedlik u. közötti csapadékvíz elvezető csatorna </t>
  </si>
  <si>
    <t>068</t>
  </si>
  <si>
    <t>Szennyvízbekötések előkészítő munkái</t>
  </si>
  <si>
    <t>063080</t>
  </si>
  <si>
    <t>Ivóvízbekötések előkészítő munkái</t>
  </si>
  <si>
    <t>ÉDV vízbekötések, mérőbeépítések</t>
  </si>
  <si>
    <t>069</t>
  </si>
  <si>
    <t>Szennyvíz bérleti díjából származó bevétel felhasználása 2017. év (Szennyvíz)</t>
  </si>
  <si>
    <t>105</t>
  </si>
  <si>
    <t>Szennyvíz bérleti díjából származó bevétel felhasználása 2017. év (Ivóvíz)</t>
  </si>
  <si>
    <t>A/IV. Önkormányzat: Városgazdálkodási feladatok</t>
  </si>
  <si>
    <t>207</t>
  </si>
  <si>
    <t>105/2014.(XII.15.)sz.Kt..hat. Városi településfejlesztési koncepció,településszerkezeti terv… (ebből: előző évi maradvány: 6.134.100,- Ft)</t>
  </si>
  <si>
    <t>A/V. Önkormányzat: Ingatlan fejlesztések</t>
  </si>
  <si>
    <t>007</t>
  </si>
  <si>
    <t>013350</t>
  </si>
  <si>
    <t>105/2016. (XI.28.) sz. Kt. Határozat: Ingatlan vásárlás: Jókai u. 36. lakóház és udvar</t>
  </si>
  <si>
    <t>A/VI. Önkormányzat: Egyéb beruházások</t>
  </si>
  <si>
    <t>039</t>
  </si>
  <si>
    <t>081061</t>
  </si>
  <si>
    <t>Játszóterek eszközfejlesztése</t>
  </si>
  <si>
    <t>213</t>
  </si>
  <si>
    <t>Sportcsarnok elektromos műszaki ellenőrzés</t>
  </si>
  <si>
    <t>Sportcsarnok beruházás: műszaki ellenőrzés; közműfejlesztési hozzájárulások</t>
  </si>
  <si>
    <t>214</t>
  </si>
  <si>
    <t>95/2016. (X.24.) sz. Kt. Határozat: Városi uszoda engedélyezési tervek</t>
  </si>
  <si>
    <t>049</t>
  </si>
  <si>
    <t xml:space="preserve">031030 </t>
  </si>
  <si>
    <t>Közterületi kamerák cseréje, fejlesztése</t>
  </si>
  <si>
    <t>095</t>
  </si>
  <si>
    <t>082044</t>
  </si>
  <si>
    <t>71/2016. (VII.4.) sz. Kt. Határozat: Könyvtár belső átalakítása</t>
  </si>
  <si>
    <t>091</t>
  </si>
  <si>
    <t>104031</t>
  </si>
  <si>
    <t>Új Bölcsőde kialakítása VEKOP-6.1.1-15 pályázat (35/2016. (IV.4.) sz. Kt. határozat) (ebből előző évi maradvány: 400.050,- Ft)</t>
  </si>
  <si>
    <t>033</t>
  </si>
  <si>
    <t>051030</t>
  </si>
  <si>
    <t>Zöld szemetesek kihelyezése</t>
  </si>
  <si>
    <t>036</t>
  </si>
  <si>
    <t>Technikai beruházás kód</t>
  </si>
  <si>
    <t>041</t>
  </si>
  <si>
    <t>047120</t>
  </si>
  <si>
    <t>Városi Piac területén térburkolási munkák</t>
  </si>
  <si>
    <t>051</t>
  </si>
  <si>
    <t>Nem lakáscélú ingatlan beruházások</t>
  </si>
  <si>
    <t>204</t>
  </si>
  <si>
    <t>031030</t>
  </si>
  <si>
    <t>Rendőrség autó vásárlás</t>
  </si>
  <si>
    <t>053</t>
  </si>
  <si>
    <t>082030</t>
  </si>
  <si>
    <t>Laffert tárgyi eszköz beszerzések</t>
  </si>
  <si>
    <t>Piac kisértékű tárgyi eszköz</t>
  </si>
  <si>
    <t>054</t>
  </si>
  <si>
    <t>013320</t>
  </si>
  <si>
    <t>Temető betonkerítés építése</t>
  </si>
  <si>
    <t>A. ÖNKORMÁNYZAT BERUHÁZÁSAI ÖSSZESEN</t>
  </si>
  <si>
    <t>B. Intézményi kör kiadásai</t>
  </si>
  <si>
    <t>011130</t>
  </si>
  <si>
    <t>Dunaharaszti Polgármesteri Hivatal (igazgatás)</t>
  </si>
  <si>
    <t>003</t>
  </si>
  <si>
    <t>011220</t>
  </si>
  <si>
    <t>Dunaharaszti Polgármesteri Hivatal (adó)</t>
  </si>
  <si>
    <t>004</t>
  </si>
  <si>
    <t>016030</t>
  </si>
  <si>
    <t>Dunaharaszti Polgármesteri Hivatal (anyakönyv)</t>
  </si>
  <si>
    <t>104035</t>
  </si>
  <si>
    <t>Dunaharaszti Városi Bölcsőde</t>
  </si>
  <si>
    <t>091110</t>
  </si>
  <si>
    <t>Dunaharaszti Hétszínvirág Óvoda (Hétszínvirág)</t>
  </si>
  <si>
    <t>Dunaharaszti Hétszínvirág Óvoda (Százszorszép)</t>
  </si>
  <si>
    <t>Dunaharaszti Hétszínvirág Óvoda (Szivárvány)</t>
  </si>
  <si>
    <t>Dunaharaszit Mese Óvoda (Mese)</t>
  </si>
  <si>
    <t>Dunaharaszit Mese Óvoda (Napsugár)</t>
  </si>
  <si>
    <t>102031</t>
  </si>
  <si>
    <t>Dunaharaszti Területi Gondozási Központ (Idősek nappali ellátása)</t>
  </si>
  <si>
    <t>107051</t>
  </si>
  <si>
    <t>Dunaharaszti Területi Gondozási Központ (Szociális étkeztetés)</t>
  </si>
  <si>
    <t>107052</t>
  </si>
  <si>
    <t>Dunaharaszti Területi Gondozási Központ (Házi segítségnyújtás)</t>
  </si>
  <si>
    <t>005</t>
  </si>
  <si>
    <t>107053</t>
  </si>
  <si>
    <t>Dunaharaszti Területi Gondozási Központ (Házi jelzőrendszer)</t>
  </si>
  <si>
    <t>006</t>
  </si>
  <si>
    <t>072111</t>
  </si>
  <si>
    <t>Dunaharaszti Területi Gondozási Központ (Damjanich u. 32.)</t>
  </si>
  <si>
    <t>Dunaharaszti Területi Gondozási Központ (Fő út 35. Gyermekorvosi rendelő)</t>
  </si>
  <si>
    <t>072420</t>
  </si>
  <si>
    <t>Dunaharaszti Területi Gondozási Központ (Eü-i labor)</t>
  </si>
  <si>
    <t>072450</t>
  </si>
  <si>
    <t>Dunaharaszti Területi Gondozási Központ (Fizikotherápia)</t>
  </si>
  <si>
    <t>074031</t>
  </si>
  <si>
    <t>Dunaharaszti Területi Gondozási Központ (Család és nővédelem)</t>
  </si>
  <si>
    <t>074032</t>
  </si>
  <si>
    <t>Dunaharaszti Területi Gondozási Központ (Ifjúság egészségügy)</t>
  </si>
  <si>
    <t>096015</t>
  </si>
  <si>
    <t>Dunaharaszti Területi Gondozási Központ (Óvodai intézményi étkezés)</t>
  </si>
  <si>
    <t>Dunaharaszti Területi Gondozási Központ (Iskolai intézményi étkeztetés)</t>
  </si>
  <si>
    <t>Dunaharaszti Területi Gondozási Központ (Gimnáziumi intézményi étkeztetés)</t>
  </si>
  <si>
    <t>096025</t>
  </si>
  <si>
    <t>Dunaharaszti Területi Gondozási Központ (Vendéglátás étkeztetés)</t>
  </si>
  <si>
    <t>Dunaharaszti Városi Könyvtár és Művelődési Ház (Könyvtári szolgáltatás)</t>
  </si>
  <si>
    <t>082091</t>
  </si>
  <si>
    <t>Dunaharaszti Városi Könyvtár és Művelődési Ház (Közmüvelődési tevékenység)</t>
  </si>
  <si>
    <t>104042</t>
  </si>
  <si>
    <t>Dunaharaszti Család- és Gyermekjóléti Szolgálat (Gyermekjóléti)</t>
  </si>
  <si>
    <t>Dunaharaszti Család- és Gyermekjóléti Szolgálat (Családsegítő)</t>
  </si>
  <si>
    <t>B. INTÉZMÉNYI KÖR BERUHÁZÁSAI ÖSSZESEN</t>
  </si>
  <si>
    <t>Felújítási kiadások</t>
  </si>
  <si>
    <t>ebből: ingatlanok</t>
  </si>
  <si>
    <t>ebből: informatikai eszközök</t>
  </si>
  <si>
    <t>K-71</t>
  </si>
  <si>
    <t>K-72</t>
  </si>
  <si>
    <t>K-73</t>
  </si>
  <si>
    <t>K-74</t>
  </si>
  <si>
    <t xml:space="preserve">A/I. Európai Uniós pályázatokhoz kapcsolódó felújítások </t>
  </si>
  <si>
    <t>A/II. Önkormányzati kiadások</t>
  </si>
  <si>
    <t>2/2017. (I.6.) sz. Kt. Határozat: "Önkormányzati tulajdonú belterületi utak szilárd burkolattal történő kiépítésének, felújításának és korszerűsítésének támogatása gazdaságfejlesztési céllal Pest Megye területén"című pályázaton belül Károlyi utca és Fő út közötti szakasz felújítása és korszerűsítése</t>
  </si>
  <si>
    <t>2/2017. (I.6.) sz. Kt. Határozat: Útfelújítási pályázathoz kapcsolódó járdaépítés</t>
  </si>
  <si>
    <t xml:space="preserve">Piac aszfaltozás </t>
  </si>
  <si>
    <t>Duna utcai rétegvizet összegyűjtő vízelvezető árok rekonstrukciója 400 fm</t>
  </si>
  <si>
    <t>A3 belvízelvezető 51 úttól Alsónémedi felé eső régi medrének 1500 m hosszan történő helyreállításának vízjogi engedélyes tervei, hozzájárulások beszerzésére</t>
  </si>
  <si>
    <t xml:space="preserve">Piactér aszfaltozás </t>
  </si>
  <si>
    <t>Szennyvíz hálózat felújítás (ebből: előző évi maradvány 46.919.478,- Ft)</t>
  </si>
  <si>
    <t>Általános- és céltartalékok</t>
  </si>
  <si>
    <t>Sor-szám</t>
  </si>
  <si>
    <t>Eredeti 2017. évben megvalósítható halasztott tételek</t>
  </si>
  <si>
    <t>Módosított 2017. évben megvalósítható halasztott tételek</t>
  </si>
  <si>
    <t>Rendelkezési jogosultság</t>
  </si>
  <si>
    <t>Felhalmozási jellegű tartalékok</t>
  </si>
  <si>
    <t>I. Útépítések, víz, csapadékvíz elvezetések céltartalék</t>
  </si>
  <si>
    <t>Útépítés, útfelújítás,  műszaki ellenőrzés, eljárási díjak, üzemeltetési engedélyek beszerzése</t>
  </si>
  <si>
    <t>Polgármester</t>
  </si>
  <si>
    <t>2017. évi csapadékvíz elvezetés, intézményi beruházások tervezése, üzemeltetési, vízjogi engedélyek beszerzése</t>
  </si>
  <si>
    <t>Ivóvíz, szennyvíz, csapadékvíz elvezetés tervezések, engedélyeztetések *</t>
  </si>
  <si>
    <t>Egyéb csapadékvíz elvezetési feladatok tartaléka (Földváry utca, Kisfaludy u., Móricz Zs. u., stb.)</t>
  </si>
  <si>
    <t>Út- és parkolóépítési tervek, engedélyek</t>
  </si>
  <si>
    <t>Hóeltakarítás opció</t>
  </si>
  <si>
    <t>II. Elkülönített számlák</t>
  </si>
  <si>
    <t>Társ. Összefogás.megv.közműfejl.lebony</t>
  </si>
  <si>
    <t xml:space="preserve">Bérlakás értékesítés </t>
  </si>
  <si>
    <t>Víziközmű számla</t>
  </si>
  <si>
    <t>Környezetvédelmi szla</t>
  </si>
  <si>
    <t>Parkolóhely megváltás számla</t>
  </si>
  <si>
    <t>Vízi közmű bérleti díj elkül. Szla</t>
  </si>
  <si>
    <t>III. Támogatások</t>
  </si>
  <si>
    <t>Működési jellegű tartalékok</t>
  </si>
  <si>
    <t>I. Városgazdálkodás céltartalékai</t>
  </si>
  <si>
    <t>II. Finanszírozott kör céltartaléka</t>
  </si>
  <si>
    <t>Kitüntetői díjak adományozása</t>
  </si>
  <si>
    <t>Képviselő-testület</t>
  </si>
  <si>
    <t>Intézményeknél selejt eszköz cseréje</t>
  </si>
  <si>
    <t xml:space="preserve">Intézményi ingatlanok különféle karbantartási kerete </t>
  </si>
  <si>
    <t>Intézményvezetők jutalmazási kerete</t>
  </si>
  <si>
    <t>Nyári napközis tábor kiadásai</t>
  </si>
  <si>
    <t>Oktatási, Művelődési és Sport Bizottság</t>
  </si>
  <si>
    <t>Gyermekétkeztetési tartalék</t>
  </si>
  <si>
    <t xml:space="preserve">Oktatási-nevelési intézmények kulturális programjának támogatása </t>
  </si>
  <si>
    <t>Köztisztviselők felmentése, végkielégítése</t>
  </si>
  <si>
    <t>Törvény által kötelezően kifizetendő jubileumi jutalom</t>
  </si>
  <si>
    <t>Ágazati pótlék, bérkompenzáció, személyi juttatás és járulék tartalék</t>
  </si>
  <si>
    <t>Bértartalék</t>
  </si>
  <si>
    <t>Intézményi átszervezés miatt a munkavállalók közalkalmazotti átsorolása miatti bérkülönbözet fedezete</t>
  </si>
  <si>
    <t>III. Egyéb feladatok</t>
  </si>
  <si>
    <t>A beruházásokhoz kapcsolódó EU támogatások és hitelek kockázati fedezete</t>
  </si>
  <si>
    <t>IV. Támogatások</t>
  </si>
  <si>
    <t>Civil szervezetek, egyházak támogatása (Művészeti, oktatási, kulturális) és helyi DMTK keretein kívül működő egyéb sportok támogatása</t>
  </si>
  <si>
    <t>Civil szervezetek, egyházak támogatása (Művészeti, oktatási, kulturális év közben belépő feladatok)</t>
  </si>
  <si>
    <t>Alapítványok támogatása</t>
  </si>
  <si>
    <t>Mályvavirág Központ (Alapítvány)</t>
  </si>
  <si>
    <t>Városi sport- és kulturális rendezvények kiadásainak finanszírozási kerete</t>
  </si>
  <si>
    <t>Bursa Hungarica visszautalt összeg</t>
  </si>
  <si>
    <t>V. Önkormányzatok feladatok</t>
  </si>
  <si>
    <t>Útfenntartás rendkívüli kiadásai (útfenntartási opció)</t>
  </si>
  <si>
    <t>Városgazdálkodás: üzemeltetés, karbantartás biztonsági tartalék</t>
  </si>
  <si>
    <t>Előző évekről hozott bevételi hátralékok forrása</t>
  </si>
  <si>
    <t xml:space="preserve">Normatíva felülvizsgálat tartalék </t>
  </si>
  <si>
    <t>Közig. Hatósági elj. Illeték</t>
  </si>
  <si>
    <t>Adós idegen szla</t>
  </si>
  <si>
    <t>Idegen: gyermektartásdíj szla</t>
  </si>
  <si>
    <t>Közfoglalkoztatottak támogatása</t>
  </si>
  <si>
    <t>Multi DH Kft. Pótbefizetés és tagi kölcsön visszatérülése tartalék</t>
  </si>
  <si>
    <t>Ingatlan értékesítések bizonytalan bevétele</t>
  </si>
  <si>
    <t>Adóbevételekhez kapcsolódó biztonsági tartalék</t>
  </si>
  <si>
    <t>Pályázatokhoz kapcsolódó kockázati tartalék</t>
  </si>
  <si>
    <t>Biztos bevétel</t>
  </si>
  <si>
    <t>Bizonytalan bevétel</t>
  </si>
  <si>
    <t>VI. Szociális kör céltartaléka</t>
  </si>
  <si>
    <t>Képviselő-testület szociális célú tartalék</t>
  </si>
  <si>
    <t>Szociális és Egészségügyi Bizottság</t>
  </si>
  <si>
    <t>VII. Általános tartalék</t>
  </si>
  <si>
    <t>Képviselő-testület rendelkezése</t>
  </si>
  <si>
    <t>Polgármester rendelkezése</t>
  </si>
  <si>
    <t>TARTALÉKOK MINDÖSSZESEN</t>
  </si>
  <si>
    <t xml:space="preserve">* Paradicsom-sziget víz, szennyvíz terv felülvizsgálata, engedélyezés, DTCS alatti átvezetések; Sportcsarnok 1.B ütem csapadékvíz elvezetés tervezése, engedélyeztetése; A3 belvízelvezető torkolatánál utolsó áteresz nagy kapacitásúra történő cseréjének tervezése, engedélyezése; A3 belvízelvezető 51 úttól Alsónémedi felé eső medrének helyreállítása (engedélyek); DN 600 átmérőjű csapadékvíz elvezető csatorna Coca-Cola belvízelevezető árkától A3 csatornáig engedélyeztetése, Sportcsarnok, uszoda csatlakoztatása a vízelvezetőhöz engedélyeztetése (6.100 e Ft halasztott); </t>
  </si>
  <si>
    <t>Rovatrend száma</t>
  </si>
  <si>
    <t>Kormányzati funkció száma</t>
  </si>
  <si>
    <t>107060                                                                                                Egyes szociális pénzbeli és természetbeni ellátások, támogatások</t>
  </si>
  <si>
    <t>Szociális ellátások, támogatások</t>
  </si>
  <si>
    <t>I. Önkormányzati segélyek</t>
  </si>
  <si>
    <t>022</t>
  </si>
  <si>
    <t>K48/24</t>
  </si>
  <si>
    <t>Tartósan beteg felnőtt ápolási díja (méltányossági és TB)</t>
  </si>
  <si>
    <t>Rendszeres települési támogatás ápolás céljára</t>
  </si>
  <si>
    <t>023</t>
  </si>
  <si>
    <t>Települési támogatás</t>
  </si>
  <si>
    <t>Települési támogatás: Időskorúak és gondnokoltak karácsonyi csomagja és rendezvényeik</t>
  </si>
  <si>
    <t>K48/29</t>
  </si>
  <si>
    <t>Krízishelyzet és egyéb szociális célú támogatás</t>
  </si>
  <si>
    <t>K48/39</t>
  </si>
  <si>
    <t xml:space="preserve">Szemétdíj átvállalása rászorultsági alapon </t>
  </si>
  <si>
    <t>024</t>
  </si>
  <si>
    <t>K48/33</t>
  </si>
  <si>
    <t>Köztemetés</t>
  </si>
  <si>
    <t>025</t>
  </si>
  <si>
    <t>Rendszeres települési támogatás gyógyszerköltségre</t>
  </si>
  <si>
    <t>026</t>
  </si>
  <si>
    <t>Gyermekétkeztetés támogatása méltányossági alapon, tartósan beteg gyermekek étkeztetési támogatása (ebből: előző évi maradvány 4.500,- Ft)</t>
  </si>
  <si>
    <t>027</t>
  </si>
  <si>
    <t>Hátrányos helyzetű gyermekek üdültetése és rendezvényeik támogatása</t>
  </si>
  <si>
    <t>Gyógyászati segédeszköz támogatás</t>
  </si>
  <si>
    <t>Gyermekétkeztetés támogatása méltányossági alapon, ételallergiában szenvedő étkeztetési támogatása</t>
  </si>
  <si>
    <t>104012                                                           Gyermekek átmeneti ellátása</t>
  </si>
  <si>
    <t>II. Gyermekjóléti és Családsegítő Szolgálat</t>
  </si>
  <si>
    <t>K47/9</t>
  </si>
  <si>
    <t>Egyéb pénzbeli juttatások</t>
  </si>
  <si>
    <t>VÁROSI SZINTŰ ÖNKORMÁNYZATI SEGÉLYEK MINDÖSSZESEN</t>
  </si>
  <si>
    <t>Intézményfinanszírozási kiadások</t>
  </si>
  <si>
    <t xml:space="preserve">Sorszám </t>
  </si>
  <si>
    <t>Keretgazda</t>
  </si>
  <si>
    <t>K-915  Központi, irányítószervi támogatás folyósítása</t>
  </si>
  <si>
    <t xml:space="preserve">Működési </t>
  </si>
  <si>
    <t>Felhalmozási</t>
  </si>
  <si>
    <t>085</t>
  </si>
  <si>
    <t>Dunaharaszti Polgármesteri Hivatal</t>
  </si>
  <si>
    <t>Dunaharaszti Mese Óvoda</t>
  </si>
  <si>
    <t>Dunaharaszti Hétszínvirág Óvoda</t>
  </si>
  <si>
    <t>Dunaharaszti Területi Gondozási Központ</t>
  </si>
  <si>
    <t>Dunaharaszti Városi Könyvtár és József Attila Művelődési Ház</t>
  </si>
  <si>
    <t>Dunaharaszti Család- és Gyermekjóléti Szolgálat</t>
  </si>
  <si>
    <t>Intézményfinanszírozási kiadások mindösszesen:</t>
  </si>
  <si>
    <t>2017. évi állami állami támogatás igénylés Magyarország 2017. évi központi költségvetéséről szóló 2016. évi XC. törvény alapján</t>
  </si>
  <si>
    <t>Költségvetési törvény szerinti számozás</t>
  </si>
  <si>
    <t>Eredeti mutató</t>
  </si>
  <si>
    <t>Módosított mutató</t>
  </si>
  <si>
    <t>Fajlagos összeg</t>
  </si>
  <si>
    <t>Arányosított összeg</t>
  </si>
  <si>
    <t>Eredeti normatíva összege</t>
  </si>
  <si>
    <t>Módosított normatíva összege</t>
  </si>
  <si>
    <t>2. számú melléklet: A helyi önkormányzatok általános működésének és ágazati feladatainak támogatása</t>
  </si>
  <si>
    <t>I.</t>
  </si>
  <si>
    <t>A HELYI ÖNKORMÁNYZATOK MŰKÖDÉSÉNEK ÁLTALÁNOS TÁMOGATÁSA</t>
  </si>
  <si>
    <t>A HELYI ÖNKORMÁNYZATOK MŰKÖDÉSÉNEK ÁLTALÁNOS TÁMOGATÁSA - beszámítás után</t>
  </si>
  <si>
    <t>I.1.a</t>
  </si>
  <si>
    <t>Önkormányzati hivatal működésének támogatása - elismert hivatali létszám alapján</t>
  </si>
  <si>
    <t>I.1.a - V.</t>
  </si>
  <si>
    <t>Önkormányzati hivatal működésének támogatása - beszámítás után</t>
  </si>
  <si>
    <t>I.1.b</t>
  </si>
  <si>
    <t xml:space="preserve">Támogatás összesen </t>
  </si>
  <si>
    <t>I.1.b - V.</t>
  </si>
  <si>
    <t xml:space="preserve">Támogatás összesen - beszámítás után </t>
  </si>
  <si>
    <t>I.1.ba</t>
  </si>
  <si>
    <t xml:space="preserve">A zöldterület-gazdálkodással kapcsolatos feladatok ellátásának támogatása </t>
  </si>
  <si>
    <t>I.1.ba - V.</t>
  </si>
  <si>
    <t xml:space="preserve">A zöldterület-gazdálkodással kapcsolatos feladatok ellátásának támogatása - beszámítás után </t>
  </si>
  <si>
    <t>I.1.bb</t>
  </si>
  <si>
    <t xml:space="preserve">Közvilágítás fenntartásának támogatása </t>
  </si>
  <si>
    <t>I.1.bb - V.</t>
  </si>
  <si>
    <t xml:space="preserve">Közvilágítás fenntartásának támogatása - beszámítás után </t>
  </si>
  <si>
    <t>I.1.bc</t>
  </si>
  <si>
    <t xml:space="preserve">Köztemető fenntartással kapcsolatos feladatok támogatása </t>
  </si>
  <si>
    <t>I.1.bc - V.</t>
  </si>
  <si>
    <t xml:space="preserve">Köztemető fenntartással kapcsolatos feladatok támogatása - beszámítás után </t>
  </si>
  <si>
    <t>I.1.bd</t>
  </si>
  <si>
    <t xml:space="preserve">Közutak fenntartásának támogatása </t>
  </si>
  <si>
    <t>I.1.bd - V.</t>
  </si>
  <si>
    <t xml:space="preserve">Közutak fenntartásának támogatása - beszámítás után </t>
  </si>
  <si>
    <t>I.1.c</t>
  </si>
  <si>
    <t>Egyéb önkormányzati feladatok támogatása</t>
  </si>
  <si>
    <t>I.1.c - V.</t>
  </si>
  <si>
    <t>Egyéb önkormányzati feladatok támogatása - beszámítás után</t>
  </si>
  <si>
    <t>I.1.d</t>
  </si>
  <si>
    <t>Lakott külterülettel kapcsolatos feladatok támogatása</t>
  </si>
  <si>
    <t>I.1.d - V.</t>
  </si>
  <si>
    <t>Lakott külterülettel kapcsolatos feladatok támogatása - beszámítás után</t>
  </si>
  <si>
    <t>I.1.e</t>
  </si>
  <si>
    <t>Üdülőhelyi feladatok támogatása</t>
  </si>
  <si>
    <t>I.1.e - V.</t>
  </si>
  <si>
    <t>Üdülőhelyi feladatok támogatása - beszámítás után</t>
  </si>
  <si>
    <t>I.1. - V.</t>
  </si>
  <si>
    <t>A települési önkormányzatok működésének támogatása beszámítás és kiegészítés után</t>
  </si>
  <si>
    <t>V. Info</t>
  </si>
  <si>
    <t>Beszámítás</t>
  </si>
  <si>
    <t xml:space="preserve">V. I.1. </t>
  </si>
  <si>
    <t>I.1. jogcímekhez kapcsolódó kiegészítés</t>
  </si>
  <si>
    <t xml:space="preserve">V. szolid. </t>
  </si>
  <si>
    <t>Szolidaritási hozzájárulás</t>
  </si>
  <si>
    <t>I.2.</t>
  </si>
  <si>
    <t>Nem közművel összegyűjtött háztartási szennyvíz ártalmatlanítása</t>
  </si>
  <si>
    <t>I.3.</t>
  </si>
  <si>
    <t>Budapest Főváros Önkormányzatának kiegészítő támogatása</t>
  </si>
  <si>
    <t>I.4.</t>
  </si>
  <si>
    <t>Határátkelőhelyek fenntartásának támogatása</t>
  </si>
  <si>
    <t>I.6.</t>
  </si>
  <si>
    <t>A 2016. évről áthúzódó bérkompenzáció támogatása</t>
  </si>
  <si>
    <t>II.</t>
  </si>
  <si>
    <t>A TELEPÜLÉSI ÖNKORMÁNYZATOK EGYES KÖZNEVELÉSI FELADATAINAK TÁMOGATÁSA</t>
  </si>
  <si>
    <t>II.1.</t>
  </si>
  <si>
    <t>Óvodapedagógusok és az óvodapedagógusok nevelő munkáját közvetelenül segítők bértámogatása</t>
  </si>
  <si>
    <t>8 hó</t>
  </si>
  <si>
    <t>Óvodapedagógusok</t>
  </si>
  <si>
    <t xml:space="preserve">Óvodapedagógusok nevelő munkáját közvetlenül segítők </t>
  </si>
  <si>
    <t>4 hó</t>
  </si>
  <si>
    <t>Óvodapedagógusok 3 havi pótlólagos támogatása</t>
  </si>
  <si>
    <t>II.2.</t>
  </si>
  <si>
    <t>Óvodaműködtetési támogatás</t>
  </si>
  <si>
    <t>Óvodaműködtetési támogatás 8 hó gyermek nevelése a napi 8 órát nem éri el</t>
  </si>
  <si>
    <t>Óvodaműködtetési támogatás 8 hó gyermek nevelése a napi 8 órát eléri vagy meghaladja</t>
  </si>
  <si>
    <t>Óvodaműködtetési támogatás 4 hó  gyermek nevelése a napi 8 órát nem éri el</t>
  </si>
  <si>
    <t>Óvodaműködtetési támogatás 4 hó  gyermek nevelése a napi 8 órát eléri vagy meghaladja</t>
  </si>
  <si>
    <t>II.4.</t>
  </si>
  <si>
    <t>Kiegészítő támogatás az óvodapedagógusok minősítéséből adódó többletkiadásokhoz</t>
  </si>
  <si>
    <t xml:space="preserve">Alapfokozatú végzettségű óvodapedagógusok </t>
  </si>
  <si>
    <t xml:space="preserve"> II.4.(1)</t>
  </si>
  <si>
    <t>Pedagógus II. kategóriába sorolt óvodapedagógusok kiegészítő támogatása</t>
  </si>
  <si>
    <t xml:space="preserve"> II.4.(2)</t>
  </si>
  <si>
    <t>Mesterpedagógus kategóriába sorolt óvodapedagógusok kiegészítő támogatása</t>
  </si>
  <si>
    <t>Kiegészítő támogatás  az óvodapedagógusok minősítéséből adódó többletkiadásokhoz pótlólagos összege</t>
  </si>
  <si>
    <t>Mesterfokozatú végzettségű óvodapedagógusok</t>
  </si>
  <si>
    <t xml:space="preserve"> II.4.(3)</t>
  </si>
  <si>
    <t xml:space="preserve"> II.4.(4)</t>
  </si>
  <si>
    <t>III.</t>
  </si>
  <si>
    <t>A TELEPÜLÉSI ÖNKORMÁNYZATOK SZOCIÁLIS, GYERMEKJÓLÉTI ÉS GYERMEKÉTKEZTETÉSI FELADATAINAK TÁMOGATÁSA</t>
  </si>
  <si>
    <t>III. 1</t>
  </si>
  <si>
    <t>Szociális ágazati összevont pótlék</t>
  </si>
  <si>
    <t xml:space="preserve">III. 3. </t>
  </si>
  <si>
    <t>Egyes szociális és gyermekjóléti feladatok támogatása</t>
  </si>
  <si>
    <t>III.3.a</t>
  </si>
  <si>
    <t>Szociális és gyermekjóléti feladatok támogatása</t>
  </si>
  <si>
    <t>Család- és Gyermekjóléti Szolgálat</t>
  </si>
  <si>
    <t xml:space="preserve">III.3.c </t>
  </si>
  <si>
    <t>Szociális étkeztetés</t>
  </si>
  <si>
    <t xml:space="preserve">III.3.d </t>
  </si>
  <si>
    <t>Házi segítségnyújtás</t>
  </si>
  <si>
    <t>III.3.da</t>
  </si>
  <si>
    <t>Szociális segítés</t>
  </si>
  <si>
    <t>III.3.db</t>
  </si>
  <si>
    <t>Személyi gondozás</t>
  </si>
  <si>
    <t xml:space="preserve">III.3.f </t>
  </si>
  <si>
    <t>Időskorúak nappali intézményi ellátása</t>
  </si>
  <si>
    <t>III.3.j</t>
  </si>
  <si>
    <t>Gyermekek napközbeni ellátása</t>
  </si>
  <si>
    <t>III.3.ja</t>
  </si>
  <si>
    <t>Bölcsődei ellátás</t>
  </si>
  <si>
    <t>III.4</t>
  </si>
  <si>
    <t>A települési önkormányzatok által biztosított egyes szociális szakosított ellátások, valamint a gyermekek átmeneti gondozásával kapcsolatos feladatok támogatása</t>
  </si>
  <si>
    <t>III.4.ab</t>
  </si>
  <si>
    <t>Helyettes szülő</t>
  </si>
  <si>
    <t xml:space="preserve">III. 5. </t>
  </si>
  <si>
    <t>Gyermekétkeztetés támogatása</t>
  </si>
  <si>
    <t>III. 5. a</t>
  </si>
  <si>
    <t>A finanszírozás szempontjából elismert dolgozók bértámogatása</t>
  </si>
  <si>
    <t>III. 5. b</t>
  </si>
  <si>
    <t>Gyermekétkeztetés üzemeltetési támogatása (adóerőképesség függvénye)</t>
  </si>
  <si>
    <t>III. 6.</t>
  </si>
  <si>
    <t>A rászoruló gyermekek intézményen kívüli szünidei étkeztetésének támogatása (adóerőképesség függvénye)</t>
  </si>
  <si>
    <t xml:space="preserve">III.7. </t>
  </si>
  <si>
    <t>Kiegészítő támogatás a bölcsődében foglalkoztatott, felsőfokú végzettségű kisgyermeknevelők béréhez</t>
  </si>
  <si>
    <t xml:space="preserve">IV. </t>
  </si>
  <si>
    <t xml:space="preserve">A TELEPÜLÉSI ÖNKORMÁNYZATOK KULTURÁLIS FELADATAINAK TÁMOGATÁSA </t>
  </si>
  <si>
    <t>IV.1.d</t>
  </si>
  <si>
    <t>Települési önkormányzatok nyilvános könyvtári és közművelődési feladatainak támogatása</t>
  </si>
  <si>
    <t>IV.1.i</t>
  </si>
  <si>
    <t>Települési önkormányzatok könyvtári célú érdekeltségnövelő támogatása (évközi igénylés)</t>
  </si>
  <si>
    <t>2. számú melléklet összesen</t>
  </si>
  <si>
    <t xml:space="preserve"> </t>
  </si>
  <si>
    <t>A helyi önkormányzatok kiegészítő támogatásai</t>
  </si>
  <si>
    <t>Módosított  mutató</t>
  </si>
  <si>
    <t>Kiegészítő ágazati pótlékok</t>
  </si>
  <si>
    <t>Természetbeni támogatások (Erzsébet utalvány)</t>
  </si>
  <si>
    <t>A költségvetési szerveknél foglalkoztatottak 2017. évi kompenzációja</t>
  </si>
  <si>
    <t>Helyi önkormányzatok működési kiegészítő támogatásai</t>
  </si>
  <si>
    <t>2017. évi állami normatíva mindösszesen</t>
  </si>
  <si>
    <t>2017. évi szolidaritási hozzájárulás befizetés Magyarország 2017. évi központi költségvetéséről szóló 2016. évi XC. törvény alapján</t>
  </si>
  <si>
    <t>Dunaharaszti Város Önkormányzata létszám</t>
  </si>
  <si>
    <t>Intézmény neve</t>
  </si>
  <si>
    <t>keret-gazda</t>
  </si>
  <si>
    <t>Létszámkeret  (fő)</t>
  </si>
  <si>
    <t>Módosított létszámkeret                  (fő)</t>
  </si>
  <si>
    <t>Üres álláshelyek 2017.01.01.</t>
  </si>
  <si>
    <t>Tervezett átlagos statisztikai állományi létszám (fő)</t>
  </si>
  <si>
    <t>Nyitólétszám (az időszak első napján munkavégzésre irányuló jogviszonyban állók statisztikai állományi létszáma) (fő)</t>
  </si>
  <si>
    <t>Munkajogi nyitólétszám (az időszak első napján munkaviszonyban állók létszáma) (fő)</t>
  </si>
  <si>
    <t>Dunaharaszti Város Önkormányzata</t>
  </si>
  <si>
    <t xml:space="preserve"> ebből: Választott tisztségviselő</t>
  </si>
  <si>
    <t>019</t>
  </si>
  <si>
    <t xml:space="preserve"> ebből: Önkormányzati igazgatás</t>
  </si>
  <si>
    <t>020</t>
  </si>
  <si>
    <t xml:space="preserve"> ebből: Piac üzemeltetés</t>
  </si>
  <si>
    <t xml:space="preserve"> ebből: Önkormányzati gondnokság</t>
  </si>
  <si>
    <t>048</t>
  </si>
  <si>
    <t xml:space="preserve"> ebből: Közterület felügyelet, rendőrség, közterületi kamerák</t>
  </si>
  <si>
    <t xml:space="preserve"> ebből: Laffert-kúria üzemeltetés</t>
  </si>
  <si>
    <t xml:space="preserve"> ebből: Temető fenntartás</t>
  </si>
  <si>
    <t xml:space="preserve"> ebből: Temetkezés</t>
  </si>
  <si>
    <t>055</t>
  </si>
  <si>
    <t xml:space="preserve"> ebből: Polgármesteri Hivatal</t>
  </si>
  <si>
    <t xml:space="preserve"> ebből: Adóügyi feladatok</t>
  </si>
  <si>
    <t xml:space="preserve"> ebből: Anyakönyvi feladatok</t>
  </si>
  <si>
    <t xml:space="preserve"> ebből: Étkeztetés</t>
  </si>
  <si>
    <t xml:space="preserve"> ebből: Gyermekek egyéb ellátása</t>
  </si>
  <si>
    <t xml:space="preserve"> ebből: Hétszínvirág Óvoda</t>
  </si>
  <si>
    <t xml:space="preserve"> ebből: Százszorszép Óvoda</t>
  </si>
  <si>
    <t xml:space="preserve"> ebből: Szivárvány Óvoda</t>
  </si>
  <si>
    <t xml:space="preserve"> ebből: Hétszínvirág Óvoda sajátos nevelési igényű gyerekekkel foglalkozók</t>
  </si>
  <si>
    <t xml:space="preserve"> ebből: Mese Óvoda</t>
  </si>
  <si>
    <t xml:space="preserve"> ebből: Napsugár Óvoda</t>
  </si>
  <si>
    <t xml:space="preserve"> ebből: Mese Óvoda sajátos nevelési igényű gyerekekkel foglalkozók</t>
  </si>
  <si>
    <t xml:space="preserve"> ebből: Idősek nappali ellátása</t>
  </si>
  <si>
    <t xml:space="preserve"> ebből: Szociális étkeztetés</t>
  </si>
  <si>
    <t xml:space="preserve"> ebből: Házi segítségnyújtás</t>
  </si>
  <si>
    <t xml:space="preserve"> ebből: Jelzőrendszeres házi segítségnyújtás</t>
  </si>
  <si>
    <t xml:space="preserve"> ebből:  Egyéb m.n.s. járóbetegellátás</t>
  </si>
  <si>
    <t>008</t>
  </si>
  <si>
    <t xml:space="preserve"> ebből: Egészségügyi laboratóriumi szolgáltatás</t>
  </si>
  <si>
    <t xml:space="preserve"> ebből: Fizikotherápiás szolgáltatás</t>
  </si>
  <si>
    <t xml:space="preserve"> ebből: Család- és nővédelem egészségügyi gondozás</t>
  </si>
  <si>
    <t xml:space="preserve"> ebből: Ifjúság-egészségügyi gondozás</t>
  </si>
  <si>
    <t xml:space="preserve"> ebből: Óvodai intézményi étkeztetés</t>
  </si>
  <si>
    <t xml:space="preserve"> ebből: Iskolai intézményi étkeztetés</t>
  </si>
  <si>
    <t xml:space="preserve"> ebből: Gimnáziumi intézményi étkeztetés</t>
  </si>
  <si>
    <t>Dunaharaszti Városi Könyvtár és Művelődési Ház</t>
  </si>
  <si>
    <t xml:space="preserve"> ebből: Könyvtári szolgáltatások</t>
  </si>
  <si>
    <t xml:space="preserve"> ebből: Közművelődési tevékenység</t>
  </si>
  <si>
    <t>Dunaharaszti Gyermekjóléti és Családsegítő Szolgálat</t>
  </si>
  <si>
    <t xml:space="preserve"> ebből: Gyermekjóléti szolgáltatás</t>
  </si>
  <si>
    <t xml:space="preserve"> ebből: Családsegítés</t>
  </si>
  <si>
    <t>VÁROSI SZINTŰ ÖNKORMÁNYZAT MINDÖSSZESEN</t>
  </si>
  <si>
    <t>Teljesítés</t>
  </si>
  <si>
    <t>066020 Város- és község-gazdálkodási egyéb szolgáltatások</t>
  </si>
  <si>
    <t>061030    Lakáshoz jutást segítő támogatások</t>
  </si>
  <si>
    <t>084031   Civil szervezetek működési támogatása</t>
  </si>
  <si>
    <t>084040   Egyházak közösségi és hitéleti tevékeny-ségének támogatása</t>
  </si>
  <si>
    <t>081041     Versenysport- és utánpótlás-nevelési tevékenység és támogatása</t>
  </si>
  <si>
    <t>2017. évi összesen</t>
  </si>
  <si>
    <t>107060  Egyes szociális pénzbeli és természetbeni ellátások, támogatások</t>
  </si>
  <si>
    <t>104012  Gyermekek átmeneti ellátása</t>
  </si>
  <si>
    <t>045120    Út, autópálya építése</t>
  </si>
  <si>
    <t>052080   Szennyvíz-csatorna építése, fenntartása, üzemeltetése</t>
  </si>
  <si>
    <t>066020  Város-, községgazdálkodási egyéb szolgáltatások</t>
  </si>
  <si>
    <t>066020   Város-, községgazdálkodási egyéb szolgáltatások</t>
  </si>
  <si>
    <t>016080   Kiemelt állami és önkormányzati rendezvények</t>
  </si>
  <si>
    <t>051040  Nem veszélyes hulladék kezelése, ártalmatlanítása</t>
  </si>
  <si>
    <t>013350     Az önkormányzati vagyonnal való gazdálkodással kapcsolatos feladatok</t>
  </si>
  <si>
    <t>064010 Közvilágítás</t>
  </si>
  <si>
    <t>066020    Város-és községgazdálkodási egyéb szolgáltatás</t>
  </si>
  <si>
    <t>061030   Lakáshoz jutást segítő támogatások</t>
  </si>
  <si>
    <t>084040    Egyházak közösségi és hitéleti tevényekségének támogatása</t>
  </si>
  <si>
    <t>081030 Sportlétesítmények, edzőtáborok működtetése és fejlesztése</t>
  </si>
  <si>
    <t>081041 Versenysport- és utánpótlás-nevelési tevékenység és támogatása</t>
  </si>
  <si>
    <t>081041 Versenysport- és utánpótlás-nevelési tevékenység és támogatás</t>
  </si>
  <si>
    <t>081045   Szabadidősport- (rekreációs sport-) tevékenység</t>
  </si>
  <si>
    <t>084032 Civil szervezetek program-támogatása</t>
  </si>
  <si>
    <t>084040   Egyházak közösségi és hitéleti tevékenységének támogatása</t>
  </si>
  <si>
    <t>022010   Polgári honvédelem ágazati feladatai, a lakosság felkészítése</t>
  </si>
  <si>
    <t>045140  Városi és elővárosi közúti személy-szállítás</t>
  </si>
  <si>
    <t>094260    Hallgatói és oktatói ösztöndíjak, egyéb juttatások</t>
  </si>
  <si>
    <t>011130   Önkormányzatok és önkormányzati hivatalok jogalkoltó és általános igazgatási tevékenysége</t>
  </si>
  <si>
    <t>084020 Nemzetiségi közfeladatok ellátása és támogatása</t>
  </si>
  <si>
    <t>107060   Egyes szociális pénzbeli és természetbeni ellátások, támogatások</t>
  </si>
  <si>
    <t>107060    Egyes szociális pénzbeli és természetbeni ellátások, támogatások</t>
  </si>
  <si>
    <t>107060                                 Egyes szociális pénzbeli és természetbeni ellátások, támogatások</t>
  </si>
  <si>
    <t>045160 Közutak, hidak, alagutak üzemeltetése, fenntartása</t>
  </si>
  <si>
    <t>042220 Erdőgazdálkodás</t>
  </si>
  <si>
    <t>066010 Zöldterület-kezelés</t>
  </si>
  <si>
    <t>051050  Veszélyes hulladék begyűjtése, szállítása, átrakása</t>
  </si>
  <si>
    <t>051050                            Veszélyes hulladék begyűjtése, szállítása, átrakása</t>
  </si>
  <si>
    <t>051020   Nem veszélyes (települési) hulladék összetevőinek válogatása, elkülönített begyűjtése, szállítása, átrakása</t>
  </si>
  <si>
    <t>051020                Nem veszélyes (települési) hulladék összetevőinek válogatása, elkülönített begyűjtése, szállítása, átrakása</t>
  </si>
  <si>
    <t>051020    Nem veszélyes (települési) hulladék összetevőinek válogatása, elkülönített begyűjtése, szállítása, átrakása</t>
  </si>
  <si>
    <t>051030   Nem veszélyes (települési) hulladék vegyes (ömlesztett) begyűjtése, szállítása, átrakása</t>
  </si>
  <si>
    <t>051030                                     Nem veszélyes (települési) hulladék vegyes (ömlesztett) begyűjtése, szállítása, átrakása</t>
  </si>
  <si>
    <t>045160    Közutak, hidak, alagutak üzemeltetése, fenntartása</t>
  </si>
  <si>
    <t>045160                        Közutak, hidak, alagutak üzemeltetése, fenntartása</t>
  </si>
  <si>
    <t xml:space="preserve">052020   Szennyvíz gyűjtése, tisztítása, elhelyezése </t>
  </si>
  <si>
    <t xml:space="preserve">052020                                         Szennyvíz gyűjtése, tisztítása, elhelyezése </t>
  </si>
  <si>
    <t>066020     Város-, községgazdálkodási egyéb szolgáltatások</t>
  </si>
  <si>
    <t>066020                                                          Város-, községgazdálkodási egyéb szolgáltatások</t>
  </si>
  <si>
    <t>082064    Múzeumi közművelődési, közönségkap-csolati tevékenység</t>
  </si>
  <si>
    <t>082064                            Múzeumi közművelődési, közönségkap-csolati tevékenység</t>
  </si>
  <si>
    <t>081061    Szabadidős park, fürdő és strandszolgáltatás</t>
  </si>
  <si>
    <t>081061                                      Szabadidős park, fürdő és strandszolgáltatás</t>
  </si>
  <si>
    <t>041160   Földmérés, térképészet</t>
  </si>
  <si>
    <t>041160                      Földmérés, térképészet</t>
  </si>
  <si>
    <t>047120     Piac üzemeltetése</t>
  </si>
  <si>
    <t>047120                          Piac üzemeltetése</t>
  </si>
  <si>
    <t>083050   Televízió-műsor szolgáltatása és támogatása</t>
  </si>
  <si>
    <t>083050                           Televízió-műsor szolgáltatása és támogatása</t>
  </si>
  <si>
    <t>083040 Rádióműsor szolgáltatása és támogatása</t>
  </si>
  <si>
    <t>900060  Forgatási és befektetési célú finanszírozási műveletek</t>
  </si>
  <si>
    <t>900060                               Forgatási és befektetési célú finanszírozási műveletek</t>
  </si>
  <si>
    <t>066020  Város-, község-gazdálkodási egyéb szolgáltatások</t>
  </si>
  <si>
    <t>066020            Város-, község-gazdálkodási egyéb szolgáltatások</t>
  </si>
  <si>
    <t>066020   Város-, község-gazdálkodási egyéb szolgáltatások</t>
  </si>
  <si>
    <t>066020              Város-, község-gazdálkodási egyéb szolgáltatások</t>
  </si>
  <si>
    <t>066020          Város-, község-gazdálkodási egyéb szolgáltatások</t>
  </si>
  <si>
    <t>066020    Város-, községgaz-dálkodási egyéb szolgáltatások</t>
  </si>
  <si>
    <t>066020                      Város-, községgaz-dálkodási egyéb szolgáltatások</t>
  </si>
  <si>
    <t>031030  Közterület rendjének fenntartása</t>
  </si>
  <si>
    <t>031030                            Közterület rendjének fenntartása</t>
  </si>
  <si>
    <t>031070  Baleset-megelőzés</t>
  </si>
  <si>
    <t>031070                           Baleset-megelőzés</t>
  </si>
  <si>
    <t>001  2017. évi útépítések</t>
  </si>
  <si>
    <t>002    2017. évi csap.víz elvezetések</t>
  </si>
  <si>
    <t>003   Kötelező város-gazdálkodási feladatok</t>
  </si>
  <si>
    <t xml:space="preserve">004  Önként vállalt városgazdálkodási fejlesztések </t>
  </si>
  <si>
    <t>005 Reformáció 500 éves évfordulója rendezvény</t>
  </si>
  <si>
    <t>006  Környezeti fenntarthatósági feladatok, tervek aktualizálása</t>
  </si>
  <si>
    <t>007   Ingatlanfejlesztések (Ingatlan vásárlás)</t>
  </si>
  <si>
    <t>008    Közvilágítási  bővítések, átépítések</t>
  </si>
  <si>
    <t>008                              Közvilágítási  bővítések, átépítések</t>
  </si>
  <si>
    <t>009   Lakossági járdaépítés, Szigetszentmiklósi Tűzoltóság és Rendelő támogatása</t>
  </si>
  <si>
    <t>009                               Lakossági járdaépítés, Szigetszentmiklósi Tűzoltóság és Rendelő támogatása</t>
  </si>
  <si>
    <t>010  Első lakáshoz jutók támogatása</t>
  </si>
  <si>
    <t>010                                     Első lakáshoz jutók támogatása</t>
  </si>
  <si>
    <t>011   Egyházak eszközfejlesztésének támogatása</t>
  </si>
  <si>
    <t>011                                    Egyházak eszközfejlesztésének támogatása</t>
  </si>
  <si>
    <t>012   DMTK támogatása</t>
  </si>
  <si>
    <t>012                                                     DMTK támogatása</t>
  </si>
  <si>
    <t>013     DMTK támogatása</t>
  </si>
  <si>
    <t>013                                        DMTK támogatása</t>
  </si>
  <si>
    <t>014    Civil szervezetek támogatása</t>
  </si>
  <si>
    <t>014       Civil szervezetek támogatása</t>
  </si>
  <si>
    <t>014     Civil szervezetek támogatása</t>
  </si>
  <si>
    <t>014           Civil szervezetek támogatása</t>
  </si>
  <si>
    <t>014   Civil szervezetek támogatása</t>
  </si>
  <si>
    <t>015  Polgárőr Egyesület támogatása</t>
  </si>
  <si>
    <t>015                                   Polgárőr Egyesület támogatása</t>
  </si>
  <si>
    <t>016  Működési támogatás: Pest Megyei Katasztrófa-védelmi Igazgatóság, települési önkormányzatok támogatása</t>
  </si>
  <si>
    <t>016                                                     Működési támogatás: Pest Megyei Katasztrófa-védelmi Igazgatóság, települési önkormányzatok támogatása</t>
  </si>
  <si>
    <t>017     Helyi tömegközlekedés támogatása</t>
  </si>
  <si>
    <t>017                                            Helyi tömegközlekedés támogatása</t>
  </si>
  <si>
    <t>018  Bursa Hungarica ösztöndíj</t>
  </si>
  <si>
    <t>018                                         Bursa Hungarica ösztöndíj</t>
  </si>
  <si>
    <t>019 Választott tisztségviselők (polgármester és képviselők)</t>
  </si>
  <si>
    <t>019                  Választott tisztségviselők (polgármester és képviselők)</t>
  </si>
  <si>
    <t>020 Önkormányzati igazgatás</t>
  </si>
  <si>
    <t>020                  Önkormányzati igazgatás</t>
  </si>
  <si>
    <t>021   Nemzetiségi Önkormányzatok támogatása</t>
  </si>
  <si>
    <t>021                                                  Nemzetiségi Önkormányzatok támogatása</t>
  </si>
  <si>
    <t>022   Méltányossági ápolási díj</t>
  </si>
  <si>
    <t>022                                          Méltányossági ápolási díj</t>
  </si>
  <si>
    <t>023 Települési támogatás, krízis helyzet, szemétdíj átvállalás, Időskorúak karácsonyi csomagja (4.000.000,- Ft)</t>
  </si>
  <si>
    <t>023                                                Települési támogatás, krízis helyzet, szemétdíj átvállalás, Időskorúak karácsonyi csomagja (4.000.000,- Ft)</t>
  </si>
  <si>
    <t>024  Köztemetés</t>
  </si>
  <si>
    <t>024                                              Köztemetés</t>
  </si>
  <si>
    <t>025    Rendszeres települési támogatás gyógyszer- költségre</t>
  </si>
  <si>
    <t>025                                              Rendszeres települési támogatás gyógyszer- költségre</t>
  </si>
  <si>
    <t>026    Gyermekétkeztetési támogatás</t>
  </si>
  <si>
    <t>026                                                    Gyermekétkeztetési támogatás</t>
  </si>
  <si>
    <t>027   Hátrányos helyzetű gyermekek üdültetése</t>
  </si>
  <si>
    <t>027                                                         Hátrányos helyzetű gyermekek üdültetése</t>
  </si>
  <si>
    <t>028 Közúti káresemények térítése</t>
  </si>
  <si>
    <t>028                                                   Közúti káresemények térítése</t>
  </si>
  <si>
    <t xml:space="preserve">029    Erdőállomány kezelés és fenntartás </t>
  </si>
  <si>
    <t>030   Zöldterület kezelés</t>
  </si>
  <si>
    <t>030                                        Zöldterület kezelés</t>
  </si>
  <si>
    <t>031    Külterületi szemét és veszélyes hulladék gyűjtése</t>
  </si>
  <si>
    <t>031                                Külterületi szemét és veszélyes hulladék gyűjtése</t>
  </si>
  <si>
    <t>032     Szelektív hulladékgyűjtés és zöldhulladék gyűjtés</t>
  </si>
  <si>
    <t>032                Szelektív hulladékgyűjtés és zöldhulladék gyűjtés</t>
  </si>
  <si>
    <t>032                                    Multi DH Kft. Pótbefizetési kötelezettség és tagi kölcsön</t>
  </si>
  <si>
    <t>033   Lomtalanítás és köztéri szemétgyűjtés</t>
  </si>
  <si>
    <t>033                            Lomtalanítás és köztéri szemétgyűjtés</t>
  </si>
  <si>
    <t>034   Helyi közutak fenntartása; síkosság mentesítés; műszaki ellenőrzés</t>
  </si>
  <si>
    <t>034                                                        Helyi közutak fenntartása; síkosság mentesítés; műszaki ellenőrzés</t>
  </si>
  <si>
    <t>035  Vízelvezetések: Belvízcsatornák üzemeltetése; árvízvédekezési feladatok; csapadékvíz-elvezető rendszer üzemeltetése; csapadékvíz csatornák tisztítása, szippantás; illegális csapadékvíz-bekötések ellenőrzése; A3 mederkotrás 51. túli szakasz 1500 fm; műszaki ellenőrzés</t>
  </si>
  <si>
    <t>035                                            Vízelvezetések: Belvízcsatornák üzemeltetése; árvízvédekezési feladatok; csapadékvíz-elvezető rendszer üzemeltetése; csapadékvíz csatornák tisztítása, szippantás; illegális csapadékvíz-bekötések ellenőrzése; A3 mederkotrás 51. túli szakasz 1500 fm; műszaki ellenőrzés</t>
  </si>
  <si>
    <t>036    Vagyongazd. Kiadások (Közbeszerzés)</t>
  </si>
  <si>
    <t>036         Vagyongazd. Kiadások (Közbeszerzés)</t>
  </si>
  <si>
    <r>
      <t xml:space="preserve">037    </t>
    </r>
    <r>
      <rPr>
        <sz val="12"/>
        <color indexed="8"/>
        <rFont val="Garamond"/>
        <family val="1"/>
        <charset val="238"/>
      </rPr>
      <t>Társulások tagdíjai, Alsófalusi Nyugdíjasklub, Városi ösztöndíj</t>
    </r>
  </si>
  <si>
    <r>
      <t xml:space="preserve">037                           </t>
    </r>
    <r>
      <rPr>
        <sz val="12"/>
        <color indexed="17"/>
        <rFont val="Garamond"/>
        <family val="1"/>
        <charset val="238"/>
      </rPr>
      <t xml:space="preserve">  </t>
    </r>
    <r>
      <rPr>
        <sz val="12"/>
        <color indexed="8"/>
        <rFont val="Garamond"/>
        <family val="1"/>
        <charset val="238"/>
      </rPr>
      <t>Társulások tagdíjai, Alsófalusi Nyugdíjasklub, Városi ösztöndíj</t>
    </r>
  </si>
  <si>
    <t>038  Dunaharaszti sajtókapcsolatai</t>
  </si>
  <si>
    <t>038        Dunaharaszti sajtókapcsolatai</t>
  </si>
  <si>
    <t>039    Játszóterek felülvizsgálata</t>
  </si>
  <si>
    <t>039                          Játszóterek felülvizsgálata</t>
  </si>
  <si>
    <t>040    Terület előkészítés, földmérés és eljárási díjak</t>
  </si>
  <si>
    <t>040                                                Terület előkészítés, földmérés és eljárási díjak</t>
  </si>
  <si>
    <t>041    Piac üzemeltetés</t>
  </si>
  <si>
    <t>041                        Piac üzemeltetés</t>
  </si>
  <si>
    <t>042   KisDuna TV-től műsoridő vásárlás, támogatása</t>
  </si>
  <si>
    <t>042           KisDuna TV-től műsoridő vásárlás, támogatása</t>
  </si>
  <si>
    <t>043    Lakihegy rádió</t>
  </si>
  <si>
    <t>043                                          Lakihegy rádió</t>
  </si>
  <si>
    <t>044   Hitel és kamattörlesztés és hitel felvétellel kapcsolatos egyéb költségek</t>
  </si>
  <si>
    <t>044                                                       Hitel és kamattörlesztés és hitel felvétellel kapcsolatos egyéb költségek</t>
  </si>
  <si>
    <t>045   Városi munkavállalók napja</t>
  </si>
  <si>
    <t>045                  Városi munkavállalók napja</t>
  </si>
  <si>
    <t>046   Kitüntetői díjak</t>
  </si>
  <si>
    <t>046               Kitüntetői díjak</t>
  </si>
  <si>
    <t>047     Közmunkások irányítása</t>
  </si>
  <si>
    <t>048 Önkormányzati gondnokság</t>
  </si>
  <si>
    <r>
      <t xml:space="preserve">049  </t>
    </r>
    <r>
      <rPr>
        <sz val="12"/>
        <color indexed="8"/>
        <rFont val="Garamond"/>
        <family val="1"/>
        <charset val="238"/>
      </rPr>
      <t>Közterület felügyelet, közterületi kamerák</t>
    </r>
  </si>
  <si>
    <r>
      <t xml:space="preserve">049          </t>
    </r>
    <r>
      <rPr>
        <sz val="12"/>
        <color indexed="53"/>
        <rFont val="Garamond"/>
        <family val="1"/>
        <charset val="238"/>
      </rPr>
      <t xml:space="preserve">     </t>
    </r>
    <r>
      <rPr>
        <sz val="12"/>
        <color indexed="8"/>
        <rFont val="Garamond"/>
        <family val="1"/>
        <charset val="238"/>
      </rPr>
      <t>Közterület felügyelet, közterületi kamerák</t>
    </r>
  </si>
  <si>
    <t>050   Szünidei  veszélyforrások</t>
  </si>
  <si>
    <t>050           Szünidei  veszélyforrások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</si>
  <si>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</si>
  <si>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</si>
  <si>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</si>
  <si>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</si>
  <si>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</si>
  <si>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</si>
  <si>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</si>
  <si>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</si>
  <si>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</si>
  <si>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</si>
  <si>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</si>
  <si>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</si>
  <si>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</si>
  <si>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</si>
  <si>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 xml:space="preserve">    Ebből: államháztartáson belüli megelőlegezések visszafizetése</t>
  </si>
  <si>
    <t>114.</t>
  </si>
  <si>
    <t>113.</t>
  </si>
  <si>
    <t>112.</t>
  </si>
  <si>
    <t>111.</t>
  </si>
  <si>
    <t>110.</t>
  </si>
  <si>
    <t>109.</t>
  </si>
  <si>
    <t>108.</t>
  </si>
  <si>
    <t>107.</t>
  </si>
  <si>
    <t>106.</t>
  </si>
  <si>
    <t>105.</t>
  </si>
  <si>
    <t>104.</t>
  </si>
  <si>
    <t>103.</t>
  </si>
  <si>
    <t>102.</t>
  </si>
  <si>
    <t>101.</t>
  </si>
  <si>
    <t>100.</t>
  </si>
  <si>
    <t>99.</t>
  </si>
  <si>
    <t>98.</t>
  </si>
  <si>
    <t>97.</t>
  </si>
  <si>
    <t>96.</t>
  </si>
  <si>
    <t>95.</t>
  </si>
  <si>
    <t>94.</t>
  </si>
  <si>
    <t>93.</t>
  </si>
  <si>
    <t>92.</t>
  </si>
  <si>
    <t>91.</t>
  </si>
  <si>
    <t>90.</t>
  </si>
  <si>
    <t>89.</t>
  </si>
  <si>
    <t>88.</t>
  </si>
  <si>
    <t>87.</t>
  </si>
  <si>
    <t>86.</t>
  </si>
  <si>
    <t>85.</t>
  </si>
  <si>
    <t>84.</t>
  </si>
  <si>
    <t>83.</t>
  </si>
  <si>
    <t>82.</t>
  </si>
  <si>
    <t>81.</t>
  </si>
  <si>
    <t>80.</t>
  </si>
  <si>
    <t>79.</t>
  </si>
  <si>
    <t>78.</t>
  </si>
  <si>
    <t>77.</t>
  </si>
  <si>
    <t>76.</t>
  </si>
  <si>
    <t>75.</t>
  </si>
  <si>
    <t>74.</t>
  </si>
  <si>
    <t>73.</t>
  </si>
  <si>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</si>
  <si>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</si>
  <si>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</si>
  <si>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</si>
  <si>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</si>
  <si>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</si>
  <si>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</si>
  <si>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</si>
  <si>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</si>
  <si>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63.</t>
  </si>
  <si>
    <t>62.</t>
  </si>
  <si>
    <t>61.</t>
  </si>
  <si>
    <t>60.</t>
  </si>
  <si>
    <t>59.</t>
  </si>
  <si>
    <t xml:space="preserve">215                                                   Rendszeres települési támogatás ápolás céljára </t>
  </si>
  <si>
    <t xml:space="preserve">215   Rendszeres települési támogatás ápolás céljára </t>
  </si>
  <si>
    <t>214                   Városi uszoda építése</t>
  </si>
  <si>
    <t>214 Városi uszoda építése</t>
  </si>
  <si>
    <t>213                   Sportcsarnok építése</t>
  </si>
  <si>
    <t>213  Sportcsarnok építése</t>
  </si>
  <si>
    <t>212                       Ételallergiában szenvedő gyerekek támogatása</t>
  </si>
  <si>
    <t>212  Ételallergiában szenvedő gyerekek támogatása</t>
  </si>
  <si>
    <t>211                                 Gyógyászati segédeszköz támogatás</t>
  </si>
  <si>
    <t>211  Gyógyászati segédeszköz támogatás</t>
  </si>
  <si>
    <t>210                               "Várossá válás" szeptemberi ünnepsége</t>
  </si>
  <si>
    <t>210    "Várossá válás" szeptemberi ünnepsége</t>
  </si>
  <si>
    <t>207                                        Városi településfejlesztési koncepció, településszerkezeti terv</t>
  </si>
  <si>
    <t>207  Városi településfejlesztési koncepció, településszerkezeti terv</t>
  </si>
  <si>
    <t>204                              Rendőrség</t>
  </si>
  <si>
    <t>204    Rendőrség</t>
  </si>
  <si>
    <t>203                              Intézményi zöldterület ad hoc feladatainak ellátása</t>
  </si>
  <si>
    <t>203    Intézményi zöldterület ad hoc feladatainak ellátása</t>
  </si>
  <si>
    <t>202                                             Utcanévtáblák, gyepmester, városi közkutak</t>
  </si>
  <si>
    <t>202  Utcanévtáblák, gyepmester, városi közkutak</t>
  </si>
  <si>
    <t>201                             P+R parkolók fenntartása</t>
  </si>
  <si>
    <t>201    P+R parkolók fenntartása</t>
  </si>
  <si>
    <t>200                                       Városi munkavállalók munka-egészségügyi felülvizsgálata</t>
  </si>
  <si>
    <t>200   Városi munkavállalók munka-egészségügyi felülvizsgálata</t>
  </si>
  <si>
    <t>104                  DMTK-KVSE Aquasport Egyesület támogatása</t>
  </si>
  <si>
    <t>104  DMTK-KVSE Aquasport Egyesület támogatása</t>
  </si>
  <si>
    <t>095                                               Könyvtári szolgáltatás</t>
  </si>
  <si>
    <t>095  Könyvtári szolgáltatás</t>
  </si>
  <si>
    <t>093 Közfoglalkoztatás</t>
  </si>
  <si>
    <t>092                                   MÁV-Alsó terület rendezése</t>
  </si>
  <si>
    <t>092  MÁV-Alsó terület rendezése</t>
  </si>
  <si>
    <t>091                                   Új Bölcsőde</t>
  </si>
  <si>
    <t>091  Új Bölcsőde</t>
  </si>
  <si>
    <t>090                                     Hunyadi János Általános Iskola                                         Fő út 268.</t>
  </si>
  <si>
    <t>089                                       ÁFA bevallás bevétel és kiadás</t>
  </si>
  <si>
    <t>089  ÁFA bevallás bevétel és kiadás</t>
  </si>
  <si>
    <t>088                              Kisposta</t>
  </si>
  <si>
    <t>088  Kisposta</t>
  </si>
  <si>
    <t>087                             Elektromos autó töltőállomás</t>
  </si>
  <si>
    <t>087 Elektromos autó töltőállomás</t>
  </si>
  <si>
    <t>086                              Téli közfoglalkoztatás</t>
  </si>
  <si>
    <t>086  Téli közfoglalkoztatás</t>
  </si>
  <si>
    <t>085                                 Intézmény finanszírozás</t>
  </si>
  <si>
    <t>085   Intézmény finanszírozás</t>
  </si>
  <si>
    <t>084                                          Tartalékok</t>
  </si>
  <si>
    <t>084  Tartalékok</t>
  </si>
  <si>
    <t>083                       Dunaharaszti Alapfokú Művészetoktatási Iskola</t>
  </si>
  <si>
    <t>083  Dunaharaszti Alapfokú Művészetoktatási Iskola</t>
  </si>
  <si>
    <t>082                                 Pest Megyei Pedagógiai Szakszolgálat Szigetszentmiklósi Tagintézménye Dunaharaszti Telephelye</t>
  </si>
  <si>
    <t>082   Pest Megyei Pedagógiai Szakszolgálat Szigetszentmiklósi Tagintézménye Dunaharaszti Telephelye</t>
  </si>
  <si>
    <t>081                                   Baktay Ervin Gimnázium</t>
  </si>
  <si>
    <t>081  Baktay Ervin Gimnázium</t>
  </si>
  <si>
    <t>080                                                     Dunaharaszti Kőrösi Csoma Sándor Általános Iskola</t>
  </si>
  <si>
    <t>080  Dunaharaszti Kőrösi Csoma Sándor Általános Iskola</t>
  </si>
  <si>
    <t>079                                                Dunaharaszti II. Rákóczi Ferenc Általános Iskola</t>
  </si>
  <si>
    <t>079  Dunaharaszti II. Rákóczi Ferenc Általános Iskola</t>
  </si>
  <si>
    <t>078                                    Dunaharaszti Hunyadi János Német Nemzetiségi Általános Iskola</t>
  </si>
  <si>
    <t>078  Dunaharaszti Hunyadi János Német Nemzetiségi Általános Iskola</t>
  </si>
  <si>
    <t>077                                                     Dunaharaszti Kőrösi Csoma Sándor Általános Iskola</t>
  </si>
  <si>
    <t>077  Dunaharaszti Kőrösi Csoma Sándor Általános Iskola</t>
  </si>
  <si>
    <t>076                                                Dunaharaszti II. Rákóczi Ferenc Általános Iskola</t>
  </si>
  <si>
    <t>076   Dunaharaszti II. Rákóczi Ferenc Általános Iskola</t>
  </si>
  <si>
    <t>075                                    Dunaharaszti Hunyadi János Német Nemzetiségi Általános Iskola</t>
  </si>
  <si>
    <t>075    Dunaharaszti Hunyadi János Német Nemzetiségi Általános Iskola</t>
  </si>
  <si>
    <t>074                                       Betegszállítási szolgáltatások igénybevétele</t>
  </si>
  <si>
    <t>074 Betegszállítási szolgáltatások igénybevétele</t>
  </si>
  <si>
    <r>
      <t xml:space="preserve">073                            </t>
    </r>
    <r>
      <rPr>
        <sz val="12"/>
        <color indexed="8"/>
        <rFont val="Garamond"/>
        <family val="1"/>
        <charset val="238"/>
      </rPr>
      <t xml:space="preserve"> Tüdőszűrés, </t>
    </r>
    <r>
      <rPr>
        <sz val="12"/>
        <rFont val="Garamond"/>
        <family val="1"/>
        <charset val="238"/>
      </rPr>
      <t>Férfi és női lakosság szűrőgizsgá-latainak megszervezése</t>
    </r>
  </si>
  <si>
    <r>
      <t xml:space="preserve">073  </t>
    </r>
    <r>
      <rPr>
        <sz val="12"/>
        <color indexed="8"/>
        <rFont val="Garamond"/>
        <family val="1"/>
        <charset val="238"/>
      </rPr>
      <t xml:space="preserve">Tüdőszűrés, </t>
    </r>
    <r>
      <rPr>
        <sz val="12"/>
        <rFont val="Garamond"/>
        <family val="1"/>
        <charset val="238"/>
      </rPr>
      <t>Férfi és női lakosság szűrőgizsgá-latainak megszervezése</t>
    </r>
  </si>
  <si>
    <t>072                          Iskoláskorú fiúk HPV oltása</t>
  </si>
  <si>
    <t>072   Iskoláskorú fiúk HPV oltása</t>
  </si>
  <si>
    <t>071                                  Óvodások hallásvizsgálata, szemészeti és orthopédiai vizsgálata</t>
  </si>
  <si>
    <t>071  Óvodások hallásvizsgálata, szemészeti és orthopédiai vizsgálata</t>
  </si>
  <si>
    <t>105                                   Szennyvíz bérleti díj felhasználás 2017. év (Ivóvíz)</t>
  </si>
  <si>
    <t>105   Szennyvíz bérleti díj felhasználás 2017. év (Ivóvíz)</t>
  </si>
  <si>
    <t>069                                   Szennyvíz bérleti díj felhasználás 2017. év (Szennyvíz)</t>
  </si>
  <si>
    <t>069  Szennyvíz bérleti díj felhasználás 2017. év (Szennyvíz)</t>
  </si>
  <si>
    <t xml:space="preserve">069                                     Szennyvíz bérleti díj felhasználás előző évekről </t>
  </si>
  <si>
    <t xml:space="preserve">069   Szennyvíz bérleti díj felhasználás előző évekről </t>
  </si>
  <si>
    <t>068                                             Közműfejlesztési hozzájárulás</t>
  </si>
  <si>
    <t>068  Közműfejlesztési hozzájárulás</t>
  </si>
  <si>
    <t>067                                             Mentési pont</t>
  </si>
  <si>
    <t>067     Mentési pont</t>
  </si>
  <si>
    <t>065 Sportjátszótér karbantartás</t>
  </si>
  <si>
    <t>064  Helytörténeti emléktár</t>
  </si>
  <si>
    <t>063                                Művészeti Alkotótábor</t>
  </si>
  <si>
    <t>063  Művészeti Alkotótábor</t>
  </si>
  <si>
    <t>062      Hétszínvirág ó. Bérleti díj</t>
  </si>
  <si>
    <t>062  Hétszínvirág ó. Bérleti díj</t>
  </si>
  <si>
    <t>060                                 Haraszti Fraxinus Kft.</t>
  </si>
  <si>
    <t>060  Haraszti Fraxinus Kft.</t>
  </si>
  <si>
    <t>059  Nemzetközi kapcsolatok</t>
  </si>
  <si>
    <t>058                       Kiemelt állami és önkormányzati rendezvények</t>
  </si>
  <si>
    <t>058   Kiemelt állami és önkormányzati rendezvények</t>
  </si>
  <si>
    <t>057 Dunaharaszti Hírek és információs kiadványok</t>
  </si>
  <si>
    <t>056                                          Közvilágítás, parkok díszvilágításának karbantartása, karácsonyi díszvilágítás felszerelése, karbantartása</t>
  </si>
  <si>
    <t>056  Közvilágítás, parkok díszvilágításának karbantartása, karácsonyi díszvilágítás felszerelése, karbantartása</t>
  </si>
  <si>
    <t>055                                  Temetkezés</t>
  </si>
  <si>
    <t>055  Temetkezés</t>
  </si>
  <si>
    <t xml:space="preserve">054           Temető fenntartás </t>
  </si>
  <si>
    <t xml:space="preserve">054 Temető fenntartás </t>
  </si>
  <si>
    <t>053                          Laffert-kúria üzemeltetés</t>
  </si>
  <si>
    <t>053 Laffert-kúria üzemeltetés</t>
  </si>
  <si>
    <t>052   Lakásgazdál-kodással kapcsolatos feladatok</t>
  </si>
  <si>
    <t>051   Nem lakáscélú önk.ing. (Terembérlet is)</t>
  </si>
  <si>
    <t>107060                     Egyes szociális pénzbeli és természetbeni ellátások, támogatások</t>
  </si>
  <si>
    <t>081030 Sportlétesítmények, edzőtáborok működtet.és fejl.</t>
  </si>
  <si>
    <t>016080                              Kiemelt állami és önkormányzati rendezvények</t>
  </si>
  <si>
    <t>066020                                   Város-, községgazdálkodási egyéb szolgáltatások</t>
  </si>
  <si>
    <t>031030                                 Közterület rendjének fenntartása</t>
  </si>
  <si>
    <t>031030   Közterület rendjének fenntartása</t>
  </si>
  <si>
    <t>045160                          Közutak, hidak, alagutak üzemeltetése, fenntartása</t>
  </si>
  <si>
    <t>074011 Foglalkozás-egészségügyi alapellátások</t>
  </si>
  <si>
    <t>082044                                  Könyvtári szolgáltatások</t>
  </si>
  <si>
    <t>082044  Könyvtári szolgáltatások</t>
  </si>
  <si>
    <t>041233                                    Hosszabb időtartamú közfoglalkoztatás</t>
  </si>
  <si>
    <t>041233  Hosszabb időtartamú közfoglalkoztatás</t>
  </si>
  <si>
    <t>013350                                    Az önkormányzati vagyonnal való gazdálkodással kapcsolatos feladatok</t>
  </si>
  <si>
    <t>013350    Az önkormányzati vagyonnal való gazdálkodással kapcsolatos feladatok</t>
  </si>
  <si>
    <t>091220 Köznevelési intézmény 1–4. évfolyamán tanulók nevelésével, oktatásával összefüggő működtetési feladatok</t>
  </si>
  <si>
    <t>011130 Önkormányzatok és önkormányzati hivatalok jogalkotási és általános igazgatási tevékenysége</t>
  </si>
  <si>
    <t>049010                                        Máshova nem sorolt gazdasági ügyek</t>
  </si>
  <si>
    <t>049010    Máshova nem sorolt gazdasági ügyek</t>
  </si>
  <si>
    <t>041232                                   Start-munka program - Téli közfoglalkoztatás</t>
  </si>
  <si>
    <t>041232   Start-munka program - Téli közfoglalkoztatás</t>
  </si>
  <si>
    <t>018030                             Támogatási célú finanszírozási műveletek</t>
  </si>
  <si>
    <t>018030   Támogatási célú finanszírozási műveletek</t>
  </si>
  <si>
    <t>091250                          Alapfokú művészet-oktatással összefüggő működtetési feladatok</t>
  </si>
  <si>
    <t>091250   Alapfokú művészet-oktatással összefüggő működtetési feladatok</t>
  </si>
  <si>
    <t>098022                              Pedagógiai szakszolgáltató tevékenység működtetési feladatai</t>
  </si>
  <si>
    <t>098022  Pedagógiai szakszolgáltató tevékenység működtetési feladatai</t>
  </si>
  <si>
    <t>092260 Gimnázium és szakképző iskola tanulóinak közismereti és szakmai elméleti oktatásával összefüggő működtetési feladatok</t>
  </si>
  <si>
    <t>092120                                                             Köznevelési intézmény 5–8. évfolyamán tanulók nevelésével, oktatásával összefüggő működtetési feladatok</t>
  </si>
  <si>
    <t>092120   Köznevelési intézmény 5–8. évfolyamán tanulók nevelésével, oktatásával összefüggő működtetési feladatok</t>
  </si>
  <si>
    <t>092120  Köznevelési intézmény 5–8. évfolyamán tanulók nevelésével, oktatásával összefüggő működtetési feladatok</t>
  </si>
  <si>
    <t>091220                                                                                                Köznevelési intézmény 1–4. évfolyamán tanulók nevelésével, oktatásával összefüggő működtetési feladatok</t>
  </si>
  <si>
    <t>091220     Köznevelési intézmény 1–4. évfolyamán tanulók nevelésével, oktatásával összefüggő működtetési feladatok</t>
  </si>
  <si>
    <t>091220    Köznevelési intézmény 1–4. évfolyamán tanulók nevelésével, oktatásával összefüggő működtetési feladatok</t>
  </si>
  <si>
    <t>072160                                      Betegszállítás, valamint orvosi rendelvényű halottszállítás</t>
  </si>
  <si>
    <t>072160   Betegszállítás, valamint orvosi rendelvényű halottszállítás</t>
  </si>
  <si>
    <t>074051                                Nem fertőző megbetegedések megelőzése</t>
  </si>
  <si>
    <t>074051  Nem fertőző megbetegedések megelőzése</t>
  </si>
  <si>
    <t>074040                                    Fertőző megbetegedések megelőzése, járványügyi ellátás</t>
  </si>
  <si>
    <t>074040  Fertőző megbetegedések megelőzése, járványügyi ellátás</t>
  </si>
  <si>
    <t>074032                            Ifjúság-egészségügyi gondozás</t>
  </si>
  <si>
    <t>074032 Ifjúság-egészségügyi gondozás</t>
  </si>
  <si>
    <t xml:space="preserve"> 063080                                       Vízellátással kapcsolatos közmű építése, fenntart.</t>
  </si>
  <si>
    <t xml:space="preserve"> 063080 Vízellátással kapcsolatos közmű építése, fenntart.</t>
  </si>
  <si>
    <t>052080                        Szennyvízcsatorna építése, fenntartása, üzemeltet.</t>
  </si>
  <si>
    <t>052080  Szennyvízcsatorna építése, fenntartása, üzemeltet.</t>
  </si>
  <si>
    <t xml:space="preserve">052080                        Szennyvízcsatorna építése, fenntartása, üzemeltet.                                                </t>
  </si>
  <si>
    <t xml:space="preserve">052080  Szennyvízcsatorna építése, fenntartása, üzemeltet.                                                </t>
  </si>
  <si>
    <t>052080                        Szennyvízcsatorna építése, fenntartása, üzemeltet.                                                    063080                                       Vízellátással lapcsolatos közmű építése, fenntart.</t>
  </si>
  <si>
    <t>052080   Szennyvízcsatorna építése, fenntartása, üzemeltet.                                                    063080   Vízellátással lapcsolatos közmű építése, fenntart.</t>
  </si>
  <si>
    <t>072440                                      Mentés</t>
  </si>
  <si>
    <t>072440    Mentés</t>
  </si>
  <si>
    <t>081030 Sportlétesít-mények, edzőtáborok működtetése és fejlesztése</t>
  </si>
  <si>
    <t>082063 Múzeumi kiállító tevékenység</t>
  </si>
  <si>
    <t>082030 Művészeti tevékenységek</t>
  </si>
  <si>
    <t>091140    Óvodai nevelés, ellátás működtetési feladatai</t>
  </si>
  <si>
    <t>072112                         Háziorvosi ügyeleti ellátás</t>
  </si>
  <si>
    <t>072112    Háziorvosi ügyeleti ellátás</t>
  </si>
  <si>
    <t>086030 Nemzetközi kulturális együttműködés</t>
  </si>
  <si>
    <t>016080                               Kiemelt állami és önkormányzati rendezvények</t>
  </si>
  <si>
    <t>083030                                         Egyéb kiadói tevékenység</t>
  </si>
  <si>
    <t>083030   Egyéb kiadói tevékenység</t>
  </si>
  <si>
    <t>064010                                      Közvilágítás</t>
  </si>
  <si>
    <t>013320                                                            Köztemető-fenntartás és működtetés</t>
  </si>
  <si>
    <t>082030 Művészeti tevékeny-ségek</t>
  </si>
  <si>
    <t>106010 Lakóingatlan szociális célú bérbeadása, üzemeltetése</t>
  </si>
  <si>
    <t>013350  Az önkormányzati vagyonnal való gazdálkodással kapcsolatos feladatok</t>
  </si>
  <si>
    <t>018010 Önkormányzatok elszámolásai a központi költségvetéssel</t>
  </si>
  <si>
    <t>018020  Központi költségvetési befizetések</t>
  </si>
  <si>
    <t>018020                                                     Központi költségvetési befizetések</t>
  </si>
  <si>
    <t>066020    Város-, község-gazdálkodási egyéb szolgáltatások</t>
  </si>
  <si>
    <t>066020                               Város-, község-gazdálkodási egyéb szolgáltatások</t>
  </si>
  <si>
    <t>900020 Önkormányzati funkcióra nem sorolható bevételek</t>
  </si>
  <si>
    <t>066020        Város-, község-gazdálkodási egyéb szolgáltatások</t>
  </si>
  <si>
    <t>066020                          Város-, község-gazdálkodási egyéb szolgáltatások</t>
  </si>
  <si>
    <t>083030                           Egyéb kiadói tevékenység</t>
  </si>
  <si>
    <t>900060     Forgatási és befektetési célú finanszírozási műveletek</t>
  </si>
  <si>
    <t>900060                                      Forgatási és befektetési célú finanszírozási műveletek</t>
  </si>
  <si>
    <t>066020 Város-, község-gazdálkodási egyéb szolgáltatások</t>
  </si>
  <si>
    <t>066020                         Város-, község-gazdálkodási egyéb szolgáltatások</t>
  </si>
  <si>
    <t>Vegyes (előző évi maradvány: 018030)</t>
  </si>
  <si>
    <t xml:space="preserve">Vegyes </t>
  </si>
  <si>
    <t>DUNAHARASZTI ÖNKORMÁNYZAT ÖSSZESEN</t>
  </si>
  <si>
    <t>Ebből:  Európai Uniós feladatok eredeti előirányzat</t>
  </si>
  <si>
    <t>101  Állami normatíva</t>
  </si>
  <si>
    <t>101  Szolidaritási hozzájárulás</t>
  </si>
  <si>
    <t>101                                         Szolidaritási hozzájárulás</t>
  </si>
  <si>
    <t>102   Részesedésekkel kapcsolatos bevételek (Osztalék, részesedés)</t>
  </si>
  <si>
    <t>102                                                       Részesedésekkel kapcsolatos bevételek (Osztalék, részesedés)</t>
  </si>
  <si>
    <t>103    Kamatbevétel</t>
  </si>
  <si>
    <t xml:space="preserve"> 300 Építményadó</t>
  </si>
  <si>
    <t xml:space="preserve"> 300                               Építményadó</t>
  </si>
  <si>
    <t>300   Telekadó</t>
  </si>
  <si>
    <t>300                                       Telekadó</t>
  </si>
  <si>
    <t xml:space="preserve">  300 Magánszemélyek kommunális adója</t>
  </si>
  <si>
    <t xml:space="preserve">  300            Magánszemélyek kommunális adója</t>
  </si>
  <si>
    <t>300  Idegenforgalmi adó tartózkodás alapján</t>
  </si>
  <si>
    <t>300                                                      Idegenforgalmi adó tartózkodás alapján</t>
  </si>
  <si>
    <t>300  Idegenforgalmi adó épület után</t>
  </si>
  <si>
    <t>300                                            Idegenforgalmi adó épület után</t>
  </si>
  <si>
    <t>300            Iparűzési adó</t>
  </si>
  <si>
    <t xml:space="preserve">  300   Gépjárműadó</t>
  </si>
  <si>
    <t>110  Közterület használat</t>
  </si>
  <si>
    <t>110                                      Közterület használat</t>
  </si>
  <si>
    <t>111 Továbbszámlázás bevétele és kiadása</t>
  </si>
  <si>
    <t>110  Reklámtábla</t>
  </si>
  <si>
    <t>110                                      Reklámtábla</t>
  </si>
  <si>
    <t>115  Felh.c.kölcsön visszatérülése munkavállalótól</t>
  </si>
  <si>
    <t>115      Felh.c.kölcsön visszatérülése munkavállalótól</t>
  </si>
  <si>
    <t>116  Hitelfelvétel</t>
  </si>
  <si>
    <t>116                                               Hitelfelvétel</t>
  </si>
  <si>
    <t>117  Tárgyi eszköz értékesítés</t>
  </si>
  <si>
    <t>117                                 Tárgyi eszköz értékesítés</t>
  </si>
  <si>
    <t>118  Egyéb bevételek</t>
  </si>
  <si>
    <t>118                        Egyéb bevételek</t>
  </si>
  <si>
    <t>119 Egyéb adóbevételek</t>
  </si>
  <si>
    <t>119                             Egyéb adóbevételek</t>
  </si>
  <si>
    <t>120 Bizonytalan bevételek</t>
  </si>
  <si>
    <t>120                           Bizonytalan bevételek</t>
  </si>
  <si>
    <t>Intézmény</t>
  </si>
  <si>
    <t>Polgármesteri Hivatal 2017. évi előirányzat</t>
  </si>
  <si>
    <t>011130                                                   Önkormányzatok és önkormányzati hivatalok jogalkoltó és általános igazgatási tevékenysége</t>
  </si>
  <si>
    <t>011220                                            Adó, vám és jövedéki igazgatás</t>
  </si>
  <si>
    <t>016030 Állampolgársági ügyek</t>
  </si>
  <si>
    <t>105010                                       Munkanélküli aktív korúak ellátásai</t>
  </si>
  <si>
    <t>Vegyes</t>
  </si>
  <si>
    <t>016010                              Országgyűlési, önkományzati és európai parlamenti képviselőválasztásokhoz kapcsolódó tevékenységek</t>
  </si>
  <si>
    <t>016020                                                Országos és helyi népszavazással kapcsolatos tevékenységek</t>
  </si>
  <si>
    <t>Intézmény összesen</t>
  </si>
  <si>
    <t>001  Intézmény finanszírozás</t>
  </si>
  <si>
    <t>002                           Polgármesteri Hivatal</t>
  </si>
  <si>
    <t>003                              Adóügyi feladatok</t>
  </si>
  <si>
    <t>004                            Anyakönyvi feladatok</t>
  </si>
  <si>
    <t>006                                               Foglalkoztatást helyettesítő támogatás</t>
  </si>
  <si>
    <t>008                               Előző évekről hozott hátralék</t>
  </si>
  <si>
    <t>009                                              Nemzetiségi időközi önkormányzati képviselőválasztás</t>
  </si>
  <si>
    <t>012                                                Országos és helyi népszavazás</t>
  </si>
  <si>
    <t>111                                                       Továbbszámlázás bevétele és kiadása</t>
  </si>
  <si>
    <t>Ebből: elvonások és befizetések</t>
  </si>
  <si>
    <t>Dunaharaszti Területi Gondozási Központ 2017. évi előirányzat</t>
  </si>
  <si>
    <t xml:space="preserve">Városi Könyvtár </t>
  </si>
  <si>
    <t>Művelődési Ház</t>
  </si>
  <si>
    <t>Továbbszámlázás</t>
  </si>
  <si>
    <t>DUNAHARASZTI INTÉZMÉNYEK ÖSSZESEN</t>
  </si>
  <si>
    <t xml:space="preserve">    Ebbő: lfelhalmozási célú intézményfinanszírozás bevétele</t>
  </si>
  <si>
    <t>Hétszínvirág Óvoda 2017. év</t>
  </si>
  <si>
    <t>Mese Óvoda 2017. év</t>
  </si>
  <si>
    <t>Dunaharaszti Család- és Gyermekjóléti Szolgálat 2017. év</t>
  </si>
  <si>
    <t>Városi Bölcsöde 2017. év</t>
  </si>
  <si>
    <t>Dunaharaszti Területi Gondozási Központ 2017. év</t>
  </si>
  <si>
    <t>Városi Könyvtár és Művelődési Ház 2017. év</t>
  </si>
  <si>
    <t>Városi Könyvtár</t>
  </si>
  <si>
    <t>096 Óvodák beruházás, felújítás</t>
  </si>
  <si>
    <t xml:space="preserve">106 Városi Bölcsőde (régi) beruházások, felújítások  </t>
  </si>
  <si>
    <t>108 ASP</t>
  </si>
  <si>
    <t>103 Kamatbevétel és betét lekötés valamint felbontás halmozott összege</t>
  </si>
  <si>
    <t>Önként vállalt</t>
  </si>
  <si>
    <t>104031  Gyermekek bölcsődei ellátása</t>
  </si>
  <si>
    <t>091140                                                  Óvodai nevelés, ellátás működtetési feladatai</t>
  </si>
  <si>
    <t>kötlezető</t>
  </si>
  <si>
    <t xml:space="preserve">    Ebből: államháztartáson belüli megelőlegezések </t>
  </si>
  <si>
    <t>106</t>
  </si>
  <si>
    <t>Dunaharaszti Városi Bölcsőde épület felújítási munkái</t>
  </si>
  <si>
    <t>096</t>
  </si>
  <si>
    <t>091140</t>
  </si>
  <si>
    <t>Mese Óvoda Napsugár Tagóvodájának 4-es és 5-ös csoportszobáinak parkattázási munkáira</t>
  </si>
  <si>
    <t>PMH Pénzügyi Iroda padozatának felújítása</t>
  </si>
  <si>
    <t>MÁV-als utca burkolatfelújítása</t>
  </si>
  <si>
    <t>Kaszala u. és Zsálya u. útépítés II. ütem</t>
  </si>
  <si>
    <t>ASP Központhoz való csatlakozás</t>
  </si>
  <si>
    <t>Csapadékvíz beruházások tervezése és beruházásai</t>
  </si>
  <si>
    <t>68/2017. (VI.26.) sz. Kt. Határozat: Területrész vásárlás Puskás Tivadar u. körforgalmi csomóponthoz</t>
  </si>
  <si>
    <t>PMH új ablak gyártása pénzügyi irodába</t>
  </si>
  <si>
    <t>058</t>
  </si>
  <si>
    <t>016080</t>
  </si>
  <si>
    <t>Díszcsónak kisértékű tárgyi eszköz</t>
  </si>
  <si>
    <t>II. Rákóczi Ferenc Általános Iskola alsó gázvezeték engedélyeztetés, gázkazán beépítés</t>
  </si>
  <si>
    <t>Temető eszköz beszerzések</t>
  </si>
  <si>
    <t>107053                                                                               Jelzőrendszeres házi segítségnyújtás</t>
  </si>
  <si>
    <t>005                                                                                  Házi jelzőrendszer</t>
  </si>
  <si>
    <t>Dunaharaszti Család- és Gyermekjóléti Szolgálat (Nyári napközi)</t>
  </si>
  <si>
    <t>7005</t>
  </si>
  <si>
    <t xml:space="preserve">018030  Támogatási célú finanszírozási műveletek              </t>
  </si>
  <si>
    <t xml:space="preserve"> 082042  Könyvtári állomány gyarapítása, nyilvántartása</t>
  </si>
  <si>
    <t>082043  Könyvtári állomány feltárása, megőrzése</t>
  </si>
  <si>
    <t>082044   Könyvtári szolgáltatások</t>
  </si>
  <si>
    <t>082091  Közművelődés- közösségi és társadalmi részvétel fejlesztése</t>
  </si>
  <si>
    <t xml:space="preserve">082044   Könyvtári szolgáltatások         </t>
  </si>
  <si>
    <t>082091   Közművelődés- közösségi és társadalmi részvétel fejlesztése</t>
  </si>
  <si>
    <t>111  Továbbszámlázás</t>
  </si>
  <si>
    <t>007   Könyvtári elkülönített SZJA 1%-os számla</t>
  </si>
  <si>
    <t>006   Előző évi hátralék</t>
  </si>
  <si>
    <t>005  Közművelődési tevékenység</t>
  </si>
  <si>
    <t>004  Könyvtári szolgáltatások</t>
  </si>
  <si>
    <t>003   Könyvtári állomány feltárása, megőrzése</t>
  </si>
  <si>
    <t>002  Könyvtári állomány gyarapítása</t>
  </si>
  <si>
    <t xml:space="preserve">018030   Támogatási célú finanszírozási műveletek              </t>
  </si>
  <si>
    <t>102031  Idősek nappali ellátása</t>
  </si>
  <si>
    <t>002  Idősek napi ellátása</t>
  </si>
  <si>
    <t>107051   Szociális étkeztetés</t>
  </si>
  <si>
    <t>003  Szociális étkeztetés</t>
  </si>
  <si>
    <t>107052   Házi segítségnyújtás</t>
  </si>
  <si>
    <t>004  Házi segítségnyújtás</t>
  </si>
  <si>
    <t>072111   Háziorvosi alapellátás</t>
  </si>
  <si>
    <t>006  Orvosi rendelő</t>
  </si>
  <si>
    <t>072111  Háziorvosi alapellátás</t>
  </si>
  <si>
    <t>007   Fő út 35. Gyermekorvosi rendelő</t>
  </si>
  <si>
    <t>072210  Járóbetegek gyógyító szakellátása</t>
  </si>
  <si>
    <t>008  Egyéb járóbeteg</t>
  </si>
  <si>
    <t>072420  Egészségügyi laboratóriumi szolgáltatás</t>
  </si>
  <si>
    <t>009   Eü labor</t>
  </si>
  <si>
    <t>072450   Fizikotherápiás szolgáltatás</t>
  </si>
  <si>
    <t>010     Fizikotherápiás szolgáltatás</t>
  </si>
  <si>
    <t>074031  Család-és nővédelem egészségügyi gondozás</t>
  </si>
  <si>
    <t>011   Család-és nővédelem egészségügyi gondozás</t>
  </si>
  <si>
    <t>074032   Ifjúság-egészségügyi gondozás</t>
  </si>
  <si>
    <t>012   Ifjúság-egészségügyi gondozás</t>
  </si>
  <si>
    <t>096015  Gyermekétkeztetés köznevelési intézményben</t>
  </si>
  <si>
    <t xml:space="preserve"> 013  Óvodai intézményi étkeztetés</t>
  </si>
  <si>
    <t>014  Iskolai intézményi étkeztetés</t>
  </si>
  <si>
    <t>096015   Gyermekétkeztetés köznevelési intézményben</t>
  </si>
  <si>
    <t>015  Gimnáziumi  intézményi étkeztetés</t>
  </si>
  <si>
    <t>096025  Munkahelyi étkeztetés köznevelési intézményben</t>
  </si>
  <si>
    <t xml:space="preserve">   016  Vendéglátás étkeztetés</t>
  </si>
  <si>
    <t xml:space="preserve">017   Előző évekről hozott hátralék                                            </t>
  </si>
  <si>
    <t>900020  Önkormányzat funkcióra nem sorolható bevételei</t>
  </si>
  <si>
    <t xml:space="preserve"> 018  Nyári napközi étkezés                                       </t>
  </si>
  <si>
    <t>111   Továbbszámlázás bevétele és kiadása</t>
  </si>
  <si>
    <t>018030  Támogatási célú finanszírozási műveletek</t>
  </si>
  <si>
    <t xml:space="preserve"> 104042  Család és gyermekjóléti szolgáltatások                           </t>
  </si>
  <si>
    <t>002  Gyermekjóléti Szolgálat</t>
  </si>
  <si>
    <t xml:space="preserve">104042  Család és gyermekjóléti szolgáltatások                                                             </t>
  </si>
  <si>
    <t xml:space="preserve">003  Családsegítő                               </t>
  </si>
  <si>
    <t xml:space="preserve">104012  Gyermekek átmeneti ellátása               </t>
  </si>
  <si>
    <t xml:space="preserve">004   Helyettes szülőnél elhelyezettek ellátása                                 </t>
  </si>
  <si>
    <t xml:space="preserve">104060   A gyermek ,fiatalok és családok életminőségét javító programok                         </t>
  </si>
  <si>
    <t xml:space="preserve"> 005   Hátrányos helyzetű gyermekek, fiatalok …</t>
  </si>
  <si>
    <t xml:space="preserve">104042   Család és gyermekjóléti szolgáltatások                                            </t>
  </si>
  <si>
    <t>006  Nyári napközis tábor</t>
  </si>
  <si>
    <t xml:space="preserve">104037  Intézményen kívüli gyermekétkeztetés                                                     </t>
  </si>
  <si>
    <t>008  Szünidei étkezés</t>
  </si>
  <si>
    <t xml:space="preserve">104042  Család és gyermekjóléti szolgáltatások                                                              </t>
  </si>
  <si>
    <t xml:space="preserve"> 111  Továbbszámlázás bevétele és kiadása                                             </t>
  </si>
  <si>
    <t>104035  Gyermekétkeztetés bölcsődében, fogyatékosok nappali intézményében</t>
  </si>
  <si>
    <t xml:space="preserve">  002   Étkeztetés</t>
  </si>
  <si>
    <t>003  Gyermekek egyéb ellátása</t>
  </si>
  <si>
    <t>004  Előző évekről hozott hátralék</t>
  </si>
  <si>
    <t>091110  Óvodai nevelés, ellátás szakmai feladatai</t>
  </si>
  <si>
    <t xml:space="preserve">002  Mese Óvoda      </t>
  </si>
  <si>
    <t>091110   Óvodai nevelés, ellátás szakmai feladatai</t>
  </si>
  <si>
    <t>003  Napsugár Óvoda</t>
  </si>
  <si>
    <t xml:space="preserve">091120  Sajátos nevelési igényű gyermekek óvodai nevelésének, ellátásának szakmai feladatai                     </t>
  </si>
  <si>
    <t>004  Mese Óvoda sajátos ….</t>
  </si>
  <si>
    <t xml:space="preserve">091110  Óvodai nevelés, ellátás szakmai feladatai </t>
  </si>
  <si>
    <t xml:space="preserve">002  Hétszínvirág Óvoda      </t>
  </si>
  <si>
    <t>003 Százszorszép Óvoda</t>
  </si>
  <si>
    <t>004  Szivárvány Óvoda</t>
  </si>
  <si>
    <t xml:space="preserve">091120   Sajátos nevelési igényű gyermekek óvodai nevelésének, ellátásának szakmai feladatai                     </t>
  </si>
  <si>
    <t>005 Hétszínvirág Óvoda sajátos ….</t>
  </si>
  <si>
    <t>111  Továbbszámlázás bevétele és kiadása</t>
  </si>
  <si>
    <t>002  Polgármesteri Hivatal</t>
  </si>
  <si>
    <t>011220  Adó, vám és jövedéki igazgatás</t>
  </si>
  <si>
    <t>003  Adóügyi feladatok</t>
  </si>
  <si>
    <t>016030   Állampolgársági ügyek</t>
  </si>
  <si>
    <t>004   Anyakönyvi feladatok</t>
  </si>
  <si>
    <t>105010  Munkanélküli aktív korúak ellátásai</t>
  </si>
  <si>
    <t>006  Foglalkoztatást helyettesítő támogatás</t>
  </si>
  <si>
    <t>008  Előző évekről hozott hátralék</t>
  </si>
  <si>
    <t>016010  Országgyűlési, önkományzati és európai parlamenti képviselőválasztásokhoz kapcsolódó tevékenységek</t>
  </si>
  <si>
    <t>009   Nemzetiségi időközi önkormányzati képviselőválasztás</t>
  </si>
  <si>
    <t>016020  Országos és helyi népszavazással kapcsolatos tevékenységek</t>
  </si>
  <si>
    <t>012  Országos és helyi népszavazás</t>
  </si>
  <si>
    <t>011130  Önkormányzatok és önkormányzati hivatalok jogalkoltó és általános igazgatási tevékenysége</t>
  </si>
  <si>
    <t>16/2017. (VI.22.) sz. OMS Petőfi Sándor Szavalóverseny támogatása</t>
  </si>
  <si>
    <t>Szigetszentmiklósi Tankerületi Központ*</t>
  </si>
  <si>
    <t>8/2017. (IV.20.) sz. OMS határozat alapján Dunaharaszti iskolák részére nyújtott támogatás* (A III/2. sorra került átcsoportosításra a Szigetszentmiklósi Tankerületi Központ támogatásához)</t>
  </si>
  <si>
    <t>18/2017.(VI.22.)sz. OMS határozat:Dunaharaszti Judo Club támogatás</t>
  </si>
  <si>
    <t>DMTK-KVSE Aquasport Egyesület támogatás</t>
  </si>
  <si>
    <t>24/2017.(IX.21.)sz. OMS határozat: Szigetszentmiklós-Tököl Sportegyesület támogatása</t>
  </si>
  <si>
    <t>VIII. Szabadidősport- (rekreációs sport-) tevékenység</t>
  </si>
  <si>
    <t>19/2017. (VIII.31.) sz. OMS határozat: Dunaharaszti Nádor Lakóövezetért Közhasznmú Egyesület támogatása</t>
  </si>
  <si>
    <t>090  Hunyadi János Általános Iskola    Fő út 268.</t>
  </si>
  <si>
    <t>216     Károlyi u. - Fő út útfelújítás (pályázat)</t>
  </si>
  <si>
    <t>115.</t>
  </si>
  <si>
    <t>045120      Út, autópálya építése</t>
  </si>
  <si>
    <t>072111   Háziorvosi ellátás</t>
  </si>
  <si>
    <t>109  Dunaharaszti Felnőtt Orvosi Rendelő (pályázat)</t>
  </si>
  <si>
    <t>Dunaharaszti József Attila Művelődési Ház (Laffert-kúria)</t>
  </si>
  <si>
    <t>Dunaharaszti József Attila Művelődési Ház (Közművelődési tevékenység)</t>
  </si>
  <si>
    <t>József Attila Művelődési Ház  2017. évi előirányzat</t>
  </si>
  <si>
    <t>József Attila Művelődési Ház 2017. évi előirányzat</t>
  </si>
  <si>
    <t xml:space="preserve">002                               Laffert-kúria </t>
  </si>
  <si>
    <t>003                                  Közművelődési tevékenység</t>
  </si>
  <si>
    <t>004                                                 Helytörténeti emléktár</t>
  </si>
  <si>
    <t>Szivárvány Óvoda 2017. évi előirányzat</t>
  </si>
  <si>
    <t>002                               Szivárvány Óvoda</t>
  </si>
  <si>
    <t>003                       Százszorszép Óvoda</t>
  </si>
  <si>
    <t>082030  Művészeti tevékenységek</t>
  </si>
  <si>
    <t>001    Intézmény finanszírozás</t>
  </si>
  <si>
    <t xml:space="preserve">002   Laffert-kúria </t>
  </si>
  <si>
    <t>003  Közművelődési tevékenység</t>
  </si>
  <si>
    <t>004   Helytörténeti emléktár</t>
  </si>
  <si>
    <t>Közterület  tárgyi eszköz vásárlás</t>
  </si>
  <si>
    <t>087</t>
  </si>
  <si>
    <t>043610</t>
  </si>
  <si>
    <t>Elektromos autó töltőállomás pályázat</t>
  </si>
  <si>
    <t>81/2017. (VII.28.) sz. Kt. Határozat: II. Rákóczi Ferenc Általános Iskola tanterem bővítés; elektromos hálózat teljesítmény bővítése; tűzjelzőrendszer telepítése; riasztó szerelés</t>
  </si>
  <si>
    <t xml:space="preserve"> II. Rákóczi Ferenc Általános Iskola (felső) tagozatán iskolaorvosi szoba és tornaszertár tervezési, engedélyeztetési és kivitelezési munkáira (fordított áfás)</t>
  </si>
  <si>
    <t>Mese Óvoda kútfúrás, redőny</t>
  </si>
  <si>
    <t xml:space="preserve">Százszorszép konténer wc vásárlás </t>
  </si>
  <si>
    <t>Szivárvány Óvoda kútfúrás</t>
  </si>
  <si>
    <t>202</t>
  </si>
  <si>
    <t>Közkút, szökőkút fejlesztések</t>
  </si>
  <si>
    <t>Rendőrség tárgyi eszköz beszerzések</t>
  </si>
  <si>
    <t>109</t>
  </si>
  <si>
    <t>Dunaharaszti Felnőtt Orvosi Rendelő (pályázat)</t>
  </si>
  <si>
    <t>Választott tisztségviselők beruházások</t>
  </si>
  <si>
    <t>Sírhely tárgyi eszköz beszerzések</t>
  </si>
  <si>
    <t>Mese Óvoda lapostető szigetelés</t>
  </si>
  <si>
    <t>030</t>
  </si>
  <si>
    <t>066010</t>
  </si>
  <si>
    <t>Baktay téri öntözőrendszer felújítása</t>
  </si>
  <si>
    <t xml:space="preserve">Százszorszép tetőcsere,vizesblokk </t>
  </si>
  <si>
    <t>I. Világháborús Emlékmű felújítása</t>
  </si>
  <si>
    <t>Hunyadi tagintézmény területén csapadékvíz elvezetés kiépítése</t>
  </si>
  <si>
    <t>2017. évi csapadékvíz beruházások műszaki ellenőrzése</t>
  </si>
  <si>
    <t>A3 csapadékcsatorna mederburkolási terve</t>
  </si>
  <si>
    <t>Coca-colától A3-ig belvíz elvezetés tervezése</t>
  </si>
  <si>
    <t>Dunaharaszti Szivárvány Óvoda</t>
  </si>
  <si>
    <t>Dunaharaszti József Attila Művelődési Ház</t>
  </si>
  <si>
    <t>Polgárőr Egyesület támogatása</t>
  </si>
  <si>
    <t>DMTK támogatás: 87/2017. (IX.25.) sz. Kt. Határozat:  Sportcsarnok kivitelezési munkáira többletfedezet biztosítása</t>
  </si>
  <si>
    <t>022010    Polgári honvéd.ágazati feladatai, a lakosság felk.</t>
  </si>
  <si>
    <t>K42/31</t>
  </si>
  <si>
    <t>Természetben nyújtott gyermekvédelmi támogatás</t>
  </si>
  <si>
    <t>091110     Óvodai nevelés, ellátás szakmai feladatai</t>
  </si>
  <si>
    <t>001   Intézmény finanszírozás</t>
  </si>
  <si>
    <t>002     Szivárvány Óvoda</t>
  </si>
  <si>
    <t>003   Százszorszép Óvoda</t>
  </si>
  <si>
    <t>111    Továbbszámlázás bevétele és kiadása</t>
  </si>
  <si>
    <t xml:space="preserve">Önként </t>
  </si>
  <si>
    <t>05</t>
  </si>
  <si>
    <t>Dunaharaszti Család- és Gyermekjóléti Szolgálat (Hátrányos helyzetű  gyermekek)</t>
  </si>
  <si>
    <t>Dunaharaszti Szivárvány Óvoda (Szivárvány)</t>
  </si>
  <si>
    <t>7001</t>
  </si>
  <si>
    <t>Dunaharaszti Szivárvány Óvoda (Százszorszép)</t>
  </si>
  <si>
    <t>7002</t>
  </si>
  <si>
    <r>
      <t xml:space="preserve">001  </t>
    </r>
    <r>
      <rPr>
        <sz val="10"/>
        <rFont val="Garamond"/>
        <family val="1"/>
        <charset val="238"/>
      </rPr>
      <t xml:space="preserve">         216</t>
    </r>
  </si>
  <si>
    <t>Millenium utca burkolat szélesítése; 2 db villanyoszlop és 1 db kandelláber áthelyezése</t>
  </si>
  <si>
    <t>Takarítás átszervezéséhez kapcsolódó tartalék</t>
  </si>
  <si>
    <t>2016. éves beszámoló 11/M űrlap 3. oszlop Pótlólagos állami támogatás</t>
  </si>
  <si>
    <t>Dunaharaszti Városi Könyvtár</t>
  </si>
  <si>
    <t xml:space="preserve"> ebből: Helytörténeti emléktár</t>
  </si>
  <si>
    <t xml:space="preserve">Ebből: Európai Uniós feladatok </t>
  </si>
  <si>
    <t>116.</t>
  </si>
  <si>
    <t>217 Százszorszép Óvoda pályázat</t>
  </si>
  <si>
    <t>117.</t>
  </si>
  <si>
    <t>218 Puskás Tivadar körforgalom</t>
  </si>
  <si>
    <t>219 Teniszpálya fejlesztése</t>
  </si>
  <si>
    <t>220 Épületenergetikai pályázat</t>
  </si>
  <si>
    <t>052</t>
  </si>
  <si>
    <t>106010</t>
  </si>
  <si>
    <t>Lakásgazdálkodás eszköz beszerzések</t>
  </si>
  <si>
    <t>219</t>
  </si>
  <si>
    <t>Teniszpályák fejlesztése</t>
  </si>
  <si>
    <t>220</t>
  </si>
  <si>
    <t>Épületenergetikai pályázat</t>
  </si>
  <si>
    <t>093</t>
  </si>
  <si>
    <t>041233</t>
  </si>
  <si>
    <t>Közmunkások: eszköz beszerzések</t>
  </si>
  <si>
    <t>040</t>
  </si>
  <si>
    <t>041160</t>
  </si>
  <si>
    <t>Települési Arculati Kézikönyv</t>
  </si>
  <si>
    <t>Művelődési Ház környezetében út- és járda építése</t>
  </si>
  <si>
    <t>Festő utca útépítése</t>
  </si>
  <si>
    <t>218</t>
  </si>
  <si>
    <t>045120</t>
  </si>
  <si>
    <t>Psukás Tivadar körforgalom</t>
  </si>
  <si>
    <t>Hétszínvirág Óvodában menekülési útvonalak irányfényjelző berendezések kiépítése</t>
  </si>
  <si>
    <t>Dunaharaszti 510-es fő út mentén a DTCS és Taksony közötti szakaszon a vízellátás é szennyvízelvezetés tervezése</t>
  </si>
  <si>
    <t>Hétszínvirág Óvoda tűzjelző rendszer felújítása</t>
  </si>
  <si>
    <t>2017. évi szennyvíz felújítások</t>
  </si>
  <si>
    <t>2017. évi víz felújítások</t>
  </si>
  <si>
    <t>Dunaharaszti Nőegylet támogatása</t>
  </si>
  <si>
    <t>MÁK korrekciója</t>
  </si>
  <si>
    <t>1-12. számú mellékletek</t>
  </si>
  <si>
    <t>Dunaharaszti Város Önkormányzata 2017. évi költségvetésének végrehajtásáról szóló beszámoló (zárszámadás) pénzforgalmi adatokat tartalmazó táblázatai</t>
  </si>
  <si>
    <t>Statisztikai állományi létszám (fő)  2017.12.31.</t>
  </si>
  <si>
    <t>Üres álláshelyek 2017.12.31.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</si>
</sst>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  <numFmt numFmtId="167" formatCode="#,##0.00_ ;\-#,##0.00\ "/>
    <numFmt numFmtId="168" formatCode="#,##0.0_ ;\-#,##0.0\ "/>
    <numFmt numFmtId="169" formatCode="_-* #,##0.0\ _F_t_-;\-* #,##0.0\ _F_t_-;_-* &quot;-&quot;??\ _F_t_-;_-@_-"/>
    <numFmt numFmtId="170" formatCode="_-* #,##0\ &quot;Ft&quot;_-;\-* #,##0\ &quot;Ft&quot;_-;_-* &quot;-&quot;??\ &quot;Ft&quot;_-;_-@_-"/>
    <numFmt numFmtId="171" formatCode="#,##0\ &quot;Ft&quot;"/>
    <numFmt numFmtId="172" formatCode="_-* #,##0.0000\ _F_t_-;\-* #,##0.0000\ _F_t_-;_-* &quot;-&quot;??\ _F_t_-;_-@_-"/>
    <numFmt numFmtId="173" formatCode="_-* #,##0.0\ &quot;Ft&quot;_-;\-* #,##0.0\ &quot;Ft&quot;_-;_-* &quot;-&quot;??\ &quot;Ft&quot;_-;_-@_-"/>
    <numFmt numFmtId="174" formatCode="_-* #,##0.000\ _F_t_-;\-* #,##0.000\ _F_t_-;_-* &quot;-&quot;??\ _F_t_-;_-@_-"/>
  </numFmts>
  <fonts count="4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Garamond"/>
      <family val="1"/>
      <charset val="238"/>
    </font>
    <font>
      <sz val="12"/>
      <color indexed="8"/>
      <name val="Garamond"/>
      <family val="1"/>
      <charset val="238"/>
    </font>
    <font>
      <b/>
      <sz val="12"/>
      <name val="Garamond"/>
      <family val="1"/>
      <charset val="238"/>
    </font>
    <font>
      <b/>
      <sz val="12"/>
      <color indexed="8"/>
      <name val="Garamond"/>
      <family val="1"/>
      <charset val="238"/>
    </font>
    <font>
      <b/>
      <i/>
      <sz val="12"/>
      <name val="Garamond"/>
      <family val="1"/>
      <charset val="238"/>
    </font>
    <font>
      <b/>
      <i/>
      <sz val="12"/>
      <color indexed="8"/>
      <name val="Garamond"/>
      <family val="1"/>
      <charset val="238"/>
    </font>
    <font>
      <i/>
      <sz val="12"/>
      <color indexed="8"/>
      <name val="Garamond"/>
      <family val="1"/>
      <charset val="238"/>
    </font>
    <font>
      <sz val="10"/>
      <name val="Arial"/>
      <family val="2"/>
      <charset val="238"/>
    </font>
    <font>
      <b/>
      <sz val="13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1"/>
      <name val="Garamond"/>
      <family val="1"/>
      <charset val="238"/>
    </font>
    <font>
      <b/>
      <sz val="14"/>
      <name val="Garamond"/>
      <family val="1"/>
      <charset val="238"/>
    </font>
    <font>
      <strike/>
      <sz val="10"/>
      <name val="Garamond"/>
      <family val="1"/>
      <charset val="238"/>
    </font>
    <font>
      <b/>
      <sz val="14"/>
      <name val="Arial CE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b/>
      <i/>
      <sz val="12"/>
      <name val="Calibri"/>
      <family val="2"/>
      <charset val="238"/>
      <scheme val="minor"/>
    </font>
    <font>
      <sz val="11"/>
      <color indexed="8"/>
      <name val="Garamond"/>
      <family val="1"/>
      <charset val="238"/>
    </font>
    <font>
      <b/>
      <sz val="12"/>
      <name val="Arial CE"/>
      <charset val="238"/>
    </font>
    <font>
      <b/>
      <sz val="11"/>
      <color indexed="8"/>
      <name val="Garamond"/>
      <family val="1"/>
      <charset val="238"/>
    </font>
    <font>
      <b/>
      <sz val="10"/>
      <name val="Arial CE"/>
      <charset val="238"/>
    </font>
    <font>
      <sz val="12"/>
      <color indexed="17"/>
      <name val="Garamond"/>
      <family val="1"/>
      <charset val="238"/>
    </font>
    <font>
      <sz val="12"/>
      <color indexed="53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81">
    <xf numFmtId="0" fontId="0" fillId="0" borderId="0" xfId="0"/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7" fillId="2" borderId="2" xfId="0" quotePrefix="1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vertical="center"/>
    </xf>
    <xf numFmtId="166" fontId="5" fillId="2" borderId="2" xfId="1" applyNumberFormat="1" applyFont="1" applyFill="1" applyBorder="1"/>
    <xf numFmtId="166" fontId="5" fillId="2" borderId="0" xfId="0" applyNumberFormat="1" applyFont="1" applyFill="1"/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/>
    <xf numFmtId="166" fontId="7" fillId="2" borderId="0" xfId="0" applyNumberFormat="1" applyFont="1" applyFill="1"/>
    <xf numFmtId="0" fontId="6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vertical="center"/>
    </xf>
    <xf numFmtId="0" fontId="10" fillId="2" borderId="0" xfId="0" applyFont="1" applyFill="1"/>
    <xf numFmtId="0" fontId="7" fillId="2" borderId="2" xfId="0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left" vertical="center" wrapText="1"/>
    </xf>
    <xf numFmtId="166" fontId="9" fillId="2" borderId="0" xfId="0" applyNumberFormat="1" applyFont="1" applyFill="1"/>
    <xf numFmtId="0" fontId="9" fillId="2" borderId="0" xfId="0" applyFont="1" applyFill="1"/>
    <xf numFmtId="0" fontId="9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right" vertical="center"/>
    </xf>
    <xf numFmtId="166" fontId="7" fillId="2" borderId="2" xfId="1" applyNumberFormat="1" applyFont="1" applyFill="1" applyBorder="1"/>
    <xf numFmtId="0" fontId="7" fillId="2" borderId="0" xfId="0" applyFont="1" applyFill="1" applyBorder="1"/>
    <xf numFmtId="164" fontId="5" fillId="2" borderId="0" xfId="0" applyNumberFormat="1" applyFont="1" applyFill="1"/>
    <xf numFmtId="166" fontId="5" fillId="2" borderId="0" xfId="0" applyNumberFormat="1" applyFont="1" applyFill="1" applyBorder="1"/>
    <xf numFmtId="166" fontId="5" fillId="2" borderId="4" xfId="0" applyNumberFormat="1" applyFont="1" applyFill="1" applyBorder="1"/>
    <xf numFmtId="0" fontId="5" fillId="2" borderId="0" xfId="0" applyFont="1" applyFill="1" applyBorder="1"/>
    <xf numFmtId="166" fontId="5" fillId="2" borderId="0" xfId="1" applyNumberFormat="1" applyFont="1" applyFill="1" applyBorder="1"/>
    <xf numFmtId="0" fontId="13" fillId="2" borderId="0" xfId="0" applyFont="1" applyFill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textRotation="90"/>
    </xf>
    <xf numFmtId="0" fontId="13" fillId="2" borderId="14" xfId="0" applyFont="1" applyFill="1" applyBorder="1" applyAlignment="1">
      <alignment horizontal="center" vertical="center" textRotation="90"/>
    </xf>
    <xf numFmtId="0" fontId="13" fillId="2" borderId="15" xfId="0" applyFont="1" applyFill="1" applyBorder="1" applyAlignment="1">
      <alignment horizontal="center" vertical="center"/>
    </xf>
    <xf numFmtId="166" fontId="14" fillId="2" borderId="17" xfId="1" applyNumberFormat="1" applyFont="1" applyFill="1" applyBorder="1" applyAlignment="1">
      <alignment vertical="center"/>
    </xf>
    <xf numFmtId="166" fontId="14" fillId="2" borderId="2" xfId="0" applyNumberFormat="1" applyFont="1" applyFill="1" applyBorder="1" applyAlignment="1">
      <alignment vertical="center"/>
    </xf>
    <xf numFmtId="0" fontId="14" fillId="2" borderId="0" xfId="0" applyFont="1" applyFill="1"/>
    <xf numFmtId="0" fontId="13" fillId="0" borderId="18" xfId="0" applyFont="1" applyFill="1" applyBorder="1" applyAlignment="1">
      <alignment horizontal="center" vertical="center"/>
    </xf>
    <xf numFmtId="0" fontId="13" fillId="0" borderId="19" xfId="0" quotePrefix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19" xfId="0" applyFont="1" applyFill="1" applyBorder="1" applyAlignment="1">
      <alignment horizontal="left" vertical="center" wrapText="1"/>
    </xf>
    <xf numFmtId="166" fontId="13" fillId="0" borderId="19" xfId="1" applyNumberFormat="1" applyFont="1" applyFill="1" applyBorder="1" applyAlignment="1">
      <alignment vertical="center"/>
    </xf>
    <xf numFmtId="166" fontId="13" fillId="0" borderId="20" xfId="1" applyNumberFormat="1" applyFont="1" applyFill="1" applyBorder="1" applyAlignment="1">
      <alignment vertical="center"/>
    </xf>
    <xf numFmtId="0" fontId="13" fillId="0" borderId="23" xfId="0" quotePrefix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 wrapText="1"/>
    </xf>
    <xf numFmtId="166" fontId="13" fillId="0" borderId="23" xfId="1" applyNumberFormat="1" applyFont="1" applyFill="1" applyBorder="1" applyAlignment="1">
      <alignment vertical="center"/>
    </xf>
    <xf numFmtId="166" fontId="13" fillId="0" borderId="24" xfId="1" applyNumberFormat="1" applyFont="1" applyFill="1" applyBorder="1" applyAlignment="1">
      <alignment vertical="center"/>
    </xf>
    <xf numFmtId="166" fontId="13" fillId="0" borderId="25" xfId="1" applyNumberFormat="1" applyFont="1" applyFill="1" applyBorder="1" applyAlignment="1">
      <alignment vertical="center"/>
    </xf>
    <xf numFmtId="0" fontId="13" fillId="0" borderId="23" xfId="0" applyFont="1" applyFill="1" applyBorder="1" applyAlignment="1">
      <alignment wrapText="1"/>
    </xf>
    <xf numFmtId="0" fontId="13" fillId="0" borderId="26" xfId="0" quotePrefix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 wrapText="1"/>
    </xf>
    <xf numFmtId="166" fontId="13" fillId="0" borderId="26" xfId="1" applyNumberFormat="1" applyFont="1" applyFill="1" applyBorder="1" applyAlignment="1">
      <alignment vertical="center"/>
    </xf>
    <xf numFmtId="166" fontId="13" fillId="0" borderId="27" xfId="1" applyNumberFormat="1" applyFont="1" applyFill="1" applyBorder="1" applyAlignment="1">
      <alignment vertical="center"/>
    </xf>
    <xf numFmtId="0" fontId="15" fillId="3" borderId="23" xfId="0" applyFont="1" applyFill="1" applyBorder="1" applyAlignment="1">
      <alignment horizontal="left" vertical="center" wrapText="1"/>
    </xf>
    <xf numFmtId="166" fontId="13" fillId="0" borderId="28" xfId="1" applyNumberFormat="1" applyFont="1" applyFill="1" applyBorder="1" applyAlignment="1">
      <alignment vertical="center"/>
    </xf>
    <xf numFmtId="0" fontId="13" fillId="2" borderId="23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vertical="center" wrapText="1"/>
    </xf>
    <xf numFmtId="166" fontId="13" fillId="0" borderId="30" xfId="1" applyNumberFormat="1" applyFont="1" applyFill="1" applyBorder="1" applyAlignment="1">
      <alignment vertical="center"/>
    </xf>
    <xf numFmtId="166" fontId="14" fillId="2" borderId="10" xfId="0" applyNumberFormat="1" applyFont="1" applyFill="1" applyBorder="1" applyAlignment="1">
      <alignment vertical="center"/>
    </xf>
    <xf numFmtId="166" fontId="14" fillId="2" borderId="12" xfId="1" applyNumberFormat="1" applyFont="1" applyFill="1" applyBorder="1" applyAlignment="1">
      <alignment horizontal="center" vertical="center"/>
    </xf>
    <xf numFmtId="0" fontId="14" fillId="2" borderId="2" xfId="0" applyFont="1" applyFill="1" applyBorder="1"/>
    <xf numFmtId="0" fontId="13" fillId="2" borderId="36" xfId="0" applyFont="1" applyFill="1" applyBorder="1" applyAlignment="1">
      <alignment horizontal="center" vertical="center"/>
    </xf>
    <xf numFmtId="0" fontId="13" fillId="2" borderId="37" xfId="0" quotePrefix="1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vertical="center"/>
    </xf>
    <xf numFmtId="0" fontId="13" fillId="2" borderId="37" xfId="0" applyFont="1" applyFill="1" applyBorder="1" applyAlignment="1">
      <alignment vertical="center" wrapText="1"/>
    </xf>
    <xf numFmtId="166" fontId="13" fillId="2" borderId="37" xfId="1" applyNumberFormat="1" applyFont="1" applyFill="1" applyBorder="1" applyAlignment="1">
      <alignment vertical="center"/>
    </xf>
    <xf numFmtId="166" fontId="13" fillId="2" borderId="38" xfId="1" applyNumberFormat="1" applyFont="1" applyFill="1" applyBorder="1" applyAlignment="1">
      <alignment vertical="center"/>
    </xf>
    <xf numFmtId="166" fontId="13" fillId="2" borderId="39" xfId="1" applyNumberFormat="1" applyFont="1" applyFill="1" applyBorder="1" applyAlignment="1">
      <alignment vertical="center"/>
    </xf>
    <xf numFmtId="166" fontId="13" fillId="2" borderId="2" xfId="0" applyNumberFormat="1" applyFont="1" applyFill="1" applyBorder="1" applyAlignment="1">
      <alignment vertical="center"/>
    </xf>
    <xf numFmtId="0" fontId="13" fillId="2" borderId="2" xfId="0" applyFont="1" applyFill="1" applyBorder="1"/>
    <xf numFmtId="166" fontId="14" fillId="2" borderId="37" xfId="1" applyNumberFormat="1" applyFont="1" applyFill="1" applyBorder="1" applyAlignment="1">
      <alignment vertical="center"/>
    </xf>
    <xf numFmtId="166" fontId="13" fillId="2" borderId="0" xfId="1" applyNumberFormat="1" applyFont="1" applyFill="1"/>
    <xf numFmtId="0" fontId="13" fillId="2" borderId="0" xfId="0" applyFont="1" applyFill="1" applyAlignment="1">
      <alignment horizontal="right"/>
    </xf>
    <xf numFmtId="0" fontId="16" fillId="2" borderId="34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textRotation="90"/>
    </xf>
    <xf numFmtId="0" fontId="13" fillId="2" borderId="42" xfId="0" applyFont="1" applyFill="1" applyBorder="1" applyAlignment="1">
      <alignment horizontal="center" vertical="center" textRotation="90"/>
    </xf>
    <xf numFmtId="0" fontId="13" fillId="2" borderId="42" xfId="0" applyFont="1" applyFill="1" applyBorder="1" applyAlignment="1">
      <alignment horizontal="center" vertical="center"/>
    </xf>
    <xf numFmtId="166" fontId="13" fillId="2" borderId="30" xfId="1" applyNumberFormat="1" applyFont="1" applyFill="1" applyBorder="1" applyAlignment="1">
      <alignment horizontal="center" vertical="center" wrapText="1"/>
    </xf>
    <xf numFmtId="166" fontId="13" fillId="2" borderId="46" xfId="1" applyNumberFormat="1" applyFont="1" applyFill="1" applyBorder="1" applyAlignment="1">
      <alignment horizontal="center" vertical="center" wrapText="1"/>
    </xf>
    <xf numFmtId="166" fontId="14" fillId="2" borderId="17" xfId="1" applyNumberFormat="1" applyFont="1" applyFill="1" applyBorder="1" applyAlignment="1">
      <alignment horizontal="center" vertical="center" wrapText="1"/>
    </xf>
    <xf numFmtId="166" fontId="14" fillId="2" borderId="39" xfId="1" applyNumberFormat="1" applyFont="1" applyFill="1" applyBorder="1" applyAlignment="1">
      <alignment horizontal="center" vertical="center" wrapText="1"/>
    </xf>
    <xf numFmtId="166" fontId="14" fillId="2" borderId="0" xfId="1" applyNumberFormat="1" applyFont="1" applyFill="1"/>
    <xf numFmtId="0" fontId="13" fillId="0" borderId="19" xfId="0" applyFont="1" applyFill="1" applyBorder="1" applyAlignment="1">
      <alignment horizontal="center" vertical="center"/>
    </xf>
    <xf numFmtId="166" fontId="13" fillId="0" borderId="19" xfId="1" applyNumberFormat="1" applyFont="1" applyFill="1" applyBorder="1" applyAlignment="1">
      <alignment horizontal="center" vertical="center" wrapText="1"/>
    </xf>
    <xf numFmtId="166" fontId="13" fillId="0" borderId="20" xfId="1" applyNumberFormat="1" applyFont="1" applyFill="1" applyBorder="1" applyAlignment="1">
      <alignment horizontal="center" vertical="center" wrapText="1"/>
    </xf>
    <xf numFmtId="166" fontId="13" fillId="0" borderId="25" xfId="1" applyNumberFormat="1" applyFont="1" applyFill="1" applyBorder="1" applyAlignment="1">
      <alignment horizontal="center" vertical="center" wrapText="1"/>
    </xf>
    <xf numFmtId="16" fontId="13" fillId="0" borderId="47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166" fontId="13" fillId="0" borderId="23" xfId="1" applyNumberFormat="1" applyFont="1" applyFill="1" applyBorder="1" applyAlignment="1">
      <alignment horizontal="center" vertical="center" wrapText="1"/>
    </xf>
    <xf numFmtId="166" fontId="13" fillId="0" borderId="28" xfId="1" applyNumberFormat="1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166" fontId="13" fillId="0" borderId="26" xfId="1" applyNumberFormat="1" applyFont="1" applyFill="1" applyBorder="1" applyAlignment="1">
      <alignment horizontal="center" vertical="center" wrapText="1"/>
    </xf>
    <xf numFmtId="166" fontId="13" fillId="0" borderId="49" xfId="1" applyNumberFormat="1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166" fontId="14" fillId="0" borderId="17" xfId="1" applyNumberFormat="1" applyFont="1" applyFill="1" applyBorder="1" applyAlignment="1">
      <alignment horizontal="center" vertical="center" wrapText="1"/>
    </xf>
    <xf numFmtId="166" fontId="13" fillId="0" borderId="39" xfId="1" applyNumberFormat="1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/>
    </xf>
    <xf numFmtId="0" fontId="13" fillId="0" borderId="29" xfId="0" quotePrefix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66" fontId="13" fillId="0" borderId="29" xfId="1" applyNumberFormat="1" applyFont="1" applyFill="1" applyBorder="1" applyAlignment="1">
      <alignment horizontal="center" vertical="center" wrapText="1"/>
    </xf>
    <xf numFmtId="166" fontId="13" fillId="0" borderId="51" xfId="1" applyNumberFormat="1" applyFont="1" applyFill="1" applyBorder="1" applyAlignment="1">
      <alignment horizontal="center" vertical="center" wrapText="1"/>
    </xf>
    <xf numFmtId="166" fontId="13" fillId="0" borderId="52" xfId="1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166" fontId="14" fillId="0" borderId="0" xfId="1" applyNumberFormat="1" applyFont="1" applyFill="1"/>
    <xf numFmtId="0" fontId="14" fillId="0" borderId="0" xfId="0" applyFont="1" applyFill="1"/>
    <xf numFmtId="166" fontId="13" fillId="0" borderId="0" xfId="1" applyNumberFormat="1" applyFont="1" applyFill="1"/>
    <xf numFmtId="0" fontId="13" fillId="0" borderId="0" xfId="0" applyFont="1" applyFill="1"/>
    <xf numFmtId="0" fontId="13" fillId="0" borderId="16" xfId="0" applyFont="1" applyFill="1" applyBorder="1" applyAlignment="1">
      <alignment horizontal="center" vertical="center"/>
    </xf>
    <xf numFmtId="0" fontId="13" fillId="0" borderId="17" xfId="0" quotePrefix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66" fontId="13" fillId="0" borderId="17" xfId="1" applyNumberFormat="1" applyFont="1" applyFill="1" applyBorder="1" applyAlignment="1">
      <alignment horizontal="center" vertical="center" wrapText="1"/>
    </xf>
    <xf numFmtId="166" fontId="13" fillId="0" borderId="35" xfId="1" applyNumberFormat="1" applyFont="1" applyFill="1" applyBorder="1" applyAlignment="1">
      <alignment horizontal="center" vertical="center" wrapText="1"/>
    </xf>
    <xf numFmtId="166" fontId="13" fillId="2" borderId="0" xfId="1" applyNumberFormat="1" applyFont="1" applyFill="1" applyAlignment="1">
      <alignment horizontal="center" vertical="center" wrapText="1"/>
    </xf>
    <xf numFmtId="166" fontId="14" fillId="2" borderId="0" xfId="1" applyNumberFormat="1" applyFont="1" applyFill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6" fontId="13" fillId="0" borderId="21" xfId="1" applyNumberFormat="1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166" fontId="13" fillId="2" borderId="23" xfId="1" applyNumberFormat="1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6" fontId="13" fillId="2" borderId="0" xfId="1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166" fontId="13" fillId="2" borderId="39" xfId="1" applyNumberFormat="1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166" fontId="13" fillId="2" borderId="19" xfId="1" applyNumberFormat="1" applyFont="1" applyFill="1" applyBorder="1" applyAlignment="1">
      <alignment horizontal="center" vertical="center" wrapText="1"/>
    </xf>
    <xf numFmtId="166" fontId="13" fillId="2" borderId="25" xfId="1" applyNumberFormat="1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/>
    </xf>
    <xf numFmtId="166" fontId="13" fillId="2" borderId="26" xfId="1" applyNumberFormat="1" applyFont="1" applyFill="1" applyBorder="1" applyAlignment="1">
      <alignment horizontal="center" vertical="center" wrapText="1"/>
    </xf>
    <xf numFmtId="166" fontId="13" fillId="2" borderId="29" xfId="1" applyNumberFormat="1" applyFont="1" applyFill="1" applyBorder="1" applyAlignment="1">
      <alignment horizontal="center" vertical="center" wrapText="1"/>
    </xf>
    <xf numFmtId="166" fontId="13" fillId="2" borderId="17" xfId="1" applyNumberFormat="1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6" fontId="14" fillId="2" borderId="0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/>
    <xf numFmtId="0" fontId="16" fillId="2" borderId="0" xfId="0" applyFont="1" applyFill="1"/>
    <xf numFmtId="0" fontId="13" fillId="2" borderId="21" xfId="0" applyFont="1" applyFill="1" applyBorder="1" applyAlignment="1">
      <alignment horizontal="center" vertical="center" wrapText="1"/>
    </xf>
    <xf numFmtId="166" fontId="13" fillId="2" borderId="27" xfId="1" applyNumberFormat="1" applyFont="1" applyFill="1" applyBorder="1" applyAlignment="1">
      <alignment horizontal="center" vertical="center" wrapText="1"/>
    </xf>
    <xf numFmtId="166" fontId="13" fillId="2" borderId="49" xfId="1" applyNumberFormat="1" applyFont="1" applyFill="1" applyBorder="1" applyAlignment="1">
      <alignment horizontal="center" vertical="center" wrapText="1"/>
    </xf>
    <xf numFmtId="166" fontId="14" fillId="2" borderId="17" xfId="1" applyNumberFormat="1" applyFont="1" applyFill="1" applyBorder="1" applyAlignment="1">
      <alignment horizontal="center" vertical="center"/>
    </xf>
    <xf numFmtId="166" fontId="14" fillId="2" borderId="39" xfId="1" applyNumberFormat="1" applyFont="1" applyFill="1" applyBorder="1"/>
    <xf numFmtId="49" fontId="13" fillId="0" borderId="19" xfId="0" applyNumberFormat="1" applyFont="1" applyFill="1" applyBorder="1" applyAlignment="1">
      <alignment horizontal="center" vertical="center"/>
    </xf>
    <xf numFmtId="0" fontId="13" fillId="0" borderId="19" xfId="0" applyFont="1" applyFill="1" applyBorder="1"/>
    <xf numFmtId="0" fontId="13" fillId="0" borderId="19" xfId="0" applyFont="1" applyFill="1" applyBorder="1" applyAlignment="1">
      <alignment vertical="center" wrapText="1"/>
    </xf>
    <xf numFmtId="166" fontId="13" fillId="0" borderId="19" xfId="1" applyNumberFormat="1" applyFont="1" applyFill="1" applyBorder="1" applyAlignment="1">
      <alignment horizontal="center" vertical="center"/>
    </xf>
    <xf numFmtId="166" fontId="13" fillId="0" borderId="20" xfId="1" applyNumberFormat="1" applyFont="1" applyFill="1" applyBorder="1" applyAlignment="1">
      <alignment horizontal="center" vertical="center"/>
    </xf>
    <xf numFmtId="49" fontId="13" fillId="2" borderId="23" xfId="0" applyNumberFormat="1" applyFont="1" applyFill="1" applyBorder="1" applyAlignment="1">
      <alignment horizontal="center" vertical="center"/>
    </xf>
    <xf numFmtId="0" fontId="13" fillId="2" borderId="26" xfId="0" applyFont="1" applyFill="1" applyBorder="1"/>
    <xf numFmtId="166" fontId="13" fillId="2" borderId="19" xfId="1" applyNumberFormat="1" applyFont="1" applyFill="1" applyBorder="1" applyAlignment="1">
      <alignment vertical="center"/>
    </xf>
    <xf numFmtId="166" fontId="13" fillId="2" borderId="26" xfId="1" applyNumberFormat="1" applyFont="1" applyFill="1" applyBorder="1" applyAlignment="1">
      <alignment horizontal="center" vertical="center"/>
    </xf>
    <xf numFmtId="166" fontId="13" fillId="2" borderId="27" xfId="1" applyNumberFormat="1" applyFont="1" applyFill="1" applyBorder="1" applyAlignment="1">
      <alignment horizontal="center" vertical="center"/>
    </xf>
    <xf numFmtId="166" fontId="13" fillId="2" borderId="49" xfId="1" applyNumberFormat="1" applyFont="1" applyFill="1" applyBorder="1" applyAlignment="1">
      <alignment vertical="center"/>
    </xf>
    <xf numFmtId="166" fontId="14" fillId="2" borderId="39" xfId="1" applyNumberFormat="1" applyFont="1" applyFill="1" applyBorder="1" applyAlignment="1">
      <alignment vertical="center"/>
    </xf>
    <xf numFmtId="166" fontId="13" fillId="0" borderId="19" xfId="1" applyNumberFormat="1" applyFont="1" applyFill="1" applyBorder="1"/>
    <xf numFmtId="49" fontId="13" fillId="0" borderId="23" xfId="0" applyNumberFormat="1" applyFont="1" applyFill="1" applyBorder="1" applyAlignment="1">
      <alignment horizontal="center" vertical="center"/>
    </xf>
    <xf numFmtId="0" fontId="13" fillId="0" borderId="23" xfId="0" applyFont="1" applyFill="1" applyBorder="1"/>
    <xf numFmtId="166" fontId="13" fillId="0" borderId="23" xfId="1" applyNumberFormat="1" applyFont="1" applyFill="1" applyBorder="1"/>
    <xf numFmtId="166" fontId="13" fillId="0" borderId="49" xfId="1" applyNumberFormat="1" applyFont="1" applyFill="1" applyBorder="1" applyAlignment="1">
      <alignment vertical="center"/>
    </xf>
    <xf numFmtId="0" fontId="13" fillId="2" borderId="16" xfId="0" applyFont="1" applyFill="1" applyBorder="1"/>
    <xf numFmtId="49" fontId="13" fillId="2" borderId="17" xfId="0" applyNumberFormat="1" applyFont="1" applyFill="1" applyBorder="1"/>
    <xf numFmtId="0" fontId="13" fillId="2" borderId="17" xfId="0" applyFont="1" applyFill="1" applyBorder="1"/>
    <xf numFmtId="0" fontId="14" fillId="2" borderId="17" xfId="0" applyFont="1" applyFill="1" applyBorder="1" applyAlignment="1">
      <alignment horizontal="right" vertical="center"/>
    </xf>
    <xf numFmtId="166" fontId="13" fillId="2" borderId="39" xfId="1" applyNumberFormat="1" applyFont="1" applyFill="1" applyBorder="1"/>
    <xf numFmtId="49" fontId="13" fillId="2" borderId="0" xfId="0" applyNumberFormat="1" applyFont="1" applyFill="1"/>
    <xf numFmtId="49" fontId="13" fillId="0" borderId="17" xfId="0" applyNumberFormat="1" applyFont="1" applyFill="1" applyBorder="1" applyAlignment="1">
      <alignment horizontal="center" vertical="center"/>
    </xf>
    <xf numFmtId="0" fontId="13" fillId="0" borderId="17" xfId="0" applyFont="1" applyFill="1" applyBorder="1"/>
    <xf numFmtId="0" fontId="13" fillId="0" borderId="17" xfId="0" applyFont="1" applyFill="1" applyBorder="1" applyAlignment="1">
      <alignment vertical="center" wrapText="1"/>
    </xf>
    <xf numFmtId="166" fontId="13" fillId="0" borderId="17" xfId="1" applyNumberFormat="1" applyFont="1" applyFill="1" applyBorder="1" applyAlignment="1">
      <alignment vertical="center"/>
    </xf>
    <xf numFmtId="166" fontId="13" fillId="0" borderId="17" xfId="1" applyNumberFormat="1" applyFont="1" applyFill="1" applyBorder="1" applyAlignment="1">
      <alignment horizontal="center" vertical="center"/>
    </xf>
    <xf numFmtId="166" fontId="13" fillId="0" borderId="35" xfId="1" applyNumberFormat="1" applyFont="1" applyFill="1" applyBorder="1" applyAlignment="1">
      <alignment horizontal="center" vertical="center"/>
    </xf>
    <xf numFmtId="166" fontId="13" fillId="0" borderId="39" xfId="1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49" fontId="13" fillId="0" borderId="19" xfId="0" quotePrefix="1" applyNumberFormat="1" applyFont="1" applyFill="1" applyBorder="1" applyAlignment="1">
      <alignment vertical="center"/>
    </xf>
    <xf numFmtId="49" fontId="13" fillId="0" borderId="23" xfId="0" quotePrefix="1" applyNumberFormat="1" applyFont="1" applyFill="1" applyBorder="1" applyAlignment="1">
      <alignment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30" xfId="0" quotePrefix="1" applyFont="1" applyFill="1" applyBorder="1" applyAlignment="1">
      <alignment vertical="center"/>
    </xf>
    <xf numFmtId="0" fontId="13" fillId="0" borderId="30" xfId="0" applyFont="1" applyFill="1" applyBorder="1"/>
    <xf numFmtId="0" fontId="13" fillId="0" borderId="30" xfId="0" applyFont="1" applyFill="1" applyBorder="1" applyAlignment="1">
      <alignment vertical="center"/>
    </xf>
    <xf numFmtId="166" fontId="13" fillId="0" borderId="29" xfId="1" applyNumberFormat="1" applyFont="1" applyFill="1" applyBorder="1" applyAlignment="1">
      <alignment vertical="center"/>
    </xf>
    <xf numFmtId="166" fontId="13" fillId="0" borderId="29" xfId="1" applyNumberFormat="1" applyFont="1" applyFill="1" applyBorder="1"/>
    <xf numFmtId="166" fontId="13" fillId="0" borderId="51" xfId="1" applyNumberFormat="1" applyFont="1" applyFill="1" applyBorder="1" applyAlignment="1">
      <alignment vertical="center"/>
    </xf>
    <xf numFmtId="166" fontId="13" fillId="0" borderId="46" xfId="1" applyNumberFormat="1" applyFont="1" applyFill="1" applyBorder="1" applyAlignment="1">
      <alignment vertical="center"/>
    </xf>
    <xf numFmtId="166" fontId="14" fillId="2" borderId="37" xfId="0" applyNumberFormat="1" applyFont="1" applyFill="1" applyBorder="1" applyAlignment="1">
      <alignment vertical="center"/>
    </xf>
    <xf numFmtId="166" fontId="14" fillId="2" borderId="17" xfId="0" applyNumberFormat="1" applyFont="1" applyFill="1" applyBorder="1" applyAlignment="1">
      <alignment vertical="center"/>
    </xf>
    <xf numFmtId="0" fontId="14" fillId="2" borderId="31" xfId="0" applyFont="1" applyFill="1" applyBorder="1" applyAlignment="1">
      <alignment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3" fillId="2" borderId="0" xfId="0" applyNumberFormat="1" applyFont="1" applyFill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166" fontId="13" fillId="0" borderId="19" xfId="1" applyNumberFormat="1" applyFont="1" applyBorder="1" applyAlignment="1">
      <alignment horizontal="center" vertical="center"/>
    </xf>
    <xf numFmtId="166" fontId="13" fillId="0" borderId="20" xfId="1" applyNumberFormat="1" applyFont="1" applyBorder="1" applyAlignment="1">
      <alignment horizontal="center" vertical="center"/>
    </xf>
    <xf numFmtId="166" fontId="13" fillId="0" borderId="55" xfId="1" applyNumberFormat="1" applyFont="1" applyBorder="1" applyAlignment="1">
      <alignment horizontal="center" vertical="center"/>
    </xf>
    <xf numFmtId="166" fontId="14" fillId="0" borderId="39" xfId="1" applyNumberFormat="1" applyFont="1" applyFill="1" applyBorder="1"/>
    <xf numFmtId="0" fontId="14" fillId="0" borderId="0" xfId="0" applyFont="1"/>
    <xf numFmtId="166" fontId="14" fillId="0" borderId="17" xfId="1" applyNumberFormat="1" applyFont="1" applyBorder="1" applyAlignment="1">
      <alignment horizontal="center" vertical="center"/>
    </xf>
    <xf numFmtId="166" fontId="14" fillId="0" borderId="39" xfId="1" applyNumberFormat="1" applyFont="1" applyFill="1" applyBorder="1" applyAlignment="1">
      <alignment horizontal="center" vertical="center"/>
    </xf>
    <xf numFmtId="166" fontId="13" fillId="0" borderId="42" xfId="1" applyNumberFormat="1" applyFont="1" applyFill="1" applyBorder="1" applyAlignment="1">
      <alignment horizontal="center" vertical="center"/>
    </xf>
    <xf numFmtId="166" fontId="13" fillId="0" borderId="26" xfId="1" applyNumberFormat="1" applyFont="1" applyFill="1" applyBorder="1" applyAlignment="1">
      <alignment horizontal="center" vertical="center"/>
    </xf>
    <xf numFmtId="166" fontId="13" fillId="0" borderId="27" xfId="1" applyNumberFormat="1" applyFont="1" applyFill="1" applyBorder="1" applyAlignment="1">
      <alignment horizontal="center" vertical="center"/>
    </xf>
    <xf numFmtId="166" fontId="13" fillId="0" borderId="21" xfId="1" applyNumberFormat="1" applyFont="1" applyFill="1" applyBorder="1" applyAlignment="1">
      <alignment horizontal="center" vertical="center"/>
    </xf>
    <xf numFmtId="166" fontId="13" fillId="0" borderId="18" xfId="1" applyNumberFormat="1" applyFont="1" applyFill="1" applyBorder="1" applyAlignment="1">
      <alignment vertical="center"/>
    </xf>
    <xf numFmtId="166" fontId="13" fillId="0" borderId="26" xfId="1" applyNumberFormat="1" applyFont="1" applyFill="1" applyBorder="1"/>
    <xf numFmtId="166" fontId="13" fillId="0" borderId="42" xfId="1" applyNumberFormat="1" applyFont="1" applyFill="1" applyBorder="1"/>
    <xf numFmtId="166" fontId="13" fillId="0" borderId="25" xfId="1" applyNumberFormat="1" applyFont="1" applyFill="1" applyBorder="1" applyAlignment="1">
      <alignment horizontal="center" vertical="center"/>
    </xf>
    <xf numFmtId="166" fontId="13" fillId="0" borderId="0" xfId="0" applyNumberFormat="1" applyFont="1"/>
    <xf numFmtId="166" fontId="13" fillId="0" borderId="23" xfId="1" applyNumberFormat="1" applyFont="1" applyFill="1" applyBorder="1" applyAlignment="1">
      <alignment horizontal="center" vertical="center"/>
    </xf>
    <xf numFmtId="166" fontId="13" fillId="0" borderId="28" xfId="1" applyNumberFormat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/>
    </xf>
    <xf numFmtId="166" fontId="13" fillId="0" borderId="18" xfId="1" applyNumberFormat="1" applyFont="1" applyBorder="1" applyAlignment="1">
      <alignment vertical="center"/>
    </xf>
    <xf numFmtId="166" fontId="13" fillId="0" borderId="26" xfId="1" applyNumberFormat="1" applyFont="1" applyBorder="1" applyAlignment="1">
      <alignment vertical="center"/>
    </xf>
    <xf numFmtId="166" fontId="13" fillId="0" borderId="49" xfId="1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166" fontId="13" fillId="0" borderId="30" xfId="1" applyNumberFormat="1" applyFont="1" applyFill="1" applyBorder="1" applyAlignment="1">
      <alignment horizontal="center" vertical="center"/>
    </xf>
    <xf numFmtId="166" fontId="13" fillId="0" borderId="46" xfId="1" applyNumberFormat="1" applyFont="1" applyFill="1" applyBorder="1" applyAlignment="1">
      <alignment horizontal="center" vertical="center"/>
    </xf>
    <xf numFmtId="49" fontId="13" fillId="0" borderId="23" xfId="0" quotePrefix="1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 wrapText="1"/>
    </xf>
    <xf numFmtId="166" fontId="13" fillId="0" borderId="48" xfId="1" applyNumberFormat="1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166" fontId="13" fillId="0" borderId="24" xfId="1" applyNumberFormat="1" applyFont="1" applyFill="1" applyBorder="1" applyAlignment="1">
      <alignment horizontal="center" vertical="center"/>
    </xf>
    <xf numFmtId="49" fontId="13" fillId="0" borderId="44" xfId="0" applyNumberFormat="1" applyFont="1" applyFill="1" applyBorder="1" applyAlignment="1">
      <alignment horizontal="center" vertical="center"/>
    </xf>
    <xf numFmtId="49" fontId="13" fillId="0" borderId="30" xfId="0" quotePrefix="1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left" vertical="center" wrapText="1"/>
    </xf>
    <xf numFmtId="166" fontId="13" fillId="0" borderId="45" xfId="1" applyNumberFormat="1" applyFont="1" applyFill="1" applyBorder="1" applyAlignment="1">
      <alignment horizontal="center" vertical="center"/>
    </xf>
    <xf numFmtId="166" fontId="13" fillId="0" borderId="44" xfId="1" applyNumberFormat="1" applyFont="1" applyFill="1" applyBorder="1" applyAlignment="1">
      <alignment vertical="center"/>
    </xf>
    <xf numFmtId="166" fontId="13" fillId="0" borderId="30" xfId="1" applyNumberFormat="1" applyFont="1" applyFill="1" applyBorder="1"/>
    <xf numFmtId="166" fontId="13" fillId="0" borderId="29" xfId="1" applyNumberFormat="1" applyFont="1" applyFill="1" applyBorder="1" applyAlignment="1">
      <alignment horizontal="center" vertical="center"/>
    </xf>
    <xf numFmtId="166" fontId="13" fillId="0" borderId="39" xfId="1" applyNumberFormat="1" applyFont="1" applyFill="1" applyBorder="1" applyAlignment="1">
      <alignment horizontal="center" vertical="center"/>
    </xf>
    <xf numFmtId="166" fontId="13" fillId="0" borderId="27" xfId="1" applyNumberFormat="1" applyFont="1" applyFill="1" applyBorder="1"/>
    <xf numFmtId="166" fontId="13" fillId="0" borderId="51" xfId="1" applyNumberFormat="1" applyFont="1" applyFill="1" applyBorder="1"/>
    <xf numFmtId="49" fontId="13" fillId="0" borderId="26" xfId="0" quotePrefix="1" applyNumberFormat="1" applyFont="1" applyFill="1" applyBorder="1" applyAlignment="1">
      <alignment horizontal="center" vertical="center"/>
    </xf>
    <xf numFmtId="166" fontId="13" fillId="0" borderId="40" xfId="1" applyNumberFormat="1" applyFont="1" applyFill="1" applyBorder="1" applyAlignment="1">
      <alignment horizontal="center" vertical="center"/>
    </xf>
    <xf numFmtId="49" fontId="13" fillId="0" borderId="48" xfId="0" quotePrefix="1" applyNumberFormat="1" applyFont="1" applyFill="1" applyBorder="1" applyAlignment="1">
      <alignment horizontal="center" vertical="center"/>
    </xf>
    <xf numFmtId="49" fontId="13" fillId="0" borderId="47" xfId="0" applyNumberFormat="1" applyFont="1" applyFill="1" applyBorder="1" applyAlignment="1">
      <alignment horizontal="center" vertical="center"/>
    </xf>
    <xf numFmtId="49" fontId="13" fillId="0" borderId="23" xfId="0" quotePrefix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166" fontId="14" fillId="0" borderId="21" xfId="1" applyNumberFormat="1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166" fontId="13" fillId="0" borderId="23" xfId="1" applyNumberFormat="1" applyFont="1" applyBorder="1" applyAlignment="1">
      <alignment vertical="center"/>
    </xf>
    <xf numFmtId="166" fontId="13" fillId="0" borderId="24" xfId="1" applyNumberFormat="1" applyFont="1" applyBorder="1" applyAlignment="1">
      <alignment vertical="center"/>
    </xf>
    <xf numFmtId="166" fontId="6" fillId="0" borderId="17" xfId="1" applyNumberFormat="1" applyFont="1" applyBorder="1" applyAlignment="1">
      <alignment vertical="center"/>
    </xf>
    <xf numFmtId="166" fontId="6" fillId="0" borderId="39" xfId="1" applyNumberFormat="1" applyFont="1" applyFill="1" applyBorder="1"/>
    <xf numFmtId="0" fontId="6" fillId="0" borderId="0" xfId="0" applyFont="1"/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166" fontId="13" fillId="0" borderId="17" xfId="1" applyNumberFormat="1" applyFont="1" applyBorder="1" applyAlignment="1">
      <alignment horizontal="center" vertical="center"/>
    </xf>
    <xf numFmtId="166" fontId="13" fillId="0" borderId="39" xfId="1" applyNumberFormat="1" applyFont="1" applyBorder="1" applyAlignment="1">
      <alignment horizontal="center" vertical="center"/>
    </xf>
    <xf numFmtId="166" fontId="13" fillId="0" borderId="16" xfId="1" applyNumberFormat="1" applyFont="1" applyBorder="1" applyAlignment="1">
      <alignment horizontal="center" vertical="center"/>
    </xf>
    <xf numFmtId="166" fontId="13" fillId="0" borderId="35" xfId="1" applyNumberFormat="1" applyFont="1" applyBorder="1" applyAlignment="1">
      <alignment horizontal="center" vertical="center"/>
    </xf>
    <xf numFmtId="166" fontId="13" fillId="0" borderId="39" xfId="1" applyNumberFormat="1" applyFont="1" applyFill="1" applyBorder="1"/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66" fontId="13" fillId="0" borderId="59" xfId="1" applyNumberFormat="1" applyFont="1" applyBorder="1" applyAlignment="1">
      <alignment horizontal="center" vertical="center"/>
    </xf>
    <xf numFmtId="166" fontId="13" fillId="0" borderId="19" xfId="1" applyNumberFormat="1" applyFont="1" applyBorder="1"/>
    <xf numFmtId="166" fontId="13" fillId="0" borderId="20" xfId="1" applyNumberFormat="1" applyFont="1" applyBorder="1"/>
    <xf numFmtId="166" fontId="13" fillId="0" borderId="25" xfId="1" applyNumberFormat="1" applyFont="1" applyFill="1" applyBorder="1"/>
    <xf numFmtId="166" fontId="13" fillId="0" borderId="47" xfId="1" applyNumberFormat="1" applyFont="1" applyFill="1" applyBorder="1" applyAlignment="1">
      <alignment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0" borderId="29" xfId="0" quotePrefix="1" applyNumberFormat="1" applyFont="1" applyFill="1" applyBorder="1" applyAlignment="1">
      <alignment horizontal="center" vertical="center"/>
    </xf>
    <xf numFmtId="166" fontId="13" fillId="0" borderId="51" xfId="1" applyNumberFormat="1" applyFont="1" applyFill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166" fontId="6" fillId="0" borderId="37" xfId="1" applyNumberFormat="1" applyFont="1" applyBorder="1" applyAlignment="1">
      <alignment vertical="center"/>
    </xf>
    <xf numFmtId="166" fontId="6" fillId="0" borderId="36" xfId="1" applyNumberFormat="1" applyFont="1" applyBorder="1" applyAlignment="1">
      <alignment vertical="center"/>
    </xf>
    <xf numFmtId="166" fontId="6" fillId="0" borderId="31" xfId="1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166" fontId="13" fillId="0" borderId="0" xfId="1" applyNumberFormat="1" applyFont="1" applyBorder="1" applyAlignment="1">
      <alignment horizontal="center" vertical="center"/>
    </xf>
    <xf numFmtId="166" fontId="13" fillId="0" borderId="0" xfId="1" applyNumberFormat="1" applyFont="1" applyBorder="1" applyAlignment="1">
      <alignment vertical="center"/>
    </xf>
    <xf numFmtId="166" fontId="13" fillId="0" borderId="0" xfId="1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3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2" borderId="0" xfId="0" applyFont="1" applyFill="1" applyAlignment="1">
      <alignment horizontal="center"/>
    </xf>
    <xf numFmtId="0" fontId="13" fillId="2" borderId="53" xfId="0" applyFont="1" applyFill="1" applyBorder="1" applyAlignment="1">
      <alignment horizontal="center" vertical="center" wrapText="1"/>
    </xf>
    <xf numFmtId="166" fontId="14" fillId="2" borderId="33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0" fontId="13" fillId="2" borderId="12" xfId="0" applyFont="1" applyFill="1" applyBorder="1" applyAlignment="1">
      <alignment horizontal="right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6" fontId="14" fillId="2" borderId="1" xfId="1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left" vertical="center" wrapText="1"/>
    </xf>
    <xf numFmtId="166" fontId="13" fillId="2" borderId="42" xfId="1" applyNumberFormat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166" fontId="13" fillId="2" borderId="23" xfId="1" applyNumberFormat="1" applyFont="1" applyFill="1" applyBorder="1" applyAlignment="1">
      <alignment horizontal="center" vertical="center"/>
    </xf>
    <xf numFmtId="166" fontId="13" fillId="2" borderId="19" xfId="1" applyNumberFormat="1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left" vertical="center" wrapText="1"/>
    </xf>
    <xf numFmtId="166" fontId="13" fillId="2" borderId="30" xfId="1" applyNumberFormat="1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left" vertical="center" wrapText="1"/>
    </xf>
    <xf numFmtId="166" fontId="13" fillId="2" borderId="17" xfId="1" applyNumberFormat="1" applyFont="1" applyFill="1" applyBorder="1" applyAlignment="1">
      <alignment horizontal="center" vertical="center"/>
    </xf>
    <xf numFmtId="166" fontId="13" fillId="2" borderId="37" xfId="1" applyNumberFormat="1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3" fillId="2" borderId="36" xfId="0" applyFont="1" applyFill="1" applyBorder="1" applyAlignment="1">
      <alignment horizontal="center"/>
    </xf>
    <xf numFmtId="0" fontId="13" fillId="2" borderId="37" xfId="0" applyFont="1" applyFill="1" applyBorder="1"/>
    <xf numFmtId="0" fontId="13" fillId="2" borderId="31" xfId="0" applyFont="1" applyFill="1" applyBorder="1" applyAlignment="1">
      <alignment vertical="center"/>
    </xf>
    <xf numFmtId="0" fontId="13" fillId="2" borderId="11" xfId="0" applyFont="1" applyFill="1" applyBorder="1" applyAlignment="1">
      <alignment horizontal="center"/>
    </xf>
    <xf numFmtId="0" fontId="13" fillId="2" borderId="33" xfId="0" applyFont="1" applyFill="1" applyBorder="1"/>
    <xf numFmtId="166" fontId="13" fillId="2" borderId="33" xfId="1" applyNumberFormat="1" applyFont="1" applyFill="1" applyBorder="1"/>
    <xf numFmtId="0" fontId="13" fillId="2" borderId="33" xfId="0" applyFont="1" applyFill="1" applyBorder="1" applyAlignment="1">
      <alignment horizontal="center"/>
    </xf>
    <xf numFmtId="0" fontId="13" fillId="2" borderId="12" xfId="0" applyFont="1" applyFill="1" applyBorder="1"/>
    <xf numFmtId="0" fontId="13" fillId="0" borderId="28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/>
    </xf>
    <xf numFmtId="166" fontId="14" fillId="2" borderId="60" xfId="0" applyNumberFormat="1" applyFont="1" applyFill="1" applyBorder="1" applyAlignment="1">
      <alignment vertical="center"/>
    </xf>
    <xf numFmtId="0" fontId="14" fillId="2" borderId="60" xfId="0" applyFont="1" applyFill="1" applyBorder="1" applyAlignment="1">
      <alignment vertical="center"/>
    </xf>
    <xf numFmtId="0" fontId="14" fillId="2" borderId="61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left" vertical="center" wrapText="1"/>
    </xf>
    <xf numFmtId="166" fontId="13" fillId="0" borderId="37" xfId="1" applyNumberFormat="1" applyFont="1" applyFill="1" applyBorder="1" applyAlignment="1">
      <alignment vertical="center"/>
    </xf>
    <xf numFmtId="166" fontId="13" fillId="0" borderId="37" xfId="1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166" fontId="13" fillId="2" borderId="0" xfId="1" applyNumberFormat="1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 vertical="center"/>
    </xf>
    <xf numFmtId="166" fontId="6" fillId="2" borderId="17" xfId="1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0" xfId="0" applyFont="1" applyFill="1"/>
    <xf numFmtId="0" fontId="13" fillId="2" borderId="0" xfId="0" applyFont="1" applyFill="1" applyAlignment="1">
      <alignment horizontal="center" vertical="center"/>
    </xf>
    <xf numFmtId="166" fontId="13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top" wrapText="1"/>
    </xf>
    <xf numFmtId="0" fontId="13" fillId="2" borderId="2" xfId="0" applyFont="1" applyFill="1" applyBorder="1" applyAlignment="1">
      <alignment horizontal="center" vertical="center" wrapText="1"/>
    </xf>
    <xf numFmtId="166" fontId="13" fillId="2" borderId="2" xfId="1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166" fontId="14" fillId="0" borderId="6" xfId="1" applyNumberFormat="1" applyFont="1" applyBorder="1" applyAlignment="1">
      <alignment vertical="center"/>
    </xf>
    <xf numFmtId="166" fontId="14" fillId="0" borderId="5" xfId="1" applyNumberFormat="1" applyFont="1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13" fillId="0" borderId="63" xfId="0" quotePrefix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left" vertical="center" wrapText="1"/>
    </xf>
    <xf numFmtId="166" fontId="13" fillId="0" borderId="42" xfId="1" applyNumberFormat="1" applyFont="1" applyBorder="1" applyAlignment="1">
      <alignment horizontal="center" vertical="center" wrapText="1"/>
    </xf>
    <xf numFmtId="166" fontId="13" fillId="0" borderId="21" xfId="0" applyNumberFormat="1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0" fontId="13" fillId="0" borderId="56" xfId="0" quotePrefix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166" fontId="13" fillId="0" borderId="23" xfId="1" applyNumberFormat="1" applyFont="1" applyBorder="1" applyAlignment="1">
      <alignment horizontal="center" vertical="center" wrapText="1"/>
    </xf>
    <xf numFmtId="166" fontId="13" fillId="0" borderId="28" xfId="0" applyNumberFormat="1" applyFont="1" applyBorder="1" applyAlignment="1">
      <alignment vertical="center"/>
    </xf>
    <xf numFmtId="0" fontId="13" fillId="0" borderId="64" xfId="0" quotePrefix="1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 wrapText="1"/>
    </xf>
    <xf numFmtId="166" fontId="13" fillId="0" borderId="30" xfId="1" applyNumberFormat="1" applyFont="1" applyBorder="1" applyAlignment="1">
      <alignment horizontal="center" vertical="center" wrapText="1"/>
    </xf>
    <xf numFmtId="166" fontId="13" fillId="0" borderId="46" xfId="0" applyNumberFormat="1" applyFont="1" applyBorder="1" applyAlignment="1">
      <alignment vertical="center"/>
    </xf>
    <xf numFmtId="0" fontId="13" fillId="0" borderId="0" xfId="0" applyFont="1" applyAlignment="1">
      <alignment horizontal="left" wrapText="1"/>
    </xf>
    <xf numFmtId="3" fontId="14" fillId="0" borderId="11" xfId="0" applyNumberFormat="1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13" fillId="0" borderId="37" xfId="0" applyFont="1" applyBorder="1" applyAlignment="1">
      <alignment horizontal="left" vertical="center" wrapText="1"/>
    </xf>
    <xf numFmtId="3" fontId="13" fillId="0" borderId="17" xfId="0" applyNumberFormat="1" applyFont="1" applyBorder="1" applyAlignment="1">
      <alignment vertical="center"/>
    </xf>
    <xf numFmtId="0" fontId="13" fillId="0" borderId="17" xfId="0" applyFont="1" applyBorder="1"/>
    <xf numFmtId="0" fontId="13" fillId="0" borderId="39" xfId="0" applyFont="1" applyBorder="1"/>
    <xf numFmtId="166" fontId="14" fillId="0" borderId="2" xfId="0" applyNumberFormat="1" applyFont="1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12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42" xfId="0" quotePrefix="1" applyFont="1" applyBorder="1" applyAlignment="1">
      <alignment horizontal="center" vertical="center"/>
    </xf>
    <xf numFmtId="0" fontId="13" fillId="0" borderId="42" xfId="0" applyFont="1" applyBorder="1" applyAlignment="1">
      <alignment vertical="center"/>
    </xf>
    <xf numFmtId="166" fontId="13" fillId="0" borderId="42" xfId="1" applyNumberFormat="1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0" fontId="13" fillId="0" borderId="23" xfId="0" quotePrefix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9" xfId="0" quotePrefix="1" applyFont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166" fontId="13" fillId="0" borderId="30" xfId="1" applyNumberFormat="1" applyFont="1" applyBorder="1" applyAlignment="1">
      <alignment vertical="center"/>
    </xf>
    <xf numFmtId="0" fontId="13" fillId="0" borderId="46" xfId="0" applyFont="1" applyBorder="1" applyAlignment="1">
      <alignment horizontal="center" vertical="center"/>
    </xf>
    <xf numFmtId="166" fontId="6" fillId="0" borderId="2" xfId="1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6" fontId="14" fillId="0" borderId="0" xfId="0" applyNumberFormat="1" applyFont="1" applyAlignment="1">
      <alignment horizontal="center" vertical="center"/>
    </xf>
    <xf numFmtId="0" fontId="0" fillId="2" borderId="0" xfId="0" applyFill="1"/>
    <xf numFmtId="0" fontId="1" fillId="0" borderId="16" xfId="3" applyBorder="1" applyAlignment="1">
      <alignment horizontal="center" wrapText="1"/>
    </xf>
    <xf numFmtId="0" fontId="1" fillId="0" borderId="17" xfId="3" applyBorder="1" applyAlignment="1">
      <alignment horizontal="center" vertical="center"/>
    </xf>
    <xf numFmtId="0" fontId="1" fillId="0" borderId="17" xfId="3" applyBorder="1" applyAlignment="1">
      <alignment horizontal="center" vertical="center" wrapText="1"/>
    </xf>
    <xf numFmtId="0" fontId="1" fillId="0" borderId="35" xfId="3" applyBorder="1" applyAlignment="1">
      <alignment horizontal="center" vertical="center" wrapText="1"/>
    </xf>
    <xf numFmtId="0" fontId="1" fillId="0" borderId="39" xfId="3" applyBorder="1" applyAlignment="1">
      <alignment horizontal="center" vertical="center" wrapText="1"/>
    </xf>
    <xf numFmtId="0" fontId="23" fillId="0" borderId="41" xfId="3" applyFont="1" applyBorder="1" applyAlignment="1">
      <alignment vertical="center"/>
    </xf>
    <xf numFmtId="0" fontId="23" fillId="0" borderId="42" xfId="3" applyFont="1" applyBorder="1" applyAlignment="1">
      <alignment vertical="center"/>
    </xf>
    <xf numFmtId="5" fontId="25" fillId="2" borderId="21" xfId="0" applyNumberFormat="1" applyFont="1" applyFill="1" applyBorder="1" applyAlignment="1">
      <alignment vertical="center"/>
    </xf>
    <xf numFmtId="0" fontId="26" fillId="0" borderId="48" xfId="3" applyFont="1" applyBorder="1"/>
    <xf numFmtId="0" fontId="26" fillId="0" borderId="23" xfId="3" applyFont="1" applyBorder="1"/>
    <xf numFmtId="5" fontId="28" fillId="2" borderId="28" xfId="0" applyNumberFormat="1" applyFont="1" applyFill="1" applyBorder="1"/>
    <xf numFmtId="0" fontId="0" fillId="0" borderId="67" xfId="0" applyBorder="1" applyAlignment="1">
      <alignment vertical="center" wrapText="1"/>
    </xf>
    <xf numFmtId="0" fontId="23" fillId="0" borderId="64" xfId="3" applyFont="1" applyBorder="1"/>
    <xf numFmtId="167" fontId="24" fillId="2" borderId="23" xfId="3" applyNumberFormat="1" applyFont="1" applyFill="1" applyBorder="1" applyAlignment="1">
      <alignment horizontal="right" vertical="center" wrapText="1"/>
    </xf>
    <xf numFmtId="5" fontId="24" fillId="2" borderId="23" xfId="3" applyNumberFormat="1" applyFont="1" applyFill="1" applyBorder="1" applyAlignment="1">
      <alignment horizontal="right" vertical="center" wrapText="1"/>
    </xf>
    <xf numFmtId="5" fontId="24" fillId="2" borderId="24" xfId="3" applyNumberFormat="1" applyFont="1" applyFill="1" applyBorder="1" applyAlignment="1">
      <alignment horizontal="right" vertical="center" wrapText="1"/>
    </xf>
    <xf numFmtId="5" fontId="24" fillId="2" borderId="28" xfId="3" applyNumberFormat="1" applyFont="1" applyFill="1" applyBorder="1" applyAlignment="1">
      <alignment horizontal="right" vertical="center" wrapText="1"/>
    </xf>
    <xf numFmtId="0" fontId="23" fillId="0" borderId="57" xfId="3" applyFont="1" applyBorder="1"/>
    <xf numFmtId="5" fontId="25" fillId="2" borderId="28" xfId="0" applyNumberFormat="1" applyFont="1" applyFill="1" applyBorder="1"/>
    <xf numFmtId="0" fontId="0" fillId="0" borderId="68" xfId="0" applyBorder="1" applyAlignment="1">
      <alignment vertical="center" wrapText="1"/>
    </xf>
    <xf numFmtId="167" fontId="24" fillId="2" borderId="64" xfId="3" applyNumberFormat="1" applyFont="1" applyFill="1" applyBorder="1" applyAlignment="1">
      <alignment horizontal="right" vertical="center" wrapText="1"/>
    </xf>
    <xf numFmtId="168" fontId="24" fillId="2" borderId="64" xfId="3" applyNumberFormat="1" applyFont="1" applyFill="1" applyBorder="1" applyAlignment="1">
      <alignment horizontal="right" vertical="center" wrapText="1"/>
    </xf>
    <xf numFmtId="0" fontId="2" fillId="4" borderId="67" xfId="0" applyFont="1" applyFill="1" applyBorder="1" applyAlignment="1">
      <alignment vertical="center" wrapText="1"/>
    </xf>
    <xf numFmtId="0" fontId="2" fillId="4" borderId="68" xfId="0" applyFont="1" applyFill="1" applyBorder="1" applyAlignment="1">
      <alignment vertical="center" wrapText="1"/>
    </xf>
    <xf numFmtId="167" fontId="27" fillId="4" borderId="64" xfId="3" applyNumberFormat="1" applyFont="1" applyFill="1" applyBorder="1" applyAlignment="1">
      <alignment horizontal="right" vertical="center" wrapText="1"/>
    </xf>
    <xf numFmtId="5" fontId="27" fillId="4" borderId="23" xfId="3" applyNumberFormat="1" applyFont="1" applyFill="1" applyBorder="1" applyAlignment="1">
      <alignment horizontal="right" vertical="center" wrapText="1"/>
    </xf>
    <xf numFmtId="5" fontId="27" fillId="4" borderId="24" xfId="3" applyNumberFormat="1" applyFont="1" applyFill="1" applyBorder="1" applyAlignment="1">
      <alignment horizontal="right" vertical="center" wrapText="1"/>
    </xf>
    <xf numFmtId="5" fontId="27" fillId="4" borderId="28" xfId="3" applyNumberFormat="1" applyFont="1" applyFill="1" applyBorder="1" applyAlignment="1">
      <alignment horizontal="right" vertical="center" wrapText="1"/>
    </xf>
    <xf numFmtId="5" fontId="24" fillId="2" borderId="64" xfId="3" applyNumberFormat="1" applyFont="1" applyFill="1" applyBorder="1" applyAlignment="1">
      <alignment horizontal="right" vertical="center" wrapText="1"/>
    </xf>
    <xf numFmtId="0" fontId="2" fillId="0" borderId="67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5" fontId="27" fillId="0" borderId="24" xfId="3" applyNumberFormat="1" applyFont="1" applyFill="1" applyBorder="1" applyAlignment="1">
      <alignment horizontal="right" vertical="center" wrapText="1"/>
    </xf>
    <xf numFmtId="5" fontId="27" fillId="0" borderId="28" xfId="3" applyNumberFormat="1" applyFont="1" applyFill="1" applyBorder="1" applyAlignment="1">
      <alignment horizontal="right" vertical="center" wrapText="1"/>
    </xf>
    <xf numFmtId="0" fontId="0" fillId="5" borderId="67" xfId="0" applyFill="1" applyBorder="1" applyAlignment="1">
      <alignment vertical="center" wrapText="1"/>
    </xf>
    <xf numFmtId="0" fontId="0" fillId="5" borderId="68" xfId="0" applyFill="1" applyBorder="1" applyAlignment="1">
      <alignment vertical="center" wrapText="1"/>
    </xf>
    <xf numFmtId="5" fontId="24" fillId="5" borderId="64" xfId="3" applyNumberFormat="1" applyFont="1" applyFill="1" applyBorder="1" applyAlignment="1">
      <alignment horizontal="right" vertical="center" wrapText="1"/>
    </xf>
    <xf numFmtId="5" fontId="24" fillId="5" borderId="23" xfId="3" applyNumberFormat="1" applyFont="1" applyFill="1" applyBorder="1" applyAlignment="1">
      <alignment horizontal="right" vertical="center" wrapText="1"/>
    </xf>
    <xf numFmtId="5" fontId="24" fillId="5" borderId="24" xfId="3" applyNumberFormat="1" applyFont="1" applyFill="1" applyBorder="1" applyAlignment="1">
      <alignment horizontal="right" vertical="center" wrapText="1"/>
    </xf>
    <xf numFmtId="5" fontId="24" fillId="5" borderId="28" xfId="3" applyNumberFormat="1" applyFont="1" applyFill="1" applyBorder="1" applyAlignment="1">
      <alignment horizontal="right" vertical="center" wrapText="1"/>
    </xf>
    <xf numFmtId="0" fontId="26" fillId="0" borderId="18" xfId="3" applyFont="1" applyBorder="1"/>
    <xf numFmtId="0" fontId="26" fillId="0" borderId="19" xfId="3" applyFont="1" applyBorder="1"/>
    <xf numFmtId="0" fontId="29" fillId="0" borderId="47" xfId="3" applyFont="1" applyBorder="1" applyAlignment="1">
      <alignment vertical="center"/>
    </xf>
    <xf numFmtId="0" fontId="29" fillId="0" borderId="23" xfId="3" applyFont="1" applyBorder="1" applyAlignment="1">
      <alignment vertical="center"/>
    </xf>
    <xf numFmtId="5" fontId="30" fillId="2" borderId="28" xfId="0" applyNumberFormat="1" applyFont="1" applyFill="1" applyBorder="1" applyAlignment="1">
      <alignment vertical="center"/>
    </xf>
    <xf numFmtId="0" fontId="26" fillId="0" borderId="47" xfId="3" applyFont="1" applyBorder="1"/>
    <xf numFmtId="0" fontId="26" fillId="0" borderId="24" xfId="3" applyFont="1" applyBorder="1" applyAlignment="1"/>
    <xf numFmtId="0" fontId="26" fillId="0" borderId="66" xfId="3" applyFont="1" applyBorder="1" applyAlignment="1"/>
    <xf numFmtId="5" fontId="26" fillId="0" borderId="66" xfId="3" applyNumberFormat="1" applyFont="1" applyBorder="1" applyAlignment="1"/>
    <xf numFmtId="5" fontId="26" fillId="0" borderId="28" xfId="3" applyNumberFormat="1" applyFont="1" applyBorder="1" applyAlignment="1"/>
    <xf numFmtId="0" fontId="1" fillId="0" borderId="47" xfId="3" applyBorder="1"/>
    <xf numFmtId="0" fontId="1" fillId="0" borderId="23" xfId="3" applyBorder="1"/>
    <xf numFmtId="169" fontId="23" fillId="0" borderId="23" xfId="4" applyNumberFormat="1" applyFont="1" applyBorder="1"/>
    <xf numFmtId="170" fontId="23" fillId="0" borderId="23" xfId="5" applyNumberFormat="1" applyFont="1" applyBorder="1"/>
    <xf numFmtId="5" fontId="23" fillId="0" borderId="24" xfId="5" applyNumberFormat="1" applyFont="1" applyBorder="1"/>
    <xf numFmtId="5" fontId="31" fillId="2" borderId="28" xfId="0" applyNumberFormat="1" applyFont="1" applyFill="1" applyBorder="1"/>
    <xf numFmtId="0" fontId="29" fillId="0" borderId="47" xfId="3" applyFont="1" applyBorder="1"/>
    <xf numFmtId="0" fontId="29" fillId="0" borderId="23" xfId="3" applyFont="1" applyBorder="1"/>
    <xf numFmtId="5" fontId="30" fillId="2" borderId="28" xfId="0" applyNumberFormat="1" applyFont="1" applyFill="1" applyBorder="1"/>
    <xf numFmtId="0" fontId="0" fillId="0" borderId="23" xfId="3" applyFont="1" applyBorder="1"/>
    <xf numFmtId="0" fontId="0" fillId="0" borderId="47" xfId="3" applyFont="1" applyBorder="1"/>
    <xf numFmtId="0" fontId="2" fillId="0" borderId="23" xfId="3" applyFont="1" applyBorder="1"/>
    <xf numFmtId="0" fontId="3" fillId="5" borderId="23" xfId="3" applyFont="1" applyFill="1" applyBorder="1"/>
    <xf numFmtId="169" fontId="23" fillId="5" borderId="23" xfId="4" applyNumberFormat="1" applyFont="1" applyFill="1" applyBorder="1"/>
    <xf numFmtId="170" fontId="23" fillId="5" borderId="23" xfId="5" applyNumberFormat="1" applyFont="1" applyFill="1" applyBorder="1"/>
    <xf numFmtId="5" fontId="23" fillId="5" borderId="24" xfId="5" applyNumberFormat="1" applyFont="1" applyFill="1" applyBorder="1"/>
    <xf numFmtId="5" fontId="23" fillId="5" borderId="66" xfId="5" applyNumberFormat="1" applyFont="1" applyFill="1" applyBorder="1"/>
    <xf numFmtId="0" fontId="26" fillId="0" borderId="47" xfId="3" applyFont="1" applyBorder="1" applyAlignment="1">
      <alignment vertical="center"/>
    </xf>
    <xf numFmtId="0" fontId="26" fillId="0" borderId="23" xfId="3" applyFont="1" applyBorder="1" applyAlignment="1">
      <alignment vertical="center"/>
    </xf>
    <xf numFmtId="5" fontId="28" fillId="2" borderId="28" xfId="0" applyNumberFormat="1" applyFont="1" applyFill="1" applyBorder="1" applyAlignment="1">
      <alignment vertical="center"/>
    </xf>
    <xf numFmtId="0" fontId="32" fillId="5" borderId="23" xfId="3" applyFont="1" applyFill="1" applyBorder="1"/>
    <xf numFmtId="5" fontId="26" fillId="5" borderId="24" xfId="4" applyNumberFormat="1" applyFont="1" applyFill="1" applyBorder="1" applyAlignment="1">
      <alignment horizontal="right"/>
    </xf>
    <xf numFmtId="5" fontId="33" fillId="2" borderId="28" xfId="0" applyNumberFormat="1" applyFont="1" applyFill="1" applyBorder="1"/>
    <xf numFmtId="172" fontId="23" fillId="0" borderId="23" xfId="4" applyNumberFormat="1" applyFont="1" applyBorder="1"/>
    <xf numFmtId="5" fontId="23" fillId="0" borderId="28" xfId="5" applyNumberFormat="1" applyFont="1" applyBorder="1"/>
    <xf numFmtId="0" fontId="35" fillId="0" borderId="23" xfId="3" applyFont="1" applyBorder="1"/>
    <xf numFmtId="170" fontId="23" fillId="0" borderId="23" xfId="5" applyNumberFormat="1" applyFont="1" applyFill="1" applyBorder="1"/>
    <xf numFmtId="0" fontId="23" fillId="0" borderId="47" xfId="3" applyFont="1" applyBorder="1"/>
    <xf numFmtId="169" fontId="23" fillId="0" borderId="23" xfId="4" applyNumberFormat="1" applyFont="1" applyFill="1" applyBorder="1"/>
    <xf numFmtId="0" fontId="29" fillId="0" borderId="23" xfId="3" applyFont="1" applyBorder="1" applyAlignment="1">
      <alignment wrapText="1"/>
    </xf>
    <xf numFmtId="5" fontId="26" fillId="0" borderId="24" xfId="5" applyNumberFormat="1" applyFont="1" applyBorder="1" applyAlignment="1">
      <alignment vertical="center"/>
    </xf>
    <xf numFmtId="5" fontId="26" fillId="0" borderId="28" xfId="5" applyNumberFormat="1" applyFont="1" applyBorder="1" applyAlignment="1">
      <alignment vertical="center"/>
    </xf>
    <xf numFmtId="43" fontId="23" fillId="0" borderId="23" xfId="4" applyNumberFormat="1" applyFont="1" applyFill="1" applyBorder="1"/>
    <xf numFmtId="0" fontId="1" fillId="0" borderId="23" xfId="3" applyFill="1" applyBorder="1" applyAlignment="1">
      <alignment horizontal="center"/>
    </xf>
    <xf numFmtId="0" fontId="1" fillId="0" borderId="47" xfId="3" applyFont="1" applyBorder="1"/>
    <xf numFmtId="5" fontId="23" fillId="5" borderId="28" xfId="5" applyNumberFormat="1" applyFont="1" applyFill="1" applyBorder="1"/>
    <xf numFmtId="0" fontId="2" fillId="0" borderId="23" xfId="3" applyFont="1" applyFill="1" applyBorder="1"/>
    <xf numFmtId="5" fontId="23" fillId="0" borderId="24" xfId="5" applyNumberFormat="1" applyFont="1" applyFill="1" applyBorder="1"/>
    <xf numFmtId="0" fontId="29" fillId="0" borderId="47" xfId="3" applyFont="1" applyFill="1" applyBorder="1"/>
    <xf numFmtId="0" fontId="29" fillId="0" borderId="23" xfId="3" applyFont="1" applyFill="1" applyBorder="1"/>
    <xf numFmtId="171" fontId="23" fillId="0" borderId="66" xfId="3" applyNumberFormat="1" applyFont="1" applyFill="1" applyBorder="1" applyAlignment="1"/>
    <xf numFmtId="171" fontId="26" fillId="0" borderId="66" xfId="3" applyNumberFormat="1" applyFont="1" applyFill="1" applyBorder="1" applyAlignment="1"/>
    <xf numFmtId="5" fontId="37" fillId="2" borderId="28" xfId="0" applyNumberFormat="1" applyFont="1" applyFill="1" applyBorder="1" applyAlignment="1">
      <alignment vertical="center"/>
    </xf>
    <xf numFmtId="0" fontId="1" fillId="0" borderId="23" xfId="3" applyBorder="1" applyAlignment="1">
      <alignment horizontal="center"/>
    </xf>
    <xf numFmtId="0" fontId="0" fillId="0" borderId="44" xfId="3" applyFont="1" applyBorder="1"/>
    <xf numFmtId="0" fontId="3" fillId="5" borderId="30" xfId="3" applyFont="1" applyFill="1" applyBorder="1"/>
    <xf numFmtId="0" fontId="1" fillId="5" borderId="69" xfId="3" applyFill="1" applyBorder="1" applyAlignment="1"/>
    <xf numFmtId="171" fontId="28" fillId="2" borderId="2" xfId="0" applyNumberFormat="1" applyFont="1" applyFill="1" applyBorder="1"/>
    <xf numFmtId="0" fontId="1" fillId="0" borderId="0" xfId="3"/>
    <xf numFmtId="171" fontId="27" fillId="0" borderId="4" xfId="5" applyNumberFormat="1" applyFont="1" applyBorder="1" applyAlignment="1"/>
    <xf numFmtId="0" fontId="38" fillId="2" borderId="2" xfId="3" applyFont="1" applyFill="1" applyBorder="1" applyAlignment="1">
      <alignment horizontal="center" wrapText="1"/>
    </xf>
    <xf numFmtId="0" fontId="38" fillId="2" borderId="2" xfId="3" applyFont="1" applyFill="1" applyBorder="1" applyAlignment="1">
      <alignment horizontal="center" vertical="center"/>
    </xf>
    <xf numFmtId="0" fontId="38" fillId="2" borderId="2" xfId="3" applyFont="1" applyFill="1" applyBorder="1" applyAlignment="1">
      <alignment horizontal="center" vertical="center" wrapText="1"/>
    </xf>
    <xf numFmtId="0" fontId="7" fillId="2" borderId="41" xfId="3" applyFont="1" applyFill="1" applyBorder="1" applyAlignment="1">
      <alignment horizontal="center"/>
    </xf>
    <xf numFmtId="0" fontId="5" fillId="2" borderId="42" xfId="3" applyFont="1" applyFill="1" applyBorder="1" applyAlignment="1">
      <alignment horizontal="left"/>
    </xf>
    <xf numFmtId="171" fontId="7" fillId="2" borderId="42" xfId="5" applyNumberFormat="1" applyFont="1" applyFill="1" applyBorder="1" applyAlignment="1">
      <alignment horizontal="right"/>
    </xf>
    <xf numFmtId="5" fontId="18" fillId="2" borderId="21" xfId="0" applyNumberFormat="1" applyFont="1" applyFill="1" applyBorder="1"/>
    <xf numFmtId="0" fontId="7" fillId="2" borderId="47" xfId="3" applyFont="1" applyFill="1" applyBorder="1" applyAlignment="1">
      <alignment horizontal="center"/>
    </xf>
    <xf numFmtId="0" fontId="5" fillId="2" borderId="23" xfId="3" applyFont="1" applyFill="1" applyBorder="1" applyAlignment="1">
      <alignment horizontal="left"/>
    </xf>
    <xf numFmtId="171" fontId="7" fillId="2" borderId="23" xfId="5" applyNumberFormat="1" applyFont="1" applyFill="1" applyBorder="1" applyAlignment="1">
      <alignment horizontal="right"/>
    </xf>
    <xf numFmtId="5" fontId="18" fillId="2" borderId="28" xfId="0" applyNumberFormat="1" applyFont="1" applyFill="1" applyBorder="1"/>
    <xf numFmtId="0" fontId="7" fillId="2" borderId="44" xfId="3" applyFont="1" applyFill="1" applyBorder="1" applyAlignment="1">
      <alignment horizontal="center"/>
    </xf>
    <xf numFmtId="0" fontId="5" fillId="2" borderId="30" xfId="3" applyFont="1" applyFill="1" applyBorder="1" applyAlignment="1">
      <alignment horizontal="left"/>
    </xf>
    <xf numFmtId="171" fontId="7" fillId="2" borderId="30" xfId="5" applyNumberFormat="1" applyFont="1" applyFill="1" applyBorder="1" applyAlignment="1">
      <alignment horizontal="right"/>
    </xf>
    <xf numFmtId="5" fontId="18" fillId="2" borderId="46" xfId="0" applyNumberFormat="1" applyFont="1" applyFill="1" applyBorder="1"/>
    <xf numFmtId="0" fontId="7" fillId="2" borderId="17" xfId="3" applyFont="1" applyFill="1" applyBorder="1" applyAlignment="1"/>
    <xf numFmtId="5" fontId="7" fillId="2" borderId="39" xfId="3" applyNumberFormat="1" applyFont="1" applyFill="1" applyBorder="1" applyAlignment="1"/>
    <xf numFmtId="171" fontId="19" fillId="2" borderId="2" xfId="0" applyNumberFormat="1" applyFont="1" applyFill="1" applyBorder="1"/>
    <xf numFmtId="0" fontId="38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8" fillId="0" borderId="0" xfId="0" applyFont="1"/>
    <xf numFmtId="0" fontId="40" fillId="6" borderId="2" xfId="0" applyFont="1" applyFill="1" applyBorder="1" applyAlignment="1">
      <alignment vertical="center" wrapText="1"/>
    </xf>
    <xf numFmtId="49" fontId="40" fillId="6" borderId="2" xfId="0" applyNumberFormat="1" applyFont="1" applyFill="1" applyBorder="1" applyAlignment="1">
      <alignment vertical="center"/>
    </xf>
    <xf numFmtId="0" fontId="40" fillId="6" borderId="2" xfId="0" applyFont="1" applyFill="1" applyBorder="1" applyAlignment="1">
      <alignment horizontal="center" vertical="center"/>
    </xf>
    <xf numFmtId="0" fontId="40" fillId="0" borderId="0" xfId="0" applyFont="1"/>
    <xf numFmtId="0" fontId="38" fillId="0" borderId="2" xfId="0" applyFont="1" applyBorder="1" applyAlignment="1">
      <alignment vertical="center" wrapText="1"/>
    </xf>
    <xf numFmtId="49" fontId="38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166" fontId="13" fillId="2" borderId="2" xfId="1" applyNumberFormat="1" applyFont="1" applyFill="1" applyBorder="1" applyAlignment="1">
      <alignment horizontal="center" vertical="center"/>
    </xf>
    <xf numFmtId="49" fontId="38" fillId="0" borderId="2" xfId="0" quotePrefix="1" applyNumberFormat="1" applyFont="1" applyBorder="1" applyAlignment="1">
      <alignment horizontal="center" vertical="center"/>
    </xf>
    <xf numFmtId="49" fontId="38" fillId="6" borderId="2" xfId="0" applyNumberFormat="1" applyFont="1" applyFill="1" applyBorder="1" applyAlignment="1">
      <alignment horizontal="center" vertical="center"/>
    </xf>
    <xf numFmtId="49" fontId="40" fillId="6" borderId="2" xfId="0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0" xfId="0" applyFont="1"/>
    <xf numFmtId="166" fontId="13" fillId="2" borderId="12" xfId="1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6" fontId="13" fillId="0" borderId="2" xfId="1" applyNumberFormat="1" applyFont="1" applyFill="1" applyBorder="1" applyAlignment="1">
      <alignment vertical="center"/>
    </xf>
    <xf numFmtId="166" fontId="13" fillId="0" borderId="42" xfId="1" applyNumberFormat="1" applyFont="1" applyFill="1" applyBorder="1" applyAlignment="1">
      <alignment vertical="center"/>
    </xf>
    <xf numFmtId="0" fontId="13" fillId="2" borderId="21" xfId="0" applyFont="1" applyFill="1" applyBorder="1"/>
    <xf numFmtId="0" fontId="13" fillId="2" borderId="28" xfId="0" applyFont="1" applyFill="1" applyBorder="1"/>
    <xf numFmtId="0" fontId="13" fillId="2" borderId="46" xfId="0" applyFont="1" applyFill="1" applyBorder="1"/>
    <xf numFmtId="166" fontId="13" fillId="0" borderId="0" xfId="1" applyNumberFormat="1" applyFont="1" applyFill="1" applyBorder="1" applyAlignment="1">
      <alignment horizontal="center" vertical="center"/>
    </xf>
    <xf numFmtId="166" fontId="13" fillId="0" borderId="60" xfId="1" applyNumberFormat="1" applyFont="1" applyFill="1" applyBorder="1" applyAlignment="1">
      <alignment horizontal="center" vertical="center"/>
    </xf>
    <xf numFmtId="166" fontId="13" fillId="0" borderId="69" xfId="1" applyNumberFormat="1" applyFont="1" applyFill="1" applyBorder="1" applyAlignment="1">
      <alignment horizontal="center" vertical="center"/>
    </xf>
    <xf numFmtId="166" fontId="13" fillId="0" borderId="33" xfId="1" applyNumberFormat="1" applyFont="1" applyBorder="1" applyAlignment="1">
      <alignment horizontal="center" vertical="center"/>
    </xf>
    <xf numFmtId="166" fontId="13" fillId="0" borderId="66" xfId="1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166" fontId="13" fillId="0" borderId="43" xfId="1" applyNumberFormat="1" applyFont="1" applyBorder="1" applyAlignment="1">
      <alignment vertical="center"/>
    </xf>
    <xf numFmtId="166" fontId="13" fillId="0" borderId="45" xfId="1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left" vertical="center"/>
    </xf>
    <xf numFmtId="166" fontId="7" fillId="2" borderId="2" xfId="1" applyNumberFormat="1" applyFont="1" applyFill="1" applyBorder="1" applyAlignment="1">
      <alignment horizontal="right" vertical="center"/>
    </xf>
    <xf numFmtId="166" fontId="7" fillId="0" borderId="2" xfId="1" applyNumberFormat="1" applyFont="1" applyFill="1" applyBorder="1" applyAlignment="1">
      <alignment horizontal="right" vertical="center"/>
    </xf>
    <xf numFmtId="166" fontId="7" fillId="2" borderId="11" xfId="1" applyNumberFormat="1" applyFont="1" applyFill="1" applyBorder="1" applyAlignment="1">
      <alignment horizontal="right" vertical="center"/>
    </xf>
    <xf numFmtId="166" fontId="7" fillId="3" borderId="2" xfId="1" applyNumberFormat="1" applyFont="1" applyFill="1" applyBorder="1" applyAlignment="1">
      <alignment horizontal="right" vertical="center"/>
    </xf>
    <xf numFmtId="166" fontId="7" fillId="3" borderId="11" xfId="1" applyNumberFormat="1" applyFont="1" applyFill="1" applyBorder="1" applyAlignment="1">
      <alignment horizontal="right" vertical="center"/>
    </xf>
    <xf numFmtId="165" fontId="9" fillId="2" borderId="2" xfId="0" applyNumberFormat="1" applyFont="1" applyFill="1" applyBorder="1" applyAlignment="1">
      <alignment horizontal="left" vertical="center"/>
    </xf>
    <xf numFmtId="166" fontId="9" fillId="2" borderId="2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9" fillId="2" borderId="11" xfId="1" applyNumberFormat="1" applyFont="1" applyFill="1" applyBorder="1" applyAlignment="1">
      <alignment horizontal="right" vertical="center"/>
    </xf>
    <xf numFmtId="166" fontId="9" fillId="2" borderId="12" xfId="1" applyNumberFormat="1" applyFont="1" applyFill="1" applyBorder="1" applyAlignment="1">
      <alignment horizontal="right" vertical="center"/>
    </xf>
    <xf numFmtId="166" fontId="9" fillId="0" borderId="12" xfId="1" applyNumberFormat="1" applyFont="1" applyFill="1" applyBorder="1" applyAlignment="1">
      <alignment horizontal="right" vertical="center"/>
    </xf>
    <xf numFmtId="166" fontId="9" fillId="2" borderId="33" xfId="1" applyNumberFormat="1" applyFont="1" applyFill="1" applyBorder="1" applyAlignment="1">
      <alignment horizontal="right" vertical="center"/>
    </xf>
    <xf numFmtId="166" fontId="10" fillId="2" borderId="12" xfId="1" applyNumberFormat="1" applyFont="1" applyFill="1" applyBorder="1"/>
    <xf numFmtId="166" fontId="10" fillId="2" borderId="33" xfId="1" applyNumberFormat="1" applyFont="1" applyFill="1" applyBorder="1"/>
    <xf numFmtId="166" fontId="7" fillId="2" borderId="2" xfId="1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/>
    <xf numFmtId="166" fontId="7" fillId="2" borderId="11" xfId="1" applyNumberFormat="1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vertical="center"/>
    </xf>
    <xf numFmtId="166" fontId="9" fillId="2" borderId="2" xfId="1" applyNumberFormat="1" applyFont="1" applyFill="1" applyBorder="1"/>
    <xf numFmtId="166" fontId="9" fillId="2" borderId="12" xfId="1" applyNumberFormat="1" applyFont="1" applyFill="1" applyBorder="1"/>
    <xf numFmtId="166" fontId="9" fillId="0" borderId="12" xfId="1" applyNumberFormat="1" applyFont="1" applyFill="1" applyBorder="1"/>
    <xf numFmtId="3" fontId="7" fillId="2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166" fontId="5" fillId="0" borderId="0" xfId="0" applyNumberFormat="1" applyFont="1" applyFill="1"/>
    <xf numFmtId="3" fontId="5" fillId="2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0" fontId="7" fillId="2" borderId="12" xfId="0" applyFont="1" applyFill="1" applyBorder="1"/>
    <xf numFmtId="0" fontId="7" fillId="2" borderId="2" xfId="0" applyFont="1" applyFill="1" applyBorder="1"/>
    <xf numFmtId="0" fontId="9" fillId="2" borderId="12" xfId="0" applyFont="1" applyFill="1" applyBorder="1"/>
    <xf numFmtId="0" fontId="9" fillId="2" borderId="2" xfId="0" applyFont="1" applyFill="1" applyBorder="1"/>
    <xf numFmtId="0" fontId="4" fillId="2" borderId="12" xfId="0" applyFont="1" applyFill="1" applyBorder="1"/>
    <xf numFmtId="0" fontId="4" fillId="2" borderId="2" xfId="0" applyFont="1" applyFill="1" applyBorder="1"/>
    <xf numFmtId="166" fontId="10" fillId="2" borderId="2" xfId="1" applyNumberFormat="1" applyFont="1" applyFill="1" applyBorder="1"/>
    <xf numFmtId="166" fontId="7" fillId="2" borderId="1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0" fontId="10" fillId="2" borderId="12" xfId="0" applyFont="1" applyFill="1" applyBorder="1"/>
    <xf numFmtId="0" fontId="10" fillId="2" borderId="2" xfId="0" applyFont="1" applyFill="1" applyBorder="1"/>
    <xf numFmtId="3" fontId="6" fillId="2" borderId="1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166" fontId="44" fillId="2" borderId="2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6" fontId="5" fillId="2" borderId="11" xfId="1" applyNumberFormat="1" applyFont="1" applyFill="1" applyBorder="1"/>
    <xf numFmtId="166" fontId="7" fillId="2" borderId="11" xfId="1" applyNumberFormat="1" applyFont="1" applyFill="1" applyBorder="1"/>
    <xf numFmtId="166" fontId="10" fillId="2" borderId="11" xfId="1" applyNumberFormat="1" applyFont="1" applyFill="1" applyBorder="1"/>
    <xf numFmtId="166" fontId="7" fillId="2" borderId="12" xfId="1" applyNumberFormat="1" applyFont="1" applyFill="1" applyBorder="1" applyAlignment="1">
      <alignment horizontal="right" vertical="center"/>
    </xf>
    <xf numFmtId="3" fontId="7" fillId="2" borderId="12" xfId="0" applyNumberFormat="1" applyFont="1" applyFill="1" applyBorder="1" applyAlignment="1">
      <alignment horizontal="right" vertical="center"/>
    </xf>
    <xf numFmtId="0" fontId="11" fillId="2" borderId="0" xfId="2" applyFill="1"/>
    <xf numFmtId="0" fontId="11" fillId="2" borderId="0" xfId="2" applyFill="1" applyAlignment="1">
      <alignment horizontal="left" vertical="center"/>
    </xf>
    <xf numFmtId="166" fontId="3" fillId="2" borderId="0" xfId="6" applyNumberFormat="1" applyFont="1" applyFill="1"/>
    <xf numFmtId="166" fontId="0" fillId="2" borderId="0" xfId="6" applyNumberFormat="1" applyFont="1" applyFill="1" applyAlignment="1">
      <alignment horizontal="right"/>
    </xf>
    <xf numFmtId="166" fontId="0" fillId="2" borderId="0" xfId="6" applyNumberFormat="1" applyFont="1" applyFill="1"/>
    <xf numFmtId="166" fontId="4" fillId="2" borderId="33" xfId="6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166" fontId="45" fillId="2" borderId="2" xfId="6" applyNumberFormat="1" applyFont="1" applyFill="1" applyBorder="1" applyAlignment="1">
      <alignment horizontal="center" vertical="center" wrapText="1"/>
    </xf>
    <xf numFmtId="0" fontId="11" fillId="2" borderId="0" xfId="2" applyFont="1" applyFill="1"/>
    <xf numFmtId="0" fontId="6" fillId="2" borderId="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164" fontId="7" fillId="2" borderId="2" xfId="2" quotePrefix="1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vertical="center" wrapText="1"/>
    </xf>
    <xf numFmtId="165" fontId="7" fillId="2" borderId="2" xfId="2" applyNumberFormat="1" applyFont="1" applyFill="1" applyBorder="1" applyAlignment="1">
      <alignment horizontal="left" vertical="center"/>
    </xf>
    <xf numFmtId="166" fontId="3" fillId="2" borderId="2" xfId="6" applyNumberFormat="1" applyFont="1" applyFill="1" applyBorder="1"/>
    <xf numFmtId="166" fontId="4" fillId="2" borderId="2" xfId="6" applyNumberFormat="1" applyFont="1" applyFill="1" applyBorder="1"/>
    <xf numFmtId="166" fontId="47" fillId="2" borderId="0" xfId="2" applyNumberFormat="1" applyFont="1" applyFill="1" applyAlignment="1"/>
    <xf numFmtId="0" fontId="7" fillId="2" borderId="2" xfId="2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left" vertical="center" wrapText="1"/>
    </xf>
    <xf numFmtId="165" fontId="9" fillId="2" borderId="2" xfId="2" applyNumberFormat="1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left" vertical="center"/>
    </xf>
    <xf numFmtId="166" fontId="41" fillId="2" borderId="2" xfId="6" applyNumberFormat="1" applyFont="1" applyFill="1" applyBorder="1"/>
    <xf numFmtId="166" fontId="6" fillId="2" borderId="2" xfId="6" applyNumberFormat="1" applyFont="1" applyFill="1" applyBorder="1"/>
    <xf numFmtId="0" fontId="47" fillId="2" borderId="0" xfId="2" applyFont="1" applyFill="1"/>
    <xf numFmtId="0" fontId="9" fillId="2" borderId="2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right" vertical="center"/>
    </xf>
    <xf numFmtId="166" fontId="47" fillId="2" borderId="2" xfId="6" applyNumberFormat="1" applyFont="1" applyFill="1" applyBorder="1"/>
    <xf numFmtId="166" fontId="4" fillId="0" borderId="2" xfId="6" applyNumberFormat="1" applyFont="1" applyFill="1" applyBorder="1"/>
    <xf numFmtId="0" fontId="11" fillId="2" borderId="2" xfId="2" applyFill="1" applyBorder="1" applyAlignment="1">
      <alignment horizontal="left" vertical="center"/>
    </xf>
    <xf numFmtId="166" fontId="3" fillId="2" borderId="0" xfId="6" applyNumberFormat="1" applyFont="1" applyFill="1" applyAlignment="1">
      <alignment horizontal="right"/>
    </xf>
    <xf numFmtId="0" fontId="11" fillId="2" borderId="62" xfId="2" applyFont="1" applyFill="1" applyBorder="1"/>
    <xf numFmtId="166" fontId="11" fillId="2" borderId="0" xfId="2" applyNumberFormat="1" applyFill="1"/>
    <xf numFmtId="0" fontId="11" fillId="2" borderId="12" xfId="2" applyFill="1" applyBorder="1"/>
    <xf numFmtId="166" fontId="4" fillId="2" borderId="10" xfId="6" applyNumberFormat="1" applyFont="1" applyFill="1" applyBorder="1"/>
    <xf numFmtId="0" fontId="11" fillId="2" borderId="0" xfId="2" applyFill="1" applyAlignment="1">
      <alignment vertical="center"/>
    </xf>
    <xf numFmtId="0" fontId="11" fillId="2" borderId="2" xfId="2" applyFill="1" applyBorder="1"/>
    <xf numFmtId="165" fontId="7" fillId="2" borderId="2" xfId="2" applyNumberFormat="1" applyFont="1" applyFill="1" applyBorder="1" applyAlignment="1">
      <alignment vertical="center"/>
    </xf>
    <xf numFmtId="165" fontId="9" fillId="2" borderId="2" xfId="2" applyNumberFormat="1" applyFont="1" applyFill="1" applyBorder="1" applyAlignment="1">
      <alignment vertical="center"/>
    </xf>
    <xf numFmtId="166" fontId="4" fillId="2" borderId="6" xfId="6" applyNumberFormat="1" applyFont="1" applyFill="1" applyBorder="1"/>
    <xf numFmtId="0" fontId="11" fillId="2" borderId="1" xfId="2" applyFill="1" applyBorder="1"/>
    <xf numFmtId="0" fontId="11" fillId="2" borderId="2" xfId="2" applyFill="1" applyBorder="1" applyAlignment="1">
      <alignment vertical="center"/>
    </xf>
    <xf numFmtId="0" fontId="11" fillId="2" borderId="62" xfId="2" applyFill="1" applyBorder="1"/>
    <xf numFmtId="0" fontId="47" fillId="2" borderId="12" xfId="2" applyFont="1" applyFill="1" applyBorder="1"/>
    <xf numFmtId="166" fontId="6" fillId="2" borderId="6" xfId="6" applyNumberFormat="1" applyFont="1" applyFill="1" applyBorder="1"/>
    <xf numFmtId="166" fontId="6" fillId="2" borderId="10" xfId="6" applyNumberFormat="1" applyFont="1" applyFill="1" applyBorder="1"/>
    <xf numFmtId="0" fontId="11" fillId="2" borderId="58" xfId="2" applyFill="1" applyBorder="1"/>
    <xf numFmtId="166" fontId="11" fillId="2" borderId="2" xfId="2" applyNumberFormat="1" applyFill="1" applyBorder="1"/>
    <xf numFmtId="166" fontId="11" fillId="2" borderId="1" xfId="2" applyNumberFormat="1" applyFill="1" applyBorder="1"/>
    <xf numFmtId="0" fontId="11" fillId="2" borderId="0" xfId="2" applyFill="1" applyAlignment="1">
      <alignment horizontal="center"/>
    </xf>
    <xf numFmtId="0" fontId="47" fillId="2" borderId="1" xfId="2" applyFont="1" applyFill="1" applyBorder="1"/>
    <xf numFmtId="166" fontId="11" fillId="2" borderId="12" xfId="2" applyNumberFormat="1" applyFill="1" applyBorder="1"/>
    <xf numFmtId="166" fontId="3" fillId="2" borderId="1" xfId="6" applyNumberFormat="1" applyFont="1" applyFill="1" applyBorder="1" applyAlignment="1">
      <alignment horizontal="right"/>
    </xf>
    <xf numFmtId="0" fontId="48" fillId="2" borderId="0" xfId="0" applyFont="1" applyFill="1" applyBorder="1" applyAlignment="1">
      <alignment horizontal="center" vertical="center" wrapText="1"/>
    </xf>
    <xf numFmtId="166" fontId="5" fillId="2" borderId="2" xfId="7" applyNumberFormat="1" applyFont="1" applyFill="1" applyBorder="1"/>
    <xf numFmtId="166" fontId="7" fillId="2" borderId="2" xfId="7" applyNumberFormat="1" applyFont="1" applyFill="1" applyBorder="1"/>
    <xf numFmtId="166" fontId="47" fillId="2" borderId="0" xfId="2" applyNumberFormat="1" applyFont="1" applyFill="1"/>
    <xf numFmtId="166" fontId="11" fillId="2" borderId="8" xfId="2" applyNumberFormat="1" applyFill="1" applyBorder="1"/>
    <xf numFmtId="166" fontId="11" fillId="2" borderId="33" xfId="2" applyNumberFormat="1" applyFill="1" applyBorder="1"/>
    <xf numFmtId="164" fontId="7" fillId="2" borderId="4" xfId="2" quotePrefix="1" applyNumberFormat="1" applyFont="1" applyFill="1" applyBorder="1" applyAlignment="1">
      <alignment horizontal="center" vertical="center"/>
    </xf>
    <xf numFmtId="166" fontId="5" fillId="2" borderId="0" xfId="7" applyNumberFormat="1" applyFont="1" applyFill="1" applyBorder="1"/>
    <xf numFmtId="166" fontId="13" fillId="0" borderId="42" xfId="0" applyNumberFormat="1" applyFont="1" applyFill="1" applyBorder="1" applyAlignment="1">
      <alignment vertical="center"/>
    </xf>
    <xf numFmtId="0" fontId="13" fillId="2" borderId="42" xfId="0" applyFont="1" applyFill="1" applyBorder="1"/>
    <xf numFmtId="166" fontId="13" fillId="0" borderId="23" xfId="0" applyNumberFormat="1" applyFont="1" applyFill="1" applyBorder="1" applyAlignment="1">
      <alignment vertical="center"/>
    </xf>
    <xf numFmtId="0" fontId="13" fillId="2" borderId="23" xfId="0" applyFont="1" applyFill="1" applyBorder="1"/>
    <xf numFmtId="166" fontId="13" fillId="0" borderId="30" xfId="0" applyNumberFormat="1" applyFont="1" applyFill="1" applyBorder="1" applyAlignment="1">
      <alignment vertical="center"/>
    </xf>
    <xf numFmtId="166" fontId="13" fillId="0" borderId="30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0" fillId="0" borderId="0" xfId="0" applyNumberFormat="1"/>
    <xf numFmtId="3" fontId="4" fillId="2" borderId="2" xfId="0" applyNumberFormat="1" applyFont="1" applyFill="1" applyBorder="1"/>
    <xf numFmtId="3" fontId="0" fillId="0" borderId="2" xfId="0" applyNumberFormat="1" applyBorder="1"/>
    <xf numFmtId="3" fontId="41" fillId="0" borderId="2" xfId="0" applyNumberFormat="1" applyFont="1" applyBorder="1"/>
    <xf numFmtId="166" fontId="13" fillId="2" borderId="42" xfId="0" applyNumberFormat="1" applyFont="1" applyFill="1" applyBorder="1" applyAlignment="1">
      <alignment vertical="center"/>
    </xf>
    <xf numFmtId="166" fontId="13" fillId="2" borderId="23" xfId="0" applyNumberFormat="1" applyFont="1" applyFill="1" applyBorder="1" applyAlignment="1">
      <alignment vertical="center"/>
    </xf>
    <xf numFmtId="166" fontId="13" fillId="2" borderId="30" xfId="0" applyNumberFormat="1" applyFont="1" applyFill="1" applyBorder="1" applyAlignment="1">
      <alignment vertical="center"/>
    </xf>
    <xf numFmtId="49" fontId="13" fillId="0" borderId="47" xfId="0" quotePrefix="1" applyNumberFormat="1" applyFont="1" applyFill="1" applyBorder="1" applyAlignment="1">
      <alignment horizontal="center" vertical="center"/>
    </xf>
    <xf numFmtId="166" fontId="13" fillId="0" borderId="64" xfId="1" applyNumberFormat="1" applyFont="1" applyFill="1" applyBorder="1" applyAlignment="1">
      <alignment vertical="center"/>
    </xf>
    <xf numFmtId="166" fontId="13" fillId="0" borderId="30" xfId="1" applyNumberFormat="1" applyFont="1" applyFill="1" applyBorder="1" applyAlignment="1">
      <alignment horizontal="center" vertical="center" wrapText="1"/>
    </xf>
    <xf numFmtId="0" fontId="13" fillId="0" borderId="30" xfId="0" quotePrefix="1" applyFont="1" applyFill="1" applyBorder="1" applyAlignment="1">
      <alignment horizontal="center" vertical="center"/>
    </xf>
    <xf numFmtId="166" fontId="13" fillId="0" borderId="46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166" fontId="7" fillId="0" borderId="2" xfId="1" applyNumberFormat="1" applyFont="1" applyFill="1" applyBorder="1"/>
    <xf numFmtId="166" fontId="7" fillId="0" borderId="2" xfId="1" applyNumberFormat="1" applyFont="1" applyFill="1" applyBorder="1" applyAlignment="1">
      <alignment horizontal="center" vertical="center"/>
    </xf>
    <xf numFmtId="171" fontId="0" fillId="2" borderId="46" xfId="0" applyNumberFormat="1" applyFill="1" applyBorder="1"/>
    <xf numFmtId="166" fontId="13" fillId="0" borderId="50" xfId="1" applyNumberFormat="1" applyFont="1" applyFill="1" applyBorder="1" applyAlignment="1">
      <alignment vertical="center"/>
    </xf>
    <xf numFmtId="166" fontId="5" fillId="2" borderId="2" xfId="7" applyNumberFormat="1" applyFont="1" applyFill="1" applyBorder="1" applyAlignment="1">
      <alignment horizontal="center"/>
    </xf>
    <xf numFmtId="166" fontId="5" fillId="2" borderId="2" xfId="7" applyNumberFormat="1" applyFont="1" applyFill="1" applyBorder="1" applyAlignment="1">
      <alignment horizontal="center" vertical="center"/>
    </xf>
    <xf numFmtId="166" fontId="5" fillId="2" borderId="2" xfId="7" applyNumberFormat="1" applyFont="1" applyFill="1" applyBorder="1" applyAlignment="1">
      <alignment horizontal="right" vertical="center"/>
    </xf>
    <xf numFmtId="166" fontId="4" fillId="2" borderId="2" xfId="6" applyNumberFormat="1" applyFont="1" applyFill="1" applyBorder="1" applyAlignment="1">
      <alignment horizontal="center" vertical="center"/>
    </xf>
    <xf numFmtId="166" fontId="6" fillId="2" borderId="2" xfId="6" applyNumberFormat="1" applyFont="1" applyFill="1" applyBorder="1" applyAlignment="1">
      <alignment horizontal="center" vertical="center"/>
    </xf>
    <xf numFmtId="166" fontId="4" fillId="2" borderId="2" xfId="6" applyNumberFormat="1" applyFont="1" applyFill="1" applyBorder="1" applyAlignment="1"/>
    <xf numFmtId="166" fontId="0" fillId="2" borderId="2" xfId="6" applyNumberFormat="1" applyFont="1" applyFill="1" applyBorder="1" applyAlignment="1">
      <alignment horizontal="center" vertical="center"/>
    </xf>
    <xf numFmtId="166" fontId="3" fillId="2" borderId="2" xfId="6" applyNumberFormat="1" applyFont="1" applyFill="1" applyBorder="1" applyAlignment="1">
      <alignment horizontal="center" vertical="center"/>
    </xf>
    <xf numFmtId="166" fontId="4" fillId="2" borderId="2" xfId="6" applyNumberFormat="1" applyFont="1" applyFill="1" applyBorder="1" applyAlignment="1">
      <alignment vertical="center"/>
    </xf>
    <xf numFmtId="173" fontId="11" fillId="2" borderId="0" xfId="8" applyNumberFormat="1" applyFont="1" applyFill="1"/>
    <xf numFmtId="170" fontId="11" fillId="2" borderId="0" xfId="8" applyNumberFormat="1" applyFont="1" applyFill="1"/>
    <xf numFmtId="0" fontId="14" fillId="2" borderId="17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wrapText="1"/>
    </xf>
    <xf numFmtId="166" fontId="13" fillId="2" borderId="45" xfId="1" applyNumberFormat="1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1" fillId="2" borderId="0" xfId="2" applyFill="1" applyBorder="1"/>
    <xf numFmtId="0" fontId="17" fillId="0" borderId="14" xfId="0" applyFont="1" applyBorder="1" applyAlignment="1">
      <alignment horizontal="center" vertical="center"/>
    </xf>
    <xf numFmtId="166" fontId="14" fillId="0" borderId="16" xfId="1" applyNumberFormat="1" applyFont="1" applyBorder="1" applyAlignment="1">
      <alignment horizontal="center" vertical="center"/>
    </xf>
    <xf numFmtId="0" fontId="13" fillId="0" borderId="42" xfId="0" quotePrefix="1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wrapText="1"/>
    </xf>
    <xf numFmtId="166" fontId="13" fillId="2" borderId="42" xfId="1" applyNumberFormat="1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166" fontId="13" fillId="0" borderId="0" xfId="0" applyNumberFormat="1" applyFont="1" applyFill="1"/>
    <xf numFmtId="49" fontId="13" fillId="0" borderId="30" xfId="0" quotePrefix="1" applyNumberFormat="1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166" fontId="14" fillId="3" borderId="17" xfId="1" applyNumberFormat="1" applyFont="1" applyFill="1" applyBorder="1" applyAlignment="1">
      <alignment vertical="center"/>
    </xf>
    <xf numFmtId="166" fontId="14" fillId="3" borderId="17" xfId="1" applyNumberFormat="1" applyFont="1" applyFill="1" applyBorder="1"/>
    <xf numFmtId="166" fontId="14" fillId="3" borderId="39" xfId="1" applyNumberFormat="1" applyFont="1" applyFill="1" applyBorder="1"/>
    <xf numFmtId="166" fontId="13" fillId="3" borderId="0" xfId="1" applyNumberFormat="1" applyFont="1" applyFill="1"/>
    <xf numFmtId="0" fontId="13" fillId="3" borderId="0" xfId="0" applyFont="1" applyFill="1"/>
    <xf numFmtId="0" fontId="13" fillId="3" borderId="18" xfId="0" applyFont="1" applyFill="1" applyBorder="1" applyAlignment="1">
      <alignment horizontal="center" vertical="center"/>
    </xf>
    <xf numFmtId="49" fontId="13" fillId="3" borderId="19" xfId="0" quotePrefix="1" applyNumberFormat="1" applyFont="1" applyFill="1" applyBorder="1" applyAlignment="1">
      <alignment horizontal="center" vertical="center"/>
    </xf>
    <xf numFmtId="0" fontId="13" fillId="3" borderId="19" xfId="0" applyFont="1" applyFill="1" applyBorder="1"/>
    <xf numFmtId="0" fontId="13" fillId="3" borderId="19" xfId="0" applyFont="1" applyFill="1" applyBorder="1" applyAlignment="1">
      <alignment vertical="center"/>
    </xf>
    <xf numFmtId="166" fontId="13" fillId="3" borderId="19" xfId="1" applyNumberFormat="1" applyFont="1" applyFill="1" applyBorder="1"/>
    <xf numFmtId="166" fontId="13" fillId="3" borderId="19" xfId="1" applyNumberFormat="1" applyFont="1" applyFill="1" applyBorder="1" applyAlignment="1">
      <alignment vertical="center"/>
    </xf>
    <xf numFmtId="166" fontId="13" fillId="3" borderId="25" xfId="1" applyNumberFormat="1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49" fontId="13" fillId="3" borderId="23" xfId="0" quotePrefix="1" applyNumberFormat="1" applyFont="1" applyFill="1" applyBorder="1" applyAlignment="1">
      <alignment horizontal="center" vertical="center"/>
    </xf>
    <xf numFmtId="0" fontId="13" fillId="3" borderId="23" xfId="0" applyFont="1" applyFill="1" applyBorder="1"/>
    <xf numFmtId="0" fontId="13" fillId="3" borderId="23" xfId="0" applyFont="1" applyFill="1" applyBorder="1" applyAlignment="1">
      <alignment vertical="center"/>
    </xf>
    <xf numFmtId="166" fontId="13" fillId="3" borderId="23" xfId="1" applyNumberFormat="1" applyFont="1" applyFill="1" applyBorder="1"/>
    <xf numFmtId="166" fontId="13" fillId="3" borderId="23" xfId="1" applyNumberFormat="1" applyFont="1" applyFill="1" applyBorder="1" applyAlignment="1">
      <alignment vertical="center"/>
    </xf>
    <xf numFmtId="166" fontId="13" fillId="3" borderId="28" xfId="1" applyNumberFormat="1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49" fontId="13" fillId="3" borderId="26" xfId="0" quotePrefix="1" applyNumberFormat="1" applyFont="1" applyFill="1" applyBorder="1" applyAlignment="1">
      <alignment horizontal="center" vertical="center"/>
    </xf>
    <xf numFmtId="0" fontId="13" fillId="3" borderId="26" xfId="0" applyFont="1" applyFill="1" applyBorder="1"/>
    <xf numFmtId="0" fontId="13" fillId="3" borderId="26" xfId="0" applyFont="1" applyFill="1" applyBorder="1" applyAlignment="1">
      <alignment vertical="center"/>
    </xf>
    <xf numFmtId="166" fontId="13" fillId="3" borderId="26" xfId="1" applyNumberFormat="1" applyFont="1" applyFill="1" applyBorder="1"/>
    <xf numFmtId="166" fontId="13" fillId="3" borderId="26" xfId="1" applyNumberFormat="1" applyFont="1" applyFill="1" applyBorder="1" applyAlignment="1">
      <alignment vertical="center"/>
    </xf>
    <xf numFmtId="166" fontId="13" fillId="3" borderId="29" xfId="1" applyNumberFormat="1" applyFont="1" applyFill="1" applyBorder="1" applyAlignment="1">
      <alignment vertical="center"/>
    </xf>
    <xf numFmtId="166" fontId="13" fillId="3" borderId="49" xfId="1" applyNumberFormat="1" applyFont="1" applyFill="1" applyBorder="1" applyAlignment="1">
      <alignment horizontal="center" vertical="center"/>
    </xf>
    <xf numFmtId="166" fontId="14" fillId="3" borderId="39" xfId="1" applyNumberFormat="1" applyFont="1" applyFill="1" applyBorder="1" applyAlignment="1">
      <alignment vertical="center"/>
    </xf>
    <xf numFmtId="0" fontId="13" fillId="3" borderId="50" xfId="0" applyFont="1" applyFill="1" applyBorder="1" applyAlignment="1">
      <alignment horizontal="center" vertical="center"/>
    </xf>
    <xf numFmtId="49" fontId="13" fillId="3" borderId="29" xfId="0" quotePrefix="1" applyNumberFormat="1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166" fontId="13" fillId="3" borderId="39" xfId="1" applyNumberFormat="1" applyFont="1" applyFill="1" applyBorder="1"/>
    <xf numFmtId="0" fontId="13" fillId="3" borderId="16" xfId="0" applyFont="1" applyFill="1" applyBorder="1" applyAlignment="1">
      <alignment horizontal="center" vertical="center"/>
    </xf>
    <xf numFmtId="49" fontId="13" fillId="3" borderId="17" xfId="0" quotePrefix="1" applyNumberFormat="1" applyFont="1" applyFill="1" applyBorder="1" applyAlignment="1">
      <alignment horizontal="center" vertical="center"/>
    </xf>
    <xf numFmtId="0" fontId="13" fillId="3" borderId="17" xfId="0" applyFont="1" applyFill="1" applyBorder="1"/>
    <xf numFmtId="0" fontId="13" fillId="3" borderId="17" xfId="0" applyFont="1" applyFill="1" applyBorder="1" applyAlignment="1">
      <alignment vertical="center"/>
    </xf>
    <xf numFmtId="166" fontId="13" fillId="3" borderId="17" xfId="1" applyNumberFormat="1" applyFont="1" applyFill="1" applyBorder="1"/>
    <xf numFmtId="166" fontId="13" fillId="3" borderId="17" xfId="1" applyNumberFormat="1" applyFont="1" applyFill="1" applyBorder="1" applyAlignment="1">
      <alignment vertical="center"/>
    </xf>
    <xf numFmtId="166" fontId="13" fillId="3" borderId="39" xfId="1" applyNumberFormat="1" applyFont="1" applyFill="1" applyBorder="1" applyAlignment="1">
      <alignment horizontal="center" vertical="center"/>
    </xf>
    <xf numFmtId="49" fontId="13" fillId="3" borderId="0" xfId="0" applyNumberFormat="1" applyFont="1" applyFill="1"/>
    <xf numFmtId="166" fontId="13" fillId="0" borderId="0" xfId="0" applyNumberFormat="1" applyFont="1" applyBorder="1"/>
    <xf numFmtId="0" fontId="13" fillId="2" borderId="19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/>
    </xf>
    <xf numFmtId="166" fontId="13" fillId="0" borderId="42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9" fontId="13" fillId="0" borderId="0" xfId="0" quotePrefix="1" applyNumberFormat="1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4" fillId="2" borderId="33" xfId="6" applyNumberFormat="1" applyFont="1" applyFill="1" applyBorder="1" applyAlignment="1">
      <alignment horizontal="center" vertical="center" wrapText="1"/>
    </xf>
    <xf numFmtId="166" fontId="5" fillId="2" borderId="33" xfId="6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6" fontId="4" fillId="2" borderId="12" xfId="1" applyNumberFormat="1" applyFont="1" applyFill="1" applyBorder="1"/>
    <xf numFmtId="166" fontId="4" fillId="2" borderId="33" xfId="6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6" fontId="7" fillId="2" borderId="12" xfId="1" applyNumberFormat="1" applyFont="1" applyFill="1" applyBorder="1"/>
    <xf numFmtId="166" fontId="6" fillId="2" borderId="2" xfId="6" applyNumberFormat="1" applyFont="1" applyFill="1" applyBorder="1" applyAlignment="1">
      <alignment vertical="center"/>
    </xf>
    <xf numFmtId="0" fontId="0" fillId="0" borderId="2" xfId="0" applyBorder="1"/>
    <xf numFmtId="49" fontId="13" fillId="0" borderId="44" xfId="0" quotePrefix="1" applyNumberFormat="1" applyFont="1" applyFill="1" applyBorder="1" applyAlignment="1">
      <alignment horizontal="center" vertical="center"/>
    </xf>
    <xf numFmtId="166" fontId="13" fillId="0" borderId="27" xfId="1" applyNumberFormat="1" applyFont="1" applyBorder="1" applyAlignment="1">
      <alignment vertical="center"/>
    </xf>
    <xf numFmtId="0" fontId="13" fillId="0" borderId="49" xfId="0" applyFont="1" applyBorder="1" applyAlignment="1">
      <alignment horizontal="center" vertical="center"/>
    </xf>
    <xf numFmtId="0" fontId="13" fillId="2" borderId="49" xfId="0" applyFont="1" applyFill="1" applyBorder="1"/>
    <xf numFmtId="166" fontId="14" fillId="2" borderId="0" xfId="0" applyNumberFormat="1" applyFont="1" applyFill="1"/>
    <xf numFmtId="0" fontId="13" fillId="0" borderId="26" xfId="0" applyFont="1" applyBorder="1" applyAlignment="1">
      <alignment horizontal="left" vertical="center" wrapText="1"/>
    </xf>
    <xf numFmtId="49" fontId="20" fillId="0" borderId="13" xfId="0" applyNumberFormat="1" applyFont="1" applyFill="1" applyBorder="1" applyAlignment="1">
      <alignment vertical="center" wrapText="1"/>
    </xf>
    <xf numFmtId="0" fontId="38" fillId="2" borderId="34" xfId="3" applyFont="1" applyFill="1" applyBorder="1" applyAlignment="1">
      <alignment horizontal="left" vertical="center"/>
    </xf>
    <xf numFmtId="0" fontId="38" fillId="2" borderId="17" xfId="3" applyFont="1" applyFill="1" applyBorder="1" applyAlignment="1">
      <alignment horizontal="center" vertical="center" wrapText="1"/>
    </xf>
    <xf numFmtId="171" fontId="38" fillId="2" borderId="39" xfId="3" applyNumberFormat="1" applyFont="1" applyFill="1" applyBorder="1" applyAlignment="1">
      <alignment horizontal="right" vertical="center" wrapText="1"/>
    </xf>
    <xf numFmtId="171" fontId="18" fillId="2" borderId="12" xfId="0" applyNumberFormat="1" applyFont="1" applyFill="1" applyBorder="1"/>
    <xf numFmtId="0" fontId="38" fillId="3" borderId="2" xfId="0" applyFont="1" applyFill="1" applyBorder="1" applyAlignment="1">
      <alignment horizontal="center" vertical="center"/>
    </xf>
    <xf numFmtId="166" fontId="13" fillId="3" borderId="2" xfId="1" applyNumberFormat="1" applyFont="1" applyFill="1" applyBorder="1" applyAlignment="1">
      <alignment horizontal="center" vertical="center"/>
    </xf>
    <xf numFmtId="3" fontId="11" fillId="2" borderId="0" xfId="2" applyNumberFormat="1" applyFill="1"/>
    <xf numFmtId="166" fontId="4" fillId="2" borderId="2" xfId="1" applyNumberFormat="1" applyFont="1" applyFill="1" applyBorder="1"/>
    <xf numFmtId="166" fontId="5" fillId="2" borderId="0" xfId="1" applyNumberFormat="1" applyFont="1" applyFill="1"/>
    <xf numFmtId="0" fontId="4" fillId="2" borderId="10" xfId="0" applyFont="1" applyFill="1" applyBorder="1" applyAlignment="1">
      <alignment vertical="center" wrapText="1"/>
    </xf>
    <xf numFmtId="166" fontId="7" fillId="0" borderId="12" xfId="1" applyNumberFormat="1" applyFont="1" applyFill="1" applyBorder="1" applyAlignment="1">
      <alignment horizontal="right" vertical="center"/>
    </xf>
    <xf numFmtId="166" fontId="14" fillId="0" borderId="2" xfId="0" applyNumberFormat="1" applyFont="1" applyFill="1" applyBorder="1" applyAlignment="1">
      <alignment vertical="center"/>
    </xf>
    <xf numFmtId="166" fontId="19" fillId="0" borderId="2" xfId="1" applyNumberFormat="1" applyFont="1" applyFill="1" applyBorder="1" applyAlignment="1">
      <alignment horizontal="center" vertical="center"/>
    </xf>
    <xf numFmtId="49" fontId="13" fillId="0" borderId="30" xfId="0" applyNumberFormat="1" applyFont="1" applyFill="1" applyBorder="1" applyAlignment="1">
      <alignment horizontal="center" vertical="center"/>
    </xf>
    <xf numFmtId="166" fontId="13" fillId="0" borderId="66" xfId="1" applyNumberFormat="1" applyFont="1" applyFill="1" applyBorder="1" applyAlignment="1">
      <alignment vertical="center"/>
    </xf>
    <xf numFmtId="166" fontId="14" fillId="0" borderId="23" xfId="1" applyNumberFormat="1" applyFont="1" applyFill="1" applyBorder="1"/>
    <xf numFmtId="166" fontId="14" fillId="0" borderId="0" xfId="0" applyNumberFormat="1" applyFont="1" applyFill="1"/>
    <xf numFmtId="166" fontId="13" fillId="0" borderId="28" xfId="1" applyNumberFormat="1" applyFont="1" applyFill="1" applyBorder="1"/>
    <xf numFmtId="166" fontId="14" fillId="0" borderId="26" xfId="1" applyNumberFormat="1" applyFont="1" applyFill="1" applyBorder="1"/>
    <xf numFmtId="0" fontId="14" fillId="0" borderId="44" xfId="0" applyFont="1" applyFill="1" applyBorder="1"/>
    <xf numFmtId="0" fontId="14" fillId="0" borderId="30" xfId="0" applyFont="1" applyFill="1" applyBorder="1"/>
    <xf numFmtId="0" fontId="14" fillId="0" borderId="30" xfId="0" applyFont="1" applyFill="1" applyBorder="1" applyAlignment="1">
      <alignment horizontal="center"/>
    </xf>
    <xf numFmtId="166" fontId="14" fillId="0" borderId="30" xfId="1" applyNumberFormat="1" applyFont="1" applyFill="1" applyBorder="1" applyAlignment="1">
      <alignment vertical="center"/>
    </xf>
    <xf numFmtId="166" fontId="14" fillId="0" borderId="47" xfId="1" applyNumberFormat="1" applyFont="1" applyFill="1" applyBorder="1" applyAlignment="1">
      <alignment vertical="center"/>
    </xf>
    <xf numFmtId="166" fontId="14" fillId="0" borderId="30" xfId="1" applyNumberFormat="1" applyFont="1" applyFill="1" applyBorder="1"/>
    <xf numFmtId="0" fontId="38" fillId="0" borderId="2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right" vertical="center"/>
    </xf>
    <xf numFmtId="43" fontId="5" fillId="2" borderId="0" xfId="1" applyFont="1" applyFill="1"/>
    <xf numFmtId="174" fontId="7" fillId="2" borderId="2" xfId="1" applyNumberFormat="1" applyFont="1" applyFill="1" applyBorder="1" applyAlignment="1">
      <alignment horizontal="right" vertical="center"/>
    </xf>
    <xf numFmtId="169" fontId="7" fillId="2" borderId="2" xfId="1" applyNumberFormat="1" applyFont="1" applyFill="1" applyBorder="1" applyAlignment="1">
      <alignment horizontal="right" vertical="center"/>
    </xf>
    <xf numFmtId="43" fontId="4" fillId="2" borderId="2" xfId="1" applyFont="1" applyFill="1" applyBorder="1"/>
    <xf numFmtId="174" fontId="4" fillId="0" borderId="2" xfId="6" applyNumberFormat="1" applyFont="1" applyFill="1" applyBorder="1"/>
    <xf numFmtId="43" fontId="4" fillId="2" borderId="2" xfId="1" applyFont="1" applyFill="1" applyBorder="1" applyAlignment="1">
      <alignment horizontal="center" vertical="center"/>
    </xf>
    <xf numFmtId="169" fontId="4" fillId="2" borderId="2" xfId="1" applyNumberFormat="1" applyFont="1" applyFill="1" applyBorder="1" applyAlignment="1">
      <alignment horizontal="center" vertical="center"/>
    </xf>
    <xf numFmtId="169" fontId="4" fillId="2" borderId="2" xfId="1" applyNumberFormat="1" applyFont="1" applyFill="1" applyBorder="1" applyAlignment="1">
      <alignment vertical="center"/>
    </xf>
    <xf numFmtId="43" fontId="5" fillId="0" borderId="2" xfId="1" applyNumberFormat="1" applyFont="1" applyFill="1" applyBorder="1"/>
    <xf numFmtId="169" fontId="0" fillId="0" borderId="0" xfId="0" applyNumberFormat="1"/>
    <xf numFmtId="43" fontId="5" fillId="2" borderId="2" xfId="1" applyFont="1" applyFill="1" applyBorder="1"/>
    <xf numFmtId="174" fontId="5" fillId="2" borderId="2" xfId="1" applyNumberFormat="1" applyFont="1" applyFill="1" applyBorder="1"/>
    <xf numFmtId="43" fontId="5" fillId="0" borderId="2" xfId="1" applyFont="1" applyFill="1" applyBorder="1"/>
    <xf numFmtId="166" fontId="6" fillId="2" borderId="12" xfId="1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7" borderId="0" xfId="0" applyFont="1" applyFill="1"/>
    <xf numFmtId="0" fontId="13" fillId="0" borderId="42" xfId="0" applyFont="1" applyFill="1" applyBorder="1" applyAlignment="1">
      <alignment horizontal="left" vertical="center" wrapText="1"/>
    </xf>
    <xf numFmtId="166" fontId="13" fillId="7" borderId="0" xfId="1" applyNumberFormat="1" applyFont="1" applyFill="1"/>
    <xf numFmtId="0" fontId="4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/>
    <xf numFmtId="166" fontId="13" fillId="2" borderId="26" xfId="0" applyNumberFormat="1" applyFont="1" applyFill="1" applyBorder="1" applyAlignment="1">
      <alignment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41" fillId="0" borderId="23" xfId="3" applyFont="1" applyBorder="1"/>
    <xf numFmtId="169" fontId="23" fillId="0" borderId="24" xfId="4" applyNumberFormat="1" applyFont="1" applyFill="1" applyBorder="1"/>
    <xf numFmtId="169" fontId="23" fillId="0" borderId="66" xfId="4" applyNumberFormat="1" applyFont="1" applyFill="1" applyBorder="1"/>
    <xf numFmtId="170" fontId="23" fillId="0" borderId="66" xfId="5" applyNumberFormat="1" applyFont="1" applyBorder="1"/>
    <xf numFmtId="170" fontId="23" fillId="0" borderId="64" xfId="5" applyNumberFormat="1" applyFont="1" applyBorder="1"/>
    <xf numFmtId="166" fontId="13" fillId="0" borderId="45" xfId="1" applyNumberFormat="1" applyFont="1" applyFill="1" applyBorder="1"/>
    <xf numFmtId="174" fontId="11" fillId="2" borderId="2" xfId="1" applyNumberFormat="1" applyFont="1" applyFill="1" applyBorder="1"/>
    <xf numFmtId="3" fontId="11" fillId="2" borderId="2" xfId="2" applyNumberFormat="1" applyFill="1" applyBorder="1"/>
    <xf numFmtId="174" fontId="13" fillId="2" borderId="2" xfId="1" applyNumberFormat="1" applyFont="1" applyFill="1" applyBorder="1" applyAlignment="1">
      <alignment horizontal="center" vertical="center"/>
    </xf>
    <xf numFmtId="2" fontId="40" fillId="6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7" fillId="2" borderId="73" xfId="0" applyNumberFormat="1" applyFont="1" applyFill="1" applyBorder="1"/>
    <xf numFmtId="3" fontId="7" fillId="2" borderId="74" xfId="0" applyNumberFormat="1" applyFont="1" applyFill="1" applyBorder="1"/>
    <xf numFmtId="166" fontId="7" fillId="2" borderId="73" xfId="0" applyNumberFormat="1" applyFont="1" applyFill="1" applyBorder="1"/>
    <xf numFmtId="166" fontId="7" fillId="2" borderId="74" xfId="0" applyNumberFormat="1" applyFont="1" applyFill="1" applyBorder="1"/>
    <xf numFmtId="3" fontId="11" fillId="8" borderId="2" xfId="2" applyNumberFormat="1" applyFill="1" applyBorder="1"/>
    <xf numFmtId="166" fontId="6" fillId="8" borderId="2" xfId="6" applyNumberFormat="1" applyFont="1" applyFill="1" applyBorder="1"/>
    <xf numFmtId="166" fontId="5" fillId="3" borderId="2" xfId="1" applyNumberFormat="1" applyFont="1" applyFill="1" applyBorder="1"/>
    <xf numFmtId="49" fontId="13" fillId="0" borderId="26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/>
    </xf>
    <xf numFmtId="49" fontId="13" fillId="0" borderId="19" xfId="0" quotePrefix="1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166" fontId="4" fillId="0" borderId="11" xfId="6" applyNumberFormat="1" applyFont="1" applyFill="1" applyBorder="1" applyAlignment="1">
      <alignment horizontal="center" vertical="center" wrapText="1"/>
    </xf>
    <xf numFmtId="166" fontId="4" fillId="0" borderId="33" xfId="6" applyNumberFormat="1" applyFont="1" applyFill="1" applyBorder="1" applyAlignment="1">
      <alignment horizontal="center" vertical="center" wrapText="1"/>
    </xf>
    <xf numFmtId="166" fontId="4" fillId="0" borderId="12" xfId="6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5" fillId="0" borderId="11" xfId="0" quotePrefix="1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6" fontId="46" fillId="2" borderId="11" xfId="6" applyNumberFormat="1" applyFont="1" applyFill="1" applyBorder="1" applyAlignment="1">
      <alignment horizontal="center" vertical="center"/>
    </xf>
    <xf numFmtId="166" fontId="46" fillId="2" borderId="33" xfId="6" applyNumberFormat="1" applyFont="1" applyFill="1" applyBorder="1" applyAlignment="1">
      <alignment horizontal="center" vertical="center"/>
    </xf>
    <xf numFmtId="166" fontId="46" fillId="2" borderId="12" xfId="6" applyNumberFormat="1" applyFont="1" applyFill="1" applyBorder="1" applyAlignment="1">
      <alignment horizontal="center" vertical="center"/>
    </xf>
    <xf numFmtId="166" fontId="4" fillId="2" borderId="3" xfId="6" applyNumberFormat="1" applyFont="1" applyFill="1" applyBorder="1" applyAlignment="1">
      <alignment horizontal="center" vertical="center" wrapText="1"/>
    </xf>
    <xf numFmtId="166" fontId="4" fillId="2" borderId="4" xfId="6" applyNumberFormat="1" applyFont="1" applyFill="1" applyBorder="1" applyAlignment="1">
      <alignment horizontal="center" vertical="center" wrapText="1"/>
    </xf>
    <xf numFmtId="166" fontId="4" fillId="2" borderId="5" xfId="6" applyNumberFormat="1" applyFont="1" applyFill="1" applyBorder="1" applyAlignment="1">
      <alignment horizontal="center" vertical="center" wrapText="1"/>
    </xf>
    <xf numFmtId="166" fontId="4" fillId="2" borderId="7" xfId="6" applyNumberFormat="1" applyFont="1" applyFill="1" applyBorder="1" applyAlignment="1">
      <alignment horizontal="center" vertical="center" wrapText="1"/>
    </xf>
    <xf numFmtId="166" fontId="4" fillId="2" borderId="1" xfId="6" applyNumberFormat="1" applyFont="1" applyFill="1" applyBorder="1" applyAlignment="1">
      <alignment horizontal="center" vertical="center" wrapText="1"/>
    </xf>
    <xf numFmtId="166" fontId="4" fillId="2" borderId="8" xfId="6" applyNumberFormat="1" applyFont="1" applyFill="1" applyBorder="1" applyAlignment="1">
      <alignment horizontal="center" vertical="center" wrapText="1"/>
    </xf>
    <xf numFmtId="166" fontId="5" fillId="2" borderId="3" xfId="6" applyNumberFormat="1" applyFont="1" applyFill="1" applyBorder="1" applyAlignment="1">
      <alignment horizontal="center" vertical="center" wrapText="1"/>
    </xf>
    <xf numFmtId="166" fontId="5" fillId="2" borderId="4" xfId="6" applyNumberFormat="1" applyFont="1" applyFill="1" applyBorder="1" applyAlignment="1">
      <alignment horizontal="center" vertical="center" wrapText="1"/>
    </xf>
    <xf numFmtId="166" fontId="5" fillId="2" borderId="5" xfId="6" applyNumberFormat="1" applyFont="1" applyFill="1" applyBorder="1" applyAlignment="1">
      <alignment horizontal="center" vertical="center" wrapText="1"/>
    </xf>
    <xf numFmtId="166" fontId="5" fillId="2" borderId="62" xfId="6" applyNumberFormat="1" applyFont="1" applyFill="1" applyBorder="1" applyAlignment="1">
      <alignment horizontal="center" vertical="center" wrapText="1"/>
    </xf>
    <xf numFmtId="166" fontId="5" fillId="2" borderId="0" xfId="6" applyNumberFormat="1" applyFont="1" applyFill="1" applyBorder="1" applyAlignment="1">
      <alignment horizontal="center" vertical="center" wrapText="1"/>
    </xf>
    <xf numFmtId="166" fontId="5" fillId="2" borderId="58" xfId="6" applyNumberFormat="1" applyFont="1" applyFill="1" applyBorder="1" applyAlignment="1">
      <alignment horizontal="center" vertical="center" wrapText="1"/>
    </xf>
    <xf numFmtId="166" fontId="5" fillId="2" borderId="7" xfId="6" applyNumberFormat="1" applyFont="1" applyFill="1" applyBorder="1" applyAlignment="1">
      <alignment horizontal="center" vertical="center" wrapText="1"/>
    </xf>
    <xf numFmtId="166" fontId="5" fillId="2" borderId="1" xfId="6" applyNumberFormat="1" applyFont="1" applyFill="1" applyBorder="1" applyAlignment="1">
      <alignment horizontal="center" vertical="center" wrapText="1"/>
    </xf>
    <xf numFmtId="166" fontId="5" fillId="2" borderId="8" xfId="6" applyNumberFormat="1" applyFont="1" applyFill="1" applyBorder="1" applyAlignment="1">
      <alignment horizontal="center" vertical="center" wrapText="1"/>
    </xf>
    <xf numFmtId="166" fontId="5" fillId="2" borderId="11" xfId="6" applyNumberFormat="1" applyFont="1" applyFill="1" applyBorder="1" applyAlignment="1">
      <alignment horizontal="center" vertical="center" wrapText="1"/>
    </xf>
    <xf numFmtId="166" fontId="5" fillId="2" borderId="33" xfId="6" applyNumberFormat="1" applyFont="1" applyFill="1" applyBorder="1" applyAlignment="1">
      <alignment horizontal="center" vertical="center" wrapText="1"/>
    </xf>
    <xf numFmtId="166" fontId="5" fillId="2" borderId="12" xfId="6" applyNumberFormat="1" applyFont="1" applyFill="1" applyBorder="1" applyAlignment="1">
      <alignment horizontal="center" vertical="center" wrapText="1"/>
    </xf>
    <xf numFmtId="166" fontId="4" fillId="2" borderId="11" xfId="6" applyNumberFormat="1" applyFont="1" applyFill="1" applyBorder="1" applyAlignment="1">
      <alignment horizontal="center" vertical="center" wrapText="1"/>
    </xf>
    <xf numFmtId="166" fontId="4" fillId="2" borderId="33" xfId="6" applyNumberFormat="1" applyFont="1" applyFill="1" applyBorder="1" applyAlignment="1">
      <alignment horizontal="center" vertical="center" wrapText="1"/>
    </xf>
    <xf numFmtId="166" fontId="4" fillId="2" borderId="12" xfId="6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textRotation="90" wrapText="1"/>
    </xf>
    <xf numFmtId="166" fontId="5" fillId="2" borderId="3" xfId="6" applyNumberFormat="1" applyFont="1" applyFill="1" applyBorder="1" applyAlignment="1">
      <alignment horizontal="center" vertical="center"/>
    </xf>
    <xf numFmtId="166" fontId="5" fillId="2" borderId="4" xfId="6" applyNumberFormat="1" applyFont="1" applyFill="1" applyBorder="1" applyAlignment="1">
      <alignment horizontal="center" vertical="center"/>
    </xf>
    <xf numFmtId="166" fontId="5" fillId="2" borderId="5" xfId="6" applyNumberFormat="1" applyFont="1" applyFill="1" applyBorder="1" applyAlignment="1">
      <alignment horizontal="center" vertical="center"/>
    </xf>
    <xf numFmtId="166" fontId="4" fillId="2" borderId="4" xfId="6" quotePrefix="1" applyNumberFormat="1" applyFont="1" applyFill="1" applyBorder="1" applyAlignment="1">
      <alignment horizontal="center" vertical="center" wrapText="1"/>
    </xf>
    <xf numFmtId="166" fontId="4" fillId="2" borderId="5" xfId="6" quotePrefix="1" applyNumberFormat="1" applyFont="1" applyFill="1" applyBorder="1" applyAlignment="1">
      <alignment horizontal="center" vertical="center" wrapText="1"/>
    </xf>
    <xf numFmtId="166" fontId="4" fillId="2" borderId="7" xfId="6" quotePrefix="1" applyNumberFormat="1" applyFont="1" applyFill="1" applyBorder="1" applyAlignment="1">
      <alignment horizontal="center" vertical="center" wrapText="1"/>
    </xf>
    <xf numFmtId="166" fontId="4" fillId="2" borderId="1" xfId="6" quotePrefix="1" applyNumberFormat="1" applyFont="1" applyFill="1" applyBorder="1" applyAlignment="1">
      <alignment horizontal="center" vertical="center" wrapText="1"/>
    </xf>
    <xf numFmtId="166" fontId="4" fillId="2" borderId="8" xfId="6" quotePrefix="1" applyNumberFormat="1" applyFont="1" applyFill="1" applyBorder="1" applyAlignment="1">
      <alignment horizontal="center" vertical="center" wrapText="1"/>
    </xf>
    <xf numFmtId="166" fontId="5" fillId="2" borderId="11" xfId="6" applyNumberFormat="1" applyFont="1" applyFill="1" applyBorder="1" applyAlignment="1">
      <alignment horizontal="center" vertical="center"/>
    </xf>
    <xf numFmtId="166" fontId="5" fillId="2" borderId="33" xfId="6" applyNumberFormat="1" applyFont="1" applyFill="1" applyBorder="1" applyAlignment="1">
      <alignment horizontal="center" vertical="center"/>
    </xf>
    <xf numFmtId="166" fontId="5" fillId="2" borderId="12" xfId="6" applyNumberFormat="1" applyFont="1" applyFill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166" fontId="5" fillId="2" borderId="4" xfId="6" quotePrefix="1" applyNumberFormat="1" applyFont="1" applyFill="1" applyBorder="1" applyAlignment="1">
      <alignment horizontal="center" vertical="center" wrapText="1"/>
    </xf>
    <xf numFmtId="166" fontId="5" fillId="2" borderId="5" xfId="6" quotePrefix="1" applyNumberFormat="1" applyFont="1" applyFill="1" applyBorder="1" applyAlignment="1">
      <alignment horizontal="center" vertical="center" wrapText="1"/>
    </xf>
    <xf numFmtId="166" fontId="5" fillId="2" borderId="7" xfId="6" quotePrefix="1" applyNumberFormat="1" applyFont="1" applyFill="1" applyBorder="1" applyAlignment="1">
      <alignment horizontal="center" vertical="center" wrapText="1"/>
    </xf>
    <xf numFmtId="166" fontId="5" fillId="2" borderId="1" xfId="6" quotePrefix="1" applyNumberFormat="1" applyFont="1" applyFill="1" applyBorder="1" applyAlignment="1">
      <alignment horizontal="center" vertical="center" wrapText="1"/>
    </xf>
    <xf numFmtId="166" fontId="5" fillId="2" borderId="8" xfId="6" quotePrefix="1" applyNumberFormat="1" applyFont="1" applyFill="1" applyBorder="1" applyAlignment="1">
      <alignment horizontal="center" vertical="center" wrapText="1"/>
    </xf>
    <xf numFmtId="166" fontId="4" fillId="2" borderId="62" xfId="6" applyNumberFormat="1" applyFont="1" applyFill="1" applyBorder="1" applyAlignment="1">
      <alignment horizontal="center" vertical="center" wrapText="1"/>
    </xf>
    <xf numFmtId="166" fontId="4" fillId="2" borderId="0" xfId="6" applyNumberFormat="1" applyFont="1" applyFill="1" applyBorder="1" applyAlignment="1">
      <alignment horizontal="center" vertical="center" wrapText="1"/>
    </xf>
    <xf numFmtId="166" fontId="4" fillId="2" borderId="58" xfId="6" applyNumberFormat="1" applyFont="1" applyFill="1" applyBorder="1" applyAlignment="1">
      <alignment horizontal="center" vertical="center" wrapText="1"/>
    </xf>
    <xf numFmtId="166" fontId="4" fillId="2" borderId="11" xfId="6" quotePrefix="1" applyNumberFormat="1" applyFont="1" applyFill="1" applyBorder="1" applyAlignment="1">
      <alignment horizontal="center" vertical="center" wrapText="1"/>
    </xf>
    <xf numFmtId="166" fontId="4" fillId="2" borderId="33" xfId="6" quotePrefix="1" applyNumberFormat="1" applyFont="1" applyFill="1" applyBorder="1" applyAlignment="1">
      <alignment horizontal="center" vertical="center" wrapText="1"/>
    </xf>
    <xf numFmtId="166" fontId="4" fillId="2" borderId="12" xfId="6" quotePrefix="1" applyNumberFormat="1" applyFont="1" applyFill="1" applyBorder="1" applyAlignment="1">
      <alignment horizontal="center" vertical="center" wrapText="1"/>
    </xf>
    <xf numFmtId="166" fontId="4" fillId="0" borderId="3" xfId="6" applyNumberFormat="1" applyFont="1" applyFill="1" applyBorder="1" applyAlignment="1">
      <alignment horizontal="center" vertical="center" wrapText="1"/>
    </xf>
    <xf numFmtId="166" fontId="4" fillId="0" borderId="4" xfId="6" applyNumberFormat="1" applyFont="1" applyFill="1" applyBorder="1" applyAlignment="1">
      <alignment horizontal="center" vertical="center" wrapText="1"/>
    </xf>
    <xf numFmtId="166" fontId="4" fillId="0" borderId="5" xfId="6" applyNumberFormat="1" applyFont="1" applyFill="1" applyBorder="1" applyAlignment="1">
      <alignment horizontal="center" vertical="center" wrapText="1"/>
    </xf>
    <xf numFmtId="166" fontId="4" fillId="0" borderId="7" xfId="6" applyNumberFormat="1" applyFont="1" applyFill="1" applyBorder="1" applyAlignment="1">
      <alignment horizontal="center" vertical="center" wrapText="1"/>
    </xf>
    <xf numFmtId="166" fontId="4" fillId="0" borderId="1" xfId="6" applyNumberFormat="1" applyFont="1" applyFill="1" applyBorder="1" applyAlignment="1">
      <alignment horizontal="center" vertical="center" wrapText="1"/>
    </xf>
    <xf numFmtId="166" fontId="4" fillId="0" borderId="8" xfId="6" applyNumberFormat="1" applyFont="1" applyFill="1" applyBorder="1" applyAlignment="1">
      <alignment horizontal="center" vertical="center" wrapText="1"/>
    </xf>
    <xf numFmtId="166" fontId="5" fillId="0" borderId="11" xfId="6" applyNumberFormat="1" applyFont="1" applyFill="1" applyBorder="1" applyAlignment="1">
      <alignment horizontal="center" vertical="center" wrapText="1"/>
    </xf>
    <xf numFmtId="166" fontId="5" fillId="0" borderId="33" xfId="6" applyNumberFormat="1" applyFont="1" applyFill="1" applyBorder="1" applyAlignment="1">
      <alignment horizontal="center" vertical="center" wrapText="1"/>
    </xf>
    <xf numFmtId="166" fontId="5" fillId="0" borderId="12" xfId="6" applyNumberFormat="1" applyFont="1" applyFill="1" applyBorder="1" applyAlignment="1">
      <alignment horizontal="center" vertical="center" wrapText="1"/>
    </xf>
    <xf numFmtId="166" fontId="5" fillId="2" borderId="2" xfId="6" applyNumberFormat="1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/>
    </xf>
    <xf numFmtId="0" fontId="5" fillId="2" borderId="33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166" fontId="14" fillId="2" borderId="35" xfId="1" applyNumberFormat="1" applyFont="1" applyFill="1" applyBorder="1" applyAlignment="1">
      <alignment horizontal="center" vertical="center"/>
    </xf>
    <xf numFmtId="166" fontId="14" fillId="2" borderId="33" xfId="1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1" xfId="0" quotePrefix="1" applyFont="1" applyFill="1" applyBorder="1" applyAlignment="1">
      <alignment horizontal="center" vertical="center" wrapText="1"/>
    </xf>
    <xf numFmtId="0" fontId="13" fillId="2" borderId="33" xfId="0" quotePrefix="1" applyFont="1" applyFill="1" applyBorder="1" applyAlignment="1">
      <alignment horizontal="center" vertical="center" wrapText="1"/>
    </xf>
    <xf numFmtId="0" fontId="13" fillId="2" borderId="12" xfId="0" quotePrefix="1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166" fontId="13" fillId="2" borderId="45" xfId="1" applyNumberFormat="1" applyFont="1" applyFill="1" applyBorder="1" applyAlignment="1">
      <alignment horizontal="center" vertical="center" wrapText="1"/>
    </xf>
    <xf numFmtId="166" fontId="13" fillId="2" borderId="69" xfId="1" applyNumberFormat="1" applyFont="1" applyFill="1" applyBorder="1" applyAlignment="1">
      <alignment horizontal="center" vertical="center" wrapText="1"/>
    </xf>
    <xf numFmtId="166" fontId="13" fillId="2" borderId="65" xfId="1" applyNumberFormat="1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right" vertical="center"/>
    </xf>
    <xf numFmtId="0" fontId="14" fillId="2" borderId="37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3" borderId="11" xfId="0" quotePrefix="1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wrapText="1"/>
    </xf>
    <xf numFmtId="0" fontId="13" fillId="2" borderId="70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49" fontId="14" fillId="2" borderId="16" xfId="0" applyNumberFormat="1" applyFont="1" applyFill="1" applyBorder="1" applyAlignment="1">
      <alignment horizontal="center" vertical="center"/>
    </xf>
    <xf numFmtId="49" fontId="14" fillId="2" borderId="17" xfId="0" applyNumberFormat="1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4" fillId="2" borderId="11" xfId="0" quotePrefix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4" fillId="2" borderId="3" xfId="0" quotePrefix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4" fillId="2" borderId="16" xfId="0" quotePrefix="1" applyFont="1" applyFill="1" applyBorder="1" applyAlignment="1">
      <alignment horizontal="center" vertical="center"/>
    </xf>
    <xf numFmtId="49" fontId="14" fillId="0" borderId="16" xfId="0" quotePrefix="1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49" fontId="13" fillId="0" borderId="14" xfId="0" quotePrefix="1" applyNumberFormat="1" applyFont="1" applyFill="1" applyBorder="1" applyAlignment="1">
      <alignment horizontal="center" vertical="center"/>
    </xf>
    <xf numFmtId="49" fontId="13" fillId="0" borderId="29" xfId="0" quotePrefix="1" applyNumberFormat="1" applyFont="1" applyFill="1" applyBorder="1" applyAlignment="1">
      <alignment horizontal="center" vertical="center"/>
    </xf>
    <xf numFmtId="49" fontId="13" fillId="0" borderId="19" xfId="0" quotePrefix="1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14" fillId="2" borderId="3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wrapText="1"/>
    </xf>
    <xf numFmtId="0" fontId="14" fillId="2" borderId="33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textRotation="90" wrapText="1"/>
    </xf>
    <xf numFmtId="0" fontId="13" fillId="2" borderId="62" xfId="0" applyFont="1" applyFill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/>
    </xf>
    <xf numFmtId="0" fontId="13" fillId="0" borderId="10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171" fontId="19" fillId="0" borderId="2" xfId="0" applyNumberFormat="1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" fillId="5" borderId="45" xfId="3" applyFill="1" applyBorder="1" applyAlignment="1">
      <alignment horizontal="center"/>
    </xf>
    <xf numFmtId="0" fontId="1" fillId="5" borderId="69" xfId="3" applyFill="1" applyBorder="1" applyAlignment="1">
      <alignment horizontal="center"/>
    </xf>
    <xf numFmtId="0" fontId="27" fillId="0" borderId="11" xfId="3" applyFont="1" applyBorder="1" applyAlignment="1">
      <alignment horizontal="center"/>
    </xf>
    <xf numFmtId="0" fontId="27" fillId="0" borderId="33" xfId="3" applyFont="1" applyBorder="1" applyAlignment="1">
      <alignment horizontal="center"/>
    </xf>
    <xf numFmtId="171" fontId="27" fillId="0" borderId="11" xfId="5" applyNumberFormat="1" applyFont="1" applyBorder="1" applyAlignment="1"/>
    <xf numFmtId="171" fontId="27" fillId="0" borderId="33" xfId="5" applyNumberFormat="1" applyFont="1" applyBorder="1" applyAlignment="1"/>
    <xf numFmtId="0" fontId="7" fillId="2" borderId="0" xfId="3" applyFont="1" applyFill="1" applyBorder="1" applyAlignment="1">
      <alignment horizontal="center"/>
    </xf>
    <xf numFmtId="0" fontId="7" fillId="2" borderId="16" xfId="3" applyFont="1" applyFill="1" applyBorder="1" applyAlignment="1">
      <alignment horizontal="center"/>
    </xf>
    <xf numFmtId="0" fontId="7" fillId="2" borderId="17" xfId="3" applyFont="1" applyFill="1" applyBorder="1" applyAlignment="1">
      <alignment horizontal="center"/>
    </xf>
    <xf numFmtId="0" fontId="7" fillId="2" borderId="33" xfId="3" applyFont="1" applyFill="1" applyBorder="1" applyAlignment="1">
      <alignment horizontal="center"/>
    </xf>
    <xf numFmtId="0" fontId="7" fillId="2" borderId="34" xfId="3" applyFont="1" applyFill="1" applyBorder="1" applyAlignment="1">
      <alignment horizontal="center"/>
    </xf>
    <xf numFmtId="5" fontId="36" fillId="0" borderId="24" xfId="4" applyNumberFormat="1" applyFont="1" applyFill="1" applyBorder="1" applyAlignment="1">
      <alignment horizontal="right" vertical="center"/>
    </xf>
    <xf numFmtId="5" fontId="36" fillId="0" borderId="66" xfId="4" applyNumberFormat="1" applyFont="1" applyFill="1" applyBorder="1" applyAlignment="1">
      <alignment horizontal="right" vertical="center"/>
    </xf>
    <xf numFmtId="5" fontId="29" fillId="2" borderId="23" xfId="3" applyNumberFormat="1" applyFont="1" applyFill="1" applyBorder="1" applyAlignment="1">
      <alignment horizontal="right"/>
    </xf>
    <xf numFmtId="5" fontId="29" fillId="2" borderId="24" xfId="3" applyNumberFormat="1" applyFont="1" applyFill="1" applyBorder="1" applyAlignment="1">
      <alignment horizontal="right"/>
    </xf>
    <xf numFmtId="5" fontId="29" fillId="0" borderId="23" xfId="3" applyNumberFormat="1" applyFont="1" applyFill="1" applyBorder="1" applyAlignment="1">
      <alignment horizontal="right"/>
    </xf>
    <xf numFmtId="5" fontId="29" fillId="0" borderId="24" xfId="3" applyNumberFormat="1" applyFont="1" applyFill="1" applyBorder="1" applyAlignment="1">
      <alignment horizontal="right"/>
    </xf>
    <xf numFmtId="5" fontId="27" fillId="2" borderId="23" xfId="4" applyNumberFormat="1" applyFont="1" applyFill="1" applyBorder="1" applyAlignment="1">
      <alignment horizontal="right" vertical="center"/>
    </xf>
    <xf numFmtId="5" fontId="27" fillId="2" borderId="24" xfId="4" applyNumberFormat="1" applyFont="1" applyFill="1" applyBorder="1" applyAlignment="1">
      <alignment horizontal="right" vertical="center"/>
    </xf>
    <xf numFmtId="5" fontId="26" fillId="5" borderId="24" xfId="4" applyNumberFormat="1" applyFont="1" applyFill="1" applyBorder="1" applyAlignment="1">
      <alignment horizontal="center"/>
    </xf>
    <xf numFmtId="5" fontId="26" fillId="5" borderId="66" xfId="4" applyNumberFormat="1" applyFont="1" applyFill="1" applyBorder="1" applyAlignment="1">
      <alignment horizontal="center"/>
    </xf>
    <xf numFmtId="5" fontId="26" fillId="5" borderId="64" xfId="4" applyNumberFormat="1" applyFont="1" applyFill="1" applyBorder="1" applyAlignment="1">
      <alignment horizontal="center"/>
    </xf>
    <xf numFmtId="171" fontId="29" fillId="0" borderId="23" xfId="3" applyNumberFormat="1" applyFont="1" applyFill="1" applyBorder="1" applyAlignment="1">
      <alignment horizontal="right"/>
    </xf>
    <xf numFmtId="171" fontId="29" fillId="0" borderId="24" xfId="3" applyNumberFormat="1" applyFont="1" applyFill="1" applyBorder="1" applyAlignment="1">
      <alignment horizontal="right"/>
    </xf>
    <xf numFmtId="171" fontId="29" fillId="0" borderId="23" xfId="3" applyNumberFormat="1" applyFont="1" applyBorder="1" applyAlignment="1">
      <alignment horizontal="right"/>
    </xf>
    <xf numFmtId="171" fontId="29" fillId="0" borderId="24" xfId="3" applyNumberFormat="1" applyFont="1" applyBorder="1" applyAlignment="1">
      <alignment horizontal="right"/>
    </xf>
    <xf numFmtId="169" fontId="34" fillId="0" borderId="24" xfId="4" applyNumberFormat="1" applyFont="1" applyFill="1" applyBorder="1" applyAlignment="1">
      <alignment horizontal="center"/>
    </xf>
    <xf numFmtId="169" fontId="34" fillId="0" borderId="66" xfId="4" applyNumberFormat="1" applyFont="1" applyFill="1" applyBorder="1" applyAlignment="1">
      <alignment horizontal="center"/>
    </xf>
    <xf numFmtId="169" fontId="34" fillId="0" borderId="64" xfId="4" applyNumberFormat="1" applyFont="1" applyFill="1" applyBorder="1" applyAlignment="1">
      <alignment horizontal="center"/>
    </xf>
    <xf numFmtId="5" fontId="29" fillId="0" borderId="23" xfId="4" applyNumberFormat="1" applyFont="1" applyBorder="1" applyAlignment="1">
      <alignment horizontal="right"/>
    </xf>
    <xf numFmtId="5" fontId="29" fillId="0" borderId="24" xfId="4" applyNumberFormat="1" applyFont="1" applyBorder="1" applyAlignment="1">
      <alignment horizontal="right"/>
    </xf>
    <xf numFmtId="169" fontId="23" fillId="0" borderId="24" xfId="4" applyNumberFormat="1" applyFont="1" applyFill="1" applyBorder="1" applyAlignment="1">
      <alignment horizontal="center"/>
    </xf>
    <xf numFmtId="169" fontId="23" fillId="0" borderId="66" xfId="4" applyNumberFormat="1" applyFont="1" applyFill="1" applyBorder="1" applyAlignment="1">
      <alignment horizontal="center"/>
    </xf>
    <xf numFmtId="169" fontId="23" fillId="0" borderId="64" xfId="4" applyNumberFormat="1" applyFont="1" applyFill="1" applyBorder="1" applyAlignment="1">
      <alignment horizontal="center"/>
    </xf>
    <xf numFmtId="171" fontId="26" fillId="0" borderId="23" xfId="3" applyNumberFormat="1" applyFont="1" applyFill="1" applyBorder="1" applyAlignment="1">
      <alignment horizontal="right"/>
    </xf>
    <xf numFmtId="171" fontId="26" fillId="0" borderId="24" xfId="3" applyNumberFormat="1" applyFont="1" applyFill="1" applyBorder="1" applyAlignment="1">
      <alignment horizontal="right"/>
    </xf>
    <xf numFmtId="0" fontId="1" fillId="5" borderId="24" xfId="3" applyFill="1" applyBorder="1" applyAlignment="1">
      <alignment horizontal="center"/>
    </xf>
    <xf numFmtId="0" fontId="1" fillId="5" borderId="66" xfId="3" applyFill="1" applyBorder="1" applyAlignment="1">
      <alignment horizontal="center"/>
    </xf>
    <xf numFmtId="0" fontId="1" fillId="5" borderId="64" xfId="3" applyFill="1" applyBorder="1" applyAlignment="1">
      <alignment horizontal="center"/>
    </xf>
    <xf numFmtId="5" fontId="29" fillId="2" borderId="23" xfId="3" applyNumberFormat="1" applyFont="1" applyFill="1" applyBorder="1" applyAlignment="1">
      <alignment vertical="center"/>
    </xf>
    <xf numFmtId="5" fontId="29" fillId="2" borderId="24" xfId="3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11" xfId="3" applyFont="1" applyBorder="1" applyAlignment="1">
      <alignment horizontal="center" vertical="center" wrapText="1"/>
    </xf>
    <xf numFmtId="0" fontId="22" fillId="0" borderId="33" xfId="3" applyFont="1" applyBorder="1" applyAlignment="1">
      <alignment horizontal="center" vertical="center" wrapText="1"/>
    </xf>
    <xf numFmtId="5" fontId="24" fillId="2" borderId="42" xfId="3" applyNumberFormat="1" applyFont="1" applyFill="1" applyBorder="1" applyAlignment="1">
      <alignment horizontal="right" vertical="center" wrapText="1"/>
    </xf>
    <xf numFmtId="5" fontId="24" fillId="2" borderId="43" xfId="3" applyNumberFormat="1" applyFont="1" applyFill="1" applyBorder="1" applyAlignment="1">
      <alignment horizontal="right" vertical="center" wrapText="1"/>
    </xf>
    <xf numFmtId="5" fontId="27" fillId="2" borderId="24" xfId="3" applyNumberFormat="1" applyFont="1" applyFill="1" applyBorder="1" applyAlignment="1">
      <alignment horizontal="right" vertical="center" wrapText="1"/>
    </xf>
    <xf numFmtId="5" fontId="27" fillId="2" borderId="66" xfId="3" applyNumberFormat="1" applyFont="1" applyFill="1" applyBorder="1" applyAlignment="1">
      <alignment horizontal="right" vertical="center" wrapText="1"/>
    </xf>
    <xf numFmtId="5" fontId="27" fillId="2" borderId="23" xfId="3" applyNumberFormat="1" applyFont="1" applyFill="1" applyBorder="1" applyAlignment="1">
      <alignment horizontal="right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/>
    </xf>
    <xf numFmtId="166" fontId="14" fillId="0" borderId="19" xfId="1" applyNumberFormat="1" applyFont="1" applyFill="1" applyBorder="1" applyAlignment="1">
      <alignment horizontal="center" vertical="center"/>
    </xf>
    <xf numFmtId="166" fontId="14" fillId="0" borderId="56" xfId="1" applyNumberFormat="1" applyFont="1" applyFill="1" applyBorder="1" applyAlignment="1">
      <alignment horizontal="center" vertical="center"/>
    </xf>
    <xf numFmtId="166" fontId="13" fillId="0" borderId="56" xfId="1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quotePrefix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center" vertical="center"/>
    </xf>
    <xf numFmtId="166" fontId="13" fillId="0" borderId="14" xfId="1" applyNumberFormat="1" applyFont="1" applyFill="1" applyBorder="1" applyAlignment="1">
      <alignment horizontal="center" vertical="center"/>
    </xf>
    <xf numFmtId="166" fontId="13" fillId="0" borderId="15" xfId="1" applyNumberFormat="1" applyFont="1" applyFill="1" applyBorder="1" applyAlignment="1">
      <alignment horizontal="center" vertical="center"/>
    </xf>
    <xf numFmtId="166" fontId="14" fillId="0" borderId="53" xfId="1" applyNumberFormat="1" applyFont="1" applyFill="1" applyBorder="1" applyAlignment="1">
      <alignment vertical="center"/>
    </xf>
    <xf numFmtId="166" fontId="13" fillId="0" borderId="14" xfId="1" applyNumberFormat="1" applyFont="1" applyFill="1" applyBorder="1"/>
    <xf numFmtId="166" fontId="14" fillId="0" borderId="14" xfId="1" applyNumberFormat="1" applyFont="1" applyFill="1" applyBorder="1"/>
    <xf numFmtId="166" fontId="14" fillId="0" borderId="15" xfId="1" applyNumberFormat="1" applyFont="1" applyFill="1" applyBorder="1"/>
    <xf numFmtId="166" fontId="14" fillId="0" borderId="17" xfId="1" applyNumberFormat="1" applyFont="1" applyFill="1" applyBorder="1" applyAlignment="1">
      <alignment horizontal="center" vertical="center"/>
    </xf>
    <xf numFmtId="166" fontId="14" fillId="0" borderId="34" xfId="1" applyNumberFormat="1" applyFont="1" applyFill="1" applyBorder="1" applyAlignment="1">
      <alignment horizontal="center" vertical="center"/>
    </xf>
    <xf numFmtId="49" fontId="13" fillId="0" borderId="41" xfId="0" applyNumberFormat="1" applyFont="1" applyFill="1" applyBorder="1" applyAlignment="1">
      <alignment horizontal="center" vertical="center"/>
    </xf>
    <xf numFmtId="49" fontId="13" fillId="0" borderId="42" xfId="0" quotePrefix="1" applyNumberFormat="1" applyFont="1" applyFill="1" applyBorder="1" applyAlignment="1">
      <alignment horizontal="center" vertical="center"/>
    </xf>
    <xf numFmtId="49" fontId="13" fillId="0" borderId="47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 vertical="center" wrapText="1"/>
    </xf>
    <xf numFmtId="166" fontId="13" fillId="0" borderId="72" xfId="1" applyNumberFormat="1" applyFont="1" applyFill="1" applyBorder="1"/>
    <xf numFmtId="166" fontId="14" fillId="0" borderId="16" xfId="1" applyNumberFormat="1" applyFont="1" applyFill="1" applyBorder="1" applyAlignment="1">
      <alignment vertical="center"/>
    </xf>
    <xf numFmtId="166" fontId="14" fillId="0" borderId="17" xfId="1" applyNumberFormat="1" applyFont="1" applyFill="1" applyBorder="1" applyAlignment="1">
      <alignment vertical="center"/>
    </xf>
    <xf numFmtId="49" fontId="13" fillId="0" borderId="18" xfId="0" quotePrefix="1" applyNumberFormat="1" applyFont="1" applyFill="1" applyBorder="1" applyAlignment="1">
      <alignment horizontal="center" vertical="center"/>
    </xf>
    <xf numFmtId="49" fontId="13" fillId="0" borderId="50" xfId="0" quotePrefix="1" applyNumberFormat="1" applyFont="1" applyFill="1" applyBorder="1" applyAlignment="1">
      <alignment horizontal="center" vertical="center"/>
    </xf>
    <xf numFmtId="166" fontId="14" fillId="0" borderId="17" xfId="1" applyNumberFormat="1" applyFont="1" applyFill="1" applyBorder="1"/>
    <xf numFmtId="0" fontId="14" fillId="0" borderId="16" xfId="0" applyFont="1" applyFill="1" applyBorder="1"/>
    <xf numFmtId="0" fontId="14" fillId="0" borderId="17" xfId="0" applyFont="1" applyFill="1" applyBorder="1"/>
    <xf numFmtId="0" fontId="14" fillId="0" borderId="17" xfId="0" applyFont="1" applyFill="1" applyBorder="1" applyAlignment="1">
      <alignment horizontal="center"/>
    </xf>
    <xf numFmtId="166" fontId="14" fillId="0" borderId="34" xfId="1" applyNumberFormat="1" applyFont="1" applyFill="1" applyBorder="1" applyAlignment="1">
      <alignment vertical="center"/>
    </xf>
    <xf numFmtId="0" fontId="14" fillId="0" borderId="18" xfId="0" applyFont="1" applyFill="1" applyBorder="1"/>
    <xf numFmtId="0" fontId="14" fillId="0" borderId="42" xfId="0" applyFont="1" applyFill="1" applyBorder="1"/>
    <xf numFmtId="0" fontId="14" fillId="0" borderId="42" xfId="0" applyFont="1" applyFill="1" applyBorder="1" applyAlignment="1">
      <alignment horizontal="center"/>
    </xf>
    <xf numFmtId="166" fontId="14" fillId="0" borderId="42" xfId="1" applyNumberFormat="1" applyFont="1" applyFill="1" applyBorder="1" applyAlignment="1">
      <alignment vertical="center"/>
    </xf>
    <xf numFmtId="166" fontId="14" fillId="0" borderId="42" xfId="1" applyNumberFormat="1" applyFont="1" applyFill="1" applyBorder="1"/>
    <xf numFmtId="166" fontId="14" fillId="0" borderId="19" xfId="1" applyNumberFormat="1" applyFont="1" applyFill="1" applyBorder="1"/>
    <xf numFmtId="166" fontId="13" fillId="0" borderId="60" xfId="1" applyNumberFormat="1" applyFont="1" applyFill="1" applyBorder="1" applyAlignment="1">
      <alignment vertical="center"/>
    </xf>
    <xf numFmtId="0" fontId="6" fillId="0" borderId="17" xfId="0" applyFont="1" applyFill="1" applyBorder="1"/>
    <xf numFmtId="0" fontId="6" fillId="0" borderId="17" xfId="0" applyFont="1" applyFill="1" applyBorder="1" applyAlignment="1">
      <alignment horizontal="center"/>
    </xf>
    <xf numFmtId="166" fontId="6" fillId="0" borderId="17" xfId="1" applyNumberFormat="1" applyFont="1" applyFill="1" applyBorder="1" applyAlignment="1">
      <alignment vertical="center"/>
    </xf>
    <xf numFmtId="166" fontId="6" fillId="0" borderId="34" xfId="1" applyNumberFormat="1" applyFont="1" applyFill="1" applyBorder="1" applyAlignment="1">
      <alignment vertical="center"/>
    </xf>
    <xf numFmtId="166" fontId="6" fillId="0" borderId="17" xfId="1" applyNumberFormat="1" applyFont="1" applyFill="1" applyBorder="1"/>
    <xf numFmtId="166" fontId="6" fillId="0" borderId="17" xfId="1" applyNumberFormat="1" applyFont="1" applyFill="1" applyBorder="1" applyAlignment="1">
      <alignment horizontal="right"/>
    </xf>
    <xf numFmtId="0" fontId="6" fillId="0" borderId="0" xfId="0" applyFont="1" applyFill="1"/>
  </cellXfs>
  <cellStyles count="9">
    <cellStyle name="Ezres" xfId="1" builtinId="3"/>
    <cellStyle name="Ezres 2" xfId="4"/>
    <cellStyle name="Ezres 2 2" xfId="7"/>
    <cellStyle name="Ezres 7" xfId="6"/>
    <cellStyle name="Normál" xfId="0" builtinId="0"/>
    <cellStyle name="Normál 2 3" xfId="3"/>
    <cellStyle name="Normál 7" xfId="2"/>
    <cellStyle name="Pénznem" xfId="8" builtinId="4"/>
    <cellStyle name="Pénznem 2" xf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&#233;nz&#252;gy\2017\El&#337;ir&#225;nyzat%20m&#243;dos&#237;t&#225;s\Ei%20m&#243;dos&#237;t&#225;s%2005.31.-ig\Ei%20m&#243;d%2006.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&#233;nz&#252;gy\2017\El&#337;ir&#225;nyzat%20m&#243;dos&#237;t&#225;s\Ei%20m&#243;dos&#237;t&#225;s%2005.31.-ig\Ei%20m&#243;d%2006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Önkormányzat 2017. "/>
      <sheetName val="1.sz.Önkormányzat 2017.B"/>
      <sheetName val="2.1. sz. PMH"/>
      <sheetName val="2.2. sz. Hétszínvirág Óvoda"/>
      <sheetName val="2.3. sz. Mese Óvoda"/>
      <sheetName val="2.4. sz. Bölcsőde"/>
      <sheetName val="2.5. sz. Gyermekjóléti"/>
      <sheetName val="2.6 sz. Területi"/>
      <sheetName val="2.7. sz. Könyvtár"/>
      <sheetName val="2.8. sz. Intézmények összesen"/>
      <sheetName val="3. sz.Városi szintű összesen"/>
      <sheetName val="4.sz.Felhalm.c.pe.átadás"/>
      <sheetName val="5.sz.Műk.c.pe.átadás"/>
      <sheetName val="6.sz. Beruházások"/>
      <sheetName val="7. sz. Felújítások"/>
      <sheetName val="8.sz.Tartalékok"/>
      <sheetName val="9.sz. Szociális"/>
      <sheetName val="10.sz.Intézményfinanszírozás"/>
      <sheetName val="11.sz. Normatíva"/>
      <sheetName val="12.sz.mell. Létszámtábla"/>
      <sheetName val="1.sz.tájék.tábla Közvetett tám"/>
      <sheetName val="2.sz.tájék.tábla Mérlegszerű"/>
      <sheetName val="3.sz.tájék.tábla Gördülő"/>
      <sheetName val="4.sz.tájék.tábla Többéves"/>
      <sheetName val="5.sz.tájék.táb Adósságszolgálat"/>
      <sheetName val="6.sz.tájék.tábla Hitelképesség"/>
      <sheetName val="7.sz.tájék.táb.Likviditási terv"/>
      <sheetName val="8.sz.tájék.tábla Ütemterv"/>
      <sheetName val="1.sz.függ.Önkormány bev-kiad"/>
      <sheetName val="2.sz.függ.PMH bev-kiad"/>
      <sheetName val="3.sz.függ.Ter.Gond. "/>
      <sheetName val="4.sz.függ.Könyvtár "/>
      <sheetName val="5.sz.függ.Hétszínvirág Ó. "/>
      <sheetName val="6.sz.függ.Mese Ó.  "/>
      <sheetName val="7.sz.függ.Bölcsőde"/>
      <sheetName val="8.sz.függ.Gyermekjóléti  "/>
      <sheetName val="9.sz.függ.Mindösszesen"/>
    </sheetNames>
    <sheetDataSet>
      <sheetData sheetId="0"/>
      <sheetData sheetId="1"/>
      <sheetData sheetId="2">
        <row r="3">
          <cell r="D3" t="str">
            <v>Eredeti előirányzat</v>
          </cell>
        </row>
      </sheetData>
      <sheetData sheetId="3">
        <row r="3">
          <cell r="D3" t="str">
            <v>Eredeti előirányzat</v>
          </cell>
        </row>
      </sheetData>
      <sheetData sheetId="4">
        <row r="3">
          <cell r="D3" t="str">
            <v>Eredeti előirányzat</v>
          </cell>
        </row>
      </sheetData>
      <sheetData sheetId="5">
        <row r="3">
          <cell r="D3" t="str">
            <v>Eredeti előirányzat</v>
          </cell>
        </row>
      </sheetData>
      <sheetData sheetId="6">
        <row r="3">
          <cell r="D3" t="str">
            <v>Eredeti előirányzat</v>
          </cell>
        </row>
      </sheetData>
      <sheetData sheetId="7">
        <row r="3">
          <cell r="D3" t="str">
            <v>Eredeti előirányzat</v>
          </cell>
        </row>
      </sheetData>
      <sheetData sheetId="8">
        <row r="3">
          <cell r="D3" t="str">
            <v>Eredeti előirányzat</v>
          </cell>
        </row>
      </sheetData>
      <sheetData sheetId="9"/>
      <sheetData sheetId="10"/>
      <sheetData sheetId="11">
        <row r="5">
          <cell r="E5">
            <v>2250000</v>
          </cell>
          <cell r="K5">
            <v>0</v>
          </cell>
        </row>
      </sheetData>
      <sheetData sheetId="12">
        <row r="7">
          <cell r="G7">
            <v>12075000</v>
          </cell>
        </row>
      </sheetData>
      <sheetData sheetId="13">
        <row r="9">
          <cell r="E9">
            <v>4770000</v>
          </cell>
        </row>
        <row r="51">
          <cell r="U51">
            <v>10000000</v>
          </cell>
        </row>
      </sheetData>
      <sheetData sheetId="14">
        <row r="10">
          <cell r="E10">
            <v>23000000</v>
          </cell>
        </row>
      </sheetData>
      <sheetData sheetId="15">
        <row r="72">
          <cell r="C72">
            <v>395029201</v>
          </cell>
        </row>
      </sheetData>
      <sheetData sheetId="16">
        <row r="7">
          <cell r="E7">
            <v>2000000</v>
          </cell>
        </row>
        <row r="16">
          <cell r="G16">
            <v>1500000</v>
          </cell>
        </row>
      </sheetData>
      <sheetData sheetId="17">
        <row r="13">
          <cell r="D13">
            <v>1893681715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Önkormányzat 2017. "/>
      <sheetName val="1.sz.Önkormányzat 2017.B"/>
      <sheetName val="2.1. sz. PMH"/>
      <sheetName val="2.2. sz. Hétszínvirág Óvoda"/>
      <sheetName val="2.3. sz. Mese Óvoda"/>
      <sheetName val="2.4. sz. Bölcsőde"/>
      <sheetName val="2.5. sz. Gyermekjóléti"/>
      <sheetName val="2.6 sz. Területi"/>
      <sheetName val="2.7. sz. Könyvtár"/>
      <sheetName val="2.8. sz. Intézmények összesen"/>
      <sheetName val="3. sz.Városi szintű összesen"/>
      <sheetName val="4.sz.Felhalm.c.pe.átadás"/>
      <sheetName val="5.sz.Műk.c.pe.átadás"/>
      <sheetName val="6.sz. Beruházások"/>
      <sheetName val="7. sz. Felújítások"/>
      <sheetName val="8.sz.Tartalékok"/>
      <sheetName val="9.sz. Szociális"/>
      <sheetName val="10.sz.Intézményfinanszírozás"/>
      <sheetName val="11.sz. Normatíva"/>
      <sheetName val="12.sz.mell. Létszámtábla"/>
      <sheetName val="1.sz.tájék.tábla Közvetett tám"/>
      <sheetName val="2.sz.tájék.tábla Mérlegszerű"/>
      <sheetName val="3.sz.tájék.tábla Gördülő"/>
      <sheetName val="4.sz.tájék.tábla Többéves"/>
      <sheetName val="5.sz.tájék.táb Adósságszolgálat"/>
      <sheetName val="6.sz.tájék.tábla Hitelképesség"/>
      <sheetName val="7.sz.tájék.táb.Likviditási terv"/>
      <sheetName val="8.sz.tájék.tábla Ütemterv"/>
      <sheetName val="1.sz.függ.Önkormány bev-kiad"/>
      <sheetName val="2.sz.függ.PMH bev-kiad"/>
      <sheetName val="3.sz.függ.Ter.Gond. "/>
      <sheetName val="4.sz.függ.Könyvtár "/>
      <sheetName val="5.sz.függ.Hétszínvirág Ó. "/>
      <sheetName val="6.sz.függ.Mese Ó.  "/>
      <sheetName val="7.sz.függ.Bölcsőde"/>
      <sheetName val="8.sz.függ.Gyermekjóléti  "/>
      <sheetName val="9.sz.függ.Mindösszesen"/>
    </sheetNames>
    <sheetDataSet>
      <sheetData sheetId="0"/>
      <sheetData sheetId="1">
        <row r="29">
          <cell r="E29">
            <v>761907257</v>
          </cell>
        </row>
      </sheetData>
      <sheetData sheetId="2">
        <row r="41">
          <cell r="D41">
            <v>472569625</v>
          </cell>
        </row>
      </sheetData>
      <sheetData sheetId="3">
        <row r="41">
          <cell r="D41">
            <v>412796085</v>
          </cell>
        </row>
      </sheetData>
      <sheetData sheetId="4">
        <row r="41">
          <cell r="D41">
            <v>338133284</v>
          </cell>
        </row>
      </sheetData>
      <sheetData sheetId="5">
        <row r="41">
          <cell r="D41">
            <v>129000701</v>
          </cell>
        </row>
      </sheetData>
      <sheetData sheetId="6">
        <row r="41">
          <cell r="D41">
            <v>50893340</v>
          </cell>
        </row>
      </sheetData>
      <sheetData sheetId="7">
        <row r="41">
          <cell r="D41">
            <v>426431295</v>
          </cell>
        </row>
      </sheetData>
      <sheetData sheetId="8">
        <row r="41">
          <cell r="D41">
            <v>63857385</v>
          </cell>
        </row>
      </sheetData>
      <sheetData sheetId="9"/>
      <sheetData sheetId="10"/>
      <sheetData sheetId="11">
        <row r="18">
          <cell r="R18">
            <v>412988180</v>
          </cell>
        </row>
      </sheetData>
      <sheetData sheetId="12">
        <row r="157">
          <cell r="F157">
            <v>21630000</v>
          </cell>
          <cell r="H157">
            <v>182913821</v>
          </cell>
        </row>
      </sheetData>
      <sheetData sheetId="13">
        <row r="84">
          <cell r="F84">
            <v>501541906</v>
          </cell>
        </row>
      </sheetData>
      <sheetData sheetId="14">
        <row r="17">
          <cell r="F17">
            <v>120911978</v>
          </cell>
        </row>
      </sheetData>
      <sheetData sheetId="15">
        <row r="72">
          <cell r="D72">
            <v>606439032</v>
          </cell>
        </row>
      </sheetData>
      <sheetData sheetId="16">
        <row r="26">
          <cell r="F26">
            <v>48044500</v>
          </cell>
        </row>
      </sheetData>
      <sheetData sheetId="17">
        <row r="13">
          <cell r="E13">
            <v>1891882393</v>
          </cell>
          <cell r="G13">
            <v>20353334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21"/>
  <sheetViews>
    <sheetView view="pageBreakPreview" zoomScale="60" zoomScaleNormal="100" workbookViewId="0">
      <selection activeCell="T66" sqref="T66"/>
    </sheetView>
  </sheetViews>
  <sheetFormatPr defaultRowHeight="12.75" x14ac:dyDescent="0.2"/>
  <cols>
    <col min="2" max="4" width="19.28515625" customWidth="1"/>
    <col min="258" max="260" width="19.28515625" customWidth="1"/>
    <col min="514" max="516" width="19.28515625" customWidth="1"/>
    <col min="770" max="772" width="19.28515625" customWidth="1"/>
    <col min="1026" max="1028" width="19.28515625" customWidth="1"/>
    <col min="1282" max="1284" width="19.28515625" customWidth="1"/>
    <col min="1538" max="1540" width="19.28515625" customWidth="1"/>
    <col min="1794" max="1796" width="19.28515625" customWidth="1"/>
    <col min="2050" max="2052" width="19.28515625" customWidth="1"/>
    <col min="2306" max="2308" width="19.28515625" customWidth="1"/>
    <col min="2562" max="2564" width="19.28515625" customWidth="1"/>
    <col min="2818" max="2820" width="19.28515625" customWidth="1"/>
    <col min="3074" max="3076" width="19.28515625" customWidth="1"/>
    <col min="3330" max="3332" width="19.28515625" customWidth="1"/>
    <col min="3586" max="3588" width="19.28515625" customWidth="1"/>
    <col min="3842" max="3844" width="19.28515625" customWidth="1"/>
    <col min="4098" max="4100" width="19.28515625" customWidth="1"/>
    <col min="4354" max="4356" width="19.28515625" customWidth="1"/>
    <col min="4610" max="4612" width="19.28515625" customWidth="1"/>
    <col min="4866" max="4868" width="19.28515625" customWidth="1"/>
    <col min="5122" max="5124" width="19.28515625" customWidth="1"/>
    <col min="5378" max="5380" width="19.28515625" customWidth="1"/>
    <col min="5634" max="5636" width="19.28515625" customWidth="1"/>
    <col min="5890" max="5892" width="19.28515625" customWidth="1"/>
    <col min="6146" max="6148" width="19.28515625" customWidth="1"/>
    <col min="6402" max="6404" width="19.28515625" customWidth="1"/>
    <col min="6658" max="6660" width="19.28515625" customWidth="1"/>
    <col min="6914" max="6916" width="19.28515625" customWidth="1"/>
    <col min="7170" max="7172" width="19.28515625" customWidth="1"/>
    <col min="7426" max="7428" width="19.28515625" customWidth="1"/>
    <col min="7682" max="7684" width="19.28515625" customWidth="1"/>
    <col min="7938" max="7940" width="19.28515625" customWidth="1"/>
    <col min="8194" max="8196" width="19.28515625" customWidth="1"/>
    <col min="8450" max="8452" width="19.28515625" customWidth="1"/>
    <col min="8706" max="8708" width="19.28515625" customWidth="1"/>
    <col min="8962" max="8964" width="19.28515625" customWidth="1"/>
    <col min="9218" max="9220" width="19.28515625" customWidth="1"/>
    <col min="9474" max="9476" width="19.28515625" customWidth="1"/>
    <col min="9730" max="9732" width="19.28515625" customWidth="1"/>
    <col min="9986" max="9988" width="19.28515625" customWidth="1"/>
    <col min="10242" max="10244" width="19.28515625" customWidth="1"/>
    <col min="10498" max="10500" width="19.28515625" customWidth="1"/>
    <col min="10754" max="10756" width="19.28515625" customWidth="1"/>
    <col min="11010" max="11012" width="19.28515625" customWidth="1"/>
    <col min="11266" max="11268" width="19.28515625" customWidth="1"/>
    <col min="11522" max="11524" width="19.28515625" customWidth="1"/>
    <col min="11778" max="11780" width="19.28515625" customWidth="1"/>
    <col min="12034" max="12036" width="19.28515625" customWidth="1"/>
    <col min="12290" max="12292" width="19.28515625" customWidth="1"/>
    <col min="12546" max="12548" width="19.28515625" customWidth="1"/>
    <col min="12802" max="12804" width="19.28515625" customWidth="1"/>
    <col min="13058" max="13060" width="19.28515625" customWidth="1"/>
    <col min="13314" max="13316" width="19.28515625" customWidth="1"/>
    <col min="13570" max="13572" width="19.28515625" customWidth="1"/>
    <col min="13826" max="13828" width="19.28515625" customWidth="1"/>
    <col min="14082" max="14084" width="19.28515625" customWidth="1"/>
    <col min="14338" max="14340" width="19.28515625" customWidth="1"/>
    <col min="14594" max="14596" width="19.28515625" customWidth="1"/>
    <col min="14850" max="14852" width="19.28515625" customWidth="1"/>
    <col min="15106" max="15108" width="19.28515625" customWidth="1"/>
    <col min="15362" max="15364" width="19.28515625" customWidth="1"/>
    <col min="15618" max="15620" width="19.28515625" customWidth="1"/>
    <col min="15874" max="15876" width="19.28515625" customWidth="1"/>
    <col min="16130" max="16132" width="19.28515625" customWidth="1"/>
  </cols>
  <sheetData>
    <row r="11" spans="2:4" ht="39.75" customHeight="1" x14ac:dyDescent="0.2">
      <c r="B11" s="883" t="s">
        <v>1516</v>
      </c>
      <c r="C11" s="883"/>
      <c r="D11" s="883"/>
    </row>
    <row r="12" spans="2:4" ht="33.75" customHeight="1" x14ac:dyDescent="0.2">
      <c r="B12" s="883"/>
      <c r="C12" s="883"/>
      <c r="D12" s="883"/>
    </row>
    <row r="15" spans="2:4" ht="25.5" customHeight="1" x14ac:dyDescent="0.2">
      <c r="C15" s="882" t="s">
        <v>600</v>
      </c>
    </row>
    <row r="21" spans="3:3" x14ac:dyDescent="0.2">
      <c r="C21" t="s">
        <v>1515</v>
      </c>
    </row>
  </sheetData>
  <mergeCells count="1">
    <mergeCell ref="B11:D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52"/>
  <sheetViews>
    <sheetView view="pageBreakPreview" zoomScale="40" zoomScaleNormal="50" zoomScaleSheetLayoutView="40" workbookViewId="0">
      <pane xSplit="3" ySplit="8" topLeftCell="AW19" activePane="bottomRight" state="frozen"/>
      <selection pane="topRight" activeCell="D1" sqref="D1"/>
      <selection pane="bottomLeft" activeCell="A8" sqref="A8"/>
      <selection pane="bottomRight" activeCell="BK47" sqref="BK47"/>
    </sheetView>
  </sheetViews>
  <sheetFormatPr defaultRowHeight="12.75" x14ac:dyDescent="0.2"/>
  <cols>
    <col min="1" max="1" width="6.5703125" style="626" customWidth="1"/>
    <col min="2" max="2" width="64.85546875" style="626" customWidth="1"/>
    <col min="3" max="3" width="8" style="626" customWidth="1"/>
    <col min="4" max="6" width="16.140625" style="628" customWidth="1"/>
    <col min="7" max="7" width="15" style="628" customWidth="1"/>
    <col min="8" max="9" width="15.7109375" style="628" customWidth="1"/>
    <col min="10" max="15" width="14.85546875" style="628" customWidth="1"/>
    <col min="16" max="16" width="15.28515625" style="628" customWidth="1"/>
    <col min="17" max="18" width="15.5703125" style="628" customWidth="1"/>
    <col min="19" max="19" width="16.42578125" style="628" customWidth="1"/>
    <col min="20" max="21" width="17.85546875" style="628" customWidth="1"/>
    <col min="22" max="24" width="15.5703125" style="628" customWidth="1"/>
    <col min="25" max="27" width="15.7109375" style="628" customWidth="1"/>
    <col min="28" max="28" width="14.85546875" style="628" customWidth="1"/>
    <col min="29" max="30" width="14.5703125" style="628" customWidth="1"/>
    <col min="31" max="31" width="15.85546875" style="628" customWidth="1"/>
    <col min="32" max="33" width="15.42578125" style="628" customWidth="1"/>
    <col min="34" max="36" width="15.28515625" style="628" customWidth="1"/>
    <col min="37" max="37" width="15.7109375" style="628" customWidth="1"/>
    <col min="38" max="39" width="14.85546875" style="628" customWidth="1"/>
    <col min="40" max="40" width="17.7109375" style="628" customWidth="1"/>
    <col min="41" max="42" width="17.42578125" style="628" customWidth="1"/>
    <col min="43" max="43" width="17.85546875" style="628" customWidth="1"/>
    <col min="44" max="45" width="17.42578125" style="628" customWidth="1"/>
    <col min="46" max="46" width="18" style="628" customWidth="1"/>
    <col min="47" max="48" width="17.7109375" style="628" customWidth="1"/>
    <col min="49" max="54" width="14.28515625" style="628" customWidth="1"/>
    <col min="55" max="55" width="16.7109375" style="628" customWidth="1"/>
    <col min="56" max="57" width="16.28515625" style="628" customWidth="1"/>
    <col min="58" max="60" width="17" style="628" customWidth="1"/>
    <col min="61" max="62" width="15.5703125" style="628" customWidth="1"/>
    <col min="63" max="63" width="18" style="626" customWidth="1"/>
    <col min="64" max="64" width="9.140625" style="626"/>
    <col min="65" max="65" width="15.5703125" style="626" customWidth="1"/>
    <col min="66" max="66" width="14.7109375" style="626" customWidth="1"/>
    <col min="67" max="16384" width="9.140625" style="626"/>
  </cols>
  <sheetData>
    <row r="1" spans="1:66" x14ac:dyDescent="0.2">
      <c r="B1" s="676"/>
      <c r="H1" s="657" t="s">
        <v>0</v>
      </c>
      <c r="I1" s="657"/>
      <c r="N1" s="657" t="s">
        <v>0</v>
      </c>
      <c r="O1" s="657"/>
      <c r="T1" s="657" t="s">
        <v>0</v>
      </c>
      <c r="U1" s="657"/>
      <c r="Z1" s="657" t="s">
        <v>0</v>
      </c>
      <c r="AA1" s="657"/>
      <c r="AE1" s="628" t="s">
        <v>0</v>
      </c>
      <c r="AR1" s="657" t="s">
        <v>0</v>
      </c>
      <c r="AS1" s="657"/>
      <c r="AT1" s="657"/>
      <c r="AU1" s="657"/>
      <c r="AV1" s="657"/>
      <c r="AX1" s="657" t="s">
        <v>0</v>
      </c>
      <c r="AY1" s="657"/>
      <c r="BD1" s="657" t="s">
        <v>0</v>
      </c>
      <c r="BE1" s="657"/>
      <c r="BI1" s="657"/>
      <c r="BJ1" s="657" t="s">
        <v>0</v>
      </c>
      <c r="BK1" s="667"/>
    </row>
    <row r="2" spans="1:66" ht="51" customHeight="1" x14ac:dyDescent="0.2">
      <c r="A2" s="961" t="s">
        <v>1249</v>
      </c>
      <c r="B2" s="962"/>
      <c r="C2" s="963"/>
      <c r="D2" s="958" t="s">
        <v>1279</v>
      </c>
      <c r="E2" s="959"/>
      <c r="F2" s="959"/>
      <c r="G2" s="959"/>
      <c r="H2" s="959"/>
      <c r="I2" s="631"/>
      <c r="J2" s="958" t="s">
        <v>1279</v>
      </c>
      <c r="K2" s="959"/>
      <c r="L2" s="959"/>
      <c r="M2" s="959"/>
      <c r="N2" s="959"/>
      <c r="O2" s="960"/>
      <c r="P2" s="958" t="s">
        <v>1279</v>
      </c>
      <c r="Q2" s="959"/>
      <c r="R2" s="959"/>
      <c r="S2" s="959"/>
      <c r="T2" s="959"/>
      <c r="U2" s="631"/>
      <c r="V2" s="958" t="s">
        <v>1269</v>
      </c>
      <c r="W2" s="959"/>
      <c r="X2" s="959"/>
      <c r="Y2" s="959"/>
      <c r="Z2" s="959"/>
      <c r="AA2" s="631"/>
      <c r="AB2" s="958" t="s">
        <v>1269</v>
      </c>
      <c r="AC2" s="959"/>
      <c r="AD2" s="959"/>
      <c r="AE2" s="959"/>
      <c r="AF2" s="959"/>
      <c r="AG2" s="631"/>
      <c r="AH2" s="958" t="s">
        <v>1269</v>
      </c>
      <c r="AI2" s="959"/>
      <c r="AJ2" s="959"/>
      <c r="AK2" s="959"/>
      <c r="AL2" s="959"/>
      <c r="AM2" s="631"/>
      <c r="AN2" s="958" t="s">
        <v>1269</v>
      </c>
      <c r="AO2" s="959"/>
      <c r="AP2" s="959"/>
      <c r="AQ2" s="959"/>
      <c r="AR2" s="959"/>
      <c r="AS2" s="631"/>
      <c r="AT2" s="958" t="s">
        <v>1269</v>
      </c>
      <c r="AU2" s="959"/>
      <c r="AV2" s="959"/>
      <c r="AW2" s="959"/>
      <c r="AX2" s="959"/>
      <c r="AY2" s="631"/>
      <c r="AZ2" s="958" t="s">
        <v>1269</v>
      </c>
      <c r="BA2" s="959"/>
      <c r="BB2" s="959"/>
      <c r="BC2" s="959"/>
      <c r="BD2" s="959"/>
      <c r="BE2" s="631"/>
      <c r="BF2" s="958" t="s">
        <v>1269</v>
      </c>
      <c r="BG2" s="959"/>
      <c r="BH2" s="959"/>
      <c r="BI2" s="959"/>
      <c r="BJ2" s="959"/>
      <c r="BK2" s="960"/>
    </row>
    <row r="3" spans="1:66" ht="51" customHeight="1" x14ac:dyDescent="0.2">
      <c r="A3" s="964"/>
      <c r="B3" s="965"/>
      <c r="C3" s="966"/>
      <c r="D3" s="560" t="s">
        <v>6</v>
      </c>
      <c r="E3" s="560" t="s">
        <v>7</v>
      </c>
      <c r="F3" s="560" t="s">
        <v>788</v>
      </c>
      <c r="G3" s="560" t="s">
        <v>6</v>
      </c>
      <c r="H3" s="560" t="s">
        <v>7</v>
      </c>
      <c r="I3" s="560" t="s">
        <v>788</v>
      </c>
      <c r="J3" s="560" t="s">
        <v>6</v>
      </c>
      <c r="K3" s="560" t="s">
        <v>7</v>
      </c>
      <c r="L3" s="560" t="s">
        <v>788</v>
      </c>
      <c r="M3" s="560" t="s">
        <v>6</v>
      </c>
      <c r="N3" s="560" t="s">
        <v>7</v>
      </c>
      <c r="O3" s="560" t="s">
        <v>788</v>
      </c>
      <c r="P3" s="560" t="s">
        <v>6</v>
      </c>
      <c r="Q3" s="560" t="s">
        <v>7</v>
      </c>
      <c r="R3" s="560" t="s">
        <v>788</v>
      </c>
      <c r="S3" s="560" t="s">
        <v>6</v>
      </c>
      <c r="T3" s="560" t="s">
        <v>7</v>
      </c>
      <c r="U3" s="560" t="s">
        <v>788</v>
      </c>
      <c r="V3" s="560" t="s">
        <v>6</v>
      </c>
      <c r="W3" s="560" t="s">
        <v>7</v>
      </c>
      <c r="X3" s="560" t="s">
        <v>788</v>
      </c>
      <c r="Y3" s="560" t="s">
        <v>6</v>
      </c>
      <c r="Z3" s="560" t="s">
        <v>7</v>
      </c>
      <c r="AA3" s="560" t="s">
        <v>788</v>
      </c>
      <c r="AB3" s="560" t="s">
        <v>6</v>
      </c>
      <c r="AC3" s="560" t="s">
        <v>7</v>
      </c>
      <c r="AD3" s="560" t="s">
        <v>788</v>
      </c>
      <c r="AE3" s="560" t="s">
        <v>6</v>
      </c>
      <c r="AF3" s="560" t="s">
        <v>7</v>
      </c>
      <c r="AG3" s="560" t="s">
        <v>788</v>
      </c>
      <c r="AH3" s="560" t="s">
        <v>6</v>
      </c>
      <c r="AI3" s="560" t="s">
        <v>7</v>
      </c>
      <c r="AJ3" s="560" t="s">
        <v>788</v>
      </c>
      <c r="AK3" s="560" t="s">
        <v>6</v>
      </c>
      <c r="AL3" s="560" t="s">
        <v>7</v>
      </c>
      <c r="AM3" s="560" t="s">
        <v>788</v>
      </c>
      <c r="AN3" s="560" t="s">
        <v>6</v>
      </c>
      <c r="AO3" s="560" t="s">
        <v>7</v>
      </c>
      <c r="AP3" s="560" t="s">
        <v>788</v>
      </c>
      <c r="AQ3" s="560" t="s">
        <v>6</v>
      </c>
      <c r="AR3" s="560" t="s">
        <v>7</v>
      </c>
      <c r="AS3" s="560" t="s">
        <v>788</v>
      </c>
      <c r="AT3" s="560" t="s">
        <v>6</v>
      </c>
      <c r="AU3" s="560" t="s">
        <v>7</v>
      </c>
      <c r="AV3" s="560" t="s">
        <v>788</v>
      </c>
      <c r="AW3" s="560" t="s">
        <v>6</v>
      </c>
      <c r="AX3" s="560" t="s">
        <v>7</v>
      </c>
      <c r="AY3" s="560" t="s">
        <v>788</v>
      </c>
      <c r="AZ3" s="560" t="s">
        <v>6</v>
      </c>
      <c r="BA3" s="560" t="s">
        <v>7</v>
      </c>
      <c r="BB3" s="560" t="s">
        <v>788</v>
      </c>
      <c r="BC3" s="560" t="s">
        <v>6</v>
      </c>
      <c r="BD3" s="560" t="s">
        <v>7</v>
      </c>
      <c r="BE3" s="560" t="s">
        <v>788</v>
      </c>
      <c r="BF3" s="560" t="s">
        <v>6</v>
      </c>
      <c r="BG3" s="560" t="s">
        <v>7</v>
      </c>
      <c r="BH3" s="560" t="s">
        <v>788</v>
      </c>
      <c r="BI3" s="560" t="s">
        <v>6</v>
      </c>
      <c r="BJ3" s="560" t="s">
        <v>7</v>
      </c>
      <c r="BK3" s="560" t="s">
        <v>788</v>
      </c>
    </row>
    <row r="4" spans="1:66" s="634" customFormat="1" ht="91.5" customHeight="1" x14ac:dyDescent="0.2">
      <c r="A4" s="979" t="s">
        <v>3</v>
      </c>
      <c r="B4" s="980" t="s">
        <v>4</v>
      </c>
      <c r="C4" s="980"/>
      <c r="D4" s="955" t="s">
        <v>1326</v>
      </c>
      <c r="E4" s="956"/>
      <c r="F4" s="957"/>
      <c r="G4" s="998" t="s">
        <v>1327</v>
      </c>
      <c r="H4" s="999"/>
      <c r="I4" s="1000"/>
      <c r="J4" s="955" t="s">
        <v>1329</v>
      </c>
      <c r="K4" s="956"/>
      <c r="L4" s="957"/>
      <c r="M4" s="955" t="s">
        <v>1331</v>
      </c>
      <c r="N4" s="956"/>
      <c r="O4" s="957"/>
      <c r="P4" s="955" t="s">
        <v>1308</v>
      </c>
      <c r="Q4" s="956"/>
      <c r="R4" s="957"/>
      <c r="S4" s="955" t="s">
        <v>1333</v>
      </c>
      <c r="T4" s="956"/>
      <c r="U4" s="957"/>
      <c r="V4" s="955" t="s">
        <v>1335</v>
      </c>
      <c r="W4" s="956"/>
      <c r="X4" s="957"/>
      <c r="Y4" s="955" t="s">
        <v>1337</v>
      </c>
      <c r="Z4" s="956"/>
      <c r="AA4" s="957"/>
      <c r="AB4" s="955" t="s">
        <v>1339</v>
      </c>
      <c r="AC4" s="956"/>
      <c r="AD4" s="957"/>
      <c r="AE4" s="989" t="s">
        <v>1341</v>
      </c>
      <c r="AF4" s="990"/>
      <c r="AG4" s="991"/>
      <c r="AH4" s="958" t="s">
        <v>1343</v>
      </c>
      <c r="AI4" s="959"/>
      <c r="AJ4" s="960"/>
      <c r="AK4" s="958" t="s">
        <v>1345</v>
      </c>
      <c r="AL4" s="959"/>
      <c r="AM4" s="960"/>
      <c r="AN4" s="958" t="s">
        <v>1347</v>
      </c>
      <c r="AO4" s="959"/>
      <c r="AP4" s="960"/>
      <c r="AQ4" s="958" t="s">
        <v>1347</v>
      </c>
      <c r="AR4" s="959"/>
      <c r="AS4" s="960"/>
      <c r="AT4" s="958" t="s">
        <v>1350</v>
      </c>
      <c r="AU4" s="959"/>
      <c r="AV4" s="960"/>
      <c r="AW4" s="958" t="s">
        <v>1352</v>
      </c>
      <c r="AX4" s="959"/>
      <c r="AY4" s="960"/>
      <c r="AZ4" s="958" t="s">
        <v>1255</v>
      </c>
      <c r="BA4" s="959"/>
      <c r="BB4" s="960"/>
      <c r="BC4" s="958" t="s">
        <v>1355</v>
      </c>
      <c r="BD4" s="959"/>
      <c r="BE4" s="960"/>
      <c r="BF4" s="998" t="s">
        <v>1327</v>
      </c>
      <c r="BG4" s="999"/>
      <c r="BH4" s="1000"/>
      <c r="BI4" s="940" t="s">
        <v>1258</v>
      </c>
      <c r="BJ4" s="941"/>
      <c r="BK4" s="942"/>
    </row>
    <row r="5" spans="1:66" s="634" customFormat="1" ht="25.5" customHeight="1" x14ac:dyDescent="0.2">
      <c r="A5" s="979"/>
      <c r="B5" s="980" t="s">
        <v>5</v>
      </c>
      <c r="C5" s="980"/>
      <c r="D5" s="955" t="s">
        <v>11</v>
      </c>
      <c r="E5" s="956"/>
      <c r="F5" s="957"/>
      <c r="G5" s="955" t="s">
        <v>11</v>
      </c>
      <c r="H5" s="956"/>
      <c r="I5" s="957"/>
      <c r="J5" s="955" t="s">
        <v>11</v>
      </c>
      <c r="K5" s="956"/>
      <c r="L5" s="957"/>
      <c r="M5" s="955" t="s">
        <v>164</v>
      </c>
      <c r="N5" s="956"/>
      <c r="O5" s="957"/>
      <c r="P5" s="955" t="s">
        <v>164</v>
      </c>
      <c r="Q5" s="956"/>
      <c r="R5" s="957"/>
      <c r="S5" s="955" t="s">
        <v>11</v>
      </c>
      <c r="T5" s="956"/>
      <c r="U5" s="957"/>
      <c r="V5" s="955" t="s">
        <v>11</v>
      </c>
      <c r="W5" s="956"/>
      <c r="X5" s="957"/>
      <c r="Y5" s="955" t="s">
        <v>11</v>
      </c>
      <c r="Z5" s="956"/>
      <c r="AA5" s="957"/>
      <c r="AB5" s="955" t="s">
        <v>11</v>
      </c>
      <c r="AC5" s="956"/>
      <c r="AD5" s="957"/>
      <c r="AE5" s="955" t="s">
        <v>11</v>
      </c>
      <c r="AF5" s="956"/>
      <c r="AG5" s="957"/>
      <c r="AH5" s="955" t="s">
        <v>11</v>
      </c>
      <c r="AI5" s="956"/>
      <c r="AJ5" s="957"/>
      <c r="AK5" s="955" t="s">
        <v>11</v>
      </c>
      <c r="AL5" s="956"/>
      <c r="AM5" s="957"/>
      <c r="AN5" s="955" t="s">
        <v>11</v>
      </c>
      <c r="AO5" s="956"/>
      <c r="AP5" s="957"/>
      <c r="AQ5" s="955" t="s">
        <v>11</v>
      </c>
      <c r="AR5" s="956"/>
      <c r="AS5" s="957"/>
      <c r="AT5" s="955" t="s">
        <v>11</v>
      </c>
      <c r="AU5" s="956"/>
      <c r="AV5" s="957"/>
      <c r="AW5" s="955" t="s">
        <v>11</v>
      </c>
      <c r="AX5" s="956"/>
      <c r="AY5" s="957"/>
      <c r="AZ5" s="955" t="s">
        <v>11</v>
      </c>
      <c r="BA5" s="956"/>
      <c r="BB5" s="957"/>
      <c r="BC5" s="955" t="s">
        <v>11</v>
      </c>
      <c r="BD5" s="956"/>
      <c r="BE5" s="957"/>
      <c r="BF5" s="955" t="s">
        <v>11</v>
      </c>
      <c r="BG5" s="956"/>
      <c r="BH5" s="957"/>
      <c r="BI5" s="986"/>
      <c r="BJ5" s="987"/>
      <c r="BK5" s="988"/>
    </row>
    <row r="6" spans="1:66" s="634" customFormat="1" ht="15.75" customHeight="1" x14ac:dyDescent="0.2">
      <c r="A6" s="979"/>
      <c r="B6" s="980" t="s">
        <v>8</v>
      </c>
      <c r="C6" s="980"/>
      <c r="D6" s="940" t="s">
        <v>1259</v>
      </c>
      <c r="E6" s="941"/>
      <c r="F6" s="942"/>
      <c r="G6" s="940" t="s">
        <v>1328</v>
      </c>
      <c r="H6" s="941"/>
      <c r="I6" s="942"/>
      <c r="J6" s="940" t="s">
        <v>1330</v>
      </c>
      <c r="K6" s="941"/>
      <c r="L6" s="942"/>
      <c r="M6" s="992" t="s">
        <v>1332</v>
      </c>
      <c r="N6" s="993"/>
      <c r="O6" s="994"/>
      <c r="P6" s="992" t="s">
        <v>1309</v>
      </c>
      <c r="Q6" s="993"/>
      <c r="R6" s="994"/>
      <c r="S6" s="940" t="s">
        <v>1334</v>
      </c>
      <c r="T6" s="941"/>
      <c r="U6" s="942"/>
      <c r="V6" s="940" t="s">
        <v>1336</v>
      </c>
      <c r="W6" s="941"/>
      <c r="X6" s="942"/>
      <c r="Y6" s="940" t="s">
        <v>1338</v>
      </c>
      <c r="Z6" s="941"/>
      <c r="AA6" s="942"/>
      <c r="AB6" s="940" t="s">
        <v>1340</v>
      </c>
      <c r="AC6" s="941"/>
      <c r="AD6" s="942"/>
      <c r="AE6" s="940" t="s">
        <v>1342</v>
      </c>
      <c r="AF6" s="941"/>
      <c r="AG6" s="942"/>
      <c r="AH6" s="940" t="s">
        <v>1344</v>
      </c>
      <c r="AI6" s="941"/>
      <c r="AJ6" s="942"/>
      <c r="AK6" s="940" t="s">
        <v>1346</v>
      </c>
      <c r="AL6" s="941"/>
      <c r="AM6" s="942"/>
      <c r="AN6" s="940" t="s">
        <v>1348</v>
      </c>
      <c r="AO6" s="941"/>
      <c r="AP6" s="942"/>
      <c r="AQ6" s="940" t="s">
        <v>1349</v>
      </c>
      <c r="AR6" s="941"/>
      <c r="AS6" s="942"/>
      <c r="AT6" s="940" t="s">
        <v>1351</v>
      </c>
      <c r="AU6" s="941"/>
      <c r="AV6" s="942"/>
      <c r="AW6" s="940" t="s">
        <v>1353</v>
      </c>
      <c r="AX6" s="941"/>
      <c r="AY6" s="942"/>
      <c r="AZ6" s="940" t="s">
        <v>1354</v>
      </c>
      <c r="BA6" s="941"/>
      <c r="BB6" s="942"/>
      <c r="BC6" s="940" t="s">
        <v>1356</v>
      </c>
      <c r="BD6" s="941"/>
      <c r="BE6" s="942"/>
      <c r="BF6" s="940" t="s">
        <v>1357</v>
      </c>
      <c r="BG6" s="941"/>
      <c r="BH6" s="942"/>
      <c r="BI6" s="986"/>
      <c r="BJ6" s="987"/>
      <c r="BK6" s="988"/>
    </row>
    <row r="7" spans="1:66" ht="73.5" customHeight="1" x14ac:dyDescent="0.2">
      <c r="A7" s="979"/>
      <c r="B7" s="635" t="s">
        <v>9</v>
      </c>
      <c r="C7" s="636" t="s">
        <v>10</v>
      </c>
      <c r="D7" s="943"/>
      <c r="E7" s="944"/>
      <c r="F7" s="945"/>
      <c r="G7" s="943"/>
      <c r="H7" s="944"/>
      <c r="I7" s="945"/>
      <c r="J7" s="943"/>
      <c r="K7" s="944"/>
      <c r="L7" s="945"/>
      <c r="M7" s="995"/>
      <c r="N7" s="996"/>
      <c r="O7" s="997"/>
      <c r="P7" s="995"/>
      <c r="Q7" s="996"/>
      <c r="R7" s="997"/>
      <c r="S7" s="943"/>
      <c r="T7" s="944"/>
      <c r="U7" s="945"/>
      <c r="V7" s="943"/>
      <c r="W7" s="944"/>
      <c r="X7" s="945"/>
      <c r="Y7" s="943"/>
      <c r="Z7" s="944"/>
      <c r="AA7" s="945"/>
      <c r="AB7" s="943"/>
      <c r="AC7" s="944"/>
      <c r="AD7" s="945"/>
      <c r="AE7" s="943"/>
      <c r="AF7" s="944"/>
      <c r="AG7" s="945"/>
      <c r="AH7" s="943"/>
      <c r="AI7" s="944"/>
      <c r="AJ7" s="945"/>
      <c r="AK7" s="943"/>
      <c r="AL7" s="944"/>
      <c r="AM7" s="945"/>
      <c r="AN7" s="943"/>
      <c r="AO7" s="944"/>
      <c r="AP7" s="945"/>
      <c r="AQ7" s="943"/>
      <c r="AR7" s="944"/>
      <c r="AS7" s="945"/>
      <c r="AT7" s="943"/>
      <c r="AU7" s="944"/>
      <c r="AV7" s="945"/>
      <c r="AW7" s="943"/>
      <c r="AX7" s="944"/>
      <c r="AY7" s="945"/>
      <c r="AZ7" s="943"/>
      <c r="BA7" s="944"/>
      <c r="BB7" s="945"/>
      <c r="BC7" s="943"/>
      <c r="BD7" s="944"/>
      <c r="BE7" s="945"/>
      <c r="BF7" s="943"/>
      <c r="BG7" s="944"/>
      <c r="BH7" s="945"/>
      <c r="BI7" s="943"/>
      <c r="BJ7" s="944"/>
      <c r="BK7" s="945"/>
    </row>
    <row r="8" spans="1:66" ht="15.75" x14ac:dyDescent="0.2">
      <c r="A8" s="637" t="s">
        <v>15</v>
      </c>
      <c r="B8" s="638" t="s">
        <v>16</v>
      </c>
      <c r="C8" s="638" t="s">
        <v>17</v>
      </c>
      <c r="D8" s="976" t="s">
        <v>18</v>
      </c>
      <c r="E8" s="977"/>
      <c r="F8" s="978"/>
      <c r="G8" s="976" t="s">
        <v>19</v>
      </c>
      <c r="H8" s="977"/>
      <c r="I8" s="978"/>
      <c r="J8" s="976" t="s">
        <v>20</v>
      </c>
      <c r="K8" s="977"/>
      <c r="L8" s="978"/>
      <c r="M8" s="976" t="s">
        <v>21</v>
      </c>
      <c r="N8" s="977"/>
      <c r="O8" s="978"/>
      <c r="P8" s="976" t="s">
        <v>22</v>
      </c>
      <c r="Q8" s="977"/>
      <c r="R8" s="978"/>
      <c r="S8" s="976" t="s">
        <v>36</v>
      </c>
      <c r="T8" s="977"/>
      <c r="U8" s="978"/>
      <c r="V8" s="976" t="s">
        <v>39</v>
      </c>
      <c r="W8" s="977"/>
      <c r="X8" s="978"/>
      <c r="Y8" s="976" t="s">
        <v>42</v>
      </c>
      <c r="Z8" s="977"/>
      <c r="AA8" s="978"/>
      <c r="AB8" s="976" t="s">
        <v>45</v>
      </c>
      <c r="AC8" s="977"/>
      <c r="AD8" s="978"/>
      <c r="AE8" s="976" t="s">
        <v>47</v>
      </c>
      <c r="AF8" s="977"/>
      <c r="AG8" s="978"/>
      <c r="AH8" s="976" t="s">
        <v>50</v>
      </c>
      <c r="AI8" s="977"/>
      <c r="AJ8" s="978"/>
      <c r="AK8" s="976" t="s">
        <v>53</v>
      </c>
      <c r="AL8" s="977"/>
      <c r="AM8" s="978"/>
      <c r="AN8" s="976" t="s">
        <v>55</v>
      </c>
      <c r="AO8" s="977"/>
      <c r="AP8" s="978"/>
      <c r="AQ8" s="976" t="s">
        <v>57</v>
      </c>
      <c r="AR8" s="977"/>
      <c r="AS8" s="978"/>
      <c r="AT8" s="976" t="s">
        <v>59</v>
      </c>
      <c r="AU8" s="977"/>
      <c r="AV8" s="978"/>
      <c r="AW8" s="976" t="s">
        <v>61</v>
      </c>
      <c r="AX8" s="977"/>
      <c r="AY8" s="978"/>
      <c r="AZ8" s="976" t="s">
        <v>63</v>
      </c>
      <c r="BA8" s="977"/>
      <c r="BB8" s="978"/>
      <c r="BC8" s="976" t="s">
        <v>65</v>
      </c>
      <c r="BD8" s="977"/>
      <c r="BE8" s="978"/>
      <c r="BF8" s="976" t="s">
        <v>68</v>
      </c>
      <c r="BG8" s="977"/>
      <c r="BH8" s="978"/>
      <c r="BI8" s="976" t="s">
        <v>71</v>
      </c>
      <c r="BJ8" s="977"/>
      <c r="BK8" s="978"/>
      <c r="BM8" s="626" t="s">
        <v>11</v>
      </c>
      <c r="BN8" s="626" t="s">
        <v>164</v>
      </c>
    </row>
    <row r="9" spans="1:66" ht="22.5" customHeight="1" x14ac:dyDescent="0.25">
      <c r="A9" s="639" t="s">
        <v>15</v>
      </c>
      <c r="B9" s="640" t="s">
        <v>23</v>
      </c>
      <c r="C9" s="664" t="s">
        <v>24</v>
      </c>
      <c r="D9" s="717">
        <v>0</v>
      </c>
      <c r="E9" s="717">
        <v>0</v>
      </c>
      <c r="F9" s="717">
        <v>0</v>
      </c>
      <c r="G9" s="643">
        <v>27114513</v>
      </c>
      <c r="H9" s="643">
        <v>26186513</v>
      </c>
      <c r="I9" s="643">
        <v>25733789</v>
      </c>
      <c r="J9" s="643">
        <v>2268375</v>
      </c>
      <c r="K9" s="643">
        <v>2921943</v>
      </c>
      <c r="L9" s="643">
        <v>2907651</v>
      </c>
      <c r="M9" s="643">
        <v>16767663</v>
      </c>
      <c r="N9" s="643">
        <v>18710996</v>
      </c>
      <c r="O9" s="643">
        <v>16432171</v>
      </c>
      <c r="P9" s="643">
        <v>8309751</v>
      </c>
      <c r="Q9" s="643">
        <v>9209751</v>
      </c>
      <c r="R9" s="643">
        <v>8820142</v>
      </c>
      <c r="S9" s="717">
        <v>0</v>
      </c>
      <c r="T9" s="717">
        <v>0</v>
      </c>
      <c r="U9" s="717">
        <v>0</v>
      </c>
      <c r="V9" s="717">
        <v>0</v>
      </c>
      <c r="W9" s="717">
        <v>0</v>
      </c>
      <c r="X9" s="717">
        <v>0</v>
      </c>
      <c r="Y9" s="643">
        <v>1735250</v>
      </c>
      <c r="Z9" s="643">
        <v>3406250</v>
      </c>
      <c r="AA9" s="643">
        <v>3290095</v>
      </c>
      <c r="AB9" s="643">
        <v>3113375</v>
      </c>
      <c r="AC9" s="643">
        <v>7558375</v>
      </c>
      <c r="AD9" s="643">
        <v>7474245</v>
      </c>
      <c r="AE9" s="643">
        <v>6253675</v>
      </c>
      <c r="AF9" s="643">
        <v>6953675</v>
      </c>
      <c r="AG9" s="643">
        <v>6754230</v>
      </c>
      <c r="AH9" s="643">
        <v>30449212</v>
      </c>
      <c r="AI9" s="643">
        <v>28654212</v>
      </c>
      <c r="AJ9" s="643">
        <v>27354749</v>
      </c>
      <c r="AK9" s="643">
        <v>10638150</v>
      </c>
      <c r="AL9" s="643">
        <v>10488150</v>
      </c>
      <c r="AM9" s="643">
        <v>9598087</v>
      </c>
      <c r="AN9" s="717">
        <v>0</v>
      </c>
      <c r="AO9" s="643">
        <v>149947</v>
      </c>
      <c r="AP9" s="643">
        <v>149947</v>
      </c>
      <c r="AQ9" s="643">
        <v>16072623</v>
      </c>
      <c r="AR9" s="643">
        <v>11159108</v>
      </c>
      <c r="AS9" s="643">
        <v>10567140</v>
      </c>
      <c r="AT9" s="717">
        <v>0</v>
      </c>
      <c r="AU9" s="717">
        <v>0</v>
      </c>
      <c r="AV9" s="643">
        <v>0</v>
      </c>
      <c r="AW9" s="717">
        <v>0</v>
      </c>
      <c r="AX9" s="717">
        <v>0</v>
      </c>
      <c r="AY9" s="643">
        <v>0</v>
      </c>
      <c r="AZ9" s="717">
        <v>0</v>
      </c>
      <c r="BA9" s="717">
        <v>0</v>
      </c>
      <c r="BB9" s="717">
        <v>0</v>
      </c>
      <c r="BC9" s="717">
        <v>0</v>
      </c>
      <c r="BD9" s="717">
        <v>0</v>
      </c>
      <c r="BE9" s="717">
        <v>0</v>
      </c>
      <c r="BF9" s="717">
        <v>0</v>
      </c>
      <c r="BG9" s="717">
        <v>0</v>
      </c>
      <c r="BH9" s="717">
        <v>0</v>
      </c>
      <c r="BI9" s="643">
        <v>122722587</v>
      </c>
      <c r="BJ9" s="643">
        <v>125398920</v>
      </c>
      <c r="BK9" s="674">
        <f>F9+I9+L9+O9+R9+U9+X9+AA9+AD9+AG9+AJ9+AM9+AP9+AS9+AV9+AY9+BB9+BE9+BH9</f>
        <v>119082246</v>
      </c>
      <c r="BM9" s="659">
        <f>+F9+I9+L9+U9+X9+AA9+AD9+AG9+AJ9+AM9+AP9+AS9+AV9+AY9+BB9+BE9+BH9</f>
        <v>93829933</v>
      </c>
      <c r="BN9" s="659">
        <f>+O9+R9</f>
        <v>25252313</v>
      </c>
    </row>
    <row r="10" spans="1:66" ht="22.5" customHeight="1" x14ac:dyDescent="0.25">
      <c r="A10" s="639" t="s">
        <v>16</v>
      </c>
      <c r="B10" s="645" t="s">
        <v>25</v>
      </c>
      <c r="C10" s="664" t="s">
        <v>26</v>
      </c>
      <c r="D10" s="717">
        <v>0</v>
      </c>
      <c r="E10" s="717">
        <v>0</v>
      </c>
      <c r="F10" s="717">
        <v>0</v>
      </c>
      <c r="G10" s="643">
        <v>10238533</v>
      </c>
      <c r="H10" s="643">
        <v>8244533</v>
      </c>
      <c r="I10" s="643">
        <v>6317946</v>
      </c>
      <c r="J10" s="643">
        <v>525728</v>
      </c>
      <c r="K10" s="643">
        <v>785728</v>
      </c>
      <c r="L10" s="643">
        <v>671505</v>
      </c>
      <c r="M10" s="643">
        <v>3818004</v>
      </c>
      <c r="N10" s="643">
        <v>4016623</v>
      </c>
      <c r="O10" s="643">
        <v>3711533</v>
      </c>
      <c r="P10" s="643">
        <v>1884489</v>
      </c>
      <c r="Q10" s="643">
        <v>2034489</v>
      </c>
      <c r="R10" s="643">
        <v>1957634</v>
      </c>
      <c r="S10" s="717">
        <v>0</v>
      </c>
      <c r="T10" s="717">
        <v>0</v>
      </c>
      <c r="U10" s="717">
        <v>0</v>
      </c>
      <c r="V10" s="717">
        <v>0</v>
      </c>
      <c r="W10" s="717">
        <v>0</v>
      </c>
      <c r="X10" s="717">
        <v>0</v>
      </c>
      <c r="Y10" s="643">
        <v>406308</v>
      </c>
      <c r="Z10" s="643">
        <v>820308</v>
      </c>
      <c r="AA10" s="643">
        <v>742304</v>
      </c>
      <c r="AB10" s="643">
        <v>714608</v>
      </c>
      <c r="AC10" s="643">
        <v>1684608</v>
      </c>
      <c r="AD10" s="643">
        <v>1677804</v>
      </c>
      <c r="AE10" s="643">
        <v>1433622</v>
      </c>
      <c r="AF10" s="643">
        <v>1733622</v>
      </c>
      <c r="AG10" s="643">
        <v>1543908</v>
      </c>
      <c r="AH10" s="643">
        <v>6947956</v>
      </c>
      <c r="AI10" s="643">
        <v>7008456</v>
      </c>
      <c r="AJ10" s="643">
        <v>6304937</v>
      </c>
      <c r="AK10" s="643">
        <v>2435781</v>
      </c>
      <c r="AL10" s="643">
        <v>2435781</v>
      </c>
      <c r="AM10" s="643">
        <v>2162468</v>
      </c>
      <c r="AN10" s="717">
        <v>0</v>
      </c>
      <c r="AO10" s="643">
        <v>32988</v>
      </c>
      <c r="AP10" s="643">
        <v>32988</v>
      </c>
      <c r="AQ10" s="643">
        <v>3621660</v>
      </c>
      <c r="AR10" s="643">
        <v>3588672</v>
      </c>
      <c r="AS10" s="643">
        <v>2465348</v>
      </c>
      <c r="AT10" s="717">
        <v>0</v>
      </c>
      <c r="AU10" s="717">
        <v>0</v>
      </c>
      <c r="AV10" s="643">
        <v>0</v>
      </c>
      <c r="AW10" s="717">
        <v>0</v>
      </c>
      <c r="AX10" s="717">
        <v>0</v>
      </c>
      <c r="AY10" s="643">
        <v>0</v>
      </c>
      <c r="AZ10" s="717">
        <v>0</v>
      </c>
      <c r="BA10" s="717">
        <v>0</v>
      </c>
      <c r="BB10" s="717">
        <v>0</v>
      </c>
      <c r="BC10" s="717">
        <v>0</v>
      </c>
      <c r="BD10" s="717">
        <v>0</v>
      </c>
      <c r="BE10" s="717">
        <v>0</v>
      </c>
      <c r="BF10" s="717">
        <v>0</v>
      </c>
      <c r="BG10" s="717">
        <v>0</v>
      </c>
      <c r="BH10" s="717">
        <v>0</v>
      </c>
      <c r="BI10" s="643">
        <v>32026689</v>
      </c>
      <c r="BJ10" s="643">
        <v>32385808</v>
      </c>
      <c r="BK10" s="674">
        <f t="shared" ref="BJ10:BK49" si="0">F10+I10+L10+O10+R10+U10+X10+AA10+AD10+AG10+AJ10+AM10+AP10+AS10+AV10+AY10+BB10+BE10+BH10</f>
        <v>27588375</v>
      </c>
      <c r="BM10" s="659">
        <f t="shared" ref="BM10:BM48" si="1">+F10+I10+L10+U10+X10+AA10+AD10+AG10+AJ10+AM10+AP10+AS10+AV10+AY10+BB10+BE10+BH10</f>
        <v>21919208</v>
      </c>
      <c r="BN10" s="659">
        <f t="shared" ref="BN10:BN48" si="2">+O10+R10</f>
        <v>5669167</v>
      </c>
    </row>
    <row r="11" spans="1:66" ht="22.5" customHeight="1" x14ac:dyDescent="0.25">
      <c r="A11" s="639" t="s">
        <v>17</v>
      </c>
      <c r="B11" s="645" t="s">
        <v>27</v>
      </c>
      <c r="C11" s="664" t="s">
        <v>28</v>
      </c>
      <c r="D11" s="643">
        <v>16832810</v>
      </c>
      <c r="E11" s="643">
        <v>16832810</v>
      </c>
      <c r="F11" s="643"/>
      <c r="G11" s="643">
        <v>19294256</v>
      </c>
      <c r="H11" s="643">
        <v>46658212</v>
      </c>
      <c r="I11" s="643">
        <v>13997548</v>
      </c>
      <c r="J11" s="643">
        <v>11495000</v>
      </c>
      <c r="K11" s="643">
        <v>11930674</v>
      </c>
      <c r="L11" s="643">
        <v>9351167</v>
      </c>
      <c r="M11" s="643">
        <v>825670</v>
      </c>
      <c r="N11" s="643">
        <v>1752188</v>
      </c>
      <c r="O11" s="643">
        <v>299413</v>
      </c>
      <c r="P11" s="643">
        <v>3027021</v>
      </c>
      <c r="Q11" s="643">
        <v>3060561</v>
      </c>
      <c r="R11" s="643">
        <v>2130738</v>
      </c>
      <c r="S11" s="643">
        <v>17298494</v>
      </c>
      <c r="T11" s="643">
        <v>16980522</v>
      </c>
      <c r="U11" s="643">
        <v>8406850</v>
      </c>
      <c r="V11" s="643">
        <v>9652259</v>
      </c>
      <c r="W11" s="643">
        <v>8250643</v>
      </c>
      <c r="X11" s="643">
        <v>6528603</v>
      </c>
      <c r="Y11" s="643">
        <v>12108373</v>
      </c>
      <c r="Z11" s="643">
        <v>12108373</v>
      </c>
      <c r="AA11" s="643">
        <v>10834604</v>
      </c>
      <c r="AB11" s="643">
        <v>3561840</v>
      </c>
      <c r="AC11" s="643">
        <v>3549784</v>
      </c>
      <c r="AD11" s="643">
        <v>1018453</v>
      </c>
      <c r="AE11" s="643">
        <v>1836543</v>
      </c>
      <c r="AF11" s="643">
        <v>1848599</v>
      </c>
      <c r="AG11" s="643">
        <v>1123198</v>
      </c>
      <c r="AH11" s="643">
        <v>6012194</v>
      </c>
      <c r="AI11" s="643">
        <v>11067368</v>
      </c>
      <c r="AJ11" s="643">
        <v>5133826</v>
      </c>
      <c r="AK11" s="643">
        <v>1523110</v>
      </c>
      <c r="AL11" s="643">
        <v>1149560</v>
      </c>
      <c r="AM11" s="643">
        <v>1057126</v>
      </c>
      <c r="AN11" s="643">
        <v>126641698</v>
      </c>
      <c r="AO11" s="643">
        <v>132274595</v>
      </c>
      <c r="AP11" s="643">
        <v>122750267</v>
      </c>
      <c r="AQ11" s="643">
        <v>179650703</v>
      </c>
      <c r="AR11" s="643">
        <v>188896751</v>
      </c>
      <c r="AS11" s="643">
        <v>163526631</v>
      </c>
      <c r="AT11" s="643">
        <v>17262648</v>
      </c>
      <c r="AU11" s="643">
        <v>17301651</v>
      </c>
      <c r="AV11" s="643">
        <v>10648976</v>
      </c>
      <c r="AW11" s="643">
        <v>6367616</v>
      </c>
      <c r="AX11" s="643">
        <v>7252681</v>
      </c>
      <c r="AY11" s="643">
        <v>3809022</v>
      </c>
      <c r="AZ11" s="717">
        <v>0</v>
      </c>
      <c r="BA11" s="717">
        <v>0</v>
      </c>
      <c r="BB11" s="717">
        <v>0</v>
      </c>
      <c r="BC11" s="717">
        <v>0</v>
      </c>
      <c r="BD11" s="643">
        <v>1583639</v>
      </c>
      <c r="BE11" s="643">
        <v>1583639</v>
      </c>
      <c r="BF11" s="643">
        <v>439370</v>
      </c>
      <c r="BG11" s="643">
        <v>10816412</v>
      </c>
      <c r="BH11" s="643">
        <v>10238793</v>
      </c>
      <c r="BI11" s="643">
        <v>433829605</v>
      </c>
      <c r="BJ11" s="643">
        <v>493315023</v>
      </c>
      <c r="BK11" s="674">
        <f t="shared" si="0"/>
        <v>372438854</v>
      </c>
      <c r="BM11" s="659">
        <f t="shared" si="1"/>
        <v>370008703</v>
      </c>
      <c r="BN11" s="659">
        <f t="shared" si="2"/>
        <v>2430151</v>
      </c>
    </row>
    <row r="12" spans="1:66" ht="22.5" customHeight="1" x14ac:dyDescent="0.25">
      <c r="A12" s="639" t="s">
        <v>18</v>
      </c>
      <c r="B12" s="646" t="s">
        <v>29</v>
      </c>
      <c r="C12" s="664" t="s">
        <v>30</v>
      </c>
      <c r="D12" s="717">
        <v>0</v>
      </c>
      <c r="E12" s="717">
        <v>0</v>
      </c>
      <c r="F12" s="717">
        <v>0</v>
      </c>
      <c r="G12" s="717">
        <v>0</v>
      </c>
      <c r="H12" s="717">
        <v>0</v>
      </c>
      <c r="I12" s="717">
        <v>0</v>
      </c>
      <c r="J12" s="717">
        <v>0</v>
      </c>
      <c r="K12" s="717">
        <v>0</v>
      </c>
      <c r="L12" s="717">
        <v>0</v>
      </c>
      <c r="M12" s="717">
        <v>0</v>
      </c>
      <c r="N12" s="717">
        <v>0</v>
      </c>
      <c r="O12" s="717">
        <v>0</v>
      </c>
      <c r="P12" s="717">
        <v>0</v>
      </c>
      <c r="Q12" s="717">
        <v>0</v>
      </c>
      <c r="R12" s="717">
        <v>0</v>
      </c>
      <c r="S12" s="717">
        <v>0</v>
      </c>
      <c r="T12" s="717">
        <v>0</v>
      </c>
      <c r="U12" s="717">
        <v>0</v>
      </c>
      <c r="V12" s="717">
        <v>0</v>
      </c>
      <c r="W12" s="717">
        <v>0</v>
      </c>
      <c r="X12" s="717">
        <v>0</v>
      </c>
      <c r="Y12" s="717">
        <v>0</v>
      </c>
      <c r="Z12" s="717">
        <v>0</v>
      </c>
      <c r="AA12" s="717">
        <v>0</v>
      </c>
      <c r="AB12" s="717">
        <v>0</v>
      </c>
      <c r="AC12" s="717">
        <v>0</v>
      </c>
      <c r="AD12" s="717">
        <v>0</v>
      </c>
      <c r="AE12" s="717">
        <v>0</v>
      </c>
      <c r="AF12" s="717">
        <v>0</v>
      </c>
      <c r="AG12" s="717">
        <v>0</v>
      </c>
      <c r="AH12" s="717">
        <v>0</v>
      </c>
      <c r="AI12" s="717">
        <v>0</v>
      </c>
      <c r="AJ12" s="717">
        <v>0</v>
      </c>
      <c r="AK12" s="717">
        <v>0</v>
      </c>
      <c r="AL12" s="717">
        <v>0</v>
      </c>
      <c r="AM12" s="717">
        <v>0</v>
      </c>
      <c r="AN12" s="717">
        <v>0</v>
      </c>
      <c r="AO12" s="717">
        <v>0</v>
      </c>
      <c r="AP12" s="717">
        <v>0</v>
      </c>
      <c r="AQ12" s="717">
        <v>0</v>
      </c>
      <c r="AR12" s="717">
        <v>0</v>
      </c>
      <c r="AS12" s="717">
        <v>0</v>
      </c>
      <c r="AT12" s="717">
        <v>0</v>
      </c>
      <c r="AU12" s="717">
        <v>0</v>
      </c>
      <c r="AV12" s="643">
        <v>0</v>
      </c>
      <c r="AW12" s="717">
        <v>0</v>
      </c>
      <c r="AX12" s="717">
        <v>0</v>
      </c>
      <c r="AY12" s="643">
        <v>0</v>
      </c>
      <c r="AZ12" s="717">
        <v>0</v>
      </c>
      <c r="BA12" s="717">
        <v>0</v>
      </c>
      <c r="BB12" s="717">
        <v>0</v>
      </c>
      <c r="BC12" s="717">
        <v>0</v>
      </c>
      <c r="BD12" s="717">
        <v>0</v>
      </c>
      <c r="BE12" s="717">
        <v>0</v>
      </c>
      <c r="BF12" s="717">
        <v>0</v>
      </c>
      <c r="BG12" s="717">
        <v>0</v>
      </c>
      <c r="BH12" s="717">
        <v>0</v>
      </c>
      <c r="BI12" s="717">
        <v>0</v>
      </c>
      <c r="BJ12" s="717">
        <v>0</v>
      </c>
      <c r="BK12" s="674">
        <f t="shared" si="0"/>
        <v>0</v>
      </c>
      <c r="BM12" s="659">
        <f t="shared" si="1"/>
        <v>0</v>
      </c>
      <c r="BN12" s="659">
        <f t="shared" si="2"/>
        <v>0</v>
      </c>
    </row>
    <row r="13" spans="1:66" ht="22.5" customHeight="1" x14ac:dyDescent="0.25">
      <c r="A13" s="639" t="s">
        <v>19</v>
      </c>
      <c r="B13" s="646" t="s">
        <v>31</v>
      </c>
      <c r="C13" s="664" t="s">
        <v>32</v>
      </c>
      <c r="D13" s="717">
        <v>0</v>
      </c>
      <c r="E13" s="643">
        <v>41480809</v>
      </c>
      <c r="F13" s="643">
        <f>SUM(F14:F16)</f>
        <v>41480809</v>
      </c>
      <c r="G13" s="717">
        <v>0</v>
      </c>
      <c r="H13" s="717">
        <v>0</v>
      </c>
      <c r="I13" s="643">
        <f>SUM(I14:I16)</f>
        <v>0</v>
      </c>
      <c r="J13" s="717">
        <v>0</v>
      </c>
      <c r="K13" s="717">
        <v>0</v>
      </c>
      <c r="L13" s="643">
        <f>SUM(L14:L16)</f>
        <v>0</v>
      </c>
      <c r="M13" s="717">
        <v>0</v>
      </c>
      <c r="N13" s="717">
        <v>0</v>
      </c>
      <c r="O13" s="643">
        <f>SUM(O14:O16)</f>
        <v>0</v>
      </c>
      <c r="P13" s="717">
        <v>0</v>
      </c>
      <c r="Q13" s="717">
        <v>0</v>
      </c>
      <c r="R13" s="643">
        <f>SUM(R14:R16)</f>
        <v>0</v>
      </c>
      <c r="S13" s="717">
        <v>0</v>
      </c>
      <c r="T13" s="717">
        <v>0</v>
      </c>
      <c r="U13" s="643">
        <f>SUM(U14:U16)</f>
        <v>0</v>
      </c>
      <c r="V13" s="717">
        <v>0</v>
      </c>
      <c r="W13" s="717">
        <v>0</v>
      </c>
      <c r="X13" s="643">
        <f>SUM(X14:X16)</f>
        <v>0</v>
      </c>
      <c r="Y13" s="717">
        <v>0</v>
      </c>
      <c r="Z13" s="717">
        <v>0</v>
      </c>
      <c r="AA13" s="643">
        <f>SUM(AA14:AA16)</f>
        <v>0</v>
      </c>
      <c r="AB13" s="717">
        <v>0</v>
      </c>
      <c r="AC13" s="717">
        <v>0</v>
      </c>
      <c r="AD13" s="643">
        <f>SUM(AD14:AD16)</f>
        <v>0</v>
      </c>
      <c r="AE13" s="717">
        <v>0</v>
      </c>
      <c r="AF13" s="717">
        <v>0</v>
      </c>
      <c r="AG13" s="643">
        <f>SUM(AG14:AG16)</f>
        <v>0</v>
      </c>
      <c r="AH13" s="717">
        <v>0</v>
      </c>
      <c r="AI13" s="717">
        <v>0</v>
      </c>
      <c r="AJ13" s="643">
        <f>SUM(AJ14:AJ16)</f>
        <v>0</v>
      </c>
      <c r="AK13" s="717">
        <v>0</v>
      </c>
      <c r="AL13" s="717">
        <v>0</v>
      </c>
      <c r="AM13" s="643">
        <f>SUM(AM14:AM16)</f>
        <v>0</v>
      </c>
      <c r="AN13" s="717">
        <v>0</v>
      </c>
      <c r="AO13" s="717">
        <v>0</v>
      </c>
      <c r="AP13" s="643">
        <f>SUM(AP14:AP16)</f>
        <v>0</v>
      </c>
      <c r="AQ13" s="717">
        <v>0</v>
      </c>
      <c r="AR13" s="717">
        <v>0</v>
      </c>
      <c r="AS13" s="643">
        <f>SUM(AS14:AS16)</f>
        <v>0</v>
      </c>
      <c r="AT13" s="717">
        <v>0</v>
      </c>
      <c r="AU13" s="717">
        <v>0</v>
      </c>
      <c r="AV13" s="643">
        <f>SUM(AV14:AV16)</f>
        <v>0</v>
      </c>
      <c r="AW13" s="717">
        <v>0</v>
      </c>
      <c r="AX13" s="717">
        <v>0</v>
      </c>
      <c r="AY13" s="643">
        <f>SUM(AY14:AY16)</f>
        <v>0</v>
      </c>
      <c r="AZ13" s="717">
        <v>0</v>
      </c>
      <c r="BA13" s="717">
        <v>0</v>
      </c>
      <c r="BB13" s="643">
        <f>SUM(BB14:BB16)</f>
        <v>0</v>
      </c>
      <c r="BC13" s="717">
        <v>0</v>
      </c>
      <c r="BD13" s="717">
        <v>0</v>
      </c>
      <c r="BE13" s="643">
        <f>SUM(BE14:BE16)</f>
        <v>0</v>
      </c>
      <c r="BF13" s="717">
        <v>0</v>
      </c>
      <c r="BG13" s="717">
        <v>0</v>
      </c>
      <c r="BH13" s="643">
        <f>SUM(BH14:BH16)</f>
        <v>0</v>
      </c>
      <c r="BI13" s="717">
        <v>0</v>
      </c>
      <c r="BJ13" s="643">
        <v>41480809</v>
      </c>
      <c r="BK13" s="674">
        <f t="shared" si="0"/>
        <v>41480809</v>
      </c>
      <c r="BM13" s="659">
        <f t="shared" si="1"/>
        <v>41480809</v>
      </c>
      <c r="BN13" s="659">
        <f t="shared" si="2"/>
        <v>0</v>
      </c>
    </row>
    <row r="14" spans="1:66" ht="22.5" customHeight="1" x14ac:dyDescent="0.25">
      <c r="A14" s="639" t="s">
        <v>20</v>
      </c>
      <c r="B14" s="21" t="s">
        <v>33</v>
      </c>
      <c r="C14" s="664"/>
      <c r="D14" s="717">
        <v>0</v>
      </c>
      <c r="E14" s="717">
        <v>0</v>
      </c>
      <c r="F14" s="717">
        <v>0</v>
      </c>
      <c r="G14" s="717">
        <v>0</v>
      </c>
      <c r="H14" s="717">
        <v>0</v>
      </c>
      <c r="I14" s="717">
        <v>0</v>
      </c>
      <c r="J14" s="717">
        <v>0</v>
      </c>
      <c r="K14" s="717">
        <v>0</v>
      </c>
      <c r="L14" s="717">
        <v>0</v>
      </c>
      <c r="M14" s="717">
        <v>0</v>
      </c>
      <c r="N14" s="717">
        <v>0</v>
      </c>
      <c r="O14" s="717">
        <v>0</v>
      </c>
      <c r="P14" s="717">
        <v>0</v>
      </c>
      <c r="Q14" s="717">
        <v>0</v>
      </c>
      <c r="R14" s="717">
        <v>0</v>
      </c>
      <c r="S14" s="717">
        <v>0</v>
      </c>
      <c r="T14" s="717">
        <v>0</v>
      </c>
      <c r="U14" s="717">
        <v>0</v>
      </c>
      <c r="V14" s="717">
        <v>0</v>
      </c>
      <c r="W14" s="717">
        <v>0</v>
      </c>
      <c r="X14" s="717">
        <v>0</v>
      </c>
      <c r="Y14" s="717">
        <v>0</v>
      </c>
      <c r="Z14" s="717">
        <v>0</v>
      </c>
      <c r="AA14" s="717">
        <v>0</v>
      </c>
      <c r="AB14" s="717">
        <v>0</v>
      </c>
      <c r="AC14" s="717">
        <v>0</v>
      </c>
      <c r="AD14" s="717">
        <v>0</v>
      </c>
      <c r="AE14" s="717">
        <v>0</v>
      </c>
      <c r="AF14" s="717">
        <v>0</v>
      </c>
      <c r="AG14" s="717">
        <v>0</v>
      </c>
      <c r="AH14" s="717">
        <v>0</v>
      </c>
      <c r="AI14" s="717">
        <v>0</v>
      </c>
      <c r="AJ14" s="717">
        <v>0</v>
      </c>
      <c r="AK14" s="717">
        <v>0</v>
      </c>
      <c r="AL14" s="717">
        <v>0</v>
      </c>
      <c r="AM14" s="717">
        <v>0</v>
      </c>
      <c r="AN14" s="717">
        <v>0</v>
      </c>
      <c r="AO14" s="717">
        <v>0</v>
      </c>
      <c r="AP14" s="717">
        <v>0</v>
      </c>
      <c r="AQ14" s="717">
        <v>0</v>
      </c>
      <c r="AR14" s="717">
        <v>0</v>
      </c>
      <c r="AS14" s="717">
        <v>0</v>
      </c>
      <c r="AT14" s="717">
        <v>0</v>
      </c>
      <c r="AU14" s="717">
        <v>0</v>
      </c>
      <c r="AV14" s="643">
        <v>0</v>
      </c>
      <c r="AW14" s="717">
        <v>0</v>
      </c>
      <c r="AX14" s="717">
        <v>0</v>
      </c>
      <c r="AY14" s="643">
        <v>0</v>
      </c>
      <c r="AZ14" s="717">
        <v>0</v>
      </c>
      <c r="BA14" s="717">
        <v>0</v>
      </c>
      <c r="BB14" s="717">
        <v>0</v>
      </c>
      <c r="BC14" s="717">
        <v>0</v>
      </c>
      <c r="BD14" s="717">
        <v>0</v>
      </c>
      <c r="BE14" s="717">
        <v>0</v>
      </c>
      <c r="BF14" s="717">
        <v>0</v>
      </c>
      <c r="BG14" s="717">
        <v>0</v>
      </c>
      <c r="BH14" s="717">
        <v>0</v>
      </c>
      <c r="BI14" s="717">
        <v>0</v>
      </c>
      <c r="BJ14" s="717">
        <v>0</v>
      </c>
      <c r="BK14" s="674">
        <f t="shared" si="0"/>
        <v>0</v>
      </c>
      <c r="BM14" s="659">
        <f t="shared" si="1"/>
        <v>0</v>
      </c>
      <c r="BN14" s="659">
        <f t="shared" si="2"/>
        <v>0</v>
      </c>
    </row>
    <row r="15" spans="1:66" ht="22.5" customHeight="1" x14ac:dyDescent="0.25">
      <c r="A15" s="639" t="s">
        <v>21</v>
      </c>
      <c r="B15" s="21" t="s">
        <v>34</v>
      </c>
      <c r="C15" s="665"/>
      <c r="D15" s="717">
        <v>0</v>
      </c>
      <c r="E15" s="717">
        <v>0</v>
      </c>
      <c r="F15" s="717">
        <v>0</v>
      </c>
      <c r="G15" s="717">
        <v>0</v>
      </c>
      <c r="H15" s="717">
        <v>0</v>
      </c>
      <c r="I15" s="717">
        <v>0</v>
      </c>
      <c r="J15" s="717">
        <v>0</v>
      </c>
      <c r="K15" s="717">
        <v>0</v>
      </c>
      <c r="L15" s="717">
        <v>0</v>
      </c>
      <c r="M15" s="717">
        <v>0</v>
      </c>
      <c r="N15" s="717">
        <v>0</v>
      </c>
      <c r="O15" s="717">
        <v>0</v>
      </c>
      <c r="P15" s="717">
        <v>0</v>
      </c>
      <c r="Q15" s="717">
        <v>0</v>
      </c>
      <c r="R15" s="717">
        <v>0</v>
      </c>
      <c r="S15" s="717">
        <v>0</v>
      </c>
      <c r="T15" s="717">
        <v>0</v>
      </c>
      <c r="U15" s="717">
        <v>0</v>
      </c>
      <c r="V15" s="717">
        <v>0</v>
      </c>
      <c r="W15" s="717">
        <v>0</v>
      </c>
      <c r="X15" s="717">
        <v>0</v>
      </c>
      <c r="Y15" s="717">
        <v>0</v>
      </c>
      <c r="Z15" s="717">
        <v>0</v>
      </c>
      <c r="AA15" s="717">
        <v>0</v>
      </c>
      <c r="AB15" s="717">
        <v>0</v>
      </c>
      <c r="AC15" s="717">
        <v>0</v>
      </c>
      <c r="AD15" s="717">
        <v>0</v>
      </c>
      <c r="AE15" s="717">
        <v>0</v>
      </c>
      <c r="AF15" s="717">
        <v>0</v>
      </c>
      <c r="AG15" s="717">
        <v>0</v>
      </c>
      <c r="AH15" s="717">
        <v>0</v>
      </c>
      <c r="AI15" s="717">
        <v>0</v>
      </c>
      <c r="AJ15" s="717">
        <v>0</v>
      </c>
      <c r="AK15" s="717">
        <v>0</v>
      </c>
      <c r="AL15" s="717">
        <v>0</v>
      </c>
      <c r="AM15" s="717">
        <v>0</v>
      </c>
      <c r="AN15" s="717">
        <v>0</v>
      </c>
      <c r="AO15" s="717">
        <v>0</v>
      </c>
      <c r="AP15" s="717">
        <v>0</v>
      </c>
      <c r="AQ15" s="717">
        <v>0</v>
      </c>
      <c r="AR15" s="717">
        <v>0</v>
      </c>
      <c r="AS15" s="717">
        <v>0</v>
      </c>
      <c r="AT15" s="717">
        <v>0</v>
      </c>
      <c r="AU15" s="717">
        <v>0</v>
      </c>
      <c r="AV15" s="643">
        <v>0</v>
      </c>
      <c r="AW15" s="717">
        <v>0</v>
      </c>
      <c r="AX15" s="717">
        <v>0</v>
      </c>
      <c r="AY15" s="643">
        <v>0</v>
      </c>
      <c r="AZ15" s="717">
        <v>0</v>
      </c>
      <c r="BA15" s="717">
        <v>0</v>
      </c>
      <c r="BB15" s="717">
        <v>0</v>
      </c>
      <c r="BC15" s="717">
        <v>0</v>
      </c>
      <c r="BD15" s="717">
        <v>0</v>
      </c>
      <c r="BE15" s="717">
        <v>0</v>
      </c>
      <c r="BF15" s="717">
        <v>0</v>
      </c>
      <c r="BG15" s="717">
        <v>0</v>
      </c>
      <c r="BH15" s="717">
        <v>0</v>
      </c>
      <c r="BI15" s="717">
        <v>0</v>
      </c>
      <c r="BJ15" s="717">
        <v>0</v>
      </c>
      <c r="BK15" s="674">
        <f t="shared" si="0"/>
        <v>0</v>
      </c>
      <c r="BM15" s="659">
        <f t="shared" si="1"/>
        <v>0</v>
      </c>
      <c r="BN15" s="659">
        <f t="shared" si="2"/>
        <v>0</v>
      </c>
    </row>
    <row r="16" spans="1:66" ht="22.5" customHeight="1" x14ac:dyDescent="0.25">
      <c r="A16" s="639" t="s">
        <v>22</v>
      </c>
      <c r="B16" s="17" t="s">
        <v>35</v>
      </c>
      <c r="C16" s="665"/>
      <c r="D16" s="717">
        <v>0</v>
      </c>
      <c r="E16" s="643">
        <v>41480809</v>
      </c>
      <c r="F16" s="643">
        <v>41480809</v>
      </c>
      <c r="G16" s="717">
        <v>0</v>
      </c>
      <c r="H16" s="717">
        <v>0</v>
      </c>
      <c r="I16" s="717">
        <v>0</v>
      </c>
      <c r="J16" s="717">
        <v>0</v>
      </c>
      <c r="K16" s="717">
        <v>0</v>
      </c>
      <c r="L16" s="717">
        <v>0</v>
      </c>
      <c r="M16" s="717">
        <v>0</v>
      </c>
      <c r="N16" s="717">
        <v>0</v>
      </c>
      <c r="O16" s="717">
        <v>0</v>
      </c>
      <c r="P16" s="717">
        <v>0</v>
      </c>
      <c r="Q16" s="717">
        <v>0</v>
      </c>
      <c r="R16" s="717">
        <v>0</v>
      </c>
      <c r="S16" s="717">
        <v>0</v>
      </c>
      <c r="T16" s="717">
        <v>0</v>
      </c>
      <c r="U16" s="717">
        <v>0</v>
      </c>
      <c r="V16" s="717">
        <v>0</v>
      </c>
      <c r="W16" s="717">
        <v>0</v>
      </c>
      <c r="X16" s="717">
        <v>0</v>
      </c>
      <c r="Y16" s="717">
        <v>0</v>
      </c>
      <c r="Z16" s="717">
        <v>0</v>
      </c>
      <c r="AA16" s="717">
        <v>0</v>
      </c>
      <c r="AB16" s="717">
        <v>0</v>
      </c>
      <c r="AC16" s="717">
        <v>0</v>
      </c>
      <c r="AD16" s="717">
        <v>0</v>
      </c>
      <c r="AE16" s="717">
        <v>0</v>
      </c>
      <c r="AF16" s="717">
        <v>0</v>
      </c>
      <c r="AG16" s="717">
        <v>0</v>
      </c>
      <c r="AH16" s="717">
        <v>0</v>
      </c>
      <c r="AI16" s="717">
        <v>0</v>
      </c>
      <c r="AJ16" s="717">
        <v>0</v>
      </c>
      <c r="AK16" s="717">
        <v>0</v>
      </c>
      <c r="AL16" s="717">
        <v>0</v>
      </c>
      <c r="AM16" s="717">
        <v>0</v>
      </c>
      <c r="AN16" s="717">
        <v>0</v>
      </c>
      <c r="AO16" s="717">
        <v>0</v>
      </c>
      <c r="AP16" s="717">
        <v>0</v>
      </c>
      <c r="AQ16" s="717">
        <v>0</v>
      </c>
      <c r="AR16" s="717">
        <v>0</v>
      </c>
      <c r="AS16" s="717">
        <v>0</v>
      </c>
      <c r="AT16" s="717">
        <v>0</v>
      </c>
      <c r="AU16" s="717">
        <v>0</v>
      </c>
      <c r="AV16" s="643">
        <v>0</v>
      </c>
      <c r="AW16" s="717">
        <v>0</v>
      </c>
      <c r="AX16" s="717">
        <v>0</v>
      </c>
      <c r="AY16" s="643">
        <v>0</v>
      </c>
      <c r="AZ16" s="717">
        <v>0</v>
      </c>
      <c r="BA16" s="717">
        <v>0</v>
      </c>
      <c r="BB16" s="717">
        <v>0</v>
      </c>
      <c r="BC16" s="717">
        <v>0</v>
      </c>
      <c r="BD16" s="717">
        <v>0</v>
      </c>
      <c r="BE16" s="717">
        <v>0</v>
      </c>
      <c r="BF16" s="717">
        <v>0</v>
      </c>
      <c r="BG16" s="717">
        <v>0</v>
      </c>
      <c r="BH16" s="717">
        <v>0</v>
      </c>
      <c r="BI16" s="717">
        <v>0</v>
      </c>
      <c r="BJ16" s="643">
        <v>41480809</v>
      </c>
      <c r="BK16" s="674">
        <f t="shared" si="0"/>
        <v>41480809</v>
      </c>
      <c r="BM16" s="659">
        <f t="shared" si="1"/>
        <v>41480809</v>
      </c>
      <c r="BN16" s="659">
        <f t="shared" si="2"/>
        <v>0</v>
      </c>
    </row>
    <row r="17" spans="1:66" ht="22.5" customHeight="1" x14ac:dyDescent="0.25">
      <c r="A17" s="639" t="s">
        <v>36</v>
      </c>
      <c r="B17" s="648" t="s">
        <v>37</v>
      </c>
      <c r="C17" s="664" t="s">
        <v>38</v>
      </c>
      <c r="D17" s="717">
        <v>0</v>
      </c>
      <c r="E17" s="717">
        <v>0</v>
      </c>
      <c r="F17" s="717">
        <v>0</v>
      </c>
      <c r="G17" s="717">
        <v>0</v>
      </c>
      <c r="H17" s="643">
        <v>285088</v>
      </c>
      <c r="I17" s="643">
        <v>285088</v>
      </c>
      <c r="J17" s="717">
        <v>0</v>
      </c>
      <c r="K17" s="717">
        <v>0</v>
      </c>
      <c r="L17" s="717">
        <v>0</v>
      </c>
      <c r="M17" s="717">
        <v>0</v>
      </c>
      <c r="N17" s="717">
        <v>45999</v>
      </c>
      <c r="O17" s="717">
        <v>45999</v>
      </c>
      <c r="P17" s="717">
        <v>0</v>
      </c>
      <c r="Q17" s="643">
        <v>34600</v>
      </c>
      <c r="R17" s="643">
        <v>34600</v>
      </c>
      <c r="S17" s="717">
        <v>0</v>
      </c>
      <c r="T17" s="643">
        <v>402159</v>
      </c>
      <c r="U17" s="643">
        <v>402159</v>
      </c>
      <c r="V17" s="717">
        <v>0</v>
      </c>
      <c r="W17" s="717">
        <v>752012</v>
      </c>
      <c r="X17" s="717">
        <v>750009</v>
      </c>
      <c r="Y17" s="717">
        <v>0</v>
      </c>
      <c r="Z17" s="717">
        <v>0</v>
      </c>
      <c r="AA17" s="717">
        <v>0</v>
      </c>
      <c r="AB17" s="717">
        <v>0</v>
      </c>
      <c r="AC17" s="717">
        <v>0</v>
      </c>
      <c r="AD17" s="717">
        <v>0</v>
      </c>
      <c r="AE17" s="717">
        <v>0</v>
      </c>
      <c r="AF17" s="717">
        <v>0</v>
      </c>
      <c r="AG17" s="717">
        <v>0</v>
      </c>
      <c r="AH17" s="717">
        <v>0</v>
      </c>
      <c r="AI17" s="643">
        <v>749543</v>
      </c>
      <c r="AJ17" s="643">
        <v>749543</v>
      </c>
      <c r="AK17" s="717">
        <v>0</v>
      </c>
      <c r="AL17" s="643">
        <v>674832</v>
      </c>
      <c r="AM17" s="643">
        <v>674832</v>
      </c>
      <c r="AN17" s="717">
        <v>0</v>
      </c>
      <c r="AO17" s="717">
        <v>0</v>
      </c>
      <c r="AP17" s="717">
        <v>0</v>
      </c>
      <c r="AQ17" s="717">
        <v>0</v>
      </c>
      <c r="AR17" s="643">
        <v>2200813</v>
      </c>
      <c r="AS17" s="643">
        <v>194007</v>
      </c>
      <c r="AT17" s="717">
        <v>0</v>
      </c>
      <c r="AU17" s="717">
        <v>0</v>
      </c>
      <c r="AV17" s="643">
        <v>0</v>
      </c>
      <c r="AW17" s="717">
        <v>0</v>
      </c>
      <c r="AX17" s="717">
        <v>0</v>
      </c>
      <c r="AY17" s="643">
        <v>0</v>
      </c>
      <c r="AZ17" s="717">
        <v>0</v>
      </c>
      <c r="BA17" s="717">
        <v>0</v>
      </c>
      <c r="BB17" s="717">
        <v>0</v>
      </c>
      <c r="BC17" s="717">
        <v>0</v>
      </c>
      <c r="BD17" s="717">
        <v>0</v>
      </c>
      <c r="BE17" s="717">
        <v>0</v>
      </c>
      <c r="BF17" s="717">
        <v>0</v>
      </c>
      <c r="BG17" s="717">
        <v>0</v>
      </c>
      <c r="BH17" s="717">
        <v>0</v>
      </c>
      <c r="BI17" s="717">
        <v>0</v>
      </c>
      <c r="BJ17" s="643">
        <v>5145046</v>
      </c>
      <c r="BK17" s="674">
        <f t="shared" si="0"/>
        <v>3136237</v>
      </c>
      <c r="BM17" s="659">
        <f t="shared" si="1"/>
        <v>3055638</v>
      </c>
      <c r="BN17" s="659">
        <f t="shared" si="2"/>
        <v>80599</v>
      </c>
    </row>
    <row r="18" spans="1:66" ht="22.5" customHeight="1" x14ac:dyDescent="0.25">
      <c r="A18" s="639" t="s">
        <v>39</v>
      </c>
      <c r="B18" s="646" t="s">
        <v>40</v>
      </c>
      <c r="C18" s="664" t="s">
        <v>41</v>
      </c>
      <c r="D18" s="717">
        <v>0</v>
      </c>
      <c r="E18" s="717">
        <v>0</v>
      </c>
      <c r="F18" s="717">
        <v>0</v>
      </c>
      <c r="G18" s="717">
        <v>0</v>
      </c>
      <c r="H18" s="717">
        <v>0</v>
      </c>
      <c r="I18" s="717">
        <v>0</v>
      </c>
      <c r="J18" s="717">
        <v>0</v>
      </c>
      <c r="K18" s="717">
        <v>0</v>
      </c>
      <c r="L18" s="717">
        <v>0</v>
      </c>
      <c r="M18" s="717">
        <v>0</v>
      </c>
      <c r="N18" s="717">
        <v>0</v>
      </c>
      <c r="O18" s="717">
        <v>0</v>
      </c>
      <c r="P18" s="717">
        <v>0</v>
      </c>
      <c r="Q18" s="717">
        <v>0</v>
      </c>
      <c r="R18" s="717">
        <v>0</v>
      </c>
      <c r="S18" s="717">
        <v>0</v>
      </c>
      <c r="T18" s="717">
        <v>0</v>
      </c>
      <c r="U18" s="717">
        <v>0</v>
      </c>
      <c r="V18" s="717">
        <v>0</v>
      </c>
      <c r="W18" s="717">
        <v>0</v>
      </c>
      <c r="X18" s="717">
        <v>0</v>
      </c>
      <c r="Y18" s="717">
        <v>0</v>
      </c>
      <c r="Z18" s="717">
        <v>0</v>
      </c>
      <c r="AA18" s="717">
        <v>0</v>
      </c>
      <c r="AB18" s="717">
        <v>0</v>
      </c>
      <c r="AC18" s="717">
        <v>0</v>
      </c>
      <c r="AD18" s="717">
        <v>0</v>
      </c>
      <c r="AE18" s="717">
        <v>0</v>
      </c>
      <c r="AF18" s="717">
        <v>0</v>
      </c>
      <c r="AG18" s="717">
        <v>0</v>
      </c>
      <c r="AH18" s="717">
        <v>0</v>
      </c>
      <c r="AI18" s="717">
        <v>0</v>
      </c>
      <c r="AJ18" s="717">
        <v>0</v>
      </c>
      <c r="AK18" s="717">
        <v>0</v>
      </c>
      <c r="AL18" s="717">
        <v>0</v>
      </c>
      <c r="AM18" s="717">
        <v>0</v>
      </c>
      <c r="AN18" s="717">
        <v>0</v>
      </c>
      <c r="AO18" s="717">
        <v>0</v>
      </c>
      <c r="AP18" s="717">
        <v>0</v>
      </c>
      <c r="AQ18" s="717">
        <v>0</v>
      </c>
      <c r="AR18" s="717">
        <v>0</v>
      </c>
      <c r="AS18" s="717">
        <v>0</v>
      </c>
      <c r="AT18" s="717">
        <v>0</v>
      </c>
      <c r="AU18" s="717">
        <v>0</v>
      </c>
      <c r="AV18" s="643">
        <v>0</v>
      </c>
      <c r="AW18" s="717">
        <v>0</v>
      </c>
      <c r="AX18" s="717">
        <v>0</v>
      </c>
      <c r="AY18" s="643">
        <v>0</v>
      </c>
      <c r="AZ18" s="717">
        <v>0</v>
      </c>
      <c r="BA18" s="717">
        <v>0</v>
      </c>
      <c r="BB18" s="717">
        <v>0</v>
      </c>
      <c r="BC18" s="717">
        <v>0</v>
      </c>
      <c r="BD18" s="717">
        <v>0</v>
      </c>
      <c r="BE18" s="717">
        <v>0</v>
      </c>
      <c r="BF18" s="717">
        <v>0</v>
      </c>
      <c r="BG18" s="717">
        <v>0</v>
      </c>
      <c r="BH18" s="717">
        <v>0</v>
      </c>
      <c r="BI18" s="717">
        <v>0</v>
      </c>
      <c r="BJ18" s="717">
        <v>0</v>
      </c>
      <c r="BK18" s="674">
        <f t="shared" si="0"/>
        <v>0</v>
      </c>
      <c r="BM18" s="659">
        <f t="shared" si="1"/>
        <v>0</v>
      </c>
      <c r="BN18" s="659">
        <f t="shared" si="2"/>
        <v>0</v>
      </c>
    </row>
    <row r="19" spans="1:66" ht="22.5" customHeight="1" x14ac:dyDescent="0.2">
      <c r="A19" s="639" t="s">
        <v>42</v>
      </c>
      <c r="B19" s="646" t="s">
        <v>43</v>
      </c>
      <c r="C19" s="664" t="s">
        <v>44</v>
      </c>
      <c r="D19" s="717">
        <v>0</v>
      </c>
      <c r="E19" s="717">
        <v>0</v>
      </c>
      <c r="F19" s="717">
        <f>SUM(F20)</f>
        <v>0</v>
      </c>
      <c r="G19" s="717">
        <v>0</v>
      </c>
      <c r="H19" s="717">
        <v>0</v>
      </c>
      <c r="I19" s="717">
        <f>SUM(I20)</f>
        <v>0</v>
      </c>
      <c r="J19" s="717">
        <v>0</v>
      </c>
      <c r="K19" s="717">
        <v>0</v>
      </c>
      <c r="L19" s="717">
        <f>SUM(L20)</f>
        <v>0</v>
      </c>
      <c r="M19" s="717">
        <v>0</v>
      </c>
      <c r="N19" s="717">
        <v>0</v>
      </c>
      <c r="O19" s="717">
        <f>SUM(O20)</f>
        <v>0</v>
      </c>
      <c r="P19" s="717">
        <v>0</v>
      </c>
      <c r="Q19" s="717">
        <v>0</v>
      </c>
      <c r="R19" s="717">
        <f>SUM(R20)</f>
        <v>0</v>
      </c>
      <c r="S19" s="717">
        <v>0</v>
      </c>
      <c r="T19" s="717">
        <v>0</v>
      </c>
      <c r="U19" s="717">
        <f>SUM(U20)</f>
        <v>0</v>
      </c>
      <c r="V19" s="717">
        <v>0</v>
      </c>
      <c r="W19" s="717">
        <v>0</v>
      </c>
      <c r="X19" s="717">
        <f>SUM(X20)</f>
        <v>0</v>
      </c>
      <c r="Y19" s="717">
        <v>0</v>
      </c>
      <c r="Z19" s="717">
        <v>0</v>
      </c>
      <c r="AA19" s="717">
        <f>SUM(AA20)</f>
        <v>0</v>
      </c>
      <c r="AB19" s="717">
        <v>0</v>
      </c>
      <c r="AC19" s="717">
        <v>0</v>
      </c>
      <c r="AD19" s="717">
        <f>SUM(AD20)</f>
        <v>0</v>
      </c>
      <c r="AE19" s="717">
        <v>0</v>
      </c>
      <c r="AF19" s="717">
        <v>0</v>
      </c>
      <c r="AG19" s="717">
        <f>SUM(AG20)</f>
        <v>0</v>
      </c>
      <c r="AH19" s="717">
        <v>0</v>
      </c>
      <c r="AI19" s="717">
        <v>0</v>
      </c>
      <c r="AJ19" s="717">
        <f>SUM(AJ20)</f>
        <v>0</v>
      </c>
      <c r="AK19" s="717">
        <v>0</v>
      </c>
      <c r="AL19" s="717">
        <v>0</v>
      </c>
      <c r="AM19" s="717">
        <f>SUM(AM20)</f>
        <v>0</v>
      </c>
      <c r="AN19" s="717">
        <v>0</v>
      </c>
      <c r="AO19" s="717">
        <v>0</v>
      </c>
      <c r="AP19" s="717">
        <f>SUM(AP20)</f>
        <v>0</v>
      </c>
      <c r="AQ19" s="717">
        <v>0</v>
      </c>
      <c r="AR19" s="717">
        <v>0</v>
      </c>
      <c r="AS19" s="717">
        <f>SUM(AS20)</f>
        <v>0</v>
      </c>
      <c r="AT19" s="717">
        <v>0</v>
      </c>
      <c r="AU19" s="717">
        <v>0</v>
      </c>
      <c r="AV19" s="717">
        <f>SUM(AV20)</f>
        <v>0</v>
      </c>
      <c r="AW19" s="717">
        <v>0</v>
      </c>
      <c r="AX19" s="717">
        <v>0</v>
      </c>
      <c r="AY19" s="717">
        <f>SUM(AY20)</f>
        <v>0</v>
      </c>
      <c r="AZ19" s="717">
        <v>0</v>
      </c>
      <c r="BA19" s="717">
        <v>0</v>
      </c>
      <c r="BB19" s="717">
        <f>SUM(BB20)</f>
        <v>0</v>
      </c>
      <c r="BC19" s="717">
        <v>0</v>
      </c>
      <c r="BD19" s="717">
        <v>0</v>
      </c>
      <c r="BE19" s="717">
        <f>SUM(BE20)</f>
        <v>0</v>
      </c>
      <c r="BF19" s="717">
        <v>0</v>
      </c>
      <c r="BG19" s="717">
        <v>0</v>
      </c>
      <c r="BH19" s="717">
        <f>SUM(BH20)</f>
        <v>0</v>
      </c>
      <c r="BI19" s="717">
        <v>0</v>
      </c>
      <c r="BJ19" s="717">
        <v>0</v>
      </c>
      <c r="BK19" s="674">
        <f t="shared" si="0"/>
        <v>0</v>
      </c>
      <c r="BM19" s="659">
        <f t="shared" si="1"/>
        <v>0</v>
      </c>
      <c r="BN19" s="659">
        <f t="shared" si="2"/>
        <v>0</v>
      </c>
    </row>
    <row r="20" spans="1:66" ht="22.5" customHeight="1" x14ac:dyDescent="0.25">
      <c r="A20" s="639" t="s">
        <v>45</v>
      </c>
      <c r="B20" s="21" t="s">
        <v>46</v>
      </c>
      <c r="C20" s="664"/>
      <c r="D20" s="717">
        <v>0</v>
      </c>
      <c r="E20" s="717">
        <v>0</v>
      </c>
      <c r="F20" s="717">
        <v>0</v>
      </c>
      <c r="G20" s="717">
        <v>0</v>
      </c>
      <c r="H20" s="717">
        <v>0</v>
      </c>
      <c r="I20" s="717">
        <v>0</v>
      </c>
      <c r="J20" s="717">
        <v>0</v>
      </c>
      <c r="K20" s="717">
        <v>0</v>
      </c>
      <c r="L20" s="717">
        <v>0</v>
      </c>
      <c r="M20" s="717">
        <v>0</v>
      </c>
      <c r="N20" s="717">
        <v>0</v>
      </c>
      <c r="O20" s="717">
        <v>0</v>
      </c>
      <c r="P20" s="717">
        <v>0</v>
      </c>
      <c r="Q20" s="717">
        <v>0</v>
      </c>
      <c r="R20" s="717">
        <v>0</v>
      </c>
      <c r="S20" s="717">
        <v>0</v>
      </c>
      <c r="T20" s="717">
        <v>0</v>
      </c>
      <c r="U20" s="717">
        <v>0</v>
      </c>
      <c r="V20" s="717">
        <v>0</v>
      </c>
      <c r="W20" s="717">
        <v>0</v>
      </c>
      <c r="X20" s="717">
        <v>0</v>
      </c>
      <c r="Y20" s="717">
        <v>0</v>
      </c>
      <c r="Z20" s="717">
        <v>0</v>
      </c>
      <c r="AA20" s="717">
        <v>0</v>
      </c>
      <c r="AB20" s="717">
        <v>0</v>
      </c>
      <c r="AC20" s="717">
        <v>0</v>
      </c>
      <c r="AD20" s="717">
        <v>0</v>
      </c>
      <c r="AE20" s="717">
        <v>0</v>
      </c>
      <c r="AF20" s="717">
        <v>0</v>
      </c>
      <c r="AG20" s="717">
        <v>0</v>
      </c>
      <c r="AH20" s="717">
        <v>0</v>
      </c>
      <c r="AI20" s="717">
        <v>0</v>
      </c>
      <c r="AJ20" s="717">
        <v>0</v>
      </c>
      <c r="AK20" s="717">
        <v>0</v>
      </c>
      <c r="AL20" s="717">
        <v>0</v>
      </c>
      <c r="AM20" s="717">
        <v>0</v>
      </c>
      <c r="AN20" s="717">
        <v>0</v>
      </c>
      <c r="AO20" s="717">
        <v>0</v>
      </c>
      <c r="AP20" s="717">
        <v>0</v>
      </c>
      <c r="AQ20" s="717">
        <v>0</v>
      </c>
      <c r="AR20" s="717">
        <v>0</v>
      </c>
      <c r="AS20" s="717">
        <v>0</v>
      </c>
      <c r="AT20" s="717">
        <v>0</v>
      </c>
      <c r="AU20" s="717">
        <v>0</v>
      </c>
      <c r="AV20" s="643">
        <v>0</v>
      </c>
      <c r="AW20" s="717">
        <v>0</v>
      </c>
      <c r="AX20" s="717">
        <v>0</v>
      </c>
      <c r="AY20" s="643">
        <v>0</v>
      </c>
      <c r="AZ20" s="717">
        <v>0</v>
      </c>
      <c r="BA20" s="717">
        <v>0</v>
      </c>
      <c r="BB20" s="717">
        <v>0</v>
      </c>
      <c r="BC20" s="717">
        <v>0</v>
      </c>
      <c r="BD20" s="717">
        <v>0</v>
      </c>
      <c r="BE20" s="717">
        <v>0</v>
      </c>
      <c r="BF20" s="717">
        <v>0</v>
      </c>
      <c r="BG20" s="717">
        <v>0</v>
      </c>
      <c r="BH20" s="717">
        <v>0</v>
      </c>
      <c r="BI20" s="717">
        <v>0</v>
      </c>
      <c r="BJ20" s="717">
        <v>0</v>
      </c>
      <c r="BK20" s="674">
        <f t="shared" si="0"/>
        <v>0</v>
      </c>
      <c r="BM20" s="659">
        <f t="shared" si="1"/>
        <v>0</v>
      </c>
      <c r="BN20" s="659">
        <f t="shared" si="2"/>
        <v>0</v>
      </c>
    </row>
    <row r="21" spans="1:66" ht="22.5" customHeight="1" x14ac:dyDescent="0.25">
      <c r="A21" s="639" t="s">
        <v>47</v>
      </c>
      <c r="B21" s="648" t="s">
        <v>48</v>
      </c>
      <c r="C21" s="664" t="s">
        <v>49</v>
      </c>
      <c r="D21" s="643">
        <v>16832810</v>
      </c>
      <c r="E21" s="643">
        <v>58313619</v>
      </c>
      <c r="F21" s="643">
        <f>F9+F10+F11+F12+F13+F17+F18+F19</f>
        <v>41480809</v>
      </c>
      <c r="G21" s="643">
        <v>56647302</v>
      </c>
      <c r="H21" s="643">
        <v>81374346</v>
      </c>
      <c r="I21" s="643">
        <f>I9+I10+I11+I12+I13+I17+I18+I19</f>
        <v>46334371</v>
      </c>
      <c r="J21" s="643">
        <v>14289103</v>
      </c>
      <c r="K21" s="643">
        <v>15638345</v>
      </c>
      <c r="L21" s="643">
        <f>L9+L10+L11+L12+L13+L17+L18+L19</f>
        <v>12930323</v>
      </c>
      <c r="M21" s="643">
        <v>21411337</v>
      </c>
      <c r="N21" s="643">
        <v>24525806</v>
      </c>
      <c r="O21" s="643">
        <f>O9+O10+O11+O12+O13+O17+O18+O19</f>
        <v>20489116</v>
      </c>
      <c r="P21" s="643">
        <v>13221261</v>
      </c>
      <c r="Q21" s="643">
        <v>14339401</v>
      </c>
      <c r="R21" s="643">
        <f>R9+R10+R11+R12+R13+R17+R18+R19</f>
        <v>12943114</v>
      </c>
      <c r="S21" s="643">
        <v>17298494</v>
      </c>
      <c r="T21" s="643">
        <v>17382681</v>
      </c>
      <c r="U21" s="643">
        <f>U9+U10+U11+U12+U13+U17+U18+U19</f>
        <v>8809009</v>
      </c>
      <c r="V21" s="643">
        <v>9652259</v>
      </c>
      <c r="W21" s="643">
        <v>9002655</v>
      </c>
      <c r="X21" s="643">
        <f>X9+X10+X11+X12+X13+X17+X18+X19</f>
        <v>7278612</v>
      </c>
      <c r="Y21" s="643">
        <v>14249931</v>
      </c>
      <c r="Z21" s="643">
        <v>16334931</v>
      </c>
      <c r="AA21" s="643">
        <f>AA9+AA10+AA11+AA12+AA13+AA17+AA18+AA19</f>
        <v>14867003</v>
      </c>
      <c r="AB21" s="643">
        <v>7389823</v>
      </c>
      <c r="AC21" s="643">
        <v>12792767</v>
      </c>
      <c r="AD21" s="643">
        <f>AD9+AD10+AD11+AD12+AD13+AD17+AD18+AD19</f>
        <v>10170502</v>
      </c>
      <c r="AE21" s="643">
        <v>9523840</v>
      </c>
      <c r="AF21" s="643">
        <v>10535896</v>
      </c>
      <c r="AG21" s="643">
        <f>AG9+AG10+AG11+AG12+AG13+AG17+AG18+AG19</f>
        <v>9421336</v>
      </c>
      <c r="AH21" s="643">
        <v>43409362</v>
      </c>
      <c r="AI21" s="643">
        <v>47479579</v>
      </c>
      <c r="AJ21" s="643">
        <f>AJ9+AJ10+AJ11+AJ12+AJ13+AJ17+AJ18+AJ19</f>
        <v>39543055</v>
      </c>
      <c r="AK21" s="643">
        <v>14597041</v>
      </c>
      <c r="AL21" s="643">
        <v>14748323</v>
      </c>
      <c r="AM21" s="643">
        <f>AM9+AM10+AM11+AM12+AM13+AM17+AM18+AM19</f>
        <v>13492513</v>
      </c>
      <c r="AN21" s="643">
        <v>126641698</v>
      </c>
      <c r="AO21" s="643">
        <v>132457530</v>
      </c>
      <c r="AP21" s="643">
        <f>AP9+AP10+AP11+AP12+AP13+AP17+AP18+AP19</f>
        <v>122933202</v>
      </c>
      <c r="AQ21" s="643">
        <v>199344986</v>
      </c>
      <c r="AR21" s="643">
        <v>205845344</v>
      </c>
      <c r="AS21" s="643">
        <f>AS9+AS10+AS11+AS12+AS13+AS17+AS18+AS19</f>
        <v>176753126</v>
      </c>
      <c r="AT21" s="643">
        <v>17262648</v>
      </c>
      <c r="AU21" s="643">
        <v>17301651</v>
      </c>
      <c r="AV21" s="643">
        <f>AV9+AV10+AV11+AV12+AV13+AV17+AV18+AV19</f>
        <v>10648976</v>
      </c>
      <c r="AW21" s="643">
        <v>6367616</v>
      </c>
      <c r="AX21" s="643">
        <v>7252681</v>
      </c>
      <c r="AY21" s="643">
        <f>AY9+AY10+AY11+AY12+AY13+AY17+AY18+AY19</f>
        <v>3809022</v>
      </c>
      <c r="AZ21" s="717">
        <v>0</v>
      </c>
      <c r="BA21" s="717">
        <v>0</v>
      </c>
      <c r="BB21" s="643">
        <f>BB9+BB10+BB11+BB12+BB13+BB17+BB18+BB19</f>
        <v>0</v>
      </c>
      <c r="BC21" s="717">
        <v>0</v>
      </c>
      <c r="BD21" s="643">
        <v>1583639</v>
      </c>
      <c r="BE21" s="643">
        <f>BE9+BE10+BE11+BE12+BE13+BE17+BE18+BE19</f>
        <v>1583639</v>
      </c>
      <c r="BF21" s="643">
        <v>439370</v>
      </c>
      <c r="BG21" s="643">
        <v>10816412</v>
      </c>
      <c r="BH21" s="643">
        <f>BH9+BH10+BH11+BH12+BH13+BH17+BH18+BH19</f>
        <v>10238793</v>
      </c>
      <c r="BI21" s="643">
        <v>588578881</v>
      </c>
      <c r="BJ21" s="643">
        <v>697725606</v>
      </c>
      <c r="BK21" s="674">
        <f t="shared" si="0"/>
        <v>563726521</v>
      </c>
      <c r="BM21" s="659">
        <f t="shared" si="1"/>
        <v>530294291</v>
      </c>
      <c r="BN21" s="659">
        <f t="shared" si="2"/>
        <v>33432230</v>
      </c>
    </row>
    <row r="22" spans="1:66" ht="22.5" customHeight="1" x14ac:dyDescent="0.2">
      <c r="A22" s="639" t="s">
        <v>50</v>
      </c>
      <c r="B22" s="648" t="s">
        <v>51</v>
      </c>
      <c r="C22" s="664" t="s">
        <v>52</v>
      </c>
      <c r="D22" s="717">
        <v>0</v>
      </c>
      <c r="E22" s="717">
        <v>0</v>
      </c>
      <c r="F22" s="717">
        <f>SUM(F23:F26)</f>
        <v>0</v>
      </c>
      <c r="G22" s="717">
        <v>0</v>
      </c>
      <c r="H22" s="717">
        <v>0</v>
      </c>
      <c r="I22" s="717">
        <f>SUM(I23:I26)</f>
        <v>0</v>
      </c>
      <c r="J22" s="717">
        <v>0</v>
      </c>
      <c r="K22" s="717">
        <v>0</v>
      </c>
      <c r="L22" s="717">
        <f>SUM(L23:L26)</f>
        <v>0</v>
      </c>
      <c r="M22" s="717">
        <v>0</v>
      </c>
      <c r="N22" s="717">
        <v>0</v>
      </c>
      <c r="O22" s="717">
        <f>SUM(O23:O26)</f>
        <v>0</v>
      </c>
      <c r="P22" s="717">
        <v>0</v>
      </c>
      <c r="Q22" s="717">
        <v>0</v>
      </c>
      <c r="R22" s="717">
        <f>SUM(R23:R26)</f>
        <v>0</v>
      </c>
      <c r="S22" s="717">
        <v>0</v>
      </c>
      <c r="T22" s="717">
        <v>0</v>
      </c>
      <c r="U22" s="717">
        <f>SUM(U23:U26)</f>
        <v>0</v>
      </c>
      <c r="V22" s="717">
        <v>0</v>
      </c>
      <c r="W22" s="717">
        <v>0</v>
      </c>
      <c r="X22" s="717">
        <f>SUM(X23:X26)</f>
        <v>0</v>
      </c>
      <c r="Y22" s="717">
        <v>0</v>
      </c>
      <c r="Z22" s="717">
        <v>0</v>
      </c>
      <c r="AA22" s="717">
        <f>SUM(AA23:AA26)</f>
        <v>0</v>
      </c>
      <c r="AB22" s="717">
        <v>0</v>
      </c>
      <c r="AC22" s="717">
        <v>0</v>
      </c>
      <c r="AD22" s="717">
        <f>SUM(AD23:AD26)</f>
        <v>0</v>
      </c>
      <c r="AE22" s="717">
        <v>0</v>
      </c>
      <c r="AF22" s="717">
        <v>0</v>
      </c>
      <c r="AG22" s="717">
        <f>SUM(AG23:AG26)</f>
        <v>0</v>
      </c>
      <c r="AH22" s="717">
        <v>0</v>
      </c>
      <c r="AI22" s="717">
        <v>0</v>
      </c>
      <c r="AJ22" s="717">
        <f>SUM(AJ23:AJ26)</f>
        <v>0</v>
      </c>
      <c r="AK22" s="717">
        <v>0</v>
      </c>
      <c r="AL22" s="717">
        <v>0</v>
      </c>
      <c r="AM22" s="717">
        <f>SUM(AM23:AM26)</f>
        <v>0</v>
      </c>
      <c r="AN22" s="717">
        <v>0</v>
      </c>
      <c r="AO22" s="717">
        <v>0</v>
      </c>
      <c r="AP22" s="717">
        <f>SUM(AP23:AP26)</f>
        <v>0</v>
      </c>
      <c r="AQ22" s="717">
        <v>0</v>
      </c>
      <c r="AR22" s="717">
        <v>0</v>
      </c>
      <c r="AS22" s="717">
        <f>SUM(AS23:AS26)</f>
        <v>0</v>
      </c>
      <c r="AT22" s="717">
        <v>0</v>
      </c>
      <c r="AU22" s="717">
        <v>0</v>
      </c>
      <c r="AV22" s="717">
        <f>SUM(AV23:AV26)</f>
        <v>0</v>
      </c>
      <c r="AW22" s="717">
        <v>0</v>
      </c>
      <c r="AX22" s="717">
        <v>0</v>
      </c>
      <c r="AY22" s="717">
        <f>SUM(AY23:AY26)</f>
        <v>0</v>
      </c>
      <c r="AZ22" s="717">
        <v>0</v>
      </c>
      <c r="BA22" s="717">
        <v>0</v>
      </c>
      <c r="BB22" s="717">
        <f>SUM(BB23:BB26)</f>
        <v>0</v>
      </c>
      <c r="BC22" s="717">
        <v>0</v>
      </c>
      <c r="BD22" s="717">
        <v>0</v>
      </c>
      <c r="BE22" s="717">
        <f>SUM(BE23:BE26)</f>
        <v>0</v>
      </c>
      <c r="BF22" s="717">
        <v>0</v>
      </c>
      <c r="BG22" s="717">
        <v>0</v>
      </c>
      <c r="BH22" s="717">
        <f>SUM(BH23:BH26)</f>
        <v>0</v>
      </c>
      <c r="BI22" s="717">
        <v>0</v>
      </c>
      <c r="BJ22" s="717">
        <v>0</v>
      </c>
      <c r="BK22" s="674">
        <f t="shared" si="0"/>
        <v>0</v>
      </c>
      <c r="BM22" s="659">
        <f t="shared" si="1"/>
        <v>0</v>
      </c>
      <c r="BN22" s="659">
        <f t="shared" si="2"/>
        <v>0</v>
      </c>
    </row>
    <row r="23" spans="1:66" ht="22.5" customHeight="1" x14ac:dyDescent="0.25">
      <c r="A23" s="639" t="s">
        <v>53</v>
      </c>
      <c r="B23" s="24" t="s">
        <v>970</v>
      </c>
      <c r="C23" s="665"/>
      <c r="D23" s="717">
        <v>0</v>
      </c>
      <c r="E23" s="717">
        <v>0</v>
      </c>
      <c r="F23" s="717">
        <v>0</v>
      </c>
      <c r="G23" s="717">
        <v>0</v>
      </c>
      <c r="H23" s="717">
        <v>0</v>
      </c>
      <c r="I23" s="717">
        <v>0</v>
      </c>
      <c r="J23" s="717">
        <v>0</v>
      </c>
      <c r="K23" s="717">
        <v>0</v>
      </c>
      <c r="L23" s="717">
        <v>0</v>
      </c>
      <c r="M23" s="717">
        <v>0</v>
      </c>
      <c r="N23" s="717">
        <v>0</v>
      </c>
      <c r="O23" s="717">
        <v>0</v>
      </c>
      <c r="P23" s="717">
        <v>0</v>
      </c>
      <c r="Q23" s="717">
        <v>0</v>
      </c>
      <c r="R23" s="717">
        <v>0</v>
      </c>
      <c r="S23" s="717">
        <v>0</v>
      </c>
      <c r="T23" s="717">
        <v>0</v>
      </c>
      <c r="U23" s="717">
        <v>0</v>
      </c>
      <c r="V23" s="717">
        <v>0</v>
      </c>
      <c r="W23" s="717">
        <v>0</v>
      </c>
      <c r="X23" s="717">
        <v>0</v>
      </c>
      <c r="Y23" s="717">
        <v>0</v>
      </c>
      <c r="Z23" s="717">
        <v>0</v>
      </c>
      <c r="AA23" s="717">
        <v>0</v>
      </c>
      <c r="AB23" s="717">
        <v>0</v>
      </c>
      <c r="AC23" s="717">
        <v>0</v>
      </c>
      <c r="AD23" s="717">
        <v>0</v>
      </c>
      <c r="AE23" s="717">
        <v>0</v>
      </c>
      <c r="AF23" s="717">
        <v>0</v>
      </c>
      <c r="AG23" s="717">
        <v>0</v>
      </c>
      <c r="AH23" s="717">
        <v>0</v>
      </c>
      <c r="AI23" s="717">
        <v>0</v>
      </c>
      <c r="AJ23" s="717">
        <v>0</v>
      </c>
      <c r="AK23" s="717">
        <v>0</v>
      </c>
      <c r="AL23" s="717">
        <v>0</v>
      </c>
      <c r="AM23" s="717">
        <v>0</v>
      </c>
      <c r="AN23" s="717">
        <v>0</v>
      </c>
      <c r="AO23" s="717">
        <v>0</v>
      </c>
      <c r="AP23" s="717">
        <v>0</v>
      </c>
      <c r="AQ23" s="717">
        <v>0</v>
      </c>
      <c r="AR23" s="717">
        <v>0</v>
      </c>
      <c r="AS23" s="717">
        <v>0</v>
      </c>
      <c r="AT23" s="717">
        <v>0</v>
      </c>
      <c r="AU23" s="717">
        <v>0</v>
      </c>
      <c r="AV23" s="643">
        <v>0</v>
      </c>
      <c r="AW23" s="717">
        <v>0</v>
      </c>
      <c r="AX23" s="717">
        <v>0</v>
      </c>
      <c r="AY23" s="643">
        <v>0</v>
      </c>
      <c r="AZ23" s="717">
        <v>0</v>
      </c>
      <c r="BA23" s="717">
        <v>0</v>
      </c>
      <c r="BB23" s="717">
        <v>0</v>
      </c>
      <c r="BC23" s="717">
        <v>0</v>
      </c>
      <c r="BD23" s="717">
        <v>0</v>
      </c>
      <c r="BE23" s="717">
        <v>0</v>
      </c>
      <c r="BF23" s="717">
        <v>0</v>
      </c>
      <c r="BG23" s="717">
        <v>0</v>
      </c>
      <c r="BH23" s="717">
        <v>0</v>
      </c>
      <c r="BI23" s="717">
        <v>0</v>
      </c>
      <c r="BJ23" s="717">
        <v>0</v>
      </c>
      <c r="BK23" s="674">
        <f t="shared" si="0"/>
        <v>0</v>
      </c>
      <c r="BM23" s="659">
        <f t="shared" si="1"/>
        <v>0</v>
      </c>
      <c r="BN23" s="659">
        <f t="shared" si="2"/>
        <v>0</v>
      </c>
    </row>
    <row r="24" spans="1:66" ht="22.5" customHeight="1" x14ac:dyDescent="0.25">
      <c r="A24" s="639" t="s">
        <v>55</v>
      </c>
      <c r="B24" s="652" t="s">
        <v>56</v>
      </c>
      <c r="C24" s="665"/>
      <c r="D24" s="717">
        <v>0</v>
      </c>
      <c r="E24" s="717">
        <v>0</v>
      </c>
      <c r="F24" s="717">
        <v>0</v>
      </c>
      <c r="G24" s="717">
        <v>0</v>
      </c>
      <c r="H24" s="717">
        <v>0</v>
      </c>
      <c r="I24" s="717">
        <v>0</v>
      </c>
      <c r="J24" s="717">
        <v>0</v>
      </c>
      <c r="K24" s="717">
        <v>0</v>
      </c>
      <c r="L24" s="717">
        <v>0</v>
      </c>
      <c r="M24" s="717">
        <v>0</v>
      </c>
      <c r="N24" s="717">
        <v>0</v>
      </c>
      <c r="O24" s="717">
        <v>0</v>
      </c>
      <c r="P24" s="717">
        <v>0</v>
      </c>
      <c r="Q24" s="717">
        <v>0</v>
      </c>
      <c r="R24" s="717">
        <v>0</v>
      </c>
      <c r="S24" s="717">
        <v>0</v>
      </c>
      <c r="T24" s="717">
        <v>0</v>
      </c>
      <c r="U24" s="717">
        <v>0</v>
      </c>
      <c r="V24" s="717">
        <v>0</v>
      </c>
      <c r="W24" s="717">
        <v>0</v>
      </c>
      <c r="X24" s="717">
        <v>0</v>
      </c>
      <c r="Y24" s="717">
        <v>0</v>
      </c>
      <c r="Z24" s="717">
        <v>0</v>
      </c>
      <c r="AA24" s="717">
        <v>0</v>
      </c>
      <c r="AB24" s="717">
        <v>0</v>
      </c>
      <c r="AC24" s="717">
        <v>0</v>
      </c>
      <c r="AD24" s="717">
        <v>0</v>
      </c>
      <c r="AE24" s="717">
        <v>0</v>
      </c>
      <c r="AF24" s="717">
        <v>0</v>
      </c>
      <c r="AG24" s="717">
        <v>0</v>
      </c>
      <c r="AH24" s="717">
        <v>0</v>
      </c>
      <c r="AI24" s="717">
        <v>0</v>
      </c>
      <c r="AJ24" s="717">
        <v>0</v>
      </c>
      <c r="AK24" s="717">
        <v>0</v>
      </c>
      <c r="AL24" s="717">
        <v>0</v>
      </c>
      <c r="AM24" s="717">
        <v>0</v>
      </c>
      <c r="AN24" s="717">
        <v>0</v>
      </c>
      <c r="AO24" s="717">
        <v>0</v>
      </c>
      <c r="AP24" s="717">
        <v>0</v>
      </c>
      <c r="AQ24" s="717">
        <v>0</v>
      </c>
      <c r="AR24" s="717">
        <v>0</v>
      </c>
      <c r="AS24" s="717">
        <v>0</v>
      </c>
      <c r="AT24" s="717">
        <v>0</v>
      </c>
      <c r="AU24" s="717">
        <v>0</v>
      </c>
      <c r="AV24" s="643">
        <v>0</v>
      </c>
      <c r="AW24" s="717">
        <v>0</v>
      </c>
      <c r="AX24" s="717">
        <v>0</v>
      </c>
      <c r="AY24" s="643">
        <v>0</v>
      </c>
      <c r="AZ24" s="717">
        <v>0</v>
      </c>
      <c r="BA24" s="717">
        <v>0</v>
      </c>
      <c r="BB24" s="717">
        <v>0</v>
      </c>
      <c r="BC24" s="717">
        <v>0</v>
      </c>
      <c r="BD24" s="717">
        <v>0</v>
      </c>
      <c r="BE24" s="717">
        <v>0</v>
      </c>
      <c r="BF24" s="717">
        <v>0</v>
      </c>
      <c r="BG24" s="717">
        <v>0</v>
      </c>
      <c r="BH24" s="717">
        <v>0</v>
      </c>
      <c r="BI24" s="717">
        <v>0</v>
      </c>
      <c r="BJ24" s="717">
        <v>0</v>
      </c>
      <c r="BK24" s="674">
        <f t="shared" si="0"/>
        <v>0</v>
      </c>
      <c r="BM24" s="659">
        <f t="shared" si="1"/>
        <v>0</v>
      </c>
      <c r="BN24" s="659">
        <f t="shared" si="2"/>
        <v>0</v>
      </c>
    </row>
    <row r="25" spans="1:66" ht="22.5" customHeight="1" x14ac:dyDescent="0.25">
      <c r="A25" s="639" t="s">
        <v>57</v>
      </c>
      <c r="B25" s="652" t="s">
        <v>58</v>
      </c>
      <c r="C25" s="665"/>
      <c r="D25" s="717">
        <v>0</v>
      </c>
      <c r="E25" s="717">
        <v>0</v>
      </c>
      <c r="F25" s="717">
        <v>0</v>
      </c>
      <c r="G25" s="717">
        <v>0</v>
      </c>
      <c r="H25" s="717">
        <v>0</v>
      </c>
      <c r="I25" s="717">
        <v>0</v>
      </c>
      <c r="J25" s="717">
        <v>0</v>
      </c>
      <c r="K25" s="717">
        <v>0</v>
      </c>
      <c r="L25" s="717">
        <v>0</v>
      </c>
      <c r="M25" s="717">
        <v>0</v>
      </c>
      <c r="N25" s="717">
        <v>0</v>
      </c>
      <c r="O25" s="717">
        <v>0</v>
      </c>
      <c r="P25" s="717">
        <v>0</v>
      </c>
      <c r="Q25" s="717">
        <v>0</v>
      </c>
      <c r="R25" s="717">
        <v>0</v>
      </c>
      <c r="S25" s="717">
        <v>0</v>
      </c>
      <c r="T25" s="717">
        <v>0</v>
      </c>
      <c r="U25" s="717">
        <v>0</v>
      </c>
      <c r="V25" s="717">
        <v>0</v>
      </c>
      <c r="W25" s="717">
        <v>0</v>
      </c>
      <c r="X25" s="717">
        <v>0</v>
      </c>
      <c r="Y25" s="717">
        <v>0</v>
      </c>
      <c r="Z25" s="717">
        <v>0</v>
      </c>
      <c r="AA25" s="717">
        <v>0</v>
      </c>
      <c r="AB25" s="717">
        <v>0</v>
      </c>
      <c r="AC25" s="717">
        <v>0</v>
      </c>
      <c r="AD25" s="717">
        <v>0</v>
      </c>
      <c r="AE25" s="717">
        <v>0</v>
      </c>
      <c r="AF25" s="717">
        <v>0</v>
      </c>
      <c r="AG25" s="717">
        <v>0</v>
      </c>
      <c r="AH25" s="717">
        <v>0</v>
      </c>
      <c r="AI25" s="717">
        <v>0</v>
      </c>
      <c r="AJ25" s="717">
        <v>0</v>
      </c>
      <c r="AK25" s="717">
        <v>0</v>
      </c>
      <c r="AL25" s="717">
        <v>0</v>
      </c>
      <c r="AM25" s="717">
        <v>0</v>
      </c>
      <c r="AN25" s="717">
        <v>0</v>
      </c>
      <c r="AO25" s="717">
        <v>0</v>
      </c>
      <c r="AP25" s="717">
        <v>0</v>
      </c>
      <c r="AQ25" s="717">
        <v>0</v>
      </c>
      <c r="AR25" s="717">
        <v>0</v>
      </c>
      <c r="AS25" s="717">
        <v>0</v>
      </c>
      <c r="AT25" s="717">
        <v>0</v>
      </c>
      <c r="AU25" s="717">
        <v>0</v>
      </c>
      <c r="AV25" s="643">
        <v>0</v>
      </c>
      <c r="AW25" s="717">
        <v>0</v>
      </c>
      <c r="AX25" s="717">
        <v>0</v>
      </c>
      <c r="AY25" s="643">
        <v>0</v>
      </c>
      <c r="AZ25" s="717">
        <v>0</v>
      </c>
      <c r="BA25" s="717">
        <v>0</v>
      </c>
      <c r="BB25" s="717">
        <v>0</v>
      </c>
      <c r="BC25" s="717">
        <v>0</v>
      </c>
      <c r="BD25" s="717">
        <v>0</v>
      </c>
      <c r="BE25" s="717">
        <v>0</v>
      </c>
      <c r="BF25" s="717">
        <v>0</v>
      </c>
      <c r="BG25" s="717">
        <v>0</v>
      </c>
      <c r="BH25" s="717">
        <v>0</v>
      </c>
      <c r="BI25" s="717">
        <v>0</v>
      </c>
      <c r="BJ25" s="717">
        <v>0</v>
      </c>
      <c r="BK25" s="674">
        <f t="shared" si="0"/>
        <v>0</v>
      </c>
      <c r="BM25" s="659">
        <f t="shared" si="1"/>
        <v>0</v>
      </c>
      <c r="BN25" s="659">
        <f t="shared" si="2"/>
        <v>0</v>
      </c>
    </row>
    <row r="26" spans="1:66" ht="22.5" customHeight="1" x14ac:dyDescent="0.25">
      <c r="A26" s="639" t="s">
        <v>59</v>
      </c>
      <c r="B26" s="652" t="s">
        <v>60</v>
      </c>
      <c r="C26" s="665"/>
      <c r="D26" s="717">
        <v>0</v>
      </c>
      <c r="E26" s="717">
        <v>0</v>
      </c>
      <c r="F26" s="717">
        <v>0</v>
      </c>
      <c r="G26" s="717">
        <v>0</v>
      </c>
      <c r="H26" s="717">
        <v>0</v>
      </c>
      <c r="I26" s="717">
        <v>0</v>
      </c>
      <c r="J26" s="717">
        <v>0</v>
      </c>
      <c r="K26" s="717">
        <v>0</v>
      </c>
      <c r="L26" s="717">
        <v>0</v>
      </c>
      <c r="M26" s="717">
        <v>0</v>
      </c>
      <c r="N26" s="717">
        <v>0</v>
      </c>
      <c r="O26" s="717">
        <v>0</v>
      </c>
      <c r="P26" s="717">
        <v>0</v>
      </c>
      <c r="Q26" s="717">
        <v>0</v>
      </c>
      <c r="R26" s="717">
        <v>0</v>
      </c>
      <c r="S26" s="717">
        <v>0</v>
      </c>
      <c r="T26" s="717">
        <v>0</v>
      </c>
      <c r="U26" s="717">
        <v>0</v>
      </c>
      <c r="V26" s="717">
        <v>0</v>
      </c>
      <c r="W26" s="717">
        <v>0</v>
      </c>
      <c r="X26" s="717">
        <v>0</v>
      </c>
      <c r="Y26" s="717">
        <v>0</v>
      </c>
      <c r="Z26" s="717">
        <v>0</v>
      </c>
      <c r="AA26" s="717">
        <v>0</v>
      </c>
      <c r="AB26" s="717">
        <v>0</v>
      </c>
      <c r="AC26" s="717">
        <v>0</v>
      </c>
      <c r="AD26" s="717">
        <v>0</v>
      </c>
      <c r="AE26" s="717">
        <v>0</v>
      </c>
      <c r="AF26" s="717">
        <v>0</v>
      </c>
      <c r="AG26" s="717">
        <v>0</v>
      </c>
      <c r="AH26" s="717">
        <v>0</v>
      </c>
      <c r="AI26" s="717">
        <v>0</v>
      </c>
      <c r="AJ26" s="717">
        <v>0</v>
      </c>
      <c r="AK26" s="717">
        <v>0</v>
      </c>
      <c r="AL26" s="717">
        <v>0</v>
      </c>
      <c r="AM26" s="717">
        <v>0</v>
      </c>
      <c r="AN26" s="717">
        <v>0</v>
      </c>
      <c r="AO26" s="717">
        <v>0</v>
      </c>
      <c r="AP26" s="717">
        <v>0</v>
      </c>
      <c r="AQ26" s="717">
        <v>0</v>
      </c>
      <c r="AR26" s="717">
        <v>0</v>
      </c>
      <c r="AS26" s="717">
        <v>0</v>
      </c>
      <c r="AT26" s="717">
        <v>0</v>
      </c>
      <c r="AU26" s="717">
        <v>0</v>
      </c>
      <c r="AV26" s="643">
        <v>0</v>
      </c>
      <c r="AW26" s="717">
        <v>0</v>
      </c>
      <c r="AX26" s="717">
        <v>0</v>
      </c>
      <c r="AY26" s="643">
        <v>0</v>
      </c>
      <c r="AZ26" s="717">
        <v>0</v>
      </c>
      <c r="BA26" s="717">
        <v>0</v>
      </c>
      <c r="BB26" s="717">
        <v>0</v>
      </c>
      <c r="BC26" s="717">
        <v>0</v>
      </c>
      <c r="BD26" s="717">
        <v>0</v>
      </c>
      <c r="BE26" s="717">
        <v>0</v>
      </c>
      <c r="BF26" s="717">
        <v>0</v>
      </c>
      <c r="BG26" s="717">
        <v>0</v>
      </c>
      <c r="BH26" s="717">
        <v>0</v>
      </c>
      <c r="BI26" s="717">
        <v>0</v>
      </c>
      <c r="BJ26" s="717">
        <v>0</v>
      </c>
      <c r="BK26" s="674">
        <f t="shared" si="0"/>
        <v>0</v>
      </c>
      <c r="BM26" s="659">
        <f t="shared" si="1"/>
        <v>0</v>
      </c>
      <c r="BN26" s="659">
        <f t="shared" si="2"/>
        <v>0</v>
      </c>
    </row>
    <row r="27" spans="1:66" s="651" customFormat="1" ht="22.5" customHeight="1" x14ac:dyDescent="0.25">
      <c r="A27" s="639" t="s">
        <v>61</v>
      </c>
      <c r="B27" s="653" t="s">
        <v>62</v>
      </c>
      <c r="C27" s="664"/>
      <c r="D27" s="650">
        <v>16832810</v>
      </c>
      <c r="E27" s="650">
        <v>58313619</v>
      </c>
      <c r="F27" s="650">
        <f>F9+F10+F11+F12+F13+F24+F26</f>
        <v>41480809</v>
      </c>
      <c r="G27" s="650">
        <v>56647302</v>
      </c>
      <c r="H27" s="650">
        <f>H9+H10+H11+H12+H13+H22</f>
        <v>81089258</v>
      </c>
      <c r="I27" s="650">
        <f>I9+I10+I11+I12+I13+I22</f>
        <v>46049283</v>
      </c>
      <c r="J27" s="650">
        <v>14289103</v>
      </c>
      <c r="K27" s="650">
        <v>15638345</v>
      </c>
      <c r="L27" s="650">
        <f>L9+L10+L11+L12+L13+L24+L26</f>
        <v>12930323</v>
      </c>
      <c r="M27" s="650">
        <v>21411337</v>
      </c>
      <c r="N27" s="650">
        <v>24479807</v>
      </c>
      <c r="O27" s="650">
        <f>O9+O10+O11+O12+O13+O24+O26</f>
        <v>20443117</v>
      </c>
      <c r="P27" s="650">
        <v>13221261</v>
      </c>
      <c r="Q27" s="650">
        <v>14304801</v>
      </c>
      <c r="R27" s="650">
        <f>R9+R10+R11+R12+R13+R24+R26</f>
        <v>12908514</v>
      </c>
      <c r="S27" s="650">
        <v>17298494</v>
      </c>
      <c r="T27" s="650">
        <v>16980522</v>
      </c>
      <c r="U27" s="650">
        <f>U9+U10+U11+U12+U13+U24+U26</f>
        <v>8406850</v>
      </c>
      <c r="V27" s="650">
        <v>9652259</v>
      </c>
      <c r="W27" s="650">
        <v>8250643</v>
      </c>
      <c r="X27" s="650">
        <f>X9+X10+X11+X12+X13+X24+X26</f>
        <v>6528603</v>
      </c>
      <c r="Y27" s="650">
        <v>14249931</v>
      </c>
      <c r="Z27" s="650">
        <v>16334931</v>
      </c>
      <c r="AA27" s="650">
        <f>AA9+AA10+AA11+AA12+AA13+AA24+AA26</f>
        <v>14867003</v>
      </c>
      <c r="AB27" s="650">
        <v>7389823</v>
      </c>
      <c r="AC27" s="650">
        <v>12792767</v>
      </c>
      <c r="AD27" s="650">
        <f>AD9+AD10+AD11+AD12+AD13+AD24+AD26</f>
        <v>10170502</v>
      </c>
      <c r="AE27" s="650">
        <v>9523840</v>
      </c>
      <c r="AF27" s="650">
        <v>10535896</v>
      </c>
      <c r="AG27" s="650">
        <f>AG9+AG10+AG11+AG12+AG13+AG24+AG26</f>
        <v>9421336</v>
      </c>
      <c r="AH27" s="650">
        <v>43409362</v>
      </c>
      <c r="AI27" s="650">
        <v>46730036</v>
      </c>
      <c r="AJ27" s="650">
        <f>AJ9+AJ10+AJ11+AJ12+AJ13+AJ24+AJ26</f>
        <v>38793512</v>
      </c>
      <c r="AK27" s="650">
        <v>14597041</v>
      </c>
      <c r="AL27" s="650">
        <v>14073491</v>
      </c>
      <c r="AM27" s="650">
        <f>AM9+AM10+AM11+AM12+AM13+AM24+AM26</f>
        <v>12817681</v>
      </c>
      <c r="AN27" s="650">
        <v>126641698</v>
      </c>
      <c r="AO27" s="650">
        <v>132457530</v>
      </c>
      <c r="AP27" s="650">
        <f>AP9+AP10+AP11+AP12+AP13+AP24+AP26</f>
        <v>122933202</v>
      </c>
      <c r="AQ27" s="650">
        <v>199344986</v>
      </c>
      <c r="AR27" s="650">
        <v>203644531</v>
      </c>
      <c r="AS27" s="650">
        <f>AS9+AS10+AS11+AS12+AS13+AS24+AS26</f>
        <v>176559119</v>
      </c>
      <c r="AT27" s="650">
        <v>17262648</v>
      </c>
      <c r="AU27" s="650">
        <v>17301651</v>
      </c>
      <c r="AV27" s="650">
        <f>AV9+AV10+AV11+AV12+AV13+AV24+AV26</f>
        <v>10648976</v>
      </c>
      <c r="AW27" s="650">
        <v>6367616</v>
      </c>
      <c r="AX27" s="650">
        <v>7252681</v>
      </c>
      <c r="AY27" s="650">
        <f>AY9+AY10+AY11+AY12+AY13+AY24+AY26</f>
        <v>3809022</v>
      </c>
      <c r="AZ27" s="717">
        <v>0</v>
      </c>
      <c r="BA27" s="717">
        <v>0</v>
      </c>
      <c r="BB27" s="650">
        <f>BB9+BB10+BB11+BB12+BB13+BB24+BB26</f>
        <v>0</v>
      </c>
      <c r="BC27" s="717">
        <v>0</v>
      </c>
      <c r="BD27" s="650">
        <v>1583639</v>
      </c>
      <c r="BE27" s="650">
        <f>BE9+BE10+BE11+BE12+BE13+BE24+BE26</f>
        <v>1583639</v>
      </c>
      <c r="BF27" s="650">
        <v>439370</v>
      </c>
      <c r="BG27" s="650">
        <v>10816412</v>
      </c>
      <c r="BH27" s="650">
        <f>BH9+BH10+BH11+BH12+BH13+BH24+BH26</f>
        <v>10238793</v>
      </c>
      <c r="BI27" s="650">
        <v>588578881</v>
      </c>
      <c r="BJ27" s="650">
        <f t="shared" si="0"/>
        <v>692580560</v>
      </c>
      <c r="BK27" s="650">
        <f t="shared" si="0"/>
        <v>560590284</v>
      </c>
      <c r="BL27" s="677"/>
      <c r="BM27" s="659">
        <f t="shared" si="1"/>
        <v>527238653</v>
      </c>
      <c r="BN27" s="659">
        <f t="shared" si="2"/>
        <v>33351631</v>
      </c>
    </row>
    <row r="28" spans="1:66" s="651" customFormat="1" ht="22.5" customHeight="1" x14ac:dyDescent="0.25">
      <c r="A28" s="639" t="s">
        <v>63</v>
      </c>
      <c r="B28" s="653" t="s">
        <v>64</v>
      </c>
      <c r="C28" s="664"/>
      <c r="D28" s="717">
        <v>0</v>
      </c>
      <c r="E28" s="717">
        <v>0</v>
      </c>
      <c r="F28" s="717">
        <f>F17+F18+F25</f>
        <v>0</v>
      </c>
      <c r="G28" s="717">
        <v>0</v>
      </c>
      <c r="H28" s="650">
        <f>H17+H18+H25</f>
        <v>285088</v>
      </c>
      <c r="I28" s="717">
        <f>I17+I18+I25</f>
        <v>285088</v>
      </c>
      <c r="J28" s="717">
        <v>0</v>
      </c>
      <c r="K28" s="717">
        <v>0</v>
      </c>
      <c r="L28" s="717">
        <f>L17+L18+L25</f>
        <v>0</v>
      </c>
      <c r="M28" s="717">
        <v>0</v>
      </c>
      <c r="N28" s="717">
        <v>45999</v>
      </c>
      <c r="O28" s="717">
        <f>O17+O18+O25</f>
        <v>45999</v>
      </c>
      <c r="P28" s="717">
        <v>0</v>
      </c>
      <c r="Q28" s="650">
        <v>34600</v>
      </c>
      <c r="R28" s="717">
        <f>R17+R18+R25</f>
        <v>34600</v>
      </c>
      <c r="S28" s="717">
        <v>0</v>
      </c>
      <c r="T28" s="650">
        <v>402159</v>
      </c>
      <c r="U28" s="717">
        <f>U17+U18+U25</f>
        <v>402159</v>
      </c>
      <c r="V28" s="717">
        <v>0</v>
      </c>
      <c r="W28" s="717">
        <v>752012</v>
      </c>
      <c r="X28" s="717">
        <f>X17+X18+X25</f>
        <v>750009</v>
      </c>
      <c r="Y28" s="717">
        <v>0</v>
      </c>
      <c r="Z28" s="717">
        <v>0</v>
      </c>
      <c r="AA28" s="717">
        <f>AA17+AA18+AA25</f>
        <v>0</v>
      </c>
      <c r="AB28" s="717">
        <v>0</v>
      </c>
      <c r="AC28" s="717">
        <v>0</v>
      </c>
      <c r="AD28" s="717">
        <f>AD17+AD18+AD25</f>
        <v>0</v>
      </c>
      <c r="AE28" s="717">
        <v>0</v>
      </c>
      <c r="AF28" s="717">
        <v>0</v>
      </c>
      <c r="AG28" s="717">
        <f>AG17+AG18+AG25</f>
        <v>0</v>
      </c>
      <c r="AH28" s="717">
        <v>0</v>
      </c>
      <c r="AI28" s="650">
        <v>749543</v>
      </c>
      <c r="AJ28" s="717">
        <f>AJ17+AJ18+AJ25</f>
        <v>749543</v>
      </c>
      <c r="AK28" s="717">
        <v>0</v>
      </c>
      <c r="AL28" s="650">
        <v>674832</v>
      </c>
      <c r="AM28" s="717">
        <f>AM17+AM18+AM25</f>
        <v>674832</v>
      </c>
      <c r="AN28" s="717">
        <v>0</v>
      </c>
      <c r="AO28" s="717">
        <v>0</v>
      </c>
      <c r="AP28" s="717">
        <f>AP17+AP18+AP25</f>
        <v>0</v>
      </c>
      <c r="AQ28" s="717">
        <v>0</v>
      </c>
      <c r="AR28" s="650">
        <v>2200813</v>
      </c>
      <c r="AS28" s="717">
        <f>AS17+AS18+AS25</f>
        <v>194007</v>
      </c>
      <c r="AT28" s="717">
        <v>0</v>
      </c>
      <c r="AU28" s="717">
        <v>0</v>
      </c>
      <c r="AV28" s="717">
        <f>AV17+AV18+AV25</f>
        <v>0</v>
      </c>
      <c r="AW28" s="717">
        <v>0</v>
      </c>
      <c r="AX28" s="717">
        <v>0</v>
      </c>
      <c r="AY28" s="717">
        <f>AY17+AY18+AY25</f>
        <v>0</v>
      </c>
      <c r="AZ28" s="717">
        <v>0</v>
      </c>
      <c r="BA28" s="717">
        <v>0</v>
      </c>
      <c r="BB28" s="717">
        <f>BB17+BB18+BB25</f>
        <v>0</v>
      </c>
      <c r="BC28" s="717">
        <v>0</v>
      </c>
      <c r="BD28" s="717">
        <v>0</v>
      </c>
      <c r="BE28" s="717">
        <f>BE17+BE18+BE25</f>
        <v>0</v>
      </c>
      <c r="BF28" s="717">
        <v>0</v>
      </c>
      <c r="BG28" s="717">
        <v>0</v>
      </c>
      <c r="BH28" s="717">
        <f>BH17+BH18+BH25</f>
        <v>0</v>
      </c>
      <c r="BI28" s="717">
        <v>0</v>
      </c>
      <c r="BJ28" s="650">
        <f t="shared" si="0"/>
        <v>5145046</v>
      </c>
      <c r="BK28" s="650">
        <f t="shared" si="0"/>
        <v>3136237</v>
      </c>
      <c r="BM28" s="659">
        <f t="shared" si="1"/>
        <v>3055638</v>
      </c>
      <c r="BN28" s="659">
        <f t="shared" si="2"/>
        <v>80599</v>
      </c>
    </row>
    <row r="29" spans="1:66" s="651" customFormat="1" ht="22.5" customHeight="1" x14ac:dyDescent="0.25">
      <c r="A29" s="639" t="s">
        <v>65</v>
      </c>
      <c r="B29" s="653" t="s">
        <v>66</v>
      </c>
      <c r="C29" s="664" t="s">
        <v>67</v>
      </c>
      <c r="D29" s="650">
        <v>16832810</v>
      </c>
      <c r="E29" s="650">
        <v>58313619</v>
      </c>
      <c r="F29" s="650">
        <f>F9+F10+F11+F12+F13+F17+F18+F19+F22</f>
        <v>41480809</v>
      </c>
      <c r="G29" s="650">
        <v>56647302</v>
      </c>
      <c r="H29" s="650">
        <f>H9+H10+H11+H12+H13+H17+H18+H19+H22</f>
        <v>81374346</v>
      </c>
      <c r="I29" s="650">
        <f>I9+I10+I11+I12+I13+I17+I18+I19+I22</f>
        <v>46334371</v>
      </c>
      <c r="J29" s="650">
        <v>14289103</v>
      </c>
      <c r="K29" s="650">
        <v>15638345</v>
      </c>
      <c r="L29" s="650">
        <f>L9+L10+L11+L12+L13+L17+L18+L19+L22</f>
        <v>12930323</v>
      </c>
      <c r="M29" s="650">
        <v>21411337</v>
      </c>
      <c r="N29" s="650">
        <v>24525806</v>
      </c>
      <c r="O29" s="650">
        <f>O9+O10+O11+O12+O13+O17+O18+O19+O22</f>
        <v>20489116</v>
      </c>
      <c r="P29" s="650">
        <v>13221261</v>
      </c>
      <c r="Q29" s="650">
        <v>14339401</v>
      </c>
      <c r="R29" s="650">
        <f>R9+R10+R11+R12+R13+R17+R18+R19+R22</f>
        <v>12943114</v>
      </c>
      <c r="S29" s="650">
        <v>17298494</v>
      </c>
      <c r="T29" s="650">
        <v>17382681</v>
      </c>
      <c r="U29" s="650">
        <f>U9+U10+U11+U12+U13+U17+U18+U19+U22</f>
        <v>8809009</v>
      </c>
      <c r="V29" s="650">
        <v>9652259</v>
      </c>
      <c r="W29" s="650">
        <v>9002655</v>
      </c>
      <c r="X29" s="650">
        <f>X9+X10+X11+X12+X13+X17+X18+X19+X22</f>
        <v>7278612</v>
      </c>
      <c r="Y29" s="650">
        <v>14249931</v>
      </c>
      <c r="Z29" s="650">
        <v>16334931</v>
      </c>
      <c r="AA29" s="650">
        <f>AA9+AA10+AA11+AA12+AA13+AA17+AA18+AA19+AA22</f>
        <v>14867003</v>
      </c>
      <c r="AB29" s="650">
        <v>7389823</v>
      </c>
      <c r="AC29" s="650">
        <v>12792767</v>
      </c>
      <c r="AD29" s="650">
        <f>AD9+AD10+AD11+AD12+AD13+AD17+AD18+AD19+AD22</f>
        <v>10170502</v>
      </c>
      <c r="AE29" s="650">
        <v>9523840</v>
      </c>
      <c r="AF29" s="650">
        <v>10535896</v>
      </c>
      <c r="AG29" s="650">
        <f>AG9+AG10+AG11+AG12+AG13+AG17+AG18+AG19+AG22</f>
        <v>9421336</v>
      </c>
      <c r="AH29" s="650">
        <v>43409362</v>
      </c>
      <c r="AI29" s="650">
        <v>47479579</v>
      </c>
      <c r="AJ29" s="650">
        <f>AJ9+AJ10+AJ11+AJ12+AJ13+AJ17+AJ18+AJ19+AJ22</f>
        <v>39543055</v>
      </c>
      <c r="AK29" s="650">
        <v>14597041</v>
      </c>
      <c r="AL29" s="650">
        <v>14748323</v>
      </c>
      <c r="AM29" s="650">
        <f>AM9+AM10+AM11+AM12+AM13+AM17+AM18+AM19+AM22</f>
        <v>13492513</v>
      </c>
      <c r="AN29" s="650">
        <v>126641698</v>
      </c>
      <c r="AO29" s="650">
        <v>132457530</v>
      </c>
      <c r="AP29" s="650">
        <f>AP9+AP10+AP11+AP12+AP13+AP17+AP18+AP19+AP22</f>
        <v>122933202</v>
      </c>
      <c r="AQ29" s="650">
        <v>199344986</v>
      </c>
      <c r="AR29" s="650">
        <v>205845344</v>
      </c>
      <c r="AS29" s="650">
        <f>AS9+AS10+AS11+AS12+AS13+AS17+AS18+AS19+AS22</f>
        <v>176753126</v>
      </c>
      <c r="AT29" s="650">
        <v>17262648</v>
      </c>
      <c r="AU29" s="650">
        <v>17301651</v>
      </c>
      <c r="AV29" s="650">
        <f>AV9+AV10+AV11+AV12+AV13+AV17+AV18+AV19+AV22</f>
        <v>10648976</v>
      </c>
      <c r="AW29" s="650">
        <v>6367616</v>
      </c>
      <c r="AX29" s="650">
        <v>7252681</v>
      </c>
      <c r="AY29" s="650">
        <f>AY9+AY10+AY11+AY12+AY13+AY17+AY18+AY19+AY22</f>
        <v>3809022</v>
      </c>
      <c r="AZ29" s="717">
        <v>0</v>
      </c>
      <c r="BA29" s="717">
        <v>0</v>
      </c>
      <c r="BB29" s="650">
        <f>BB9+BB10+BB11+BB12+BB13+BB17+BB18+BB19+BB22</f>
        <v>0</v>
      </c>
      <c r="BC29" s="717">
        <v>0</v>
      </c>
      <c r="BD29" s="650">
        <v>1583639</v>
      </c>
      <c r="BE29" s="650">
        <f>BE9+BE10+BE11+BE12+BE13+BE17+BE18+BE19+BE22</f>
        <v>1583639</v>
      </c>
      <c r="BF29" s="650">
        <v>439370</v>
      </c>
      <c r="BG29" s="650">
        <v>10816412</v>
      </c>
      <c r="BH29" s="650">
        <f>BH9+BH10+BH11+BH12+BH13+BH17+BH18+BH19+BH22</f>
        <v>10238793</v>
      </c>
      <c r="BI29" s="650">
        <v>588578881</v>
      </c>
      <c r="BJ29" s="650">
        <f t="shared" si="0"/>
        <v>697725606</v>
      </c>
      <c r="BK29" s="650">
        <f t="shared" si="0"/>
        <v>563726521</v>
      </c>
      <c r="BM29" s="659">
        <f t="shared" si="1"/>
        <v>530294291</v>
      </c>
      <c r="BN29" s="659">
        <f t="shared" si="2"/>
        <v>33432230</v>
      </c>
    </row>
    <row r="30" spans="1:66" ht="22.5" customHeight="1" x14ac:dyDescent="0.25">
      <c r="A30" s="639" t="s">
        <v>68</v>
      </c>
      <c r="B30" s="645" t="s">
        <v>69</v>
      </c>
      <c r="C30" s="648" t="s">
        <v>70</v>
      </c>
      <c r="D30" s="717">
        <v>0</v>
      </c>
      <c r="E30" s="717">
        <v>0</v>
      </c>
      <c r="F30" s="717">
        <v>0</v>
      </c>
      <c r="G30" s="717">
        <v>0</v>
      </c>
      <c r="H30" s="717">
        <v>0</v>
      </c>
      <c r="I30" s="717">
        <v>0</v>
      </c>
      <c r="J30" s="717">
        <v>0</v>
      </c>
      <c r="K30" s="717">
        <v>0</v>
      </c>
      <c r="L30" s="717">
        <v>0</v>
      </c>
      <c r="M30" s="717">
        <v>0</v>
      </c>
      <c r="N30" s="717">
        <v>0</v>
      </c>
      <c r="O30" s="717">
        <v>0</v>
      </c>
      <c r="P30" s="717">
        <v>0</v>
      </c>
      <c r="Q30" s="717">
        <v>0</v>
      </c>
      <c r="R30" s="717">
        <v>0</v>
      </c>
      <c r="S30" s="717">
        <v>0</v>
      </c>
      <c r="T30" s="717">
        <v>0</v>
      </c>
      <c r="U30" s="717">
        <v>0</v>
      </c>
      <c r="V30" s="717">
        <v>0</v>
      </c>
      <c r="W30" s="717">
        <v>0</v>
      </c>
      <c r="X30" s="717">
        <v>0</v>
      </c>
      <c r="Y30" s="717">
        <v>0</v>
      </c>
      <c r="Z30" s="717">
        <v>0</v>
      </c>
      <c r="AA30" s="717">
        <v>0</v>
      </c>
      <c r="AB30" s="717">
        <v>0</v>
      </c>
      <c r="AC30" s="717">
        <v>0</v>
      </c>
      <c r="AD30" s="717">
        <v>0</v>
      </c>
      <c r="AE30" s="717">
        <v>0</v>
      </c>
      <c r="AF30" s="717">
        <v>0</v>
      </c>
      <c r="AG30" s="717">
        <v>0</v>
      </c>
      <c r="AH30" s="655">
        <v>42000000</v>
      </c>
      <c r="AI30" s="655">
        <v>47444100</v>
      </c>
      <c r="AJ30" s="655">
        <v>47444100</v>
      </c>
      <c r="AK30" s="655">
        <v>1740000</v>
      </c>
      <c r="AL30" s="655">
        <v>1489200</v>
      </c>
      <c r="AM30" s="655">
        <v>1489200</v>
      </c>
      <c r="AN30" s="717">
        <v>0</v>
      </c>
      <c r="AO30" s="717">
        <v>0</v>
      </c>
      <c r="AP30" s="717">
        <v>0</v>
      </c>
      <c r="AQ30" s="717">
        <v>0</v>
      </c>
      <c r="AR30" s="717">
        <v>0</v>
      </c>
      <c r="AS30" s="717">
        <v>0</v>
      </c>
      <c r="AT30" s="717">
        <v>0</v>
      </c>
      <c r="AU30" s="717">
        <v>0</v>
      </c>
      <c r="AV30" s="655">
        <v>0</v>
      </c>
      <c r="AW30" s="717">
        <v>0</v>
      </c>
      <c r="AX30" s="717">
        <v>0</v>
      </c>
      <c r="AY30" s="655">
        <v>0</v>
      </c>
      <c r="AZ30" s="717">
        <v>0</v>
      </c>
      <c r="BA30" s="717">
        <v>0</v>
      </c>
      <c r="BB30" s="717">
        <v>0</v>
      </c>
      <c r="BC30" s="717">
        <v>0</v>
      </c>
      <c r="BD30" s="717">
        <v>0</v>
      </c>
      <c r="BE30" s="717">
        <v>0</v>
      </c>
      <c r="BF30" s="717">
        <v>0</v>
      </c>
      <c r="BG30" s="717">
        <v>0</v>
      </c>
      <c r="BH30" s="717">
        <v>0</v>
      </c>
      <c r="BI30" s="643">
        <v>43740000</v>
      </c>
      <c r="BJ30" s="643">
        <v>48933300</v>
      </c>
      <c r="BK30" s="674">
        <f t="shared" si="0"/>
        <v>48933300</v>
      </c>
      <c r="BM30" s="659">
        <f t="shared" si="1"/>
        <v>48933300</v>
      </c>
      <c r="BN30" s="659">
        <f t="shared" si="2"/>
        <v>0</v>
      </c>
    </row>
    <row r="31" spans="1:66" ht="22.5" customHeight="1" x14ac:dyDescent="0.25">
      <c r="A31" s="639" t="s">
        <v>71</v>
      </c>
      <c r="B31" s="645" t="s">
        <v>72</v>
      </c>
      <c r="C31" s="648" t="s">
        <v>73</v>
      </c>
      <c r="D31" s="717">
        <v>0</v>
      </c>
      <c r="E31" s="717">
        <v>0</v>
      </c>
      <c r="F31" s="717">
        <v>0</v>
      </c>
      <c r="G31" s="717">
        <v>0</v>
      </c>
      <c r="H31" s="717">
        <v>0</v>
      </c>
      <c r="I31" s="717">
        <v>0</v>
      </c>
      <c r="J31" s="717">
        <v>0</v>
      </c>
      <c r="K31" s="717">
        <v>0</v>
      </c>
      <c r="L31" s="717">
        <v>0</v>
      </c>
      <c r="M31" s="717">
        <v>0</v>
      </c>
      <c r="N31" s="717">
        <v>0</v>
      </c>
      <c r="O31" s="717">
        <v>0</v>
      </c>
      <c r="P31" s="717">
        <v>0</v>
      </c>
      <c r="Q31" s="717">
        <v>0</v>
      </c>
      <c r="R31" s="717">
        <v>0</v>
      </c>
      <c r="S31" s="717">
        <v>0</v>
      </c>
      <c r="T31" s="717">
        <v>0</v>
      </c>
      <c r="U31" s="717">
        <v>0</v>
      </c>
      <c r="V31" s="717">
        <v>0</v>
      </c>
      <c r="W31" s="717">
        <v>0</v>
      </c>
      <c r="X31" s="717">
        <v>0</v>
      </c>
      <c r="Y31" s="717">
        <v>0</v>
      </c>
      <c r="Z31" s="717">
        <v>0</v>
      </c>
      <c r="AA31" s="717">
        <v>0</v>
      </c>
      <c r="AB31" s="717">
        <v>0</v>
      </c>
      <c r="AC31" s="717">
        <v>0</v>
      </c>
      <c r="AD31" s="717">
        <v>0</v>
      </c>
      <c r="AE31" s="717">
        <v>0</v>
      </c>
      <c r="AF31" s="717">
        <v>0</v>
      </c>
      <c r="AG31" s="717">
        <v>0</v>
      </c>
      <c r="AH31" s="717">
        <v>0</v>
      </c>
      <c r="AI31" s="717">
        <v>0</v>
      </c>
      <c r="AJ31" s="717">
        <v>0</v>
      </c>
      <c r="AK31" s="717">
        <v>0</v>
      </c>
      <c r="AL31" s="717">
        <v>0</v>
      </c>
      <c r="AM31" s="717">
        <v>0</v>
      </c>
      <c r="AN31" s="717">
        <v>0</v>
      </c>
      <c r="AO31" s="717">
        <v>0</v>
      </c>
      <c r="AP31" s="717">
        <v>0</v>
      </c>
      <c r="AQ31" s="717">
        <v>0</v>
      </c>
      <c r="AR31" s="717">
        <v>0</v>
      </c>
      <c r="AS31" s="717">
        <v>0</v>
      </c>
      <c r="AT31" s="717">
        <v>0</v>
      </c>
      <c r="AU31" s="717">
        <v>0</v>
      </c>
      <c r="AV31" s="655">
        <v>0</v>
      </c>
      <c r="AW31" s="717">
        <v>0</v>
      </c>
      <c r="AX31" s="717">
        <v>0</v>
      </c>
      <c r="AY31" s="655">
        <v>0</v>
      </c>
      <c r="AZ31" s="717">
        <v>0</v>
      </c>
      <c r="BA31" s="717">
        <v>0</v>
      </c>
      <c r="BB31" s="717">
        <v>0</v>
      </c>
      <c r="BC31" s="717">
        <v>0</v>
      </c>
      <c r="BD31" s="717">
        <v>0</v>
      </c>
      <c r="BE31" s="717">
        <v>0</v>
      </c>
      <c r="BF31" s="717">
        <v>0</v>
      </c>
      <c r="BG31" s="717">
        <v>0</v>
      </c>
      <c r="BH31" s="717">
        <v>0</v>
      </c>
      <c r="BI31" s="717">
        <v>0</v>
      </c>
      <c r="BJ31" s="717">
        <v>0</v>
      </c>
      <c r="BK31" s="674">
        <f t="shared" si="0"/>
        <v>0</v>
      </c>
      <c r="BM31" s="659">
        <f t="shared" si="1"/>
        <v>0</v>
      </c>
      <c r="BN31" s="659">
        <f t="shared" si="2"/>
        <v>0</v>
      </c>
    </row>
    <row r="32" spans="1:66" ht="22.5" customHeight="1" x14ac:dyDescent="0.25">
      <c r="A32" s="639" t="s">
        <v>74</v>
      </c>
      <c r="B32" s="645" t="s">
        <v>75</v>
      </c>
      <c r="C32" s="648" t="s">
        <v>76</v>
      </c>
      <c r="D32" s="717">
        <v>0</v>
      </c>
      <c r="E32" s="717">
        <v>0</v>
      </c>
      <c r="F32" s="717">
        <v>0</v>
      </c>
      <c r="G32" s="717">
        <v>0</v>
      </c>
      <c r="H32" s="717">
        <v>0</v>
      </c>
      <c r="I32" s="717">
        <v>0</v>
      </c>
      <c r="J32" s="717">
        <v>0</v>
      </c>
      <c r="K32" s="717">
        <v>0</v>
      </c>
      <c r="L32" s="717">
        <v>0</v>
      </c>
      <c r="M32" s="717">
        <v>0</v>
      </c>
      <c r="N32" s="717">
        <v>0</v>
      </c>
      <c r="O32" s="717">
        <v>0</v>
      </c>
      <c r="P32" s="717">
        <v>0</v>
      </c>
      <c r="Q32" s="717">
        <v>0</v>
      </c>
      <c r="R32" s="717">
        <v>0</v>
      </c>
      <c r="S32" s="717">
        <v>0</v>
      </c>
      <c r="T32" s="717">
        <v>0</v>
      </c>
      <c r="U32" s="717">
        <v>0</v>
      </c>
      <c r="V32" s="717">
        <v>0</v>
      </c>
      <c r="W32" s="717">
        <v>0</v>
      </c>
      <c r="X32" s="717">
        <v>0</v>
      </c>
      <c r="Y32" s="717">
        <v>0</v>
      </c>
      <c r="Z32" s="717">
        <v>0</v>
      </c>
      <c r="AA32" s="717">
        <v>0</v>
      </c>
      <c r="AB32" s="717">
        <v>0</v>
      </c>
      <c r="AC32" s="717">
        <v>0</v>
      </c>
      <c r="AD32" s="717">
        <v>0</v>
      </c>
      <c r="AE32" s="717">
        <v>0</v>
      </c>
      <c r="AF32" s="717">
        <v>0</v>
      </c>
      <c r="AG32" s="717">
        <v>0</v>
      </c>
      <c r="AH32" s="717">
        <v>0</v>
      </c>
      <c r="AI32" s="717">
        <v>0</v>
      </c>
      <c r="AJ32" s="717">
        <v>0</v>
      </c>
      <c r="AK32" s="717">
        <v>0</v>
      </c>
      <c r="AL32" s="717">
        <v>0</v>
      </c>
      <c r="AM32" s="717">
        <v>0</v>
      </c>
      <c r="AN32" s="717">
        <v>0</v>
      </c>
      <c r="AO32" s="717">
        <v>0</v>
      </c>
      <c r="AP32" s="717">
        <v>0</v>
      </c>
      <c r="AQ32" s="717">
        <v>0</v>
      </c>
      <c r="AR32" s="717">
        <v>0</v>
      </c>
      <c r="AS32" s="717">
        <v>0</v>
      </c>
      <c r="AT32" s="717">
        <v>0</v>
      </c>
      <c r="AU32" s="717">
        <v>0</v>
      </c>
      <c r="AV32" s="655">
        <v>0</v>
      </c>
      <c r="AW32" s="717">
        <v>0</v>
      </c>
      <c r="AX32" s="717">
        <v>0</v>
      </c>
      <c r="AY32" s="655">
        <v>0</v>
      </c>
      <c r="AZ32" s="717">
        <v>0</v>
      </c>
      <c r="BA32" s="717">
        <v>0</v>
      </c>
      <c r="BB32" s="717">
        <v>0</v>
      </c>
      <c r="BC32" s="717">
        <v>0</v>
      </c>
      <c r="BD32" s="717">
        <v>0</v>
      </c>
      <c r="BE32" s="717">
        <v>0</v>
      </c>
      <c r="BF32" s="717">
        <v>0</v>
      </c>
      <c r="BG32" s="717">
        <v>0</v>
      </c>
      <c r="BH32" s="717">
        <v>0</v>
      </c>
      <c r="BI32" s="717">
        <v>0</v>
      </c>
      <c r="BJ32" s="717">
        <v>0</v>
      </c>
      <c r="BK32" s="674">
        <f t="shared" si="0"/>
        <v>0</v>
      </c>
      <c r="BM32" s="659">
        <f t="shared" si="1"/>
        <v>0</v>
      </c>
      <c r="BN32" s="659">
        <f t="shared" si="2"/>
        <v>0</v>
      </c>
    </row>
    <row r="33" spans="1:66" ht="22.5" customHeight="1" x14ac:dyDescent="0.25">
      <c r="A33" s="639" t="s">
        <v>77</v>
      </c>
      <c r="B33" s="646" t="s">
        <v>78</v>
      </c>
      <c r="C33" s="648" t="s">
        <v>79</v>
      </c>
      <c r="D33" s="717">
        <v>0</v>
      </c>
      <c r="E33" s="717">
        <v>0</v>
      </c>
      <c r="F33" s="717">
        <v>0</v>
      </c>
      <c r="G33" s="655">
        <v>4000000</v>
      </c>
      <c r="H33" s="643">
        <v>32153776</v>
      </c>
      <c r="I33" s="643">
        <v>32153776</v>
      </c>
      <c r="J33" s="655">
        <v>3600000</v>
      </c>
      <c r="K33" s="643">
        <v>4035674</v>
      </c>
      <c r="L33" s="643">
        <v>4035674</v>
      </c>
      <c r="M33" s="655">
        <v>1500000</v>
      </c>
      <c r="N33" s="643">
        <v>2426518</v>
      </c>
      <c r="O33" s="643">
        <v>2426518</v>
      </c>
      <c r="P33" s="655">
        <v>900000</v>
      </c>
      <c r="Q33" s="643">
        <v>955540</v>
      </c>
      <c r="R33" s="643">
        <v>955540</v>
      </c>
      <c r="S33" s="717">
        <v>0</v>
      </c>
      <c r="T33" s="643">
        <v>454610</v>
      </c>
      <c r="U33" s="643">
        <v>386540</v>
      </c>
      <c r="V33" s="717">
        <v>0</v>
      </c>
      <c r="W33" s="717">
        <v>0</v>
      </c>
      <c r="X33" s="717">
        <v>0</v>
      </c>
      <c r="Y33" s="717">
        <v>0</v>
      </c>
      <c r="Z33" s="717">
        <v>0</v>
      </c>
      <c r="AA33" s="717">
        <v>0</v>
      </c>
      <c r="AB33" s="717">
        <v>0</v>
      </c>
      <c r="AC33" s="717">
        <v>0</v>
      </c>
      <c r="AD33" s="717">
        <v>0</v>
      </c>
      <c r="AE33" s="717">
        <v>0</v>
      </c>
      <c r="AF33" s="717">
        <v>0</v>
      </c>
      <c r="AG33" s="717">
        <v>0</v>
      </c>
      <c r="AH33" s="717">
        <v>0</v>
      </c>
      <c r="AI33" s="717">
        <v>0</v>
      </c>
      <c r="AJ33" s="717">
        <v>0</v>
      </c>
      <c r="AK33" s="717">
        <v>0</v>
      </c>
      <c r="AL33" s="717">
        <v>0</v>
      </c>
      <c r="AM33" s="717">
        <v>0</v>
      </c>
      <c r="AN33" s="655">
        <v>35260000</v>
      </c>
      <c r="AO33" s="655">
        <v>36073996</v>
      </c>
      <c r="AP33" s="655">
        <v>29423229</v>
      </c>
      <c r="AQ33" s="655">
        <v>49880000</v>
      </c>
      <c r="AR33" s="655">
        <v>81167532</v>
      </c>
      <c r="AS33" s="655">
        <v>69666385</v>
      </c>
      <c r="AT33" s="655">
        <v>4622000</v>
      </c>
      <c r="AU33" s="655">
        <v>4600793</v>
      </c>
      <c r="AV33" s="655">
        <v>4453611</v>
      </c>
      <c r="AW33" s="655">
        <v>860000</v>
      </c>
      <c r="AX33" s="655">
        <v>2587253</v>
      </c>
      <c r="AY33" s="655">
        <v>2578637</v>
      </c>
      <c r="AZ33" s="643">
        <v>16832810</v>
      </c>
      <c r="BA33" s="717">
        <v>0</v>
      </c>
      <c r="BB33" s="717">
        <v>0</v>
      </c>
      <c r="BC33" s="717">
        <v>0</v>
      </c>
      <c r="BD33" s="643">
        <v>790610</v>
      </c>
      <c r="BE33" s="643">
        <v>788210</v>
      </c>
      <c r="BF33" s="717">
        <v>0</v>
      </c>
      <c r="BG33" s="643">
        <v>9713705</v>
      </c>
      <c r="BH33" s="643">
        <v>9712689</v>
      </c>
      <c r="BI33" s="643">
        <v>117454810</v>
      </c>
      <c r="BJ33" s="643">
        <v>174960007</v>
      </c>
      <c r="BK33" s="674">
        <f t="shared" si="0"/>
        <v>156580809</v>
      </c>
      <c r="BM33" s="659">
        <f t="shared" si="1"/>
        <v>153198751</v>
      </c>
      <c r="BN33" s="659">
        <f t="shared" si="2"/>
        <v>3382058</v>
      </c>
    </row>
    <row r="34" spans="1:66" ht="22.5" customHeight="1" x14ac:dyDescent="0.25">
      <c r="A34" s="639" t="s">
        <v>80</v>
      </c>
      <c r="B34" s="645" t="s">
        <v>81</v>
      </c>
      <c r="C34" s="648" t="s">
        <v>82</v>
      </c>
      <c r="D34" s="717">
        <v>0</v>
      </c>
      <c r="E34" s="717">
        <v>0</v>
      </c>
      <c r="F34" s="717">
        <v>0</v>
      </c>
      <c r="G34" s="717">
        <v>0</v>
      </c>
      <c r="H34" s="717">
        <v>0</v>
      </c>
      <c r="I34" s="717">
        <v>0</v>
      </c>
      <c r="J34" s="717">
        <v>0</v>
      </c>
      <c r="K34" s="717">
        <v>0</v>
      </c>
      <c r="L34" s="717">
        <v>0</v>
      </c>
      <c r="M34" s="717">
        <v>0</v>
      </c>
      <c r="N34" s="717">
        <v>0</v>
      </c>
      <c r="O34" s="717">
        <v>0</v>
      </c>
      <c r="P34" s="717">
        <v>0</v>
      </c>
      <c r="Q34" s="717">
        <v>0</v>
      </c>
      <c r="R34" s="717">
        <v>0</v>
      </c>
      <c r="S34" s="717">
        <v>0</v>
      </c>
      <c r="T34" s="717">
        <v>0</v>
      </c>
      <c r="U34" s="717">
        <v>0</v>
      </c>
      <c r="V34" s="717">
        <v>0</v>
      </c>
      <c r="W34" s="717">
        <v>0</v>
      </c>
      <c r="X34" s="717">
        <v>0</v>
      </c>
      <c r="Y34" s="717">
        <v>0</v>
      </c>
      <c r="Z34" s="717">
        <v>0</v>
      </c>
      <c r="AA34" s="717">
        <v>0</v>
      </c>
      <c r="AB34" s="717">
        <v>0</v>
      </c>
      <c r="AC34" s="717">
        <v>0</v>
      </c>
      <c r="AD34" s="717">
        <v>0</v>
      </c>
      <c r="AE34" s="717">
        <v>0</v>
      </c>
      <c r="AF34" s="717">
        <v>0</v>
      </c>
      <c r="AG34" s="717">
        <v>0</v>
      </c>
      <c r="AH34" s="717">
        <v>0</v>
      </c>
      <c r="AI34" s="717">
        <v>0</v>
      </c>
      <c r="AJ34" s="717">
        <v>0</v>
      </c>
      <c r="AK34" s="717">
        <v>0</v>
      </c>
      <c r="AL34" s="717">
        <v>0</v>
      </c>
      <c r="AM34" s="717">
        <v>0</v>
      </c>
      <c r="AN34" s="717">
        <v>0</v>
      </c>
      <c r="AO34" s="717">
        <v>0</v>
      </c>
      <c r="AP34" s="717">
        <v>0</v>
      </c>
      <c r="AQ34" s="717">
        <v>0</v>
      </c>
      <c r="AR34" s="655">
        <v>2006806</v>
      </c>
      <c r="AS34" s="655">
        <v>2006806</v>
      </c>
      <c r="AT34" s="717">
        <v>0</v>
      </c>
      <c r="AU34" s="717">
        <v>0</v>
      </c>
      <c r="AV34" s="655">
        <v>0</v>
      </c>
      <c r="AW34" s="717">
        <v>0</v>
      </c>
      <c r="AX34" s="717">
        <v>0</v>
      </c>
      <c r="AY34" s="655">
        <v>0</v>
      </c>
      <c r="AZ34" s="717">
        <v>0</v>
      </c>
      <c r="BA34" s="717">
        <v>0</v>
      </c>
      <c r="BB34" s="717">
        <v>0</v>
      </c>
      <c r="BC34" s="717">
        <v>0</v>
      </c>
      <c r="BD34" s="717">
        <v>0</v>
      </c>
      <c r="BE34" s="717">
        <v>0</v>
      </c>
      <c r="BF34" s="717">
        <v>0</v>
      </c>
      <c r="BG34" s="717">
        <v>0</v>
      </c>
      <c r="BH34" s="717">
        <v>0</v>
      </c>
      <c r="BI34" s="717">
        <v>0</v>
      </c>
      <c r="BJ34" s="643">
        <v>2006806</v>
      </c>
      <c r="BK34" s="674">
        <f t="shared" si="0"/>
        <v>2006806</v>
      </c>
      <c r="BM34" s="659">
        <f t="shared" si="1"/>
        <v>2006806</v>
      </c>
      <c r="BN34" s="659">
        <f t="shared" si="2"/>
        <v>0</v>
      </c>
    </row>
    <row r="35" spans="1:66" ht="22.5" customHeight="1" x14ac:dyDescent="0.25">
      <c r="A35" s="639" t="s">
        <v>83</v>
      </c>
      <c r="B35" s="645" t="s">
        <v>84</v>
      </c>
      <c r="C35" s="648" t="s">
        <v>85</v>
      </c>
      <c r="D35" s="717">
        <v>0</v>
      </c>
      <c r="E35" s="717">
        <v>0</v>
      </c>
      <c r="F35" s="717">
        <v>0</v>
      </c>
      <c r="G35" s="717">
        <v>0</v>
      </c>
      <c r="H35" s="717">
        <v>0</v>
      </c>
      <c r="I35" s="717">
        <v>0</v>
      </c>
      <c r="J35" s="717">
        <v>0</v>
      </c>
      <c r="K35" s="717">
        <v>0</v>
      </c>
      <c r="L35" s="717">
        <v>0</v>
      </c>
      <c r="M35" s="717">
        <v>0</v>
      </c>
      <c r="N35" s="717">
        <v>0</v>
      </c>
      <c r="O35" s="717">
        <v>0</v>
      </c>
      <c r="P35" s="717">
        <v>0</v>
      </c>
      <c r="Q35" s="717">
        <v>0</v>
      </c>
      <c r="R35" s="717">
        <v>0</v>
      </c>
      <c r="S35" s="717">
        <v>0</v>
      </c>
      <c r="T35" s="717">
        <v>0</v>
      </c>
      <c r="U35" s="717">
        <v>0</v>
      </c>
      <c r="V35" s="717">
        <v>0</v>
      </c>
      <c r="W35" s="717">
        <v>0</v>
      </c>
      <c r="X35" s="717">
        <v>0</v>
      </c>
      <c r="Y35" s="717">
        <v>0</v>
      </c>
      <c r="Z35" s="717">
        <v>0</v>
      </c>
      <c r="AA35" s="717">
        <v>0</v>
      </c>
      <c r="AB35" s="717">
        <v>0</v>
      </c>
      <c r="AC35" s="717">
        <v>0</v>
      </c>
      <c r="AD35" s="717">
        <v>0</v>
      </c>
      <c r="AE35" s="717">
        <v>0</v>
      </c>
      <c r="AF35" s="717">
        <v>0</v>
      </c>
      <c r="AG35" s="717">
        <v>0</v>
      </c>
      <c r="AH35" s="717">
        <v>0</v>
      </c>
      <c r="AI35" s="717">
        <v>0</v>
      </c>
      <c r="AJ35" s="717">
        <v>0</v>
      </c>
      <c r="AK35" s="717">
        <v>0</v>
      </c>
      <c r="AL35" s="717">
        <v>0</v>
      </c>
      <c r="AM35" s="717">
        <v>0</v>
      </c>
      <c r="AN35" s="717">
        <v>0</v>
      </c>
      <c r="AO35" s="717">
        <v>0</v>
      </c>
      <c r="AP35" s="717">
        <v>0</v>
      </c>
      <c r="AQ35" s="717">
        <v>0</v>
      </c>
      <c r="AR35" s="717">
        <v>0</v>
      </c>
      <c r="AS35" s="717">
        <v>0</v>
      </c>
      <c r="AT35" s="717">
        <v>0</v>
      </c>
      <c r="AU35" s="717">
        <v>0</v>
      </c>
      <c r="AV35" s="655">
        <v>0</v>
      </c>
      <c r="AW35" s="717">
        <v>0</v>
      </c>
      <c r="AX35" s="717">
        <v>0</v>
      </c>
      <c r="AY35" s="655">
        <v>0</v>
      </c>
      <c r="AZ35" s="717">
        <v>0</v>
      </c>
      <c r="BA35" s="717">
        <v>0</v>
      </c>
      <c r="BB35" s="717">
        <v>0</v>
      </c>
      <c r="BC35" s="717">
        <v>0</v>
      </c>
      <c r="BD35" s="717">
        <v>0</v>
      </c>
      <c r="BE35" s="717">
        <v>0</v>
      </c>
      <c r="BF35" s="717">
        <v>0</v>
      </c>
      <c r="BG35" s="717">
        <v>0</v>
      </c>
      <c r="BH35" s="717">
        <v>0</v>
      </c>
      <c r="BI35" s="717">
        <v>0</v>
      </c>
      <c r="BJ35" s="717">
        <v>0</v>
      </c>
      <c r="BK35" s="674">
        <f t="shared" si="0"/>
        <v>0</v>
      </c>
      <c r="BM35" s="659">
        <f t="shared" si="1"/>
        <v>0</v>
      </c>
      <c r="BN35" s="659">
        <f t="shared" si="2"/>
        <v>0</v>
      </c>
    </row>
    <row r="36" spans="1:66" ht="22.5" customHeight="1" x14ac:dyDescent="0.25">
      <c r="A36" s="639" t="s">
        <v>86</v>
      </c>
      <c r="B36" s="645" t="s">
        <v>87</v>
      </c>
      <c r="C36" s="648" t="s">
        <v>88</v>
      </c>
      <c r="D36" s="717">
        <v>0</v>
      </c>
      <c r="E36" s="717">
        <v>0</v>
      </c>
      <c r="F36" s="717">
        <v>0</v>
      </c>
      <c r="G36" s="717">
        <v>0</v>
      </c>
      <c r="H36" s="717">
        <v>0</v>
      </c>
      <c r="I36" s="717">
        <v>0</v>
      </c>
      <c r="J36" s="717">
        <v>0</v>
      </c>
      <c r="K36" s="717">
        <v>0</v>
      </c>
      <c r="L36" s="717">
        <v>0</v>
      </c>
      <c r="M36" s="717">
        <v>0</v>
      </c>
      <c r="N36" s="717">
        <v>0</v>
      </c>
      <c r="O36" s="717">
        <v>0</v>
      </c>
      <c r="P36" s="717">
        <v>0</v>
      </c>
      <c r="Q36" s="717">
        <v>0</v>
      </c>
      <c r="R36" s="717">
        <v>0</v>
      </c>
      <c r="S36" s="717">
        <v>0</v>
      </c>
      <c r="T36" s="717">
        <v>0</v>
      </c>
      <c r="U36" s="717">
        <v>0</v>
      </c>
      <c r="V36" s="717">
        <v>0</v>
      </c>
      <c r="W36" s="717">
        <v>0</v>
      </c>
      <c r="X36" s="717">
        <v>0</v>
      </c>
      <c r="Y36" s="717">
        <v>0</v>
      </c>
      <c r="Z36" s="717">
        <v>0</v>
      </c>
      <c r="AA36" s="717">
        <v>0</v>
      </c>
      <c r="AB36" s="717">
        <v>0</v>
      </c>
      <c r="AC36" s="717">
        <v>0</v>
      </c>
      <c r="AD36" s="717">
        <v>0</v>
      </c>
      <c r="AE36" s="717">
        <v>0</v>
      </c>
      <c r="AF36" s="717">
        <v>0</v>
      </c>
      <c r="AG36" s="717">
        <v>0</v>
      </c>
      <c r="AH36" s="717">
        <v>0</v>
      </c>
      <c r="AI36" s="717">
        <v>0</v>
      </c>
      <c r="AJ36" s="717">
        <v>0</v>
      </c>
      <c r="AK36" s="717">
        <v>0</v>
      </c>
      <c r="AL36" s="717">
        <v>0</v>
      </c>
      <c r="AM36" s="717">
        <v>0</v>
      </c>
      <c r="AN36" s="717">
        <v>0</v>
      </c>
      <c r="AO36" s="717">
        <v>0</v>
      </c>
      <c r="AP36" s="717">
        <v>0</v>
      </c>
      <c r="AQ36" s="717">
        <v>0</v>
      </c>
      <c r="AR36" s="717">
        <v>0</v>
      </c>
      <c r="AS36" s="717">
        <v>0</v>
      </c>
      <c r="AT36" s="717">
        <v>0</v>
      </c>
      <c r="AU36" s="717">
        <v>0</v>
      </c>
      <c r="AV36" s="655">
        <v>0</v>
      </c>
      <c r="AW36" s="717">
        <v>0</v>
      </c>
      <c r="AX36" s="717">
        <v>0</v>
      </c>
      <c r="AY36" s="655">
        <v>0</v>
      </c>
      <c r="AZ36" s="717">
        <v>0</v>
      </c>
      <c r="BA36" s="717">
        <v>0</v>
      </c>
      <c r="BB36" s="717">
        <v>0</v>
      </c>
      <c r="BC36" s="717">
        <v>0</v>
      </c>
      <c r="BD36" s="717">
        <v>0</v>
      </c>
      <c r="BE36" s="717">
        <v>0</v>
      </c>
      <c r="BF36" s="717">
        <v>0</v>
      </c>
      <c r="BG36" s="717">
        <v>0</v>
      </c>
      <c r="BH36" s="717">
        <v>0</v>
      </c>
      <c r="BI36" s="717">
        <v>0</v>
      </c>
      <c r="BJ36" s="717">
        <v>0</v>
      </c>
      <c r="BK36" s="674">
        <f t="shared" si="0"/>
        <v>0</v>
      </c>
      <c r="BM36" s="659">
        <f t="shared" si="1"/>
        <v>0</v>
      </c>
      <c r="BN36" s="659">
        <f t="shared" si="2"/>
        <v>0</v>
      </c>
    </row>
    <row r="37" spans="1:66" ht="22.5" customHeight="1" x14ac:dyDescent="0.25">
      <c r="A37" s="639" t="s">
        <v>89</v>
      </c>
      <c r="B37" s="646" t="s">
        <v>90</v>
      </c>
      <c r="C37" s="648" t="s">
        <v>91</v>
      </c>
      <c r="D37" s="717">
        <v>0</v>
      </c>
      <c r="E37" s="717">
        <v>0</v>
      </c>
      <c r="F37" s="717">
        <f>SUM(F30:F36)</f>
        <v>0</v>
      </c>
      <c r="G37" s="643">
        <v>4000000</v>
      </c>
      <c r="H37" s="643">
        <v>32153776</v>
      </c>
      <c r="I37" s="717">
        <f>SUM(I30:I36)</f>
        <v>32153776</v>
      </c>
      <c r="J37" s="643">
        <v>3600000</v>
      </c>
      <c r="K37" s="643">
        <v>4035674</v>
      </c>
      <c r="L37" s="717">
        <f>SUM(L30:L36)</f>
        <v>4035674</v>
      </c>
      <c r="M37" s="643">
        <v>1500000</v>
      </c>
      <c r="N37" s="643">
        <v>2426518</v>
      </c>
      <c r="O37" s="717">
        <f>SUM(O30:O36)</f>
        <v>2426518</v>
      </c>
      <c r="P37" s="643">
        <v>900000</v>
      </c>
      <c r="Q37" s="643">
        <v>955540</v>
      </c>
      <c r="R37" s="717">
        <f>SUM(R30:R36)</f>
        <v>955540</v>
      </c>
      <c r="S37" s="717">
        <v>0</v>
      </c>
      <c r="T37" s="643">
        <v>454610</v>
      </c>
      <c r="U37" s="717">
        <f>SUM(U30:U36)</f>
        <v>386540</v>
      </c>
      <c r="V37" s="717">
        <v>0</v>
      </c>
      <c r="W37" s="717">
        <v>0</v>
      </c>
      <c r="X37" s="717">
        <f>SUM(X30:X36)</f>
        <v>0</v>
      </c>
      <c r="Y37" s="717">
        <v>0</v>
      </c>
      <c r="Z37" s="717">
        <v>0</v>
      </c>
      <c r="AA37" s="717">
        <f>SUM(AA30:AA36)</f>
        <v>0</v>
      </c>
      <c r="AB37" s="717">
        <v>0</v>
      </c>
      <c r="AC37" s="717">
        <v>0</v>
      </c>
      <c r="AD37" s="717">
        <f>SUM(AD30:AD36)</f>
        <v>0</v>
      </c>
      <c r="AE37" s="717">
        <v>0</v>
      </c>
      <c r="AF37" s="717">
        <v>0</v>
      </c>
      <c r="AG37" s="717">
        <f>SUM(AG30:AG36)</f>
        <v>0</v>
      </c>
      <c r="AH37" s="643">
        <v>42000000</v>
      </c>
      <c r="AI37" s="643">
        <v>47444100</v>
      </c>
      <c r="AJ37" s="717">
        <v>47444100</v>
      </c>
      <c r="AK37" s="643">
        <v>1740000</v>
      </c>
      <c r="AL37" s="643">
        <v>1489200</v>
      </c>
      <c r="AM37" s="717">
        <f>SUM(AM30:AM36)</f>
        <v>1489200</v>
      </c>
      <c r="AN37" s="643">
        <v>35260000</v>
      </c>
      <c r="AO37" s="643">
        <v>36073996</v>
      </c>
      <c r="AP37" s="717">
        <f>SUM(AP30:AP36)</f>
        <v>29423229</v>
      </c>
      <c r="AQ37" s="643">
        <v>49880000</v>
      </c>
      <c r="AR37" s="643">
        <v>83174338</v>
      </c>
      <c r="AS37" s="717">
        <f>SUM(AS30:AS36)</f>
        <v>71673191</v>
      </c>
      <c r="AT37" s="643">
        <v>4622000</v>
      </c>
      <c r="AU37" s="643">
        <v>4600793</v>
      </c>
      <c r="AV37" s="717">
        <f>SUM(AV30:AV36)</f>
        <v>4453611</v>
      </c>
      <c r="AW37" s="643">
        <v>860000</v>
      </c>
      <c r="AX37" s="643">
        <v>2587253</v>
      </c>
      <c r="AY37" s="717">
        <f>SUM(AY30:AY36)</f>
        <v>2578637</v>
      </c>
      <c r="AZ37" s="643">
        <v>16832810</v>
      </c>
      <c r="BA37" s="717">
        <v>0</v>
      </c>
      <c r="BB37" s="717">
        <f>SUM(BB30:BB36)</f>
        <v>0</v>
      </c>
      <c r="BC37" s="717">
        <v>0</v>
      </c>
      <c r="BD37" s="643">
        <v>790610</v>
      </c>
      <c r="BE37" s="717">
        <f>SUM(BE30:BE36)</f>
        <v>788210</v>
      </c>
      <c r="BF37" s="717">
        <v>0</v>
      </c>
      <c r="BG37" s="643">
        <v>9713705</v>
      </c>
      <c r="BH37" s="717">
        <f>SUM(BH30:BH36)</f>
        <v>9712689</v>
      </c>
      <c r="BI37" s="643">
        <v>161194810</v>
      </c>
      <c r="BJ37" s="643">
        <v>225900113</v>
      </c>
      <c r="BK37" s="674">
        <f t="shared" si="0"/>
        <v>207520915</v>
      </c>
      <c r="BM37" s="659">
        <f t="shared" si="1"/>
        <v>204138857</v>
      </c>
      <c r="BN37" s="659">
        <f t="shared" si="2"/>
        <v>3382058</v>
      </c>
    </row>
    <row r="38" spans="1:66" ht="22.5" customHeight="1" x14ac:dyDescent="0.25">
      <c r="A38" s="639" t="s">
        <v>92</v>
      </c>
      <c r="B38" s="648" t="s">
        <v>93</v>
      </c>
      <c r="C38" s="664" t="s">
        <v>94</v>
      </c>
      <c r="D38" s="643">
        <v>427384071</v>
      </c>
      <c r="E38" s="643">
        <v>471825493</v>
      </c>
      <c r="F38" s="643">
        <f>SUM(F39:F44)</f>
        <v>415016873</v>
      </c>
      <c r="G38" s="717">
        <v>0</v>
      </c>
      <c r="H38" s="717">
        <v>0</v>
      </c>
      <c r="I38" s="643">
        <f>SUM(I39:I44)</f>
        <v>0</v>
      </c>
      <c r="J38" s="717">
        <v>0</v>
      </c>
      <c r="K38" s="717">
        <v>0</v>
      </c>
      <c r="L38" s="643">
        <f>SUM(L39:L44)</f>
        <v>0</v>
      </c>
      <c r="M38" s="717">
        <v>0</v>
      </c>
      <c r="N38" s="717">
        <v>0</v>
      </c>
      <c r="O38" s="643">
        <f>SUM(O39:O44)</f>
        <v>0</v>
      </c>
      <c r="P38" s="717">
        <v>0</v>
      </c>
      <c r="Q38" s="717">
        <v>0</v>
      </c>
      <c r="R38" s="643">
        <f>SUM(R39:R44)</f>
        <v>0</v>
      </c>
      <c r="S38" s="717">
        <v>0</v>
      </c>
      <c r="T38" s="717">
        <v>0</v>
      </c>
      <c r="U38" s="643">
        <f>SUM(U39:U44)</f>
        <v>0</v>
      </c>
      <c r="V38" s="717">
        <v>0</v>
      </c>
      <c r="W38" s="717">
        <v>0</v>
      </c>
      <c r="X38" s="643">
        <f>SUM(X39:X44)</f>
        <v>0</v>
      </c>
      <c r="Y38" s="717">
        <v>0</v>
      </c>
      <c r="Z38" s="717">
        <v>0</v>
      </c>
      <c r="AA38" s="643">
        <f>SUM(AA39:AA44)</f>
        <v>0</v>
      </c>
      <c r="AB38" s="717">
        <v>0</v>
      </c>
      <c r="AC38" s="717">
        <v>0</v>
      </c>
      <c r="AD38" s="643">
        <f>SUM(AD39:AD44)</f>
        <v>0</v>
      </c>
      <c r="AE38" s="717">
        <v>0</v>
      </c>
      <c r="AF38" s="717">
        <v>0</v>
      </c>
      <c r="AG38" s="643">
        <f>SUM(AG39:AG44)</f>
        <v>0</v>
      </c>
      <c r="AH38" s="717">
        <v>0</v>
      </c>
      <c r="AI38" s="717">
        <v>0</v>
      </c>
      <c r="AJ38" s="643">
        <f>SUM(AJ39:AJ44)</f>
        <v>0</v>
      </c>
      <c r="AK38" s="717">
        <v>0</v>
      </c>
      <c r="AL38" s="717">
        <v>0</v>
      </c>
      <c r="AM38" s="643">
        <f>SUM(AM39:AM44)</f>
        <v>0</v>
      </c>
      <c r="AN38" s="717">
        <v>0</v>
      </c>
      <c r="AO38" s="717">
        <v>0</v>
      </c>
      <c r="AP38" s="643">
        <f>SUM(AP39:AP44)</f>
        <v>0</v>
      </c>
      <c r="AQ38" s="717">
        <v>0</v>
      </c>
      <c r="AR38" s="717">
        <v>0</v>
      </c>
      <c r="AS38" s="643">
        <f>SUM(AS39:AS44)</f>
        <v>0</v>
      </c>
      <c r="AT38" s="717">
        <v>0</v>
      </c>
      <c r="AU38" s="717">
        <v>0</v>
      </c>
      <c r="AV38" s="643">
        <f>SUM(AV39:AV44)</f>
        <v>0</v>
      </c>
      <c r="AW38" s="717">
        <v>0</v>
      </c>
      <c r="AX38" s="717">
        <v>0</v>
      </c>
      <c r="AY38" s="643">
        <f>SUM(AY39:AY44)</f>
        <v>0</v>
      </c>
      <c r="AZ38" s="717">
        <v>0</v>
      </c>
      <c r="BA38" s="717">
        <v>0</v>
      </c>
      <c r="BB38" s="643">
        <f>SUM(BB39:BB44)</f>
        <v>0</v>
      </c>
      <c r="BC38" s="717">
        <v>0</v>
      </c>
      <c r="BD38" s="717">
        <v>0</v>
      </c>
      <c r="BE38" s="643">
        <f>SUM(BE39:BE44)</f>
        <v>0</v>
      </c>
      <c r="BF38" s="717">
        <v>0</v>
      </c>
      <c r="BG38" s="717">
        <v>0</v>
      </c>
      <c r="BH38" s="643">
        <f>SUM(BH39:BH44)</f>
        <v>0</v>
      </c>
      <c r="BI38" s="643">
        <v>427384071</v>
      </c>
      <c r="BJ38" s="643">
        <v>471825493</v>
      </c>
      <c r="BK38" s="674">
        <f t="shared" si="0"/>
        <v>415016873</v>
      </c>
      <c r="BM38" s="659">
        <f t="shared" si="1"/>
        <v>415016873</v>
      </c>
      <c r="BN38" s="659">
        <f t="shared" si="2"/>
        <v>0</v>
      </c>
    </row>
    <row r="39" spans="1:66" ht="22.5" customHeight="1" x14ac:dyDescent="0.25">
      <c r="A39" s="639" t="s">
        <v>95</v>
      </c>
      <c r="B39" s="24" t="s">
        <v>1290</v>
      </c>
      <c r="C39" s="664"/>
      <c r="D39" s="717">
        <v>0</v>
      </c>
      <c r="E39" s="717">
        <v>0</v>
      </c>
      <c r="F39" s="717">
        <v>0</v>
      </c>
      <c r="G39" s="717">
        <v>0</v>
      </c>
      <c r="H39" s="717">
        <v>0</v>
      </c>
      <c r="I39" s="717">
        <v>0</v>
      </c>
      <c r="J39" s="717">
        <v>0</v>
      </c>
      <c r="K39" s="717">
        <v>0</v>
      </c>
      <c r="L39" s="717">
        <v>0</v>
      </c>
      <c r="M39" s="717">
        <v>0</v>
      </c>
      <c r="N39" s="717">
        <v>0</v>
      </c>
      <c r="O39" s="717">
        <v>0</v>
      </c>
      <c r="P39" s="717">
        <v>0</v>
      </c>
      <c r="Q39" s="717">
        <v>0</v>
      </c>
      <c r="R39" s="717">
        <v>0</v>
      </c>
      <c r="S39" s="717">
        <v>0</v>
      </c>
      <c r="T39" s="717">
        <v>0</v>
      </c>
      <c r="U39" s="717">
        <v>0</v>
      </c>
      <c r="V39" s="717">
        <v>0</v>
      </c>
      <c r="W39" s="717">
        <v>0</v>
      </c>
      <c r="X39" s="717">
        <v>0</v>
      </c>
      <c r="Y39" s="717">
        <v>0</v>
      </c>
      <c r="Z39" s="717">
        <v>0</v>
      </c>
      <c r="AA39" s="717">
        <v>0</v>
      </c>
      <c r="AB39" s="717">
        <v>0</v>
      </c>
      <c r="AC39" s="717">
        <v>0</v>
      </c>
      <c r="AD39" s="717">
        <v>0</v>
      </c>
      <c r="AE39" s="717">
        <v>0</v>
      </c>
      <c r="AF39" s="717">
        <v>0</v>
      </c>
      <c r="AG39" s="717">
        <v>0</v>
      </c>
      <c r="AH39" s="717">
        <v>0</v>
      </c>
      <c r="AI39" s="717">
        <v>0</v>
      </c>
      <c r="AJ39" s="717">
        <v>0</v>
      </c>
      <c r="AK39" s="717">
        <v>0</v>
      </c>
      <c r="AL39" s="717">
        <v>0</v>
      </c>
      <c r="AM39" s="717">
        <v>0</v>
      </c>
      <c r="AN39" s="717">
        <v>0</v>
      </c>
      <c r="AO39" s="717">
        <v>0</v>
      </c>
      <c r="AP39" s="717">
        <v>0</v>
      </c>
      <c r="AQ39" s="717">
        <v>0</v>
      </c>
      <c r="AR39" s="717">
        <v>0</v>
      </c>
      <c r="AS39" s="717">
        <v>0</v>
      </c>
      <c r="AT39" s="717">
        <v>0</v>
      </c>
      <c r="AU39" s="717">
        <v>0</v>
      </c>
      <c r="AV39" s="643">
        <v>0</v>
      </c>
      <c r="AW39" s="717">
        <v>0</v>
      </c>
      <c r="AX39" s="717">
        <v>0</v>
      </c>
      <c r="AY39" s="643">
        <v>0</v>
      </c>
      <c r="AZ39" s="717">
        <v>0</v>
      </c>
      <c r="BA39" s="717">
        <v>0</v>
      </c>
      <c r="BB39" s="717">
        <v>0</v>
      </c>
      <c r="BC39" s="717">
        <v>0</v>
      </c>
      <c r="BD39" s="717">
        <v>0</v>
      </c>
      <c r="BE39" s="717">
        <v>0</v>
      </c>
      <c r="BF39" s="717">
        <v>0</v>
      </c>
      <c r="BG39" s="717">
        <v>0</v>
      </c>
      <c r="BH39" s="717">
        <v>0</v>
      </c>
      <c r="BI39" s="717">
        <v>0</v>
      </c>
      <c r="BJ39" s="717">
        <v>0</v>
      </c>
      <c r="BK39" s="674">
        <f t="shared" si="0"/>
        <v>0</v>
      </c>
      <c r="BM39" s="659">
        <f t="shared" si="1"/>
        <v>0</v>
      </c>
      <c r="BN39" s="659">
        <f t="shared" si="2"/>
        <v>0</v>
      </c>
    </row>
    <row r="40" spans="1:66" ht="22.5" customHeight="1" x14ac:dyDescent="0.25">
      <c r="A40" s="639" t="s">
        <v>97</v>
      </c>
      <c r="B40" s="652" t="s">
        <v>96</v>
      </c>
      <c r="C40" s="665"/>
      <c r="D40" s="643">
        <v>952776</v>
      </c>
      <c r="E40" s="643">
        <v>42433585</v>
      </c>
      <c r="F40" s="643">
        <v>42433585</v>
      </c>
      <c r="G40" s="717">
        <v>0</v>
      </c>
      <c r="H40" s="717">
        <v>0</v>
      </c>
      <c r="I40" s="717">
        <v>0</v>
      </c>
      <c r="J40" s="717">
        <v>0</v>
      </c>
      <c r="K40" s="717">
        <v>0</v>
      </c>
      <c r="L40" s="717">
        <v>0</v>
      </c>
      <c r="M40" s="717">
        <v>0</v>
      </c>
      <c r="N40" s="717">
        <v>0</v>
      </c>
      <c r="O40" s="717">
        <v>0</v>
      </c>
      <c r="P40" s="717">
        <v>0</v>
      </c>
      <c r="Q40" s="717">
        <v>0</v>
      </c>
      <c r="R40" s="717">
        <v>0</v>
      </c>
      <c r="S40" s="717">
        <v>0</v>
      </c>
      <c r="T40" s="717">
        <v>0</v>
      </c>
      <c r="U40" s="717">
        <v>0</v>
      </c>
      <c r="V40" s="717">
        <v>0</v>
      </c>
      <c r="W40" s="717">
        <v>0</v>
      </c>
      <c r="X40" s="717">
        <v>0</v>
      </c>
      <c r="Y40" s="717">
        <v>0</v>
      </c>
      <c r="Z40" s="717">
        <v>0</v>
      </c>
      <c r="AA40" s="717">
        <v>0</v>
      </c>
      <c r="AB40" s="717">
        <v>0</v>
      </c>
      <c r="AC40" s="717">
        <v>0</v>
      </c>
      <c r="AD40" s="717">
        <v>0</v>
      </c>
      <c r="AE40" s="717">
        <v>0</v>
      </c>
      <c r="AF40" s="717">
        <v>0</v>
      </c>
      <c r="AG40" s="717">
        <v>0</v>
      </c>
      <c r="AH40" s="717">
        <v>0</v>
      </c>
      <c r="AI40" s="717">
        <v>0</v>
      </c>
      <c r="AJ40" s="717">
        <v>0</v>
      </c>
      <c r="AK40" s="717">
        <v>0</v>
      </c>
      <c r="AL40" s="717">
        <v>0</v>
      </c>
      <c r="AM40" s="717">
        <v>0</v>
      </c>
      <c r="AN40" s="717">
        <v>0</v>
      </c>
      <c r="AO40" s="717">
        <v>0</v>
      </c>
      <c r="AP40" s="717">
        <v>0</v>
      </c>
      <c r="AQ40" s="717">
        <v>0</v>
      </c>
      <c r="AR40" s="717">
        <v>0</v>
      </c>
      <c r="AS40" s="717">
        <v>0</v>
      </c>
      <c r="AT40" s="717">
        <v>0</v>
      </c>
      <c r="AU40" s="717">
        <v>0</v>
      </c>
      <c r="AV40" s="643">
        <v>0</v>
      </c>
      <c r="AW40" s="717">
        <v>0</v>
      </c>
      <c r="AX40" s="717">
        <v>0</v>
      </c>
      <c r="AY40" s="643">
        <v>0</v>
      </c>
      <c r="AZ40" s="717">
        <v>0</v>
      </c>
      <c r="BA40" s="717">
        <v>0</v>
      </c>
      <c r="BB40" s="717">
        <v>0</v>
      </c>
      <c r="BC40" s="717">
        <v>0</v>
      </c>
      <c r="BD40" s="717">
        <v>0</v>
      </c>
      <c r="BE40" s="717">
        <v>0</v>
      </c>
      <c r="BF40" s="717">
        <v>0</v>
      </c>
      <c r="BG40" s="717">
        <v>0</v>
      </c>
      <c r="BH40" s="717">
        <v>0</v>
      </c>
      <c r="BI40" s="643">
        <v>952776</v>
      </c>
      <c r="BJ40" s="643">
        <v>42433585</v>
      </c>
      <c r="BK40" s="674">
        <f t="shared" si="0"/>
        <v>42433585</v>
      </c>
      <c r="BM40" s="659">
        <f t="shared" si="1"/>
        <v>42433585</v>
      </c>
      <c r="BN40" s="659">
        <f t="shared" si="2"/>
        <v>0</v>
      </c>
    </row>
    <row r="41" spans="1:66" ht="22.5" customHeight="1" x14ac:dyDescent="0.25">
      <c r="A41" s="639" t="s">
        <v>99</v>
      </c>
      <c r="B41" s="652" t="s">
        <v>98</v>
      </c>
      <c r="C41" s="665"/>
      <c r="D41" s="717">
        <v>0</v>
      </c>
      <c r="E41" s="717">
        <v>0</v>
      </c>
      <c r="F41" s="717">
        <v>0</v>
      </c>
      <c r="G41" s="717">
        <v>0</v>
      </c>
      <c r="H41" s="717">
        <v>0</v>
      </c>
      <c r="I41" s="717">
        <v>0</v>
      </c>
      <c r="J41" s="717">
        <v>0</v>
      </c>
      <c r="K41" s="717">
        <v>0</v>
      </c>
      <c r="L41" s="717">
        <v>0</v>
      </c>
      <c r="M41" s="717">
        <v>0</v>
      </c>
      <c r="N41" s="717">
        <v>0</v>
      </c>
      <c r="O41" s="717">
        <v>0</v>
      </c>
      <c r="P41" s="717">
        <v>0</v>
      </c>
      <c r="Q41" s="717">
        <v>0</v>
      </c>
      <c r="R41" s="717">
        <v>0</v>
      </c>
      <c r="S41" s="717">
        <v>0</v>
      </c>
      <c r="T41" s="717">
        <v>0</v>
      </c>
      <c r="U41" s="717">
        <v>0</v>
      </c>
      <c r="V41" s="717">
        <v>0</v>
      </c>
      <c r="W41" s="717">
        <v>0</v>
      </c>
      <c r="X41" s="717">
        <v>0</v>
      </c>
      <c r="Y41" s="717">
        <v>0</v>
      </c>
      <c r="Z41" s="717">
        <v>0</v>
      </c>
      <c r="AA41" s="717">
        <v>0</v>
      </c>
      <c r="AB41" s="717">
        <v>0</v>
      </c>
      <c r="AC41" s="717">
        <v>0</v>
      </c>
      <c r="AD41" s="717">
        <v>0</v>
      </c>
      <c r="AE41" s="717">
        <v>0</v>
      </c>
      <c r="AF41" s="717">
        <v>0</v>
      </c>
      <c r="AG41" s="717">
        <v>0</v>
      </c>
      <c r="AH41" s="717">
        <v>0</v>
      </c>
      <c r="AI41" s="717">
        <v>0</v>
      </c>
      <c r="AJ41" s="717">
        <v>0</v>
      </c>
      <c r="AK41" s="717">
        <v>0</v>
      </c>
      <c r="AL41" s="717">
        <v>0</v>
      </c>
      <c r="AM41" s="717">
        <v>0</v>
      </c>
      <c r="AN41" s="717">
        <v>0</v>
      </c>
      <c r="AO41" s="717">
        <v>0</v>
      </c>
      <c r="AP41" s="717">
        <v>0</v>
      </c>
      <c r="AQ41" s="717">
        <v>0</v>
      </c>
      <c r="AR41" s="717">
        <v>0</v>
      </c>
      <c r="AS41" s="717">
        <v>0</v>
      </c>
      <c r="AT41" s="717">
        <v>0</v>
      </c>
      <c r="AU41" s="717">
        <v>0</v>
      </c>
      <c r="AV41" s="643">
        <v>0</v>
      </c>
      <c r="AW41" s="717">
        <v>0</v>
      </c>
      <c r="AX41" s="717">
        <v>0</v>
      </c>
      <c r="AY41" s="643">
        <v>0</v>
      </c>
      <c r="AZ41" s="717">
        <v>0</v>
      </c>
      <c r="BA41" s="717">
        <v>0</v>
      </c>
      <c r="BB41" s="717">
        <v>0</v>
      </c>
      <c r="BC41" s="717">
        <v>0</v>
      </c>
      <c r="BD41" s="717">
        <v>0</v>
      </c>
      <c r="BE41" s="717">
        <v>0</v>
      </c>
      <c r="BF41" s="717">
        <v>0</v>
      </c>
      <c r="BG41" s="717">
        <v>0</v>
      </c>
      <c r="BH41" s="717">
        <v>0</v>
      </c>
      <c r="BI41" s="717">
        <v>0</v>
      </c>
      <c r="BJ41" s="717">
        <v>0</v>
      </c>
      <c r="BK41" s="674">
        <f t="shared" si="0"/>
        <v>0</v>
      </c>
      <c r="BM41" s="659">
        <f t="shared" si="1"/>
        <v>0</v>
      </c>
      <c r="BN41" s="659">
        <f t="shared" si="2"/>
        <v>0</v>
      </c>
    </row>
    <row r="42" spans="1:66" ht="22.5" customHeight="1" x14ac:dyDescent="0.25">
      <c r="A42" s="639" t="s">
        <v>101</v>
      </c>
      <c r="B42" s="652" t="s">
        <v>100</v>
      </c>
      <c r="C42" s="665"/>
      <c r="D42" s="643">
        <v>426431295</v>
      </c>
      <c r="E42" s="643">
        <v>426253668</v>
      </c>
      <c r="F42" s="643">
        <v>369545426</v>
      </c>
      <c r="G42" s="717">
        <v>0</v>
      </c>
      <c r="H42" s="717">
        <v>0</v>
      </c>
      <c r="I42" s="717">
        <v>0</v>
      </c>
      <c r="J42" s="717">
        <v>0</v>
      </c>
      <c r="K42" s="717">
        <v>0</v>
      </c>
      <c r="L42" s="717">
        <v>0</v>
      </c>
      <c r="M42" s="717">
        <v>0</v>
      </c>
      <c r="N42" s="717">
        <v>0</v>
      </c>
      <c r="O42" s="717">
        <v>0</v>
      </c>
      <c r="P42" s="717">
        <v>0</v>
      </c>
      <c r="Q42" s="717">
        <v>0</v>
      </c>
      <c r="R42" s="717">
        <v>0</v>
      </c>
      <c r="S42" s="717">
        <v>0</v>
      </c>
      <c r="T42" s="717">
        <v>0</v>
      </c>
      <c r="U42" s="717">
        <v>0</v>
      </c>
      <c r="V42" s="717">
        <v>0</v>
      </c>
      <c r="W42" s="717">
        <v>0</v>
      </c>
      <c r="X42" s="717">
        <v>0</v>
      </c>
      <c r="Y42" s="717">
        <v>0</v>
      </c>
      <c r="Z42" s="717">
        <v>0</v>
      </c>
      <c r="AA42" s="717">
        <v>0</v>
      </c>
      <c r="AB42" s="717">
        <v>0</v>
      </c>
      <c r="AC42" s="717">
        <v>0</v>
      </c>
      <c r="AD42" s="717">
        <v>0</v>
      </c>
      <c r="AE42" s="717">
        <v>0</v>
      </c>
      <c r="AF42" s="717">
        <v>0</v>
      </c>
      <c r="AG42" s="717">
        <v>0</v>
      </c>
      <c r="AH42" s="717">
        <v>0</v>
      </c>
      <c r="AI42" s="717">
        <v>0</v>
      </c>
      <c r="AJ42" s="717">
        <v>0</v>
      </c>
      <c r="AK42" s="717">
        <v>0</v>
      </c>
      <c r="AL42" s="717">
        <v>0</v>
      </c>
      <c r="AM42" s="717">
        <v>0</v>
      </c>
      <c r="AN42" s="717">
        <v>0</v>
      </c>
      <c r="AO42" s="717">
        <v>0</v>
      </c>
      <c r="AP42" s="717">
        <v>0</v>
      </c>
      <c r="AQ42" s="717">
        <v>0</v>
      </c>
      <c r="AR42" s="717">
        <v>0</v>
      </c>
      <c r="AS42" s="717">
        <v>0</v>
      </c>
      <c r="AT42" s="717">
        <v>0</v>
      </c>
      <c r="AU42" s="717">
        <v>0</v>
      </c>
      <c r="AV42" s="643">
        <v>0</v>
      </c>
      <c r="AW42" s="717">
        <v>0</v>
      </c>
      <c r="AX42" s="717">
        <v>0</v>
      </c>
      <c r="AY42" s="643">
        <v>0</v>
      </c>
      <c r="AZ42" s="717">
        <v>0</v>
      </c>
      <c r="BA42" s="717">
        <v>0</v>
      </c>
      <c r="BB42" s="717">
        <v>0</v>
      </c>
      <c r="BC42" s="717">
        <v>0</v>
      </c>
      <c r="BD42" s="717">
        <v>0</v>
      </c>
      <c r="BE42" s="717">
        <v>0</v>
      </c>
      <c r="BF42" s="717">
        <v>0</v>
      </c>
      <c r="BG42" s="717">
        <v>0</v>
      </c>
      <c r="BH42" s="717">
        <v>0</v>
      </c>
      <c r="BI42" s="643">
        <v>426431295</v>
      </c>
      <c r="BJ42" s="643">
        <v>426253668</v>
      </c>
      <c r="BK42" s="674">
        <f t="shared" si="0"/>
        <v>369545426</v>
      </c>
      <c r="BM42" s="659">
        <f t="shared" si="1"/>
        <v>369545426</v>
      </c>
      <c r="BN42" s="659">
        <f t="shared" si="2"/>
        <v>0</v>
      </c>
    </row>
    <row r="43" spans="1:66" ht="22.5" customHeight="1" x14ac:dyDescent="0.25">
      <c r="A43" s="639" t="s">
        <v>103</v>
      </c>
      <c r="B43" s="652" t="s">
        <v>102</v>
      </c>
      <c r="C43" s="665"/>
      <c r="D43" s="717">
        <v>0</v>
      </c>
      <c r="E43" s="643">
        <v>3138240</v>
      </c>
      <c r="F43" s="643">
        <v>3037862</v>
      </c>
      <c r="G43" s="717">
        <v>0</v>
      </c>
      <c r="H43" s="717">
        <v>0</v>
      </c>
      <c r="I43" s="717">
        <v>0</v>
      </c>
      <c r="J43" s="717">
        <v>0</v>
      </c>
      <c r="K43" s="717">
        <v>0</v>
      </c>
      <c r="L43" s="717">
        <v>0</v>
      </c>
      <c r="M43" s="717">
        <v>0</v>
      </c>
      <c r="N43" s="717">
        <v>0</v>
      </c>
      <c r="O43" s="717">
        <v>0</v>
      </c>
      <c r="P43" s="717">
        <v>0</v>
      </c>
      <c r="Q43" s="717">
        <v>0</v>
      </c>
      <c r="R43" s="717">
        <v>0</v>
      </c>
      <c r="S43" s="717">
        <v>0</v>
      </c>
      <c r="T43" s="717">
        <v>0</v>
      </c>
      <c r="U43" s="717">
        <v>0</v>
      </c>
      <c r="V43" s="717">
        <v>0</v>
      </c>
      <c r="W43" s="717">
        <v>0</v>
      </c>
      <c r="X43" s="717">
        <v>0</v>
      </c>
      <c r="Y43" s="717">
        <v>0</v>
      </c>
      <c r="Z43" s="717">
        <v>0</v>
      </c>
      <c r="AA43" s="717">
        <v>0</v>
      </c>
      <c r="AB43" s="717">
        <v>0</v>
      </c>
      <c r="AC43" s="717">
        <v>0</v>
      </c>
      <c r="AD43" s="717">
        <v>0</v>
      </c>
      <c r="AE43" s="717">
        <v>0</v>
      </c>
      <c r="AF43" s="717">
        <v>0</v>
      </c>
      <c r="AG43" s="717">
        <v>0</v>
      </c>
      <c r="AH43" s="717">
        <v>0</v>
      </c>
      <c r="AI43" s="717">
        <v>0</v>
      </c>
      <c r="AJ43" s="717">
        <v>0</v>
      </c>
      <c r="AK43" s="717">
        <v>0</v>
      </c>
      <c r="AL43" s="717">
        <v>0</v>
      </c>
      <c r="AM43" s="717">
        <v>0</v>
      </c>
      <c r="AN43" s="717">
        <v>0</v>
      </c>
      <c r="AO43" s="717">
        <v>0</v>
      </c>
      <c r="AP43" s="717">
        <v>0</v>
      </c>
      <c r="AQ43" s="717">
        <v>0</v>
      </c>
      <c r="AR43" s="717">
        <v>0</v>
      </c>
      <c r="AS43" s="717">
        <v>0</v>
      </c>
      <c r="AT43" s="717">
        <v>0</v>
      </c>
      <c r="AU43" s="717">
        <v>0</v>
      </c>
      <c r="AV43" s="643">
        <v>0</v>
      </c>
      <c r="AW43" s="717">
        <v>0</v>
      </c>
      <c r="AX43" s="717">
        <v>0</v>
      </c>
      <c r="AY43" s="643">
        <v>0</v>
      </c>
      <c r="AZ43" s="717">
        <v>0</v>
      </c>
      <c r="BA43" s="717">
        <v>0</v>
      </c>
      <c r="BB43" s="717">
        <v>0</v>
      </c>
      <c r="BC43" s="717">
        <v>0</v>
      </c>
      <c r="BD43" s="717">
        <v>0</v>
      </c>
      <c r="BE43" s="717">
        <v>0</v>
      </c>
      <c r="BF43" s="717">
        <v>0</v>
      </c>
      <c r="BG43" s="717">
        <v>0</v>
      </c>
      <c r="BH43" s="717">
        <v>0</v>
      </c>
      <c r="BI43" s="717">
        <v>0</v>
      </c>
      <c r="BJ43" s="643">
        <v>3138240</v>
      </c>
      <c r="BK43" s="674">
        <f t="shared" si="0"/>
        <v>3037862</v>
      </c>
      <c r="BM43" s="659">
        <f t="shared" si="1"/>
        <v>3037862</v>
      </c>
      <c r="BN43" s="659">
        <f t="shared" si="2"/>
        <v>0</v>
      </c>
    </row>
    <row r="44" spans="1:66" ht="22.5" customHeight="1" x14ac:dyDescent="0.25">
      <c r="A44" s="639" t="s">
        <v>105</v>
      </c>
      <c r="B44" s="24" t="s">
        <v>104</v>
      </c>
      <c r="C44" s="665"/>
      <c r="D44" s="717">
        <v>0</v>
      </c>
      <c r="E44" s="717">
        <v>0</v>
      </c>
      <c r="F44" s="717">
        <v>0</v>
      </c>
      <c r="G44" s="717">
        <v>0</v>
      </c>
      <c r="H44" s="717">
        <v>0</v>
      </c>
      <c r="I44" s="717">
        <v>0</v>
      </c>
      <c r="J44" s="717">
        <v>0</v>
      </c>
      <c r="K44" s="717">
        <v>0</v>
      </c>
      <c r="L44" s="717">
        <v>0</v>
      </c>
      <c r="M44" s="717">
        <v>0</v>
      </c>
      <c r="N44" s="717">
        <v>0</v>
      </c>
      <c r="O44" s="717">
        <v>0</v>
      </c>
      <c r="P44" s="717">
        <v>0</v>
      </c>
      <c r="Q44" s="717">
        <v>0</v>
      </c>
      <c r="R44" s="717">
        <v>0</v>
      </c>
      <c r="S44" s="717">
        <v>0</v>
      </c>
      <c r="T44" s="717">
        <v>0</v>
      </c>
      <c r="U44" s="717">
        <v>0</v>
      </c>
      <c r="V44" s="717">
        <v>0</v>
      </c>
      <c r="W44" s="717">
        <v>0</v>
      </c>
      <c r="X44" s="717">
        <v>0</v>
      </c>
      <c r="Y44" s="717">
        <v>0</v>
      </c>
      <c r="Z44" s="717">
        <v>0</v>
      </c>
      <c r="AA44" s="717">
        <v>0</v>
      </c>
      <c r="AB44" s="717">
        <v>0</v>
      </c>
      <c r="AC44" s="717">
        <v>0</v>
      </c>
      <c r="AD44" s="717">
        <v>0</v>
      </c>
      <c r="AE44" s="717">
        <v>0</v>
      </c>
      <c r="AF44" s="717">
        <v>0</v>
      </c>
      <c r="AG44" s="717">
        <v>0</v>
      </c>
      <c r="AH44" s="717">
        <v>0</v>
      </c>
      <c r="AI44" s="717">
        <v>0</v>
      </c>
      <c r="AJ44" s="717">
        <v>0</v>
      </c>
      <c r="AK44" s="717">
        <v>0</v>
      </c>
      <c r="AL44" s="717">
        <v>0</v>
      </c>
      <c r="AM44" s="717">
        <v>0</v>
      </c>
      <c r="AN44" s="717">
        <v>0</v>
      </c>
      <c r="AO44" s="717">
        <v>0</v>
      </c>
      <c r="AP44" s="717">
        <v>0</v>
      </c>
      <c r="AQ44" s="717">
        <v>0</v>
      </c>
      <c r="AR44" s="717">
        <v>0</v>
      </c>
      <c r="AS44" s="717">
        <v>0</v>
      </c>
      <c r="AT44" s="717">
        <v>0</v>
      </c>
      <c r="AU44" s="717">
        <v>0</v>
      </c>
      <c r="AV44" s="643">
        <v>0</v>
      </c>
      <c r="AW44" s="717">
        <v>0</v>
      </c>
      <c r="AX44" s="717">
        <v>0</v>
      </c>
      <c r="AY44" s="643">
        <v>0</v>
      </c>
      <c r="AZ44" s="717">
        <v>0</v>
      </c>
      <c r="BA44" s="717">
        <v>0</v>
      </c>
      <c r="BB44" s="717">
        <v>0</v>
      </c>
      <c r="BC44" s="717">
        <v>0</v>
      </c>
      <c r="BD44" s="717">
        <v>0</v>
      </c>
      <c r="BE44" s="717">
        <v>0</v>
      </c>
      <c r="BF44" s="717">
        <v>0</v>
      </c>
      <c r="BG44" s="717">
        <v>0</v>
      </c>
      <c r="BH44" s="717">
        <v>0</v>
      </c>
      <c r="BI44" s="717">
        <v>0</v>
      </c>
      <c r="BJ44" s="717">
        <v>0</v>
      </c>
      <c r="BK44" s="674">
        <f t="shared" si="0"/>
        <v>0</v>
      </c>
      <c r="BM44" s="659">
        <f t="shared" si="1"/>
        <v>0</v>
      </c>
      <c r="BN44" s="659">
        <f t="shared" si="2"/>
        <v>0</v>
      </c>
    </row>
    <row r="45" spans="1:66" ht="22.5" customHeight="1" x14ac:dyDescent="0.25">
      <c r="A45" s="639" t="s">
        <v>107</v>
      </c>
      <c r="B45" s="653" t="s">
        <v>106</v>
      </c>
      <c r="C45" s="664"/>
      <c r="D45" s="650">
        <v>427384071</v>
      </c>
      <c r="E45" s="650">
        <f>E30+E32+E33+E35+E40+E42</f>
        <v>468687253</v>
      </c>
      <c r="F45" s="650">
        <f>F30+F32+F33+F35+F40+F42</f>
        <v>411979011</v>
      </c>
      <c r="G45" s="650">
        <v>4000000</v>
      </c>
      <c r="H45" s="650">
        <f>H30+H32+H33+H35+H40+H42</f>
        <v>32153776</v>
      </c>
      <c r="I45" s="650">
        <f>I30+I32+I33+I35+I40+I42</f>
        <v>32153776</v>
      </c>
      <c r="J45" s="650">
        <v>3600000</v>
      </c>
      <c r="K45" s="650">
        <f>K30+K32+K33+K35+K40+K42</f>
        <v>4035674</v>
      </c>
      <c r="L45" s="650">
        <f>L30+L32+L33+L35+L40+L42</f>
        <v>4035674</v>
      </c>
      <c r="M45" s="650">
        <v>1500000</v>
      </c>
      <c r="N45" s="650">
        <f>N30+N32+N33+N35+N40+N42</f>
        <v>2426518</v>
      </c>
      <c r="O45" s="650">
        <f>O30+O32+O33+O35+O40+O42</f>
        <v>2426518</v>
      </c>
      <c r="P45" s="650">
        <v>900000</v>
      </c>
      <c r="Q45" s="650">
        <f>Q30+Q32+Q33+Q35+Q40+Q42</f>
        <v>955540</v>
      </c>
      <c r="R45" s="650">
        <f>R30+R32+R33+R35+R40+R42</f>
        <v>955540</v>
      </c>
      <c r="S45" s="717">
        <v>0</v>
      </c>
      <c r="T45" s="650">
        <f>T30+T32+T33+T35+T40+T42</f>
        <v>454610</v>
      </c>
      <c r="U45" s="650">
        <f>U30+U32+U33+U35+U40+U42</f>
        <v>386540</v>
      </c>
      <c r="V45" s="717">
        <v>0</v>
      </c>
      <c r="W45" s="717">
        <v>0</v>
      </c>
      <c r="X45" s="650">
        <f>X30+X32+X33+X35+X40+X42</f>
        <v>0</v>
      </c>
      <c r="Y45" s="717">
        <v>0</v>
      </c>
      <c r="Z45" s="717">
        <v>0</v>
      </c>
      <c r="AA45" s="650">
        <f>AA30+AA32+AA33+AA35+AA40+AA42</f>
        <v>0</v>
      </c>
      <c r="AB45" s="717">
        <v>0</v>
      </c>
      <c r="AC45" s="717">
        <v>0</v>
      </c>
      <c r="AD45" s="650">
        <f>AD30+AD32+AD33+AD35+AD40+AD42</f>
        <v>0</v>
      </c>
      <c r="AE45" s="717">
        <v>0</v>
      </c>
      <c r="AF45" s="717">
        <v>0</v>
      </c>
      <c r="AG45" s="650">
        <f>AG30+AG32+AG33+AG35+AG40+AG42</f>
        <v>0</v>
      </c>
      <c r="AH45" s="650">
        <v>42000000</v>
      </c>
      <c r="AI45" s="650">
        <f>AI30+AI32+AI33+AI35+AI40+AI42</f>
        <v>47444100</v>
      </c>
      <c r="AJ45" s="650">
        <f>AJ30+AJ32+AJ33+AJ35+AJ40+AJ42</f>
        <v>47444100</v>
      </c>
      <c r="AK45" s="650">
        <v>1740000</v>
      </c>
      <c r="AL45" s="650">
        <f>AL30+AL32+AL33+AL35+AL40+AL42</f>
        <v>1489200</v>
      </c>
      <c r="AM45" s="650">
        <f>AM30+AM32+AM33+AM35+AM40+AM42</f>
        <v>1489200</v>
      </c>
      <c r="AN45" s="650">
        <v>35260000</v>
      </c>
      <c r="AO45" s="650">
        <f>AO30+AO32+AO33+AO35+AO40+AO42</f>
        <v>36073996</v>
      </c>
      <c r="AP45" s="650">
        <f>AP30+AP32+AP33+AP35+AP40+AP42</f>
        <v>29423229</v>
      </c>
      <c r="AQ45" s="650">
        <v>49880000</v>
      </c>
      <c r="AR45" s="650">
        <v>81167532</v>
      </c>
      <c r="AS45" s="650">
        <f>AS30+AS32+AS33+AS35+AS40+AS42</f>
        <v>69666385</v>
      </c>
      <c r="AT45" s="650">
        <v>4622000</v>
      </c>
      <c r="AU45" s="650">
        <f>AU30+AU32+AU33+AU35+AU40+AU42</f>
        <v>4600793</v>
      </c>
      <c r="AV45" s="650">
        <f>AV30+AV32+AV33+AV35+AV40+AV42</f>
        <v>4453611</v>
      </c>
      <c r="AW45" s="650">
        <v>860000</v>
      </c>
      <c r="AX45" s="650">
        <f>AX30+AX32+AX33+AX35+AX40+AX42</f>
        <v>2587253</v>
      </c>
      <c r="AY45" s="650">
        <f>AY30+AY32+AY33+AY35+AY40+AY42</f>
        <v>2578637</v>
      </c>
      <c r="AZ45" s="650">
        <v>16832810</v>
      </c>
      <c r="BA45" s="717">
        <v>0</v>
      </c>
      <c r="BB45" s="650">
        <f>BB30+BB32+BB33+BB35+BB40+BB42</f>
        <v>0</v>
      </c>
      <c r="BC45" s="717">
        <v>0</v>
      </c>
      <c r="BD45" s="650">
        <v>790610</v>
      </c>
      <c r="BE45" s="650">
        <f>BE30+BE32+BE33+BE35+BE40+BE42</f>
        <v>788210</v>
      </c>
      <c r="BF45" s="717">
        <v>0</v>
      </c>
      <c r="BG45" s="650">
        <f>BG30+BG32+BG33+BG35+BG40+BG42</f>
        <v>9713705</v>
      </c>
      <c r="BH45" s="650">
        <f>BH30+BH32+BH33+BH35+BH40+BH42</f>
        <v>9712689</v>
      </c>
      <c r="BI45" s="650">
        <v>588578881</v>
      </c>
      <c r="BJ45" s="650">
        <f t="shared" si="0"/>
        <v>692580560</v>
      </c>
      <c r="BK45" s="650">
        <f t="shared" si="0"/>
        <v>617493120</v>
      </c>
      <c r="BM45" s="659">
        <f t="shared" si="1"/>
        <v>614111062</v>
      </c>
      <c r="BN45" s="659">
        <f t="shared" si="2"/>
        <v>3382058</v>
      </c>
    </row>
    <row r="46" spans="1:66" ht="22.5" customHeight="1" x14ac:dyDescent="0.25">
      <c r="A46" s="639" t="s">
        <v>109</v>
      </c>
      <c r="B46" s="653" t="s">
        <v>108</v>
      </c>
      <c r="C46" s="664"/>
      <c r="D46" s="717">
        <v>0</v>
      </c>
      <c r="E46" s="650">
        <v>3138240</v>
      </c>
      <c r="F46" s="717">
        <f>F31+F34+F36+F41+F43</f>
        <v>3037862</v>
      </c>
      <c r="G46" s="717">
        <v>0</v>
      </c>
      <c r="H46" s="717">
        <v>0</v>
      </c>
      <c r="I46" s="717">
        <f>I31+I34+I36+I41+I43</f>
        <v>0</v>
      </c>
      <c r="J46" s="717">
        <v>0</v>
      </c>
      <c r="K46" s="717">
        <v>0</v>
      </c>
      <c r="L46" s="717">
        <f>L31+L34+L36+L41+L43</f>
        <v>0</v>
      </c>
      <c r="M46" s="717">
        <v>0</v>
      </c>
      <c r="N46" s="717">
        <v>0</v>
      </c>
      <c r="O46" s="717">
        <f>O31+O34+O36+O41+O43</f>
        <v>0</v>
      </c>
      <c r="P46" s="717">
        <v>0</v>
      </c>
      <c r="Q46" s="717">
        <v>0</v>
      </c>
      <c r="R46" s="717">
        <f>R31+R34+R36+R41+R43</f>
        <v>0</v>
      </c>
      <c r="S46" s="717">
        <v>0</v>
      </c>
      <c r="T46" s="717">
        <v>0</v>
      </c>
      <c r="U46" s="717">
        <f>U31+U34+U36+U41+U43</f>
        <v>0</v>
      </c>
      <c r="V46" s="717">
        <v>0</v>
      </c>
      <c r="W46" s="717">
        <v>0</v>
      </c>
      <c r="X46" s="717">
        <f>X31+X34+X36+X41+X43</f>
        <v>0</v>
      </c>
      <c r="Y46" s="717">
        <v>0</v>
      </c>
      <c r="Z46" s="717">
        <v>0</v>
      </c>
      <c r="AA46" s="717">
        <f>AA31+AA34+AA36+AA41+AA43</f>
        <v>0</v>
      </c>
      <c r="AB46" s="717">
        <v>0</v>
      </c>
      <c r="AC46" s="717">
        <v>0</v>
      </c>
      <c r="AD46" s="717">
        <f>AD31+AD34+AD36+AD41+AD43</f>
        <v>0</v>
      </c>
      <c r="AE46" s="717">
        <v>0</v>
      </c>
      <c r="AF46" s="717">
        <v>0</v>
      </c>
      <c r="AG46" s="717">
        <f>AG31+AG34+AG36+AG41+AG43</f>
        <v>0</v>
      </c>
      <c r="AH46" s="717">
        <v>0</v>
      </c>
      <c r="AI46" s="717">
        <v>0</v>
      </c>
      <c r="AJ46" s="717">
        <f>AJ31+AJ34+AJ36+AJ41+AJ43</f>
        <v>0</v>
      </c>
      <c r="AK46" s="717">
        <v>0</v>
      </c>
      <c r="AL46" s="717">
        <v>0</v>
      </c>
      <c r="AM46" s="717">
        <f>AM31+AM34+AM36+AM41+AM43</f>
        <v>0</v>
      </c>
      <c r="AN46" s="717">
        <v>0</v>
      </c>
      <c r="AO46" s="717">
        <v>0</v>
      </c>
      <c r="AP46" s="717">
        <f>AP31+AP34+AP36+AP41+AP43</f>
        <v>0</v>
      </c>
      <c r="AQ46" s="717">
        <v>0</v>
      </c>
      <c r="AR46" s="650">
        <v>2006806</v>
      </c>
      <c r="AS46" s="650">
        <f>AS31+AS34+AS36+AS41+AS43</f>
        <v>2006806</v>
      </c>
      <c r="AT46" s="717">
        <v>0</v>
      </c>
      <c r="AU46" s="717">
        <v>0</v>
      </c>
      <c r="AV46" s="717">
        <f>AV31+AV34+AV36+AV41+AV43</f>
        <v>0</v>
      </c>
      <c r="AW46" s="717">
        <v>0</v>
      </c>
      <c r="AX46" s="717">
        <v>0</v>
      </c>
      <c r="AY46" s="717">
        <f>AY31+AY34+AY36+AY41+AY43</f>
        <v>0</v>
      </c>
      <c r="AZ46" s="717">
        <v>0</v>
      </c>
      <c r="BA46" s="717">
        <v>0</v>
      </c>
      <c r="BB46" s="717">
        <f>BB31+BB34+BB36+BB41+BB43</f>
        <v>0</v>
      </c>
      <c r="BC46" s="717">
        <v>0</v>
      </c>
      <c r="BD46" s="717">
        <v>0</v>
      </c>
      <c r="BE46" s="717">
        <f>BE31+BE34+BE36+BE41+BE43</f>
        <v>0</v>
      </c>
      <c r="BF46" s="717">
        <v>0</v>
      </c>
      <c r="BG46" s="717">
        <v>0</v>
      </c>
      <c r="BH46" s="717">
        <f>BH31+BH34+BH36+BH41+BH43</f>
        <v>0</v>
      </c>
      <c r="BI46" s="717">
        <v>0</v>
      </c>
      <c r="BJ46" s="650">
        <f t="shared" si="0"/>
        <v>5145046</v>
      </c>
      <c r="BK46" s="650">
        <f t="shared" si="0"/>
        <v>5044668</v>
      </c>
      <c r="BM46" s="659">
        <f t="shared" si="1"/>
        <v>5044668</v>
      </c>
      <c r="BN46" s="659">
        <f t="shared" si="2"/>
        <v>0</v>
      </c>
    </row>
    <row r="47" spans="1:66" ht="22.5" customHeight="1" x14ac:dyDescent="0.25">
      <c r="A47" s="639" t="s">
        <v>111</v>
      </c>
      <c r="B47" s="653" t="s">
        <v>110</v>
      </c>
      <c r="C47" s="664"/>
      <c r="D47" s="650">
        <v>427384071</v>
      </c>
      <c r="E47" s="650">
        <f>SUM(E30+E31+E32+E33+E34+E35+E36+E38)</f>
        <v>471825493</v>
      </c>
      <c r="F47" s="650">
        <f>SUM(F30+F31+F32+F33+F34+F35+F36+F38)</f>
        <v>415016873</v>
      </c>
      <c r="G47" s="650">
        <v>4000000</v>
      </c>
      <c r="H47" s="650">
        <f>SUM(H30+H31+H32+H33+H34+H35+H36+H38)</f>
        <v>32153776</v>
      </c>
      <c r="I47" s="650">
        <f>SUM(I30+I31+I32+I33+I34+I35+I36+I38)</f>
        <v>32153776</v>
      </c>
      <c r="J47" s="650">
        <v>3600000</v>
      </c>
      <c r="K47" s="650">
        <f>SUM(K30+K31+K32+K33+K34+K35+K36+K38)</f>
        <v>4035674</v>
      </c>
      <c r="L47" s="650">
        <f>SUM(L30+L31+L32+L33+L34+L35+L36+L38)</f>
        <v>4035674</v>
      </c>
      <c r="M47" s="650">
        <v>1500000</v>
      </c>
      <c r="N47" s="650">
        <f>SUM(N30+N31+N32+N33+N34+N35+N36+N38)</f>
        <v>2426518</v>
      </c>
      <c r="O47" s="650">
        <f>SUM(O30+O31+O32+O33+O34+O35+O36+O38)</f>
        <v>2426518</v>
      </c>
      <c r="P47" s="650">
        <v>900000</v>
      </c>
      <c r="Q47" s="650">
        <f>SUM(Q30+Q31+Q32+Q33+Q34+Q35+Q36+Q38)</f>
        <v>955540</v>
      </c>
      <c r="R47" s="650">
        <f>SUM(R30+R31+R32+R33+R34+R35+R36+R38)</f>
        <v>955540</v>
      </c>
      <c r="S47" s="717">
        <v>0</v>
      </c>
      <c r="T47" s="650">
        <f>SUM(T30+T31+T32+T33+T34+T35+T36+T38)</f>
        <v>454610</v>
      </c>
      <c r="U47" s="650">
        <f>SUM(U30+U31+U32+U33+U34+U35+U36+U38)</f>
        <v>386540</v>
      </c>
      <c r="V47" s="717">
        <v>0</v>
      </c>
      <c r="W47" s="717">
        <v>0</v>
      </c>
      <c r="X47" s="650">
        <f>SUM(X30+X31+X32+X33+X34+X35+X36+X38)</f>
        <v>0</v>
      </c>
      <c r="Y47" s="717">
        <v>0</v>
      </c>
      <c r="Z47" s="717">
        <v>0</v>
      </c>
      <c r="AA47" s="650">
        <f>SUM(AA30+AA31+AA32+AA33+AA34+AA35+AA36+AA38)</f>
        <v>0</v>
      </c>
      <c r="AB47" s="717">
        <v>0</v>
      </c>
      <c r="AC47" s="717">
        <v>0</v>
      </c>
      <c r="AD47" s="650">
        <f>SUM(AD30+AD31+AD32+AD33+AD34+AD35+AD36+AD38)</f>
        <v>0</v>
      </c>
      <c r="AE47" s="717">
        <v>0</v>
      </c>
      <c r="AF47" s="717">
        <v>0</v>
      </c>
      <c r="AG47" s="650">
        <f>SUM(AG30+AG31+AG32+AG33+AG34+AG35+AG36+AG38)</f>
        <v>0</v>
      </c>
      <c r="AH47" s="650">
        <v>42000000</v>
      </c>
      <c r="AI47" s="650">
        <f>SUM(AI30+AI31+AI32+AI33+AI34+AI35+AI36+AI38)</f>
        <v>47444100</v>
      </c>
      <c r="AJ47" s="650">
        <f>SUM(AJ30+AJ31+AJ32+AJ33+AJ34+AJ35+AJ36+AJ38)</f>
        <v>47444100</v>
      </c>
      <c r="AK47" s="650">
        <v>1740000</v>
      </c>
      <c r="AL47" s="650">
        <f>SUM(AL30+AL31+AL32+AL33+AL34+AL35+AL36+AL38)</f>
        <v>1489200</v>
      </c>
      <c r="AM47" s="650">
        <f>SUM(AM30+AM31+AM32+AM33+AM34+AM35+AM36+AM38)</f>
        <v>1489200</v>
      </c>
      <c r="AN47" s="650">
        <v>35260000</v>
      </c>
      <c r="AO47" s="650">
        <f>SUM(AO30+AO31+AO32+AO33+AO34+AO35+AO36+AO38)</f>
        <v>36073996</v>
      </c>
      <c r="AP47" s="650">
        <f>SUM(AP30+AP31+AP32+AP33+AP34+AP35+AP36+AP38)</f>
        <v>29423229</v>
      </c>
      <c r="AQ47" s="650">
        <v>49880000</v>
      </c>
      <c r="AR47" s="650">
        <v>83174338</v>
      </c>
      <c r="AS47" s="650">
        <f>SUM(AS30+AS31+AS32+AS33+AS34+AS35+AS36+AS38)</f>
        <v>71673191</v>
      </c>
      <c r="AT47" s="650">
        <v>4622000</v>
      </c>
      <c r="AU47" s="650">
        <f>SUM(AU30+AU31+AU32+AU33+AU34+AU35+AU36+AU38)</f>
        <v>4600793</v>
      </c>
      <c r="AV47" s="650">
        <f>SUM(AV30+AV31+AV32+AV33+AV34+AV35+AV36+AV38)</f>
        <v>4453611</v>
      </c>
      <c r="AW47" s="650">
        <v>860000</v>
      </c>
      <c r="AX47" s="650">
        <f>SUM(AX30+AX31+AX32+AX33+AX34+AX35+AX36+AX38)</f>
        <v>2587253</v>
      </c>
      <c r="AY47" s="650">
        <f>SUM(AY30+AY31+AY32+AY33+AY34+AY35+AY36+AY38)</f>
        <v>2578637</v>
      </c>
      <c r="AZ47" s="650">
        <v>16832810</v>
      </c>
      <c r="BA47" s="717">
        <v>0</v>
      </c>
      <c r="BB47" s="650">
        <f>SUM(BB30+BB31+BB32+BB33+BB34+BB35+BB36+BB38)</f>
        <v>0</v>
      </c>
      <c r="BC47" s="717">
        <v>0</v>
      </c>
      <c r="BD47" s="650">
        <v>790610</v>
      </c>
      <c r="BE47" s="650">
        <f>SUM(BE30+BE31+BE32+BE33+BE34+BE35+BE36+BE38)</f>
        <v>788210</v>
      </c>
      <c r="BF47" s="717">
        <v>0</v>
      </c>
      <c r="BG47" s="650">
        <f>SUM(BG30+BG31+BG32+BG33+BG34+BG35+BG36+BG38)</f>
        <v>9713705</v>
      </c>
      <c r="BH47" s="650">
        <f>SUM(BH30+BH31+BH32+BH33+BH34+BH35+BH36+BH38)</f>
        <v>9712689</v>
      </c>
      <c r="BI47" s="650">
        <v>588578881</v>
      </c>
      <c r="BJ47" s="650">
        <f t="shared" si="0"/>
        <v>697725606</v>
      </c>
      <c r="BK47" s="650">
        <f t="shared" si="0"/>
        <v>622537788</v>
      </c>
      <c r="BM47" s="659">
        <f t="shared" si="1"/>
        <v>619155730</v>
      </c>
      <c r="BN47" s="659">
        <f t="shared" si="2"/>
        <v>3382058</v>
      </c>
    </row>
    <row r="48" spans="1:66" ht="22.5" customHeight="1" x14ac:dyDescent="0.25">
      <c r="A48" s="639" t="s">
        <v>113</v>
      </c>
      <c r="B48" s="25" t="s">
        <v>112</v>
      </c>
      <c r="C48" s="663"/>
      <c r="D48" s="717">
        <v>0</v>
      </c>
      <c r="E48" s="717">
        <v>0</v>
      </c>
      <c r="F48" s="717">
        <v>0</v>
      </c>
      <c r="G48" s="643">
        <v>5</v>
      </c>
      <c r="H48" s="643">
        <v>6</v>
      </c>
      <c r="I48" s="655">
        <v>5</v>
      </c>
      <c r="J48" s="643">
        <v>1</v>
      </c>
      <c r="K48" s="643">
        <f>J48</f>
        <v>1</v>
      </c>
      <c r="L48" s="643">
        <v>1</v>
      </c>
      <c r="M48" s="643">
        <v>5</v>
      </c>
      <c r="N48" s="643">
        <v>6</v>
      </c>
      <c r="O48" s="839">
        <v>5.25</v>
      </c>
      <c r="P48" s="643">
        <v>2</v>
      </c>
      <c r="Q48" s="643">
        <f>P48</f>
        <v>2</v>
      </c>
      <c r="R48" s="643">
        <v>2</v>
      </c>
      <c r="S48" s="717">
        <v>0</v>
      </c>
      <c r="T48" s="717">
        <v>0</v>
      </c>
      <c r="U48" s="717">
        <v>0</v>
      </c>
      <c r="V48" s="717">
        <v>0</v>
      </c>
      <c r="W48" s="717">
        <v>0</v>
      </c>
      <c r="X48" s="717">
        <v>0</v>
      </c>
      <c r="Y48" s="643">
        <v>1</v>
      </c>
      <c r="Z48" s="643">
        <f>Y48</f>
        <v>1</v>
      </c>
      <c r="AA48" s="840">
        <v>1.5249999999999999</v>
      </c>
      <c r="AB48" s="643">
        <v>2</v>
      </c>
      <c r="AC48" s="643">
        <v>2</v>
      </c>
      <c r="AD48" s="839">
        <v>1.75</v>
      </c>
      <c r="AE48" s="643">
        <v>2</v>
      </c>
      <c r="AF48" s="643">
        <f>AE48</f>
        <v>2</v>
      </c>
      <c r="AG48" s="643">
        <v>2</v>
      </c>
      <c r="AH48" s="643">
        <v>8</v>
      </c>
      <c r="AI48" s="643">
        <f>AH48</f>
        <v>8</v>
      </c>
      <c r="AJ48" s="643">
        <v>8</v>
      </c>
      <c r="AK48" s="643">
        <v>3</v>
      </c>
      <c r="AL48" s="643">
        <f>AK48</f>
        <v>3</v>
      </c>
      <c r="AM48" s="643">
        <v>3</v>
      </c>
      <c r="AN48" s="717">
        <v>0</v>
      </c>
      <c r="AO48" s="717">
        <v>0</v>
      </c>
      <c r="AP48" s="717">
        <v>0</v>
      </c>
      <c r="AQ48" s="643">
        <v>2</v>
      </c>
      <c r="AR48" s="643">
        <f>AQ48</f>
        <v>2</v>
      </c>
      <c r="AS48" s="839">
        <v>1.75</v>
      </c>
      <c r="AT48" s="717">
        <v>0</v>
      </c>
      <c r="AU48" s="717">
        <v>0</v>
      </c>
      <c r="AV48" s="643">
        <v>0</v>
      </c>
      <c r="AW48" s="717">
        <v>0</v>
      </c>
      <c r="AX48" s="717">
        <v>0</v>
      </c>
      <c r="AY48" s="643">
        <v>0</v>
      </c>
      <c r="AZ48" s="717">
        <v>0</v>
      </c>
      <c r="BA48" s="717">
        <v>0</v>
      </c>
      <c r="BB48" s="717">
        <v>0</v>
      </c>
      <c r="BC48" s="717">
        <v>0</v>
      </c>
      <c r="BD48" s="717">
        <v>0</v>
      </c>
      <c r="BE48" s="717">
        <v>0</v>
      </c>
      <c r="BF48" s="717">
        <v>0</v>
      </c>
      <c r="BG48" s="717">
        <v>0</v>
      </c>
      <c r="BH48" s="717">
        <v>0</v>
      </c>
      <c r="BI48" s="717">
        <v>31</v>
      </c>
      <c r="BJ48" s="717">
        <v>33</v>
      </c>
      <c r="BK48" s="865">
        <f t="shared" si="0"/>
        <v>31.274999999999999</v>
      </c>
      <c r="BL48" s="678">
        <f>BI47-BI29</f>
        <v>0</v>
      </c>
      <c r="BM48" s="659">
        <f t="shared" si="1"/>
        <v>24.024999999999999</v>
      </c>
      <c r="BN48" s="659">
        <f t="shared" si="2"/>
        <v>7.25</v>
      </c>
    </row>
    <row r="49" spans="1:65" ht="22.5" customHeight="1" x14ac:dyDescent="0.25">
      <c r="A49" s="639" t="s">
        <v>250</v>
      </c>
      <c r="B49" s="25" t="s">
        <v>114</v>
      </c>
      <c r="C49" s="663"/>
      <c r="D49" s="717">
        <v>0</v>
      </c>
      <c r="E49" s="717">
        <v>0</v>
      </c>
      <c r="F49" s="717">
        <v>0</v>
      </c>
      <c r="G49" s="717">
        <v>0</v>
      </c>
      <c r="H49" s="717">
        <v>0</v>
      </c>
      <c r="I49" s="717">
        <v>0</v>
      </c>
      <c r="J49" s="717">
        <v>0</v>
      </c>
      <c r="K49" s="717">
        <v>0</v>
      </c>
      <c r="L49" s="717">
        <v>0</v>
      </c>
      <c r="M49" s="717">
        <v>0</v>
      </c>
      <c r="N49" s="717">
        <v>0</v>
      </c>
      <c r="O49" s="717">
        <v>0</v>
      </c>
      <c r="P49" s="717">
        <v>0</v>
      </c>
      <c r="Q49" s="717">
        <v>0</v>
      </c>
      <c r="R49" s="717">
        <v>0</v>
      </c>
      <c r="S49" s="717">
        <v>0</v>
      </c>
      <c r="T49" s="717">
        <v>0</v>
      </c>
      <c r="U49" s="717">
        <v>0</v>
      </c>
      <c r="V49" s="717">
        <v>0</v>
      </c>
      <c r="W49" s="717">
        <v>0</v>
      </c>
      <c r="X49" s="717">
        <v>0</v>
      </c>
      <c r="Y49" s="717">
        <v>0</v>
      </c>
      <c r="Z49" s="717">
        <v>0</v>
      </c>
      <c r="AA49" s="717">
        <v>0</v>
      </c>
      <c r="AB49" s="717">
        <v>0</v>
      </c>
      <c r="AC49" s="717">
        <v>0</v>
      </c>
      <c r="AD49" s="841">
        <v>0</v>
      </c>
      <c r="AE49" s="717">
        <v>0</v>
      </c>
      <c r="AF49" s="717">
        <v>0</v>
      </c>
      <c r="AG49" s="717">
        <v>0</v>
      </c>
      <c r="AH49" s="717">
        <v>0</v>
      </c>
      <c r="AI49" s="717">
        <v>0</v>
      </c>
      <c r="AJ49" s="717">
        <v>0</v>
      </c>
      <c r="AK49" s="717">
        <v>0</v>
      </c>
      <c r="AL49" s="717">
        <v>0</v>
      </c>
      <c r="AM49" s="717">
        <v>0</v>
      </c>
      <c r="AN49" s="717">
        <v>0</v>
      </c>
      <c r="AO49" s="717">
        <v>0</v>
      </c>
      <c r="AP49" s="717">
        <v>0</v>
      </c>
      <c r="AQ49" s="717">
        <v>0</v>
      </c>
      <c r="AR49" s="717">
        <v>0</v>
      </c>
      <c r="AS49" s="842">
        <v>0</v>
      </c>
      <c r="AT49" s="717">
        <v>0</v>
      </c>
      <c r="AU49" s="717">
        <v>0</v>
      </c>
      <c r="AV49" s="643">
        <v>0</v>
      </c>
      <c r="AW49" s="717">
        <v>0</v>
      </c>
      <c r="AX49" s="717">
        <v>0</v>
      </c>
      <c r="AY49" s="643">
        <v>0</v>
      </c>
      <c r="AZ49" s="717">
        <v>0</v>
      </c>
      <c r="BA49" s="717">
        <v>0</v>
      </c>
      <c r="BB49" s="717">
        <v>0</v>
      </c>
      <c r="BC49" s="717">
        <v>0</v>
      </c>
      <c r="BD49" s="717">
        <v>0</v>
      </c>
      <c r="BE49" s="717">
        <v>0</v>
      </c>
      <c r="BF49" s="717">
        <v>0</v>
      </c>
      <c r="BG49" s="717">
        <v>0</v>
      </c>
      <c r="BH49" s="717">
        <v>0</v>
      </c>
      <c r="BI49" s="717">
        <v>0</v>
      </c>
      <c r="BJ49" s="717">
        <v>0</v>
      </c>
      <c r="BK49" s="717">
        <f t="shared" si="0"/>
        <v>0</v>
      </c>
      <c r="BL49" s="659"/>
    </row>
    <row r="51" spans="1:65" x14ac:dyDescent="0.2">
      <c r="BM51" s="659">
        <f>+BM45+BM46-BM47</f>
        <v>0</v>
      </c>
    </row>
    <row r="52" spans="1:65" x14ac:dyDescent="0.2">
      <c r="BK52" s="659">
        <f>+BK45+BK46-BK47</f>
        <v>0</v>
      </c>
    </row>
  </sheetData>
  <mergeCells count="93">
    <mergeCell ref="BF2:BK2"/>
    <mergeCell ref="AN2:AR2"/>
    <mergeCell ref="AT2:AX2"/>
    <mergeCell ref="AZ2:BD2"/>
    <mergeCell ref="A4:A7"/>
    <mergeCell ref="B4:C4"/>
    <mergeCell ref="D4:F4"/>
    <mergeCell ref="G4:I4"/>
    <mergeCell ref="J4:L4"/>
    <mergeCell ref="A2:C3"/>
    <mergeCell ref="D2:H2"/>
    <mergeCell ref="P2:T2"/>
    <mergeCell ref="V2:Z2"/>
    <mergeCell ref="AB2:AF2"/>
    <mergeCell ref="AQ4:AS4"/>
    <mergeCell ref="AT4:AV4"/>
    <mergeCell ref="AB4:AD4"/>
    <mergeCell ref="B5:C5"/>
    <mergeCell ref="D5:F5"/>
    <mergeCell ref="G5:I5"/>
    <mergeCell ref="J5:L5"/>
    <mergeCell ref="M5:O5"/>
    <mergeCell ref="M4:O4"/>
    <mergeCell ref="P4:R4"/>
    <mergeCell ref="S4:U4"/>
    <mergeCell ref="V4:X4"/>
    <mergeCell ref="Y4:AA4"/>
    <mergeCell ref="AW4:AY4"/>
    <mergeCell ref="AZ4:BB4"/>
    <mergeCell ref="BC4:BE4"/>
    <mergeCell ref="BF4:BH4"/>
    <mergeCell ref="BI4:BK7"/>
    <mergeCell ref="AZ5:BB5"/>
    <mergeCell ref="BC5:BE5"/>
    <mergeCell ref="BF5:BH5"/>
    <mergeCell ref="B6:C6"/>
    <mergeCell ref="D6:F7"/>
    <mergeCell ref="G6:I7"/>
    <mergeCell ref="J6:L7"/>
    <mergeCell ref="M6:O7"/>
    <mergeCell ref="P6:R7"/>
    <mergeCell ref="S6:U7"/>
    <mergeCell ref="AH5:AJ5"/>
    <mergeCell ref="AK5:AM5"/>
    <mergeCell ref="AN5:AP5"/>
    <mergeCell ref="V6:X7"/>
    <mergeCell ref="Y6:AA7"/>
    <mergeCell ref="AB6:AD7"/>
    <mergeCell ref="AE6:AG7"/>
    <mergeCell ref="AH6:AJ7"/>
    <mergeCell ref="AK6:AM7"/>
    <mergeCell ref="AQ5:AS5"/>
    <mergeCell ref="AT5:AV5"/>
    <mergeCell ref="AW5:AY5"/>
    <mergeCell ref="AZ6:BB7"/>
    <mergeCell ref="BC6:BE7"/>
    <mergeCell ref="AQ8:AS8"/>
    <mergeCell ref="AT8:AV8"/>
    <mergeCell ref="BF6:BH7"/>
    <mergeCell ref="D8:F8"/>
    <mergeCell ref="G8:I8"/>
    <mergeCell ref="J8:L8"/>
    <mergeCell ref="M8:O8"/>
    <mergeCell ref="P8:R8"/>
    <mergeCell ref="S8:U8"/>
    <mergeCell ref="V8:X8"/>
    <mergeCell ref="Y8:AA8"/>
    <mergeCell ref="AB8:AD8"/>
    <mergeCell ref="AN6:AP7"/>
    <mergeCell ref="AQ6:AS7"/>
    <mergeCell ref="AT6:AV7"/>
    <mergeCell ref="AW6:AY7"/>
    <mergeCell ref="J2:O2"/>
    <mergeCell ref="AE8:AG8"/>
    <mergeCell ref="AH8:AJ8"/>
    <mergeCell ref="AK8:AM8"/>
    <mergeCell ref="AN8:AP8"/>
    <mergeCell ref="P5:R5"/>
    <mergeCell ref="S5:U5"/>
    <mergeCell ref="V5:X5"/>
    <mergeCell ref="Y5:AA5"/>
    <mergeCell ref="AB5:AD5"/>
    <mergeCell ref="AE5:AG5"/>
    <mergeCell ref="AE4:AG4"/>
    <mergeCell ref="AH4:AJ4"/>
    <mergeCell ref="AK4:AM4"/>
    <mergeCell ref="AN4:AP4"/>
    <mergeCell ref="AH2:AL2"/>
    <mergeCell ref="AW8:AY8"/>
    <mergeCell ref="AZ8:BB8"/>
    <mergeCell ref="BC8:BE8"/>
    <mergeCell ref="BF8:BH8"/>
    <mergeCell ref="BI8:BK8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paperSize="9" scale="55" orientation="portrait" horizontalDpi="200" verticalDpi="200" r:id="rId1"/>
  <headerFooter alignWithMargins="0">
    <oddHeader>&amp;CDunaharaszti Város Önkormányzat 2017.  évi zárszámadás&amp;R&amp;A</oddHeader>
    <oddFooter>&amp;C&amp;P/&amp;N</oddFooter>
  </headerFooter>
  <colBreaks count="9" manualBreakCount="9">
    <brk id="9" max="47" man="1"/>
    <brk id="15" max="47" man="1"/>
    <brk id="21" max="47" man="1"/>
    <brk id="27" max="47" man="1"/>
    <brk id="33" max="47" man="1"/>
    <brk id="39" max="47" man="1"/>
    <brk id="45" max="47" man="1"/>
    <brk id="51" max="47" man="1"/>
    <brk id="57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49"/>
  <sheetViews>
    <sheetView view="pageBreakPreview" zoomScale="33" zoomScaleSheetLayoutView="33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F13" sqref="F13"/>
    </sheetView>
  </sheetViews>
  <sheetFormatPr defaultRowHeight="12.75" x14ac:dyDescent="0.2"/>
  <cols>
    <col min="1" max="1" width="6.5703125" style="626" customWidth="1"/>
    <col min="2" max="2" width="64.85546875" style="626" customWidth="1"/>
    <col min="3" max="3" width="7.85546875" style="626" customWidth="1"/>
    <col min="4" max="4" width="16.140625" style="628" customWidth="1"/>
    <col min="5" max="7" width="16.5703125" style="628" customWidth="1"/>
    <col min="8" max="9" width="16.42578125" style="628" customWidth="1"/>
    <col min="10" max="10" width="16.5703125" style="628" customWidth="1"/>
    <col min="11" max="12" width="16.42578125" style="628" customWidth="1"/>
    <col min="13" max="13" width="16.28515625" style="628" customWidth="1"/>
    <col min="14" max="24" width="16.140625" style="628" customWidth="1"/>
    <col min="25" max="25" width="17.7109375" style="628" customWidth="1"/>
    <col min="26" max="27" width="17.42578125" style="628" customWidth="1"/>
    <col min="28" max="29" width="15.85546875" style="628" customWidth="1"/>
    <col min="30" max="30" width="16.42578125" style="626" customWidth="1"/>
    <col min="31" max="31" width="10.7109375" style="626" bestFit="1" customWidth="1"/>
    <col min="32" max="16384" width="9.140625" style="626"/>
  </cols>
  <sheetData>
    <row r="1" spans="1:31" x14ac:dyDescent="0.2">
      <c r="H1" s="657" t="s">
        <v>0</v>
      </c>
      <c r="I1" s="657"/>
      <c r="K1" s="657"/>
      <c r="L1" s="657"/>
      <c r="M1" s="657"/>
      <c r="N1" s="657" t="s">
        <v>0</v>
      </c>
      <c r="O1" s="657"/>
      <c r="T1" s="657" t="s">
        <v>0</v>
      </c>
      <c r="U1" s="657"/>
      <c r="AB1" s="657"/>
      <c r="AC1" s="679" t="s">
        <v>0</v>
      </c>
      <c r="AD1" s="663"/>
    </row>
    <row r="2" spans="1:31" ht="51" customHeight="1" x14ac:dyDescent="0.2">
      <c r="A2" s="961" t="s">
        <v>1249</v>
      </c>
      <c r="B2" s="962"/>
      <c r="C2" s="963"/>
      <c r="D2" s="958" t="s">
        <v>1280</v>
      </c>
      <c r="E2" s="959"/>
      <c r="F2" s="959"/>
      <c r="G2" s="959"/>
      <c r="H2" s="959"/>
      <c r="I2" s="960"/>
      <c r="J2" s="958" t="s">
        <v>1280</v>
      </c>
      <c r="K2" s="959"/>
      <c r="L2" s="959"/>
      <c r="M2" s="959"/>
      <c r="N2" s="959"/>
      <c r="O2" s="960"/>
      <c r="P2" s="958" t="s">
        <v>1280</v>
      </c>
      <c r="Q2" s="959"/>
      <c r="R2" s="959"/>
      <c r="S2" s="959"/>
      <c r="T2" s="959"/>
      <c r="U2" s="960"/>
      <c r="V2" s="958" t="s">
        <v>1280</v>
      </c>
      <c r="W2" s="959"/>
      <c r="X2" s="959"/>
      <c r="Y2" s="959"/>
      <c r="Z2" s="959"/>
      <c r="AA2" s="959"/>
      <c r="AB2" s="959"/>
      <c r="AC2" s="959"/>
      <c r="AD2" s="960"/>
    </row>
    <row r="3" spans="1:31" ht="51" customHeight="1" x14ac:dyDescent="0.2">
      <c r="A3" s="964"/>
      <c r="B3" s="965"/>
      <c r="C3" s="966"/>
      <c r="D3" s="560" t="s">
        <v>6</v>
      </c>
      <c r="E3" s="560" t="s">
        <v>7</v>
      </c>
      <c r="F3" s="560" t="s">
        <v>788</v>
      </c>
      <c r="G3" s="560" t="s">
        <v>6</v>
      </c>
      <c r="H3" s="560" t="s">
        <v>7</v>
      </c>
      <c r="I3" s="560" t="s">
        <v>788</v>
      </c>
      <c r="J3" s="560" t="s">
        <v>6</v>
      </c>
      <c r="K3" s="560" t="s">
        <v>7</v>
      </c>
      <c r="L3" s="560" t="s">
        <v>788</v>
      </c>
      <c r="M3" s="560" t="s">
        <v>6</v>
      </c>
      <c r="N3" s="560" t="s">
        <v>7</v>
      </c>
      <c r="O3" s="560" t="s">
        <v>788</v>
      </c>
      <c r="P3" s="560" t="s">
        <v>6</v>
      </c>
      <c r="Q3" s="560" t="s">
        <v>7</v>
      </c>
      <c r="R3" s="560" t="s">
        <v>788</v>
      </c>
      <c r="S3" s="560" t="s">
        <v>6</v>
      </c>
      <c r="T3" s="560" t="s">
        <v>7</v>
      </c>
      <c r="U3" s="560" t="s">
        <v>788</v>
      </c>
      <c r="V3" s="560" t="s">
        <v>6</v>
      </c>
      <c r="W3" s="560" t="s">
        <v>7</v>
      </c>
      <c r="X3" s="560" t="s">
        <v>788</v>
      </c>
      <c r="Y3" s="560" t="s">
        <v>6</v>
      </c>
      <c r="Z3" s="560" t="s">
        <v>7</v>
      </c>
      <c r="AA3" s="560" t="s">
        <v>788</v>
      </c>
      <c r="AB3" s="560" t="s">
        <v>6</v>
      </c>
      <c r="AC3" s="560" t="s">
        <v>7</v>
      </c>
      <c r="AD3" s="560" t="s">
        <v>788</v>
      </c>
      <c r="AE3" s="680"/>
    </row>
    <row r="4" spans="1:31" s="634" customFormat="1" ht="108.75" customHeight="1" x14ac:dyDescent="0.2">
      <c r="A4" s="979" t="s">
        <v>3</v>
      </c>
      <c r="B4" s="980" t="s">
        <v>4</v>
      </c>
      <c r="C4" s="980"/>
      <c r="D4" s="955" t="s">
        <v>1312</v>
      </c>
      <c r="E4" s="956"/>
      <c r="F4" s="957"/>
      <c r="G4" s="958" t="s">
        <v>1313</v>
      </c>
      <c r="H4" s="959"/>
      <c r="I4" s="960"/>
      <c r="J4" s="958" t="s">
        <v>1314</v>
      </c>
      <c r="K4" s="959"/>
      <c r="L4" s="960"/>
      <c r="M4" s="958" t="s">
        <v>1315</v>
      </c>
      <c r="N4" s="959"/>
      <c r="O4" s="960"/>
      <c r="P4" s="958" t="s">
        <v>1316</v>
      </c>
      <c r="Q4" s="959"/>
      <c r="R4" s="960"/>
      <c r="S4" s="958" t="s">
        <v>1255</v>
      </c>
      <c r="T4" s="959"/>
      <c r="U4" s="960"/>
      <c r="V4" s="958" t="s">
        <v>1317</v>
      </c>
      <c r="W4" s="990"/>
      <c r="X4" s="991"/>
      <c r="Y4" s="958" t="s">
        <v>1318</v>
      </c>
      <c r="Z4" s="959"/>
      <c r="AA4" s="960"/>
      <c r="AB4" s="940" t="s">
        <v>1258</v>
      </c>
      <c r="AC4" s="941"/>
      <c r="AD4" s="941"/>
    </row>
    <row r="5" spans="1:31" s="634" customFormat="1" ht="25.5" customHeight="1" x14ac:dyDescent="0.2">
      <c r="A5" s="979"/>
      <c r="B5" s="980" t="s">
        <v>5</v>
      </c>
      <c r="C5" s="980"/>
      <c r="D5" s="955" t="s">
        <v>11</v>
      </c>
      <c r="E5" s="956"/>
      <c r="F5" s="957"/>
      <c r="G5" s="955" t="s">
        <v>11</v>
      </c>
      <c r="H5" s="956"/>
      <c r="I5" s="957"/>
      <c r="J5" s="955" t="s">
        <v>11</v>
      </c>
      <c r="K5" s="956"/>
      <c r="L5" s="957"/>
      <c r="M5" s="955" t="s">
        <v>11</v>
      </c>
      <c r="N5" s="956"/>
      <c r="O5" s="957"/>
      <c r="P5" s="955" t="s">
        <v>11</v>
      </c>
      <c r="Q5" s="956"/>
      <c r="R5" s="957"/>
      <c r="S5" s="955" t="s">
        <v>11</v>
      </c>
      <c r="T5" s="956"/>
      <c r="U5" s="957"/>
      <c r="V5" s="955" t="s">
        <v>11</v>
      </c>
      <c r="W5" s="956"/>
      <c r="X5" s="957"/>
      <c r="Y5" s="955" t="s">
        <v>11</v>
      </c>
      <c r="Z5" s="956"/>
      <c r="AA5" s="957"/>
      <c r="AB5" s="986"/>
      <c r="AC5" s="987"/>
      <c r="AD5" s="987"/>
    </row>
    <row r="6" spans="1:31" s="634" customFormat="1" ht="19.5" customHeight="1" x14ac:dyDescent="0.2">
      <c r="A6" s="979"/>
      <c r="B6" s="980" t="s">
        <v>8</v>
      </c>
      <c r="C6" s="980"/>
      <c r="D6" s="940" t="s">
        <v>1259</v>
      </c>
      <c r="E6" s="941"/>
      <c r="F6" s="942"/>
      <c r="G6" s="958" t="s">
        <v>1281</v>
      </c>
      <c r="H6" s="959"/>
      <c r="I6" s="959"/>
      <c r="J6" s="959" t="s">
        <v>1270</v>
      </c>
      <c r="K6" s="959"/>
      <c r="L6" s="959"/>
      <c r="M6" s="959"/>
      <c r="N6" s="959"/>
      <c r="O6" s="960"/>
      <c r="P6" s="958" t="s">
        <v>1271</v>
      </c>
      <c r="Q6" s="959"/>
      <c r="R6" s="960"/>
      <c r="S6" s="940" t="s">
        <v>1321</v>
      </c>
      <c r="T6" s="941"/>
      <c r="U6" s="942"/>
      <c r="V6" s="958" t="s">
        <v>1281</v>
      </c>
      <c r="W6" s="959"/>
      <c r="X6" s="960"/>
      <c r="Y6" s="958" t="s">
        <v>1272</v>
      </c>
      <c r="Z6" s="959"/>
      <c r="AA6" s="960"/>
      <c r="AB6" s="986"/>
      <c r="AC6" s="987"/>
      <c r="AD6" s="987"/>
    </row>
    <row r="7" spans="1:31" ht="84" customHeight="1" x14ac:dyDescent="0.2">
      <c r="A7" s="979"/>
      <c r="B7" s="635" t="s">
        <v>9</v>
      </c>
      <c r="C7" s="636" t="s">
        <v>10</v>
      </c>
      <c r="D7" s="943"/>
      <c r="E7" s="944"/>
      <c r="F7" s="945"/>
      <c r="G7" s="958" t="s">
        <v>1325</v>
      </c>
      <c r="H7" s="959"/>
      <c r="I7" s="960"/>
      <c r="J7" s="958" t="s">
        <v>1324</v>
      </c>
      <c r="K7" s="959"/>
      <c r="L7" s="960"/>
      <c r="M7" s="958" t="s">
        <v>1323</v>
      </c>
      <c r="N7" s="959"/>
      <c r="O7" s="960"/>
      <c r="P7" s="943" t="s">
        <v>1322</v>
      </c>
      <c r="Q7" s="944"/>
      <c r="R7" s="945"/>
      <c r="S7" s="943"/>
      <c r="T7" s="944"/>
      <c r="U7" s="945"/>
      <c r="V7" s="958" t="s">
        <v>1320</v>
      </c>
      <c r="W7" s="990"/>
      <c r="X7" s="991"/>
      <c r="Y7" s="989" t="s">
        <v>1319</v>
      </c>
      <c r="Z7" s="990"/>
      <c r="AA7" s="991"/>
      <c r="AB7" s="943"/>
      <c r="AC7" s="944"/>
      <c r="AD7" s="944"/>
    </row>
    <row r="8" spans="1:31" ht="15.75" x14ac:dyDescent="0.2">
      <c r="A8" s="637" t="s">
        <v>15</v>
      </c>
      <c r="B8" s="638" t="s">
        <v>16</v>
      </c>
      <c r="C8" s="638" t="s">
        <v>17</v>
      </c>
      <c r="D8" s="976" t="s">
        <v>18</v>
      </c>
      <c r="E8" s="977"/>
      <c r="F8" s="978"/>
      <c r="G8" s="976" t="s">
        <v>19</v>
      </c>
      <c r="H8" s="977"/>
      <c r="I8" s="978"/>
      <c r="J8" s="976" t="s">
        <v>20</v>
      </c>
      <c r="K8" s="977"/>
      <c r="L8" s="978"/>
      <c r="M8" s="976" t="s">
        <v>21</v>
      </c>
      <c r="N8" s="977"/>
      <c r="O8" s="978"/>
      <c r="P8" s="976" t="s">
        <v>22</v>
      </c>
      <c r="Q8" s="977"/>
      <c r="R8" s="978"/>
      <c r="S8" s="976" t="s">
        <v>36</v>
      </c>
      <c r="T8" s="977"/>
      <c r="U8" s="978"/>
      <c r="V8" s="976" t="s">
        <v>39</v>
      </c>
      <c r="W8" s="977"/>
      <c r="X8" s="978"/>
      <c r="Y8" s="976" t="s">
        <v>42</v>
      </c>
      <c r="Z8" s="977"/>
      <c r="AA8" s="978"/>
      <c r="AB8" s="976" t="s">
        <v>45</v>
      </c>
      <c r="AC8" s="977"/>
      <c r="AD8" s="978"/>
    </row>
    <row r="9" spans="1:31" ht="21.75" customHeight="1" x14ac:dyDescent="0.25">
      <c r="A9" s="639" t="s">
        <v>15</v>
      </c>
      <c r="B9" s="640" t="s">
        <v>23</v>
      </c>
      <c r="C9" s="664" t="s">
        <v>24</v>
      </c>
      <c r="D9" s="717">
        <v>0</v>
      </c>
      <c r="E9" s="717">
        <v>0</v>
      </c>
      <c r="F9" s="643">
        <v>0</v>
      </c>
      <c r="G9" s="717">
        <v>0</v>
      </c>
      <c r="H9" s="717">
        <v>0</v>
      </c>
      <c r="I9" s="643">
        <v>0</v>
      </c>
      <c r="J9" s="717">
        <v>0</v>
      </c>
      <c r="K9" s="717">
        <v>0</v>
      </c>
      <c r="L9" s="643">
        <v>0</v>
      </c>
      <c r="M9" s="643">
        <v>24575188</v>
      </c>
      <c r="N9" s="643">
        <v>25375188</v>
      </c>
      <c r="O9" s="643">
        <v>24248761</v>
      </c>
      <c r="P9" s="643">
        <v>11239750</v>
      </c>
      <c r="Q9" s="643">
        <v>4923972</v>
      </c>
      <c r="R9" s="643">
        <v>4923972</v>
      </c>
      <c r="S9" s="717">
        <v>0</v>
      </c>
      <c r="T9" s="717">
        <v>0</v>
      </c>
      <c r="U9" s="643">
        <v>0</v>
      </c>
      <c r="V9" s="717">
        <v>0</v>
      </c>
      <c r="W9" s="717">
        <v>0</v>
      </c>
      <c r="X9" s="643">
        <v>0</v>
      </c>
      <c r="Y9" s="717">
        <v>0</v>
      </c>
      <c r="Z9" s="717">
        <v>0</v>
      </c>
      <c r="AA9" s="643">
        <v>0</v>
      </c>
      <c r="AB9" s="643">
        <v>35814938</v>
      </c>
      <c r="AC9" s="643">
        <v>30299160</v>
      </c>
      <c r="AD9" s="674">
        <f>F9+I9+L9+O9+R9+U9+X9+AA9</f>
        <v>29172733</v>
      </c>
    </row>
    <row r="10" spans="1:31" ht="21.75" customHeight="1" x14ac:dyDescent="0.25">
      <c r="A10" s="639" t="s">
        <v>16</v>
      </c>
      <c r="B10" s="645" t="s">
        <v>25</v>
      </c>
      <c r="C10" s="664" t="s">
        <v>26</v>
      </c>
      <c r="D10" s="717">
        <v>0</v>
      </c>
      <c r="E10" s="717">
        <v>0</v>
      </c>
      <c r="F10" s="643">
        <v>0</v>
      </c>
      <c r="G10" s="717">
        <v>0</v>
      </c>
      <c r="H10" s="717">
        <v>0</v>
      </c>
      <c r="I10" s="643">
        <v>0</v>
      </c>
      <c r="J10" s="717">
        <v>0</v>
      </c>
      <c r="K10" s="717">
        <v>0</v>
      </c>
      <c r="L10" s="643">
        <v>0</v>
      </c>
      <c r="M10" s="643">
        <v>5896476</v>
      </c>
      <c r="N10" s="643">
        <v>5896476</v>
      </c>
      <c r="O10" s="643">
        <v>5548589</v>
      </c>
      <c r="P10" s="643">
        <v>2620971</v>
      </c>
      <c r="Q10" s="643">
        <v>1143462</v>
      </c>
      <c r="R10" s="643">
        <v>1143462</v>
      </c>
      <c r="S10" s="717">
        <v>0</v>
      </c>
      <c r="T10" s="717">
        <v>0</v>
      </c>
      <c r="U10" s="643">
        <v>0</v>
      </c>
      <c r="V10" s="717">
        <v>0</v>
      </c>
      <c r="W10" s="717">
        <v>0</v>
      </c>
      <c r="X10" s="643">
        <v>0</v>
      </c>
      <c r="Y10" s="717">
        <v>0</v>
      </c>
      <c r="Z10" s="717">
        <v>0</v>
      </c>
      <c r="AA10" s="643">
        <v>0</v>
      </c>
      <c r="AB10" s="643">
        <v>8517447</v>
      </c>
      <c r="AC10" s="643">
        <v>7039938</v>
      </c>
      <c r="AD10" s="674">
        <f t="shared" ref="AD10:AD49" si="0">F10+I10+L10+O10+R10+U10+X10+AA10</f>
        <v>6692051</v>
      </c>
    </row>
    <row r="11" spans="1:31" ht="21.75" customHeight="1" x14ac:dyDescent="0.25">
      <c r="A11" s="639" t="s">
        <v>17</v>
      </c>
      <c r="B11" s="645" t="s">
        <v>27</v>
      </c>
      <c r="C11" s="664" t="s">
        <v>28</v>
      </c>
      <c r="D11" s="643">
        <v>21000</v>
      </c>
      <c r="E11" s="717">
        <v>0</v>
      </c>
      <c r="F11" s="643">
        <v>0</v>
      </c>
      <c r="G11" s="643">
        <v>5475000</v>
      </c>
      <c r="H11" s="643">
        <v>6016580</v>
      </c>
      <c r="I11" s="643">
        <v>4409047</v>
      </c>
      <c r="J11" s="717">
        <v>0</v>
      </c>
      <c r="K11" s="717">
        <v>0</v>
      </c>
      <c r="L11" s="643">
        <v>0</v>
      </c>
      <c r="M11" s="643">
        <v>7656539</v>
      </c>
      <c r="N11" s="643">
        <v>8009603</v>
      </c>
      <c r="O11" s="643">
        <v>7288375</v>
      </c>
      <c r="P11" s="643">
        <v>12005160</v>
      </c>
      <c r="Q11" s="643">
        <v>5473121</v>
      </c>
      <c r="R11" s="643">
        <v>5473121</v>
      </c>
      <c r="S11" s="717">
        <v>0</v>
      </c>
      <c r="T11" s="717">
        <v>0</v>
      </c>
      <c r="U11" s="643">
        <v>0</v>
      </c>
      <c r="V11" s="717">
        <v>0</v>
      </c>
      <c r="W11" s="643">
        <v>551463</v>
      </c>
      <c r="X11" s="643"/>
      <c r="Y11" s="717">
        <v>0</v>
      </c>
      <c r="Z11" s="643">
        <v>1424166</v>
      </c>
      <c r="AA11" s="643">
        <v>1424166</v>
      </c>
      <c r="AB11" s="643">
        <v>25157699</v>
      </c>
      <c r="AC11" s="643">
        <v>21474933</v>
      </c>
      <c r="AD11" s="674">
        <f t="shared" si="0"/>
        <v>18594709</v>
      </c>
    </row>
    <row r="12" spans="1:31" ht="21.75" customHeight="1" x14ac:dyDescent="0.25">
      <c r="A12" s="639" t="s">
        <v>18</v>
      </c>
      <c r="B12" s="646" t="s">
        <v>29</v>
      </c>
      <c r="C12" s="664" t="s">
        <v>30</v>
      </c>
      <c r="D12" s="717">
        <v>0</v>
      </c>
      <c r="E12" s="717">
        <v>0</v>
      </c>
      <c r="F12" s="643">
        <v>0</v>
      </c>
      <c r="G12" s="717">
        <v>0</v>
      </c>
      <c r="H12" s="717">
        <v>0</v>
      </c>
      <c r="I12" s="643">
        <v>0</v>
      </c>
      <c r="J12" s="717">
        <v>0</v>
      </c>
      <c r="K12" s="717">
        <v>0</v>
      </c>
      <c r="L12" s="643">
        <v>0</v>
      </c>
      <c r="M12" s="717">
        <v>0</v>
      </c>
      <c r="N12" s="717">
        <v>0</v>
      </c>
      <c r="O12" s="643">
        <v>0</v>
      </c>
      <c r="P12" s="717">
        <v>0</v>
      </c>
      <c r="Q12" s="717">
        <v>0</v>
      </c>
      <c r="R12" s="643">
        <v>0</v>
      </c>
      <c r="S12" s="717">
        <v>0</v>
      </c>
      <c r="T12" s="717">
        <v>0</v>
      </c>
      <c r="U12" s="643">
        <v>0</v>
      </c>
      <c r="V12" s="717">
        <v>0</v>
      </c>
      <c r="W12" s="717">
        <v>0</v>
      </c>
      <c r="X12" s="643">
        <v>0</v>
      </c>
      <c r="Y12" s="717">
        <v>0</v>
      </c>
      <c r="Z12" s="717">
        <v>0</v>
      </c>
      <c r="AA12" s="643">
        <v>0</v>
      </c>
      <c r="AB12" s="717">
        <v>0</v>
      </c>
      <c r="AC12" s="717">
        <v>0</v>
      </c>
      <c r="AD12" s="674">
        <f t="shared" si="0"/>
        <v>0</v>
      </c>
    </row>
    <row r="13" spans="1:31" ht="21.75" customHeight="1" x14ac:dyDescent="0.25">
      <c r="A13" s="639" t="s">
        <v>19</v>
      </c>
      <c r="B13" s="646" t="s">
        <v>31</v>
      </c>
      <c r="C13" s="664" t="s">
        <v>32</v>
      </c>
      <c r="D13" s="717">
        <v>0</v>
      </c>
      <c r="E13" s="643">
        <v>3362276</v>
      </c>
      <c r="F13" s="643">
        <f>SUM(F14:F16)</f>
        <v>3362276</v>
      </c>
      <c r="G13" s="717">
        <v>0</v>
      </c>
      <c r="H13" s="717">
        <v>0</v>
      </c>
      <c r="I13" s="643">
        <f>SUM(I14:I16)</f>
        <v>0</v>
      </c>
      <c r="J13" s="717">
        <v>0</v>
      </c>
      <c r="K13" s="717">
        <v>0</v>
      </c>
      <c r="L13" s="643">
        <f>SUM(L14:L16)</f>
        <v>0</v>
      </c>
      <c r="M13" s="717">
        <v>0</v>
      </c>
      <c r="N13" s="717">
        <v>0</v>
      </c>
      <c r="O13" s="643">
        <f>SUM(O14:O16)</f>
        <v>0</v>
      </c>
      <c r="P13" s="717">
        <v>0</v>
      </c>
      <c r="Q13" s="717">
        <v>0</v>
      </c>
      <c r="R13" s="643">
        <f>SUM(R14:R16)</f>
        <v>0</v>
      </c>
      <c r="S13" s="717">
        <v>0</v>
      </c>
      <c r="T13" s="717">
        <v>0</v>
      </c>
      <c r="U13" s="643">
        <f>SUM(U14:U16)</f>
        <v>0</v>
      </c>
      <c r="V13" s="717">
        <v>0</v>
      </c>
      <c r="W13" s="717">
        <v>0</v>
      </c>
      <c r="X13" s="643">
        <f>SUM(X14:X16)</f>
        <v>0</v>
      </c>
      <c r="Y13" s="717">
        <v>0</v>
      </c>
      <c r="Z13" s="717">
        <v>0</v>
      </c>
      <c r="AA13" s="643">
        <f>SUM(AA14:AA16)</f>
        <v>0</v>
      </c>
      <c r="AB13" s="717">
        <v>0</v>
      </c>
      <c r="AC13" s="643">
        <v>3362276</v>
      </c>
      <c r="AD13" s="674">
        <f t="shared" si="0"/>
        <v>3362276</v>
      </c>
    </row>
    <row r="14" spans="1:31" ht="21.75" customHeight="1" x14ac:dyDescent="0.25">
      <c r="A14" s="639" t="s">
        <v>20</v>
      </c>
      <c r="B14" s="21" t="s">
        <v>33</v>
      </c>
      <c r="C14" s="664"/>
      <c r="D14" s="717">
        <v>0</v>
      </c>
      <c r="E14" s="717">
        <v>0</v>
      </c>
      <c r="F14" s="643">
        <v>0</v>
      </c>
      <c r="G14" s="717">
        <v>0</v>
      </c>
      <c r="H14" s="717">
        <v>0</v>
      </c>
      <c r="I14" s="643">
        <v>0</v>
      </c>
      <c r="J14" s="717">
        <v>0</v>
      </c>
      <c r="K14" s="717">
        <v>0</v>
      </c>
      <c r="L14" s="643">
        <v>0</v>
      </c>
      <c r="M14" s="717">
        <v>0</v>
      </c>
      <c r="N14" s="717">
        <v>0</v>
      </c>
      <c r="O14" s="643">
        <v>0</v>
      </c>
      <c r="P14" s="717">
        <v>0</v>
      </c>
      <c r="Q14" s="717">
        <v>0</v>
      </c>
      <c r="R14" s="643">
        <v>0</v>
      </c>
      <c r="S14" s="717">
        <v>0</v>
      </c>
      <c r="T14" s="717">
        <v>0</v>
      </c>
      <c r="U14" s="643">
        <v>0</v>
      </c>
      <c r="V14" s="717">
        <v>0</v>
      </c>
      <c r="W14" s="717">
        <v>0</v>
      </c>
      <c r="X14" s="643">
        <v>0</v>
      </c>
      <c r="Y14" s="717">
        <v>0</v>
      </c>
      <c r="Z14" s="717">
        <v>0</v>
      </c>
      <c r="AA14" s="643">
        <v>0</v>
      </c>
      <c r="AB14" s="717">
        <v>0</v>
      </c>
      <c r="AC14" s="717">
        <v>0</v>
      </c>
      <c r="AD14" s="674">
        <f t="shared" si="0"/>
        <v>0</v>
      </c>
    </row>
    <row r="15" spans="1:31" ht="21.75" customHeight="1" x14ac:dyDescent="0.25">
      <c r="A15" s="639" t="s">
        <v>21</v>
      </c>
      <c r="B15" s="21" t="s">
        <v>34</v>
      </c>
      <c r="C15" s="665"/>
      <c r="D15" s="717">
        <v>0</v>
      </c>
      <c r="E15" s="717">
        <v>0</v>
      </c>
      <c r="F15" s="643">
        <v>0</v>
      </c>
      <c r="G15" s="717">
        <v>0</v>
      </c>
      <c r="H15" s="717">
        <v>0</v>
      </c>
      <c r="I15" s="643">
        <v>0</v>
      </c>
      <c r="J15" s="717">
        <v>0</v>
      </c>
      <c r="K15" s="717">
        <v>0</v>
      </c>
      <c r="L15" s="643">
        <v>0</v>
      </c>
      <c r="M15" s="717">
        <v>0</v>
      </c>
      <c r="N15" s="717">
        <v>0</v>
      </c>
      <c r="O15" s="643">
        <v>0</v>
      </c>
      <c r="P15" s="717">
        <v>0</v>
      </c>
      <c r="Q15" s="717">
        <v>0</v>
      </c>
      <c r="R15" s="643">
        <v>0</v>
      </c>
      <c r="S15" s="717">
        <v>0</v>
      </c>
      <c r="T15" s="717">
        <v>0</v>
      </c>
      <c r="U15" s="643">
        <v>0</v>
      </c>
      <c r="V15" s="717">
        <v>0</v>
      </c>
      <c r="W15" s="717">
        <v>0</v>
      </c>
      <c r="X15" s="643">
        <v>0</v>
      </c>
      <c r="Y15" s="717">
        <v>0</v>
      </c>
      <c r="Z15" s="717">
        <v>0</v>
      </c>
      <c r="AA15" s="643">
        <v>0</v>
      </c>
      <c r="AB15" s="717">
        <v>0</v>
      </c>
      <c r="AC15" s="717">
        <v>0</v>
      </c>
      <c r="AD15" s="674">
        <f t="shared" si="0"/>
        <v>0</v>
      </c>
    </row>
    <row r="16" spans="1:31" ht="21.75" customHeight="1" x14ac:dyDescent="0.25">
      <c r="A16" s="639" t="s">
        <v>22</v>
      </c>
      <c r="B16" s="17" t="s">
        <v>35</v>
      </c>
      <c r="C16" s="665"/>
      <c r="D16" s="717">
        <v>0</v>
      </c>
      <c r="E16" s="643">
        <v>3362276</v>
      </c>
      <c r="F16" s="643">
        <v>3362276</v>
      </c>
      <c r="G16" s="717">
        <v>0</v>
      </c>
      <c r="H16" s="717">
        <v>0</v>
      </c>
      <c r="I16" s="643">
        <v>0</v>
      </c>
      <c r="J16" s="717">
        <v>0</v>
      </c>
      <c r="K16" s="717">
        <v>0</v>
      </c>
      <c r="L16" s="643">
        <v>0</v>
      </c>
      <c r="M16" s="717">
        <v>0</v>
      </c>
      <c r="N16" s="717">
        <v>0</v>
      </c>
      <c r="O16" s="643">
        <v>0</v>
      </c>
      <c r="P16" s="717">
        <v>0</v>
      </c>
      <c r="Q16" s="717">
        <v>0</v>
      </c>
      <c r="R16" s="643">
        <v>0</v>
      </c>
      <c r="S16" s="717">
        <v>0</v>
      </c>
      <c r="T16" s="717">
        <v>0</v>
      </c>
      <c r="U16" s="643">
        <v>0</v>
      </c>
      <c r="V16" s="717">
        <v>0</v>
      </c>
      <c r="W16" s="717">
        <v>0</v>
      </c>
      <c r="X16" s="643">
        <v>0</v>
      </c>
      <c r="Y16" s="717">
        <v>0</v>
      </c>
      <c r="Z16" s="717">
        <v>0</v>
      </c>
      <c r="AA16" s="643">
        <v>0</v>
      </c>
      <c r="AB16" s="717">
        <v>0</v>
      </c>
      <c r="AC16" s="643">
        <v>3362276</v>
      </c>
      <c r="AD16" s="674">
        <f t="shared" si="0"/>
        <v>3362276</v>
      </c>
    </row>
    <row r="17" spans="1:30" ht="21.75" customHeight="1" x14ac:dyDescent="0.25">
      <c r="A17" s="639" t="s">
        <v>36</v>
      </c>
      <c r="B17" s="648" t="s">
        <v>37</v>
      </c>
      <c r="C17" s="664" t="s">
        <v>38</v>
      </c>
      <c r="D17" s="717">
        <v>0</v>
      </c>
      <c r="E17" s="717">
        <v>0</v>
      </c>
      <c r="F17" s="643">
        <v>0</v>
      </c>
      <c r="G17" s="717">
        <v>0</v>
      </c>
      <c r="H17" s="717">
        <v>0</v>
      </c>
      <c r="I17" s="643">
        <v>0</v>
      </c>
      <c r="J17" s="717">
        <v>0</v>
      </c>
      <c r="K17" s="717">
        <v>0</v>
      </c>
      <c r="L17" s="643">
        <v>0</v>
      </c>
      <c r="M17" s="717">
        <v>0</v>
      </c>
      <c r="N17" s="643">
        <v>1374836</v>
      </c>
      <c r="O17" s="643">
        <v>1359076</v>
      </c>
      <c r="P17" s="717">
        <v>0</v>
      </c>
      <c r="Q17" s="643">
        <v>226540</v>
      </c>
      <c r="R17" s="643">
        <v>226540</v>
      </c>
      <c r="S17" s="717">
        <v>0</v>
      </c>
      <c r="T17" s="717">
        <v>0</v>
      </c>
      <c r="U17" s="643">
        <v>0</v>
      </c>
      <c r="V17" s="717">
        <v>0</v>
      </c>
      <c r="W17" s="717">
        <v>0</v>
      </c>
      <c r="X17" s="643">
        <v>0</v>
      </c>
      <c r="Y17" s="717">
        <v>0</v>
      </c>
      <c r="Z17" s="717">
        <v>0</v>
      </c>
      <c r="AA17" s="643">
        <v>0</v>
      </c>
      <c r="AB17" s="717">
        <v>0</v>
      </c>
      <c r="AC17" s="643">
        <v>1601376</v>
      </c>
      <c r="AD17" s="674">
        <f t="shared" si="0"/>
        <v>1585616</v>
      </c>
    </row>
    <row r="18" spans="1:30" ht="21.75" customHeight="1" x14ac:dyDescent="0.25">
      <c r="A18" s="639" t="s">
        <v>39</v>
      </c>
      <c r="B18" s="646" t="s">
        <v>40</v>
      </c>
      <c r="C18" s="664" t="s">
        <v>41</v>
      </c>
      <c r="D18" s="717">
        <v>0</v>
      </c>
      <c r="E18" s="717">
        <v>0</v>
      </c>
      <c r="F18" s="643">
        <v>0</v>
      </c>
      <c r="G18" s="717">
        <v>0</v>
      </c>
      <c r="H18" s="717">
        <v>0</v>
      </c>
      <c r="I18" s="643">
        <v>0</v>
      </c>
      <c r="J18" s="717">
        <v>0</v>
      </c>
      <c r="K18" s="717">
        <v>0</v>
      </c>
      <c r="L18" s="643">
        <v>0</v>
      </c>
      <c r="M18" s="717">
        <v>0</v>
      </c>
      <c r="N18" s="717">
        <v>0</v>
      </c>
      <c r="O18" s="643">
        <v>0</v>
      </c>
      <c r="P18" s="717">
        <v>0</v>
      </c>
      <c r="Q18" s="717">
        <v>0</v>
      </c>
      <c r="R18" s="643">
        <v>0</v>
      </c>
      <c r="S18" s="717">
        <v>0</v>
      </c>
      <c r="T18" s="717">
        <v>0</v>
      </c>
      <c r="U18" s="643">
        <v>0</v>
      </c>
      <c r="V18" s="717">
        <v>0</v>
      </c>
      <c r="W18" s="717">
        <v>0</v>
      </c>
      <c r="X18" s="643">
        <v>0</v>
      </c>
      <c r="Y18" s="717">
        <v>0</v>
      </c>
      <c r="Z18" s="717">
        <v>0</v>
      </c>
      <c r="AA18" s="643">
        <v>0</v>
      </c>
      <c r="AB18" s="717">
        <v>0</v>
      </c>
      <c r="AC18" s="717">
        <v>0</v>
      </c>
      <c r="AD18" s="674">
        <f t="shared" si="0"/>
        <v>0</v>
      </c>
    </row>
    <row r="19" spans="1:30" ht="21.75" customHeight="1" x14ac:dyDescent="0.25">
      <c r="A19" s="639" t="s">
        <v>42</v>
      </c>
      <c r="B19" s="646" t="s">
        <v>43</v>
      </c>
      <c r="C19" s="664" t="s">
        <v>44</v>
      </c>
      <c r="D19" s="717">
        <v>0</v>
      </c>
      <c r="E19" s="717">
        <v>0</v>
      </c>
      <c r="F19" s="643">
        <f>SUM(F20)</f>
        <v>0</v>
      </c>
      <c r="G19" s="717">
        <v>0</v>
      </c>
      <c r="H19" s="717">
        <v>0</v>
      </c>
      <c r="I19" s="643">
        <f>SUM(I20)</f>
        <v>0</v>
      </c>
      <c r="J19" s="717">
        <v>0</v>
      </c>
      <c r="K19" s="717">
        <v>0</v>
      </c>
      <c r="L19" s="643">
        <f>SUM(L20)</f>
        <v>0</v>
      </c>
      <c r="M19" s="717">
        <v>0</v>
      </c>
      <c r="N19" s="717">
        <v>0</v>
      </c>
      <c r="O19" s="643">
        <f>SUM(O20)</f>
        <v>0</v>
      </c>
      <c r="P19" s="717">
        <v>0</v>
      </c>
      <c r="Q19" s="717">
        <v>0</v>
      </c>
      <c r="R19" s="643">
        <f>SUM(R20)</f>
        <v>0</v>
      </c>
      <c r="S19" s="717">
        <v>0</v>
      </c>
      <c r="T19" s="717">
        <v>0</v>
      </c>
      <c r="U19" s="643">
        <f>SUM(U20)</f>
        <v>0</v>
      </c>
      <c r="V19" s="717">
        <v>0</v>
      </c>
      <c r="W19" s="717">
        <v>0</v>
      </c>
      <c r="X19" s="643">
        <f>SUM(X20)</f>
        <v>0</v>
      </c>
      <c r="Y19" s="717">
        <v>0</v>
      </c>
      <c r="Z19" s="717">
        <v>0</v>
      </c>
      <c r="AA19" s="643">
        <f>SUM(AA20)</f>
        <v>0</v>
      </c>
      <c r="AB19" s="717">
        <v>0</v>
      </c>
      <c r="AC19" s="717">
        <v>0</v>
      </c>
      <c r="AD19" s="674">
        <f t="shared" si="0"/>
        <v>0</v>
      </c>
    </row>
    <row r="20" spans="1:30" ht="21.75" customHeight="1" x14ac:dyDescent="0.25">
      <c r="A20" s="639" t="s">
        <v>45</v>
      </c>
      <c r="B20" s="646" t="s">
        <v>46</v>
      </c>
      <c r="C20" s="664"/>
      <c r="D20" s="717">
        <v>0</v>
      </c>
      <c r="E20" s="717">
        <v>0</v>
      </c>
      <c r="F20" s="643">
        <v>0</v>
      </c>
      <c r="G20" s="717">
        <v>0</v>
      </c>
      <c r="H20" s="717">
        <v>0</v>
      </c>
      <c r="I20" s="643">
        <v>0</v>
      </c>
      <c r="J20" s="717">
        <v>0</v>
      </c>
      <c r="K20" s="717">
        <v>0</v>
      </c>
      <c r="L20" s="643">
        <v>0</v>
      </c>
      <c r="M20" s="717">
        <v>0</v>
      </c>
      <c r="N20" s="717">
        <v>0</v>
      </c>
      <c r="O20" s="643">
        <v>0</v>
      </c>
      <c r="P20" s="717">
        <v>0</v>
      </c>
      <c r="Q20" s="717">
        <v>0</v>
      </c>
      <c r="R20" s="643">
        <v>0</v>
      </c>
      <c r="S20" s="717">
        <v>0</v>
      </c>
      <c r="T20" s="717">
        <v>0</v>
      </c>
      <c r="U20" s="643">
        <v>0</v>
      </c>
      <c r="V20" s="717">
        <v>0</v>
      </c>
      <c r="W20" s="717">
        <v>0</v>
      </c>
      <c r="X20" s="643">
        <v>0</v>
      </c>
      <c r="Y20" s="717">
        <v>0</v>
      </c>
      <c r="Z20" s="717">
        <v>0</v>
      </c>
      <c r="AA20" s="643">
        <v>0</v>
      </c>
      <c r="AB20" s="717">
        <v>0</v>
      </c>
      <c r="AC20" s="717">
        <v>0</v>
      </c>
      <c r="AD20" s="674">
        <f t="shared" si="0"/>
        <v>0</v>
      </c>
    </row>
    <row r="21" spans="1:30" ht="21.75" customHeight="1" x14ac:dyDescent="0.25">
      <c r="A21" s="639" t="s">
        <v>47</v>
      </c>
      <c r="B21" s="648" t="s">
        <v>48</v>
      </c>
      <c r="C21" s="664" t="s">
        <v>49</v>
      </c>
      <c r="D21" s="643">
        <v>21000</v>
      </c>
      <c r="E21" s="643">
        <v>3362276</v>
      </c>
      <c r="F21" s="643">
        <f>F9+F10+F11+F12+F13+F17+F18+F19</f>
        <v>3362276</v>
      </c>
      <c r="G21" s="643">
        <v>5475000</v>
      </c>
      <c r="H21" s="643">
        <v>6016580</v>
      </c>
      <c r="I21" s="643">
        <f>I9+I10+I11+I12+I13+I17+I18+I19</f>
        <v>4409047</v>
      </c>
      <c r="J21" s="717">
        <v>0</v>
      </c>
      <c r="K21" s="717">
        <v>0</v>
      </c>
      <c r="L21" s="643">
        <f>L9+L10+L11+L12+L13+L17+L18+L19</f>
        <v>0</v>
      </c>
      <c r="M21" s="643">
        <v>38128203</v>
      </c>
      <c r="N21" s="643">
        <v>40656103</v>
      </c>
      <c r="O21" s="643">
        <f>O9+O10+O11+O12+O13+O17+O18+O19</f>
        <v>38444801</v>
      </c>
      <c r="P21" s="643">
        <v>25865881</v>
      </c>
      <c r="Q21" s="643">
        <v>11767095</v>
      </c>
      <c r="R21" s="643">
        <f>R17+R9+R10+R11+R12+R13+R18+R19</f>
        <v>11767095</v>
      </c>
      <c r="S21" s="717">
        <v>0</v>
      </c>
      <c r="T21" s="717">
        <v>0</v>
      </c>
      <c r="U21" s="643">
        <f>U9+U10+U11+U12+U13+U17+U18+U19</f>
        <v>0</v>
      </c>
      <c r="V21" s="717">
        <v>0</v>
      </c>
      <c r="W21" s="643">
        <v>551463</v>
      </c>
      <c r="X21" s="643">
        <f>X9+X10+X11+X12+X13+X17+X18+X19</f>
        <v>0</v>
      </c>
      <c r="Y21" s="717">
        <v>0</v>
      </c>
      <c r="Z21" s="643">
        <v>1424166</v>
      </c>
      <c r="AA21" s="643">
        <f>AA9+AA10+AA11+AA12+AA13+AA17+AA18+AA19</f>
        <v>1424166</v>
      </c>
      <c r="AB21" s="643">
        <v>69490084</v>
      </c>
      <c r="AC21" s="643">
        <v>63777683</v>
      </c>
      <c r="AD21" s="674">
        <f t="shared" si="0"/>
        <v>59407385</v>
      </c>
    </row>
    <row r="22" spans="1:30" ht="21.75" customHeight="1" x14ac:dyDescent="0.25">
      <c r="A22" s="639" t="s">
        <v>50</v>
      </c>
      <c r="B22" s="648" t="s">
        <v>51</v>
      </c>
      <c r="C22" s="664" t="s">
        <v>52</v>
      </c>
      <c r="D22" s="717">
        <v>0</v>
      </c>
      <c r="E22" s="717">
        <v>0</v>
      </c>
      <c r="F22" s="643">
        <f>SUM(F23:F26)</f>
        <v>0</v>
      </c>
      <c r="G22" s="717">
        <v>0</v>
      </c>
      <c r="H22" s="717">
        <v>0</v>
      </c>
      <c r="I22" s="643">
        <f>SUM(I23:I26)</f>
        <v>0</v>
      </c>
      <c r="J22" s="717">
        <v>0</v>
      </c>
      <c r="K22" s="717">
        <v>0</v>
      </c>
      <c r="L22" s="643">
        <f>SUM(L23:L26)</f>
        <v>0</v>
      </c>
      <c r="M22" s="717">
        <v>0</v>
      </c>
      <c r="N22" s="717">
        <v>0</v>
      </c>
      <c r="O22" s="643">
        <f>SUM(O23:O26)</f>
        <v>0</v>
      </c>
      <c r="P22" s="717">
        <v>0</v>
      </c>
      <c r="Q22" s="717">
        <v>0</v>
      </c>
      <c r="R22" s="643">
        <f>SUM(R23:R26)</f>
        <v>0</v>
      </c>
      <c r="S22" s="717">
        <v>0</v>
      </c>
      <c r="T22" s="717">
        <v>0</v>
      </c>
      <c r="U22" s="643">
        <f>SUM(U23:U26)</f>
        <v>0</v>
      </c>
      <c r="V22" s="717">
        <v>0</v>
      </c>
      <c r="W22" s="717">
        <v>0</v>
      </c>
      <c r="X22" s="643">
        <f>SUM(X23:X26)</f>
        <v>0</v>
      </c>
      <c r="Y22" s="717">
        <v>0</v>
      </c>
      <c r="Z22" s="717">
        <v>0</v>
      </c>
      <c r="AA22" s="643">
        <f>SUM(AA23:AA26)</f>
        <v>0</v>
      </c>
      <c r="AB22" s="717">
        <v>0</v>
      </c>
      <c r="AC22" s="717">
        <v>0</v>
      </c>
      <c r="AD22" s="674">
        <f t="shared" si="0"/>
        <v>0</v>
      </c>
    </row>
    <row r="23" spans="1:30" ht="21.75" customHeight="1" x14ac:dyDescent="0.25">
      <c r="A23" s="639" t="s">
        <v>53</v>
      </c>
      <c r="B23" s="24" t="s">
        <v>970</v>
      </c>
      <c r="C23" s="665"/>
      <c r="D23" s="717">
        <v>0</v>
      </c>
      <c r="E23" s="717">
        <v>0</v>
      </c>
      <c r="F23" s="643">
        <v>0</v>
      </c>
      <c r="G23" s="717">
        <v>0</v>
      </c>
      <c r="H23" s="717">
        <v>0</v>
      </c>
      <c r="I23" s="643">
        <v>0</v>
      </c>
      <c r="J23" s="717">
        <v>0</v>
      </c>
      <c r="K23" s="717">
        <v>0</v>
      </c>
      <c r="L23" s="643">
        <v>0</v>
      </c>
      <c r="M23" s="717">
        <v>0</v>
      </c>
      <c r="N23" s="717">
        <v>0</v>
      </c>
      <c r="O23" s="643">
        <v>0</v>
      </c>
      <c r="P23" s="717">
        <v>0</v>
      </c>
      <c r="Q23" s="717">
        <v>0</v>
      </c>
      <c r="R23" s="643">
        <v>0</v>
      </c>
      <c r="S23" s="717">
        <v>0</v>
      </c>
      <c r="T23" s="717">
        <v>0</v>
      </c>
      <c r="U23" s="643">
        <v>0</v>
      </c>
      <c r="V23" s="717">
        <v>0</v>
      </c>
      <c r="W23" s="717">
        <v>0</v>
      </c>
      <c r="X23" s="643">
        <v>0</v>
      </c>
      <c r="Y23" s="717">
        <v>0</v>
      </c>
      <c r="Z23" s="717">
        <v>0</v>
      </c>
      <c r="AA23" s="643">
        <v>0</v>
      </c>
      <c r="AB23" s="717">
        <v>0</v>
      </c>
      <c r="AC23" s="717">
        <v>0</v>
      </c>
      <c r="AD23" s="674">
        <f t="shared" si="0"/>
        <v>0</v>
      </c>
    </row>
    <row r="24" spans="1:30" ht="21.75" customHeight="1" x14ac:dyDescent="0.25">
      <c r="A24" s="639" t="s">
        <v>55</v>
      </c>
      <c r="B24" s="652" t="s">
        <v>56</v>
      </c>
      <c r="C24" s="665"/>
      <c r="D24" s="717">
        <v>0</v>
      </c>
      <c r="E24" s="717">
        <v>0</v>
      </c>
      <c r="F24" s="643">
        <v>0</v>
      </c>
      <c r="G24" s="717">
        <v>0</v>
      </c>
      <c r="H24" s="717">
        <v>0</v>
      </c>
      <c r="I24" s="643">
        <v>0</v>
      </c>
      <c r="J24" s="717">
        <v>0</v>
      </c>
      <c r="K24" s="717">
        <v>0</v>
      </c>
      <c r="L24" s="643">
        <v>0</v>
      </c>
      <c r="M24" s="717">
        <v>0</v>
      </c>
      <c r="N24" s="717">
        <v>0</v>
      </c>
      <c r="O24" s="643">
        <v>0</v>
      </c>
      <c r="P24" s="717">
        <v>0</v>
      </c>
      <c r="Q24" s="717">
        <v>0</v>
      </c>
      <c r="R24" s="643">
        <v>0</v>
      </c>
      <c r="S24" s="717">
        <v>0</v>
      </c>
      <c r="T24" s="717">
        <v>0</v>
      </c>
      <c r="U24" s="643">
        <v>0</v>
      </c>
      <c r="V24" s="717">
        <v>0</v>
      </c>
      <c r="W24" s="717">
        <v>0</v>
      </c>
      <c r="X24" s="643">
        <v>0</v>
      </c>
      <c r="Y24" s="717">
        <v>0</v>
      </c>
      <c r="Z24" s="717">
        <v>0</v>
      </c>
      <c r="AA24" s="643">
        <v>0</v>
      </c>
      <c r="AB24" s="717">
        <v>0</v>
      </c>
      <c r="AC24" s="717">
        <v>0</v>
      </c>
      <c r="AD24" s="674">
        <f t="shared" si="0"/>
        <v>0</v>
      </c>
    </row>
    <row r="25" spans="1:30" ht="21.75" customHeight="1" x14ac:dyDescent="0.25">
      <c r="A25" s="639" t="s">
        <v>57</v>
      </c>
      <c r="B25" s="652" t="s">
        <v>58</v>
      </c>
      <c r="C25" s="665"/>
      <c r="D25" s="717">
        <v>0</v>
      </c>
      <c r="E25" s="717">
        <v>0</v>
      </c>
      <c r="F25" s="643">
        <v>0</v>
      </c>
      <c r="G25" s="717">
        <v>0</v>
      </c>
      <c r="H25" s="717">
        <v>0</v>
      </c>
      <c r="I25" s="643">
        <v>0</v>
      </c>
      <c r="J25" s="717">
        <v>0</v>
      </c>
      <c r="K25" s="717">
        <v>0</v>
      </c>
      <c r="L25" s="643">
        <v>0</v>
      </c>
      <c r="M25" s="717">
        <v>0</v>
      </c>
      <c r="N25" s="717">
        <v>0</v>
      </c>
      <c r="O25" s="643">
        <v>0</v>
      </c>
      <c r="P25" s="717">
        <v>0</v>
      </c>
      <c r="Q25" s="717">
        <v>0</v>
      </c>
      <c r="R25" s="643">
        <v>0</v>
      </c>
      <c r="S25" s="717">
        <v>0</v>
      </c>
      <c r="T25" s="717">
        <v>0</v>
      </c>
      <c r="U25" s="643">
        <v>0</v>
      </c>
      <c r="V25" s="717">
        <v>0</v>
      </c>
      <c r="W25" s="717">
        <v>0</v>
      </c>
      <c r="X25" s="643">
        <v>0</v>
      </c>
      <c r="Y25" s="717">
        <v>0</v>
      </c>
      <c r="Z25" s="717">
        <v>0</v>
      </c>
      <c r="AA25" s="643">
        <v>0</v>
      </c>
      <c r="AB25" s="717">
        <v>0</v>
      </c>
      <c r="AC25" s="717">
        <v>0</v>
      </c>
      <c r="AD25" s="674">
        <f t="shared" si="0"/>
        <v>0</v>
      </c>
    </row>
    <row r="26" spans="1:30" ht="21.75" customHeight="1" x14ac:dyDescent="0.25">
      <c r="A26" s="639" t="s">
        <v>59</v>
      </c>
      <c r="B26" s="652" t="s">
        <v>60</v>
      </c>
      <c r="C26" s="665"/>
      <c r="D26" s="717">
        <v>0</v>
      </c>
      <c r="E26" s="717">
        <v>0</v>
      </c>
      <c r="F26" s="643">
        <v>0</v>
      </c>
      <c r="G26" s="717">
        <v>0</v>
      </c>
      <c r="H26" s="717">
        <v>0</v>
      </c>
      <c r="I26" s="643">
        <v>0</v>
      </c>
      <c r="J26" s="717">
        <v>0</v>
      </c>
      <c r="K26" s="717">
        <v>0</v>
      </c>
      <c r="L26" s="643">
        <v>0</v>
      </c>
      <c r="M26" s="717">
        <v>0</v>
      </c>
      <c r="N26" s="717">
        <v>0</v>
      </c>
      <c r="O26" s="643">
        <v>0</v>
      </c>
      <c r="P26" s="717">
        <v>0</v>
      </c>
      <c r="Q26" s="717">
        <v>0</v>
      </c>
      <c r="R26" s="643">
        <v>0</v>
      </c>
      <c r="S26" s="717">
        <v>0</v>
      </c>
      <c r="T26" s="717">
        <v>0</v>
      </c>
      <c r="U26" s="643">
        <v>0</v>
      </c>
      <c r="V26" s="717">
        <v>0</v>
      </c>
      <c r="W26" s="717">
        <v>0</v>
      </c>
      <c r="X26" s="643">
        <v>0</v>
      </c>
      <c r="Y26" s="717">
        <v>0</v>
      </c>
      <c r="Z26" s="717">
        <v>0</v>
      </c>
      <c r="AA26" s="643">
        <v>0</v>
      </c>
      <c r="AB26" s="717">
        <v>0</v>
      </c>
      <c r="AC26" s="717">
        <v>0</v>
      </c>
      <c r="AD26" s="674">
        <f t="shared" si="0"/>
        <v>0</v>
      </c>
    </row>
    <row r="27" spans="1:30" s="651" customFormat="1" ht="21.75" customHeight="1" x14ac:dyDescent="0.25">
      <c r="A27" s="639" t="s">
        <v>61</v>
      </c>
      <c r="B27" s="653" t="s">
        <v>62</v>
      </c>
      <c r="C27" s="664"/>
      <c r="D27" s="650">
        <v>21000</v>
      </c>
      <c r="E27" s="650">
        <v>3362276</v>
      </c>
      <c r="F27" s="650">
        <f>F9+F10+F11+F12+F13+F24</f>
        <v>3362276</v>
      </c>
      <c r="G27" s="650">
        <v>5475000</v>
      </c>
      <c r="H27" s="650">
        <v>6016580</v>
      </c>
      <c r="I27" s="650">
        <f>I9+I10+I11+I12+I13+I24</f>
        <v>4409047</v>
      </c>
      <c r="J27" s="717">
        <v>0</v>
      </c>
      <c r="K27" s="717">
        <v>0</v>
      </c>
      <c r="L27" s="650">
        <f>L9+L10+L11+L12+L13+L24</f>
        <v>0</v>
      </c>
      <c r="M27" s="650">
        <v>38128203</v>
      </c>
      <c r="N27" s="650">
        <v>39281267</v>
      </c>
      <c r="O27" s="650">
        <f>O9+O10+O11+O12+O13+O24</f>
        <v>37085725</v>
      </c>
      <c r="P27" s="650">
        <v>25865881</v>
      </c>
      <c r="Q27" s="650">
        <v>11540555</v>
      </c>
      <c r="R27" s="650">
        <f>R9+R10+R11+R12+R13+R24</f>
        <v>11540555</v>
      </c>
      <c r="S27" s="717">
        <v>0</v>
      </c>
      <c r="T27" s="717">
        <v>0</v>
      </c>
      <c r="U27" s="650">
        <f>U9+U10+U11+U12+U13+U24</f>
        <v>0</v>
      </c>
      <c r="V27" s="717">
        <v>0</v>
      </c>
      <c r="W27" s="650">
        <v>551463</v>
      </c>
      <c r="X27" s="650">
        <f>X9+X10+X11+X12+X13+X24</f>
        <v>0</v>
      </c>
      <c r="Y27" s="717">
        <v>0</v>
      </c>
      <c r="Z27" s="650">
        <v>1424166</v>
      </c>
      <c r="AA27" s="650">
        <f>AA9+AA10+AA11+AA12+AA13+AA24</f>
        <v>1424166</v>
      </c>
      <c r="AB27" s="643">
        <v>69490084</v>
      </c>
      <c r="AC27" s="650">
        <v>62176307</v>
      </c>
      <c r="AD27" s="674">
        <f t="shared" si="0"/>
        <v>57821769</v>
      </c>
    </row>
    <row r="28" spans="1:30" s="651" customFormat="1" ht="21.75" customHeight="1" x14ac:dyDescent="0.25">
      <c r="A28" s="639" t="s">
        <v>63</v>
      </c>
      <c r="B28" s="653" t="s">
        <v>64</v>
      </c>
      <c r="C28" s="664"/>
      <c r="D28" s="718">
        <v>0</v>
      </c>
      <c r="E28" s="718">
        <v>0</v>
      </c>
      <c r="F28" s="650">
        <f>F17+F18+F19+F25</f>
        <v>0</v>
      </c>
      <c r="G28" s="717">
        <v>0</v>
      </c>
      <c r="H28" s="717">
        <v>0</v>
      </c>
      <c r="I28" s="650">
        <f>I17+I18+I19+I25</f>
        <v>0</v>
      </c>
      <c r="J28" s="717">
        <v>0</v>
      </c>
      <c r="K28" s="717">
        <v>0</v>
      </c>
      <c r="L28" s="650">
        <f>L17+L18+L19+L25</f>
        <v>0</v>
      </c>
      <c r="M28" s="717">
        <v>0</v>
      </c>
      <c r="N28" s="650">
        <v>1374836</v>
      </c>
      <c r="O28" s="650">
        <f>O17+O18+O19+O25</f>
        <v>1359076</v>
      </c>
      <c r="P28" s="717">
        <v>0</v>
      </c>
      <c r="Q28" s="650">
        <v>226540</v>
      </c>
      <c r="R28" s="650">
        <f>R17+R18+R19+R25</f>
        <v>226540</v>
      </c>
      <c r="S28" s="717">
        <v>0</v>
      </c>
      <c r="T28" s="717">
        <v>0</v>
      </c>
      <c r="U28" s="650">
        <f>U17+U18+U19+U25</f>
        <v>0</v>
      </c>
      <c r="V28" s="717">
        <v>0</v>
      </c>
      <c r="W28" s="717">
        <v>0</v>
      </c>
      <c r="X28" s="650">
        <f>X17+X18+X19+X25</f>
        <v>0</v>
      </c>
      <c r="Y28" s="717">
        <v>0</v>
      </c>
      <c r="Z28" s="717">
        <v>0</v>
      </c>
      <c r="AA28" s="650">
        <f>AA17+AA18+AA19+AA25</f>
        <v>0</v>
      </c>
      <c r="AB28" s="717">
        <v>0</v>
      </c>
      <c r="AC28" s="650">
        <v>1601376</v>
      </c>
      <c r="AD28" s="674">
        <f t="shared" si="0"/>
        <v>1585616</v>
      </c>
    </row>
    <row r="29" spans="1:30" s="651" customFormat="1" ht="21.75" customHeight="1" x14ac:dyDescent="0.25">
      <c r="A29" s="639" t="s">
        <v>65</v>
      </c>
      <c r="B29" s="653" t="s">
        <v>66</v>
      </c>
      <c r="C29" s="664" t="s">
        <v>67</v>
      </c>
      <c r="D29" s="650">
        <v>21000</v>
      </c>
      <c r="E29" s="650">
        <v>3362276</v>
      </c>
      <c r="F29" s="650">
        <f>F9+F10+F11+F12+F13+F17+F18+F19+F22</f>
        <v>3362276</v>
      </c>
      <c r="G29" s="650">
        <v>5475000</v>
      </c>
      <c r="H29" s="650">
        <v>6016580</v>
      </c>
      <c r="I29" s="650">
        <f>I9+I10+I11+I12+I13+I17+I18+I19+I22</f>
        <v>4409047</v>
      </c>
      <c r="J29" s="717">
        <v>0</v>
      </c>
      <c r="K29" s="717">
        <v>0</v>
      </c>
      <c r="L29" s="650">
        <f>L9+L10+L11+L12+L13+L17+L18+L19+L22</f>
        <v>0</v>
      </c>
      <c r="M29" s="650">
        <v>38128203</v>
      </c>
      <c r="N29" s="650">
        <v>40656103</v>
      </c>
      <c r="O29" s="650">
        <f>O9+O10+O11+O12+O13+O17+O18+O19+O22</f>
        <v>38444801</v>
      </c>
      <c r="P29" s="650">
        <f t="shared" ref="P29" si="1">SUM(P27:P28)</f>
        <v>25865881</v>
      </c>
      <c r="Q29" s="650">
        <v>11767095</v>
      </c>
      <c r="R29" s="650">
        <f>R9+R10+R11+R12+R13+R17+R18+R19+R22</f>
        <v>11767095</v>
      </c>
      <c r="S29" s="717">
        <v>0</v>
      </c>
      <c r="T29" s="717">
        <v>0</v>
      </c>
      <c r="U29" s="650">
        <f>U9+U10+U11+U12+U13+U17+U18+U19+U22</f>
        <v>0</v>
      </c>
      <c r="V29" s="717">
        <v>0</v>
      </c>
      <c r="W29" s="650">
        <v>551463</v>
      </c>
      <c r="X29" s="650">
        <f>X9+X10+X11+X12+X13+X17+X18+X19+X22</f>
        <v>0</v>
      </c>
      <c r="Y29" s="717">
        <v>0</v>
      </c>
      <c r="Z29" s="650">
        <v>1424166</v>
      </c>
      <c r="AA29" s="650">
        <f>AA9+AA10+AA11+AA12+AA13+AA17+AA18+AA19+AA22</f>
        <v>1424166</v>
      </c>
      <c r="AB29" s="643">
        <v>69490084</v>
      </c>
      <c r="AC29" s="650">
        <v>63777683</v>
      </c>
      <c r="AD29" s="674">
        <f t="shared" si="0"/>
        <v>59407385</v>
      </c>
    </row>
    <row r="30" spans="1:30" ht="21.75" customHeight="1" x14ac:dyDescent="0.25">
      <c r="A30" s="639" t="s">
        <v>68</v>
      </c>
      <c r="B30" s="645" t="s">
        <v>69</v>
      </c>
      <c r="C30" s="648" t="s">
        <v>70</v>
      </c>
      <c r="D30" s="717">
        <v>0</v>
      </c>
      <c r="E30" s="717">
        <v>0</v>
      </c>
      <c r="F30" s="643">
        <v>0</v>
      </c>
      <c r="G30" s="717">
        <v>0</v>
      </c>
      <c r="H30" s="717">
        <v>0</v>
      </c>
      <c r="I30" s="643">
        <v>0</v>
      </c>
      <c r="J30" s="717">
        <v>0</v>
      </c>
      <c r="K30" s="717">
        <v>0</v>
      </c>
      <c r="L30" s="643">
        <v>0</v>
      </c>
      <c r="M30" s="717">
        <v>0</v>
      </c>
      <c r="N30" s="717">
        <v>0</v>
      </c>
      <c r="O30" s="643">
        <v>0</v>
      </c>
      <c r="P30" s="717">
        <v>0</v>
      </c>
      <c r="Q30" s="717">
        <v>0</v>
      </c>
      <c r="R30" s="643">
        <v>0</v>
      </c>
      <c r="S30" s="717">
        <v>0</v>
      </c>
      <c r="T30" s="717">
        <v>0</v>
      </c>
      <c r="U30" s="643">
        <v>0</v>
      </c>
      <c r="V30" s="717">
        <v>0</v>
      </c>
      <c r="W30" s="717">
        <v>173055</v>
      </c>
      <c r="X30" s="643">
        <v>173055</v>
      </c>
      <c r="Y30" s="717">
        <v>0</v>
      </c>
      <c r="Z30" s="717">
        <v>0</v>
      </c>
      <c r="AA30" s="643">
        <v>0</v>
      </c>
      <c r="AB30" s="717">
        <v>0</v>
      </c>
      <c r="AC30" s="717">
        <v>173055</v>
      </c>
      <c r="AD30" s="674">
        <f t="shared" si="0"/>
        <v>173055</v>
      </c>
    </row>
    <row r="31" spans="1:30" ht="21.75" customHeight="1" x14ac:dyDescent="0.25">
      <c r="A31" s="639" t="s">
        <v>71</v>
      </c>
      <c r="B31" s="645" t="s">
        <v>72</v>
      </c>
      <c r="C31" s="648" t="s">
        <v>73</v>
      </c>
      <c r="D31" s="717">
        <v>0</v>
      </c>
      <c r="E31" s="717">
        <v>0</v>
      </c>
      <c r="F31" s="643">
        <v>0</v>
      </c>
      <c r="G31" s="717">
        <v>0</v>
      </c>
      <c r="H31" s="717">
        <v>0</v>
      </c>
      <c r="I31" s="643">
        <v>0</v>
      </c>
      <c r="J31" s="717">
        <v>0</v>
      </c>
      <c r="K31" s="717">
        <v>0</v>
      </c>
      <c r="L31" s="643">
        <v>0</v>
      </c>
      <c r="M31" s="717">
        <v>0</v>
      </c>
      <c r="N31" s="717">
        <v>0</v>
      </c>
      <c r="O31" s="643">
        <v>0</v>
      </c>
      <c r="P31" s="717">
        <v>0</v>
      </c>
      <c r="Q31" s="717">
        <v>0</v>
      </c>
      <c r="R31" s="643">
        <v>0</v>
      </c>
      <c r="S31" s="717">
        <v>0</v>
      </c>
      <c r="T31" s="717">
        <v>0</v>
      </c>
      <c r="U31" s="643">
        <v>0</v>
      </c>
      <c r="V31" s="717">
        <v>0</v>
      </c>
      <c r="W31" s="717">
        <v>0</v>
      </c>
      <c r="X31" s="643">
        <v>0</v>
      </c>
      <c r="Y31" s="717">
        <v>0</v>
      </c>
      <c r="Z31" s="717">
        <v>0</v>
      </c>
      <c r="AA31" s="643">
        <v>0</v>
      </c>
      <c r="AB31" s="717">
        <v>0</v>
      </c>
      <c r="AC31" s="717">
        <v>0</v>
      </c>
      <c r="AD31" s="674">
        <f t="shared" si="0"/>
        <v>0</v>
      </c>
    </row>
    <row r="32" spans="1:30" ht="21.75" customHeight="1" x14ac:dyDescent="0.25">
      <c r="A32" s="639" t="s">
        <v>74</v>
      </c>
      <c r="B32" s="645" t="s">
        <v>75</v>
      </c>
      <c r="C32" s="648" t="s">
        <v>76</v>
      </c>
      <c r="D32" s="717">
        <v>0</v>
      </c>
      <c r="E32" s="717">
        <v>0</v>
      </c>
      <c r="F32" s="643">
        <v>0</v>
      </c>
      <c r="G32" s="717">
        <v>0</v>
      </c>
      <c r="H32" s="717">
        <v>0</v>
      </c>
      <c r="I32" s="643">
        <v>0</v>
      </c>
      <c r="J32" s="717">
        <v>0</v>
      </c>
      <c r="K32" s="717">
        <v>0</v>
      </c>
      <c r="L32" s="643">
        <v>0</v>
      </c>
      <c r="M32" s="717">
        <v>0</v>
      </c>
      <c r="N32" s="717">
        <v>0</v>
      </c>
      <c r="O32" s="643">
        <v>0</v>
      </c>
      <c r="P32" s="717">
        <v>0</v>
      </c>
      <c r="Q32" s="717">
        <v>0</v>
      </c>
      <c r="R32" s="643">
        <v>0</v>
      </c>
      <c r="S32" s="717">
        <v>0</v>
      </c>
      <c r="T32" s="717">
        <v>0</v>
      </c>
      <c r="U32" s="643">
        <v>0</v>
      </c>
      <c r="V32" s="717">
        <v>0</v>
      </c>
      <c r="W32" s="717">
        <v>0</v>
      </c>
      <c r="X32" s="643">
        <v>0</v>
      </c>
      <c r="Y32" s="717">
        <v>0</v>
      </c>
      <c r="Z32" s="717">
        <v>0</v>
      </c>
      <c r="AA32" s="643">
        <v>0</v>
      </c>
      <c r="AB32" s="717">
        <v>0</v>
      </c>
      <c r="AC32" s="717">
        <v>0</v>
      </c>
      <c r="AD32" s="674">
        <f t="shared" si="0"/>
        <v>0</v>
      </c>
    </row>
    <row r="33" spans="1:32" ht="21.75" customHeight="1" x14ac:dyDescent="0.25">
      <c r="A33" s="639" t="s">
        <v>77</v>
      </c>
      <c r="B33" s="646" t="s">
        <v>78</v>
      </c>
      <c r="C33" s="648" t="s">
        <v>79</v>
      </c>
      <c r="D33" s="717">
        <v>0</v>
      </c>
      <c r="E33" s="717">
        <v>0</v>
      </c>
      <c r="F33" s="643">
        <v>0</v>
      </c>
      <c r="G33" s="717">
        <v>0</v>
      </c>
      <c r="H33" s="717">
        <v>0</v>
      </c>
      <c r="I33" s="643">
        <v>0</v>
      </c>
      <c r="J33" s="717">
        <v>0</v>
      </c>
      <c r="K33" s="717">
        <v>0</v>
      </c>
      <c r="L33" s="643">
        <v>0</v>
      </c>
      <c r="M33" s="655">
        <v>1000000</v>
      </c>
      <c r="N33" s="643">
        <v>1529665</v>
      </c>
      <c r="O33" s="643">
        <v>1529665</v>
      </c>
      <c r="P33" s="655">
        <v>4000000</v>
      </c>
      <c r="Q33" s="643">
        <v>4111000</v>
      </c>
      <c r="R33" s="643">
        <v>4111000</v>
      </c>
      <c r="S33" s="655">
        <v>21000</v>
      </c>
      <c r="T33" s="717">
        <v>0</v>
      </c>
      <c r="U33" s="643">
        <v>0</v>
      </c>
      <c r="V33" s="717">
        <v>0</v>
      </c>
      <c r="W33" s="717">
        <v>0</v>
      </c>
      <c r="X33" s="643">
        <v>0</v>
      </c>
      <c r="Y33" s="717">
        <v>0</v>
      </c>
      <c r="Z33" s="643">
        <v>1349201</v>
      </c>
      <c r="AA33" s="643">
        <v>1349201</v>
      </c>
      <c r="AB33" s="643">
        <v>5021000</v>
      </c>
      <c r="AC33" s="643">
        <v>6989866</v>
      </c>
      <c r="AD33" s="674">
        <f>F33+I33+L33+O33+R33+U33+X33+AA33</f>
        <v>6989866</v>
      </c>
    </row>
    <row r="34" spans="1:32" ht="21.75" customHeight="1" x14ac:dyDescent="0.25">
      <c r="A34" s="639" t="s">
        <v>80</v>
      </c>
      <c r="B34" s="645" t="s">
        <v>81</v>
      </c>
      <c r="C34" s="648" t="s">
        <v>82</v>
      </c>
      <c r="D34" s="717">
        <v>0</v>
      </c>
      <c r="E34" s="717">
        <v>0</v>
      </c>
      <c r="F34" s="643">
        <v>0</v>
      </c>
      <c r="G34" s="717">
        <v>0</v>
      </c>
      <c r="H34" s="717">
        <v>0</v>
      </c>
      <c r="I34" s="643">
        <v>0</v>
      </c>
      <c r="J34" s="717">
        <v>0</v>
      </c>
      <c r="K34" s="717">
        <v>0</v>
      </c>
      <c r="L34" s="643">
        <v>0</v>
      </c>
      <c r="M34" s="717">
        <v>0</v>
      </c>
      <c r="N34" s="717">
        <v>0</v>
      </c>
      <c r="O34" s="643">
        <v>0</v>
      </c>
      <c r="P34" s="717">
        <v>0</v>
      </c>
      <c r="Q34" s="717">
        <v>0</v>
      </c>
      <c r="R34" s="643">
        <v>0</v>
      </c>
      <c r="S34" s="717">
        <v>0</v>
      </c>
      <c r="T34" s="717">
        <v>0</v>
      </c>
      <c r="U34" s="643">
        <v>0</v>
      </c>
      <c r="V34" s="717">
        <v>0</v>
      </c>
      <c r="W34" s="717">
        <v>0</v>
      </c>
      <c r="X34" s="643">
        <v>0</v>
      </c>
      <c r="Y34" s="717">
        <v>0</v>
      </c>
      <c r="Z34" s="717"/>
      <c r="AA34" s="643">
        <v>0</v>
      </c>
      <c r="AB34" s="717">
        <v>0</v>
      </c>
      <c r="AC34" s="717">
        <v>0</v>
      </c>
      <c r="AD34" s="674">
        <f t="shared" si="0"/>
        <v>0</v>
      </c>
    </row>
    <row r="35" spans="1:32" ht="21.75" customHeight="1" x14ac:dyDescent="0.25">
      <c r="A35" s="639" t="s">
        <v>83</v>
      </c>
      <c r="B35" s="645" t="s">
        <v>84</v>
      </c>
      <c r="C35" s="648" t="s">
        <v>85</v>
      </c>
      <c r="D35" s="717">
        <v>0</v>
      </c>
      <c r="E35" s="717">
        <v>0</v>
      </c>
      <c r="F35" s="643">
        <v>0</v>
      </c>
      <c r="G35" s="717">
        <v>0</v>
      </c>
      <c r="H35" s="717">
        <v>0</v>
      </c>
      <c r="I35" s="643">
        <v>0</v>
      </c>
      <c r="J35" s="717">
        <v>0</v>
      </c>
      <c r="K35" s="717">
        <v>0</v>
      </c>
      <c r="L35" s="643">
        <v>0</v>
      </c>
      <c r="M35" s="717">
        <v>0</v>
      </c>
      <c r="N35" s="717">
        <v>0</v>
      </c>
      <c r="O35" s="643">
        <v>0</v>
      </c>
      <c r="P35" s="717">
        <v>0</v>
      </c>
      <c r="Q35" s="717">
        <v>0</v>
      </c>
      <c r="R35" s="643">
        <v>0</v>
      </c>
      <c r="S35" s="717">
        <v>0</v>
      </c>
      <c r="T35" s="717">
        <v>0</v>
      </c>
      <c r="U35" s="643">
        <v>0</v>
      </c>
      <c r="V35" s="717">
        <v>0</v>
      </c>
      <c r="W35" s="717">
        <v>0</v>
      </c>
      <c r="X35" s="643">
        <v>0</v>
      </c>
      <c r="Y35" s="717">
        <v>0</v>
      </c>
      <c r="Z35" s="717">
        <v>0</v>
      </c>
      <c r="AA35" s="643">
        <v>0</v>
      </c>
      <c r="AB35" s="717">
        <v>0</v>
      </c>
      <c r="AC35" s="717">
        <v>0</v>
      </c>
      <c r="AD35" s="674">
        <f t="shared" si="0"/>
        <v>0</v>
      </c>
    </row>
    <row r="36" spans="1:32" ht="21.75" customHeight="1" x14ac:dyDescent="0.25">
      <c r="A36" s="639" t="s">
        <v>86</v>
      </c>
      <c r="B36" s="645" t="s">
        <v>87</v>
      </c>
      <c r="C36" s="648" t="s">
        <v>88</v>
      </c>
      <c r="D36" s="717">
        <v>0</v>
      </c>
      <c r="E36" s="717">
        <v>0</v>
      </c>
      <c r="F36" s="643">
        <v>0</v>
      </c>
      <c r="G36" s="717">
        <v>0</v>
      </c>
      <c r="H36" s="717">
        <v>0</v>
      </c>
      <c r="I36" s="643">
        <v>0</v>
      </c>
      <c r="J36" s="717">
        <v>0</v>
      </c>
      <c r="K36" s="717">
        <v>0</v>
      </c>
      <c r="L36" s="643">
        <v>0</v>
      </c>
      <c r="M36" s="717">
        <v>0</v>
      </c>
      <c r="N36" s="717">
        <v>0</v>
      </c>
      <c r="O36" s="643">
        <v>0</v>
      </c>
      <c r="P36" s="717">
        <v>0</v>
      </c>
      <c r="Q36" s="717">
        <v>0</v>
      </c>
      <c r="R36" s="643">
        <v>0</v>
      </c>
      <c r="S36" s="717">
        <v>0</v>
      </c>
      <c r="T36" s="717">
        <v>0</v>
      </c>
      <c r="U36" s="643">
        <v>0</v>
      </c>
      <c r="V36" s="717">
        <v>0</v>
      </c>
      <c r="W36" s="717">
        <v>0</v>
      </c>
      <c r="X36" s="643">
        <v>0</v>
      </c>
      <c r="Y36" s="717">
        <v>0</v>
      </c>
      <c r="Z36" s="717">
        <v>0</v>
      </c>
      <c r="AA36" s="643">
        <v>0</v>
      </c>
      <c r="AB36" s="717">
        <v>0</v>
      </c>
      <c r="AC36" s="717">
        <v>0</v>
      </c>
      <c r="AD36" s="674">
        <f t="shared" si="0"/>
        <v>0</v>
      </c>
      <c r="AF36" s="633"/>
    </row>
    <row r="37" spans="1:32" ht="21.75" customHeight="1" x14ac:dyDescent="0.25">
      <c r="A37" s="639" t="s">
        <v>89</v>
      </c>
      <c r="B37" s="646" t="s">
        <v>90</v>
      </c>
      <c r="C37" s="648" t="s">
        <v>91</v>
      </c>
      <c r="D37" s="717">
        <v>0</v>
      </c>
      <c r="E37" s="717">
        <v>0</v>
      </c>
      <c r="F37" s="643">
        <f>SUM(F30:F36)</f>
        <v>0</v>
      </c>
      <c r="G37" s="717">
        <v>0</v>
      </c>
      <c r="H37" s="717">
        <v>0</v>
      </c>
      <c r="I37" s="643">
        <f>SUM(I30:I36)</f>
        <v>0</v>
      </c>
      <c r="J37" s="717">
        <v>0</v>
      </c>
      <c r="K37" s="717">
        <v>0</v>
      </c>
      <c r="L37" s="643">
        <f>SUM(L30:L36)</f>
        <v>0</v>
      </c>
      <c r="M37" s="643">
        <v>1000000</v>
      </c>
      <c r="N37" s="643">
        <v>1529665</v>
      </c>
      <c r="O37" s="643">
        <f>SUM(O30:O36)</f>
        <v>1529665</v>
      </c>
      <c r="P37" s="643">
        <v>4000000</v>
      </c>
      <c r="Q37" s="643">
        <v>4111000</v>
      </c>
      <c r="R37" s="643">
        <f>SUM(R30:R36)</f>
        <v>4111000</v>
      </c>
      <c r="S37" s="643">
        <v>21000</v>
      </c>
      <c r="T37" s="717">
        <v>0</v>
      </c>
      <c r="U37" s="643">
        <f>SUM(U30:U36)</f>
        <v>0</v>
      </c>
      <c r="V37" s="717">
        <v>0</v>
      </c>
      <c r="W37" s="717">
        <v>173055</v>
      </c>
      <c r="X37" s="643">
        <f>SUM(X30:X36)</f>
        <v>173055</v>
      </c>
      <c r="Y37" s="717">
        <v>0</v>
      </c>
      <c r="Z37" s="643">
        <v>1349201</v>
      </c>
      <c r="AA37" s="643">
        <f>SUM(AA30:AA36)</f>
        <v>1349201</v>
      </c>
      <c r="AB37" s="643">
        <v>5021000</v>
      </c>
      <c r="AC37" s="643">
        <v>7162921</v>
      </c>
      <c r="AD37" s="674">
        <f t="shared" si="0"/>
        <v>7162921</v>
      </c>
    </row>
    <row r="38" spans="1:32" ht="21.75" customHeight="1" x14ac:dyDescent="0.25">
      <c r="A38" s="639" t="s">
        <v>92</v>
      </c>
      <c r="B38" s="648" t="s">
        <v>93</v>
      </c>
      <c r="C38" s="664" t="s">
        <v>94</v>
      </c>
      <c r="D38" s="643">
        <v>64469084</v>
      </c>
      <c r="E38" s="643">
        <v>56614762</v>
      </c>
      <c r="F38" s="643">
        <f>SUM(F39:F44)</f>
        <v>54828959</v>
      </c>
      <c r="G38" s="717">
        <v>0</v>
      </c>
      <c r="H38" s="717">
        <v>0</v>
      </c>
      <c r="I38" s="643">
        <f>SUM(I39:I44)</f>
        <v>0</v>
      </c>
      <c r="J38" s="717">
        <v>0</v>
      </c>
      <c r="K38" s="717">
        <v>0</v>
      </c>
      <c r="L38" s="643">
        <f>SUM(L39:L44)</f>
        <v>0</v>
      </c>
      <c r="M38" s="717">
        <v>0</v>
      </c>
      <c r="N38" s="717">
        <v>0</v>
      </c>
      <c r="O38" s="643">
        <f>SUM(O39:O44)</f>
        <v>0</v>
      </c>
      <c r="P38" s="717">
        <v>0</v>
      </c>
      <c r="Q38" s="717">
        <v>0</v>
      </c>
      <c r="R38" s="643">
        <f>SUM(R39:R44)</f>
        <v>0</v>
      </c>
      <c r="S38" s="717">
        <v>0</v>
      </c>
      <c r="T38" s="717">
        <v>0</v>
      </c>
      <c r="U38" s="643">
        <f>SUM(U39:U44)</f>
        <v>0</v>
      </c>
      <c r="V38" s="717">
        <v>0</v>
      </c>
      <c r="W38" s="717">
        <v>0</v>
      </c>
      <c r="X38" s="643">
        <f>SUM(X39:X44)</f>
        <v>0</v>
      </c>
      <c r="Y38" s="717">
        <v>0</v>
      </c>
      <c r="Z38" s="717">
        <v>0</v>
      </c>
      <c r="AA38" s="643">
        <f>SUM(AA39:AA44)</f>
        <v>0</v>
      </c>
      <c r="AB38" s="643">
        <v>64469084</v>
      </c>
      <c r="AC38" s="643">
        <v>56614762</v>
      </c>
      <c r="AD38" s="674">
        <f t="shared" si="0"/>
        <v>54828959</v>
      </c>
    </row>
    <row r="39" spans="1:32" ht="21.75" customHeight="1" x14ac:dyDescent="0.25">
      <c r="A39" s="639" t="s">
        <v>95</v>
      </c>
      <c r="B39" s="24" t="s">
        <v>1290</v>
      </c>
      <c r="C39" s="664"/>
      <c r="D39" s="717">
        <v>0</v>
      </c>
      <c r="E39" s="717">
        <v>0</v>
      </c>
      <c r="F39" s="643">
        <v>0</v>
      </c>
      <c r="G39" s="717">
        <v>0</v>
      </c>
      <c r="H39" s="717">
        <v>0</v>
      </c>
      <c r="I39" s="643">
        <v>0</v>
      </c>
      <c r="J39" s="717">
        <v>0</v>
      </c>
      <c r="K39" s="717">
        <v>0</v>
      </c>
      <c r="L39" s="643">
        <v>0</v>
      </c>
      <c r="M39" s="717">
        <v>0</v>
      </c>
      <c r="N39" s="717">
        <v>0</v>
      </c>
      <c r="O39" s="643">
        <v>0</v>
      </c>
      <c r="P39" s="717">
        <v>0</v>
      </c>
      <c r="Q39" s="717">
        <v>0</v>
      </c>
      <c r="R39" s="643">
        <v>0</v>
      </c>
      <c r="S39" s="717">
        <v>0</v>
      </c>
      <c r="T39" s="717">
        <v>0</v>
      </c>
      <c r="U39" s="643">
        <v>0</v>
      </c>
      <c r="V39" s="717">
        <v>0</v>
      </c>
      <c r="W39" s="717">
        <v>0</v>
      </c>
      <c r="X39" s="643">
        <v>0</v>
      </c>
      <c r="Y39" s="717">
        <v>0</v>
      </c>
      <c r="Z39" s="717">
        <v>0</v>
      </c>
      <c r="AA39" s="643">
        <v>0</v>
      </c>
      <c r="AB39" s="717">
        <v>0</v>
      </c>
      <c r="AC39" s="717">
        <v>0</v>
      </c>
      <c r="AD39" s="674">
        <f t="shared" si="0"/>
        <v>0</v>
      </c>
    </row>
    <row r="40" spans="1:32" ht="21.75" customHeight="1" x14ac:dyDescent="0.25">
      <c r="A40" s="639" t="s">
        <v>97</v>
      </c>
      <c r="B40" s="652" t="s">
        <v>96</v>
      </c>
      <c r="C40" s="665"/>
      <c r="D40" s="643">
        <v>611699</v>
      </c>
      <c r="E40" s="643">
        <v>4352383</v>
      </c>
      <c r="F40" s="643">
        <v>4352383</v>
      </c>
      <c r="G40" s="717">
        <v>0</v>
      </c>
      <c r="H40" s="717">
        <v>0</v>
      </c>
      <c r="I40" s="643">
        <v>0</v>
      </c>
      <c r="J40" s="717">
        <v>0</v>
      </c>
      <c r="K40" s="717">
        <v>0</v>
      </c>
      <c r="L40" s="643">
        <v>0</v>
      </c>
      <c r="M40" s="717">
        <v>0</v>
      </c>
      <c r="N40" s="717">
        <v>0</v>
      </c>
      <c r="O40" s="643">
        <v>0</v>
      </c>
      <c r="P40" s="717">
        <v>0</v>
      </c>
      <c r="Q40" s="717">
        <v>0</v>
      </c>
      <c r="R40" s="643">
        <v>0</v>
      </c>
      <c r="S40" s="717">
        <v>0</v>
      </c>
      <c r="T40" s="717">
        <v>0</v>
      </c>
      <c r="U40" s="643">
        <v>0</v>
      </c>
      <c r="V40" s="717">
        <v>0</v>
      </c>
      <c r="W40" s="717">
        <v>0</v>
      </c>
      <c r="X40" s="643">
        <v>0</v>
      </c>
      <c r="Y40" s="717">
        <v>0</v>
      </c>
      <c r="Z40" s="717">
        <v>0</v>
      </c>
      <c r="AA40" s="643">
        <v>0</v>
      </c>
      <c r="AB40" s="643">
        <v>611699</v>
      </c>
      <c r="AC40" s="643">
        <v>4352383</v>
      </c>
      <c r="AD40" s="674">
        <f t="shared" si="0"/>
        <v>4352383</v>
      </c>
    </row>
    <row r="41" spans="1:32" ht="21.75" customHeight="1" x14ac:dyDescent="0.25">
      <c r="A41" s="639" t="s">
        <v>99</v>
      </c>
      <c r="B41" s="652" t="s">
        <v>98</v>
      </c>
      <c r="C41" s="665"/>
      <c r="D41" s="717">
        <v>0</v>
      </c>
      <c r="E41" s="717">
        <v>0</v>
      </c>
      <c r="F41" s="643"/>
      <c r="G41" s="717">
        <v>0</v>
      </c>
      <c r="H41" s="717">
        <v>0</v>
      </c>
      <c r="I41" s="643">
        <v>0</v>
      </c>
      <c r="J41" s="717">
        <v>0</v>
      </c>
      <c r="K41" s="717">
        <v>0</v>
      </c>
      <c r="L41" s="643">
        <v>0</v>
      </c>
      <c r="M41" s="717">
        <v>0</v>
      </c>
      <c r="N41" s="717">
        <v>0</v>
      </c>
      <c r="O41" s="643">
        <v>0</v>
      </c>
      <c r="P41" s="717">
        <v>0</v>
      </c>
      <c r="Q41" s="717">
        <v>0</v>
      </c>
      <c r="R41" s="643">
        <v>0</v>
      </c>
      <c r="S41" s="717">
        <v>0</v>
      </c>
      <c r="T41" s="717">
        <v>0</v>
      </c>
      <c r="U41" s="643">
        <v>0</v>
      </c>
      <c r="V41" s="717">
        <v>0</v>
      </c>
      <c r="W41" s="717">
        <v>0</v>
      </c>
      <c r="X41" s="643">
        <v>0</v>
      </c>
      <c r="Y41" s="717">
        <v>0</v>
      </c>
      <c r="Z41" s="717">
        <v>0</v>
      </c>
      <c r="AA41" s="643">
        <v>0</v>
      </c>
      <c r="AB41" s="717">
        <v>0</v>
      </c>
      <c r="AC41" s="717">
        <v>0</v>
      </c>
      <c r="AD41" s="674">
        <f t="shared" si="0"/>
        <v>0</v>
      </c>
    </row>
    <row r="42" spans="1:32" ht="21.75" customHeight="1" x14ac:dyDescent="0.25">
      <c r="A42" s="639" t="s">
        <v>101</v>
      </c>
      <c r="B42" s="652" t="s">
        <v>100</v>
      </c>
      <c r="C42" s="665"/>
      <c r="D42" s="643">
        <v>63857385</v>
      </c>
      <c r="E42" s="643">
        <v>50661003</v>
      </c>
      <c r="F42" s="643">
        <v>50476576</v>
      </c>
      <c r="G42" s="717">
        <v>0</v>
      </c>
      <c r="H42" s="717">
        <v>0</v>
      </c>
      <c r="I42" s="643">
        <v>0</v>
      </c>
      <c r="J42" s="717">
        <v>0</v>
      </c>
      <c r="K42" s="717">
        <v>0</v>
      </c>
      <c r="L42" s="643">
        <v>0</v>
      </c>
      <c r="M42" s="717">
        <v>0</v>
      </c>
      <c r="N42" s="717">
        <v>0</v>
      </c>
      <c r="O42" s="643">
        <v>0</v>
      </c>
      <c r="P42" s="717">
        <v>0</v>
      </c>
      <c r="Q42" s="717">
        <v>0</v>
      </c>
      <c r="R42" s="643">
        <v>0</v>
      </c>
      <c r="S42" s="717">
        <v>0</v>
      </c>
      <c r="T42" s="717">
        <v>0</v>
      </c>
      <c r="U42" s="643">
        <v>0</v>
      </c>
      <c r="V42" s="717">
        <v>0</v>
      </c>
      <c r="W42" s="717">
        <v>0</v>
      </c>
      <c r="X42" s="643">
        <v>0</v>
      </c>
      <c r="Y42" s="717">
        <v>0</v>
      </c>
      <c r="Z42" s="717">
        <v>0</v>
      </c>
      <c r="AA42" s="643">
        <v>0</v>
      </c>
      <c r="AB42" s="643">
        <v>63857385</v>
      </c>
      <c r="AC42" s="643">
        <v>50661003</v>
      </c>
      <c r="AD42" s="674">
        <f t="shared" si="0"/>
        <v>50476576</v>
      </c>
    </row>
    <row r="43" spans="1:32" ht="21.75" customHeight="1" x14ac:dyDescent="0.25">
      <c r="A43" s="639" t="s">
        <v>103</v>
      </c>
      <c r="B43" s="652" t="s">
        <v>102</v>
      </c>
      <c r="C43" s="665"/>
      <c r="D43" s="717">
        <v>0</v>
      </c>
      <c r="E43" s="643">
        <v>1601376</v>
      </c>
      <c r="F43" s="643"/>
      <c r="G43" s="717">
        <v>0</v>
      </c>
      <c r="H43" s="717">
        <v>0</v>
      </c>
      <c r="I43" s="643">
        <v>0</v>
      </c>
      <c r="J43" s="717">
        <v>0</v>
      </c>
      <c r="K43" s="717">
        <v>0</v>
      </c>
      <c r="L43" s="643">
        <v>0</v>
      </c>
      <c r="M43" s="717">
        <v>0</v>
      </c>
      <c r="N43" s="717">
        <v>0</v>
      </c>
      <c r="O43" s="643">
        <v>0</v>
      </c>
      <c r="P43" s="717">
        <v>0</v>
      </c>
      <c r="Q43" s="717">
        <v>0</v>
      </c>
      <c r="R43" s="643">
        <v>0</v>
      </c>
      <c r="S43" s="717">
        <v>0</v>
      </c>
      <c r="T43" s="717">
        <v>0</v>
      </c>
      <c r="U43" s="643">
        <v>0</v>
      </c>
      <c r="V43" s="717">
        <v>0</v>
      </c>
      <c r="W43" s="717">
        <v>0</v>
      </c>
      <c r="X43" s="643">
        <v>0</v>
      </c>
      <c r="Y43" s="717">
        <v>0</v>
      </c>
      <c r="Z43" s="717">
        <v>0</v>
      </c>
      <c r="AA43" s="643">
        <v>0</v>
      </c>
      <c r="AB43" s="717">
        <v>0</v>
      </c>
      <c r="AC43" s="643">
        <v>1601376</v>
      </c>
      <c r="AD43" s="674">
        <f t="shared" si="0"/>
        <v>0</v>
      </c>
    </row>
    <row r="44" spans="1:32" ht="21.75" customHeight="1" x14ac:dyDescent="0.25">
      <c r="A44" s="639" t="s">
        <v>105</v>
      </c>
      <c r="B44" s="24" t="s">
        <v>104</v>
      </c>
      <c r="C44" s="665"/>
      <c r="D44" s="717">
        <v>0</v>
      </c>
      <c r="E44" s="717">
        <v>0</v>
      </c>
      <c r="F44" s="643">
        <v>0</v>
      </c>
      <c r="G44" s="717">
        <v>0</v>
      </c>
      <c r="H44" s="717">
        <v>0</v>
      </c>
      <c r="I44" s="643">
        <v>0</v>
      </c>
      <c r="J44" s="717">
        <v>0</v>
      </c>
      <c r="K44" s="717">
        <v>0</v>
      </c>
      <c r="L44" s="643">
        <v>0</v>
      </c>
      <c r="M44" s="717">
        <v>0</v>
      </c>
      <c r="N44" s="717">
        <v>0</v>
      </c>
      <c r="O44" s="643">
        <v>0</v>
      </c>
      <c r="P44" s="717">
        <v>0</v>
      </c>
      <c r="Q44" s="717">
        <v>0</v>
      </c>
      <c r="R44" s="643">
        <v>0</v>
      </c>
      <c r="S44" s="717">
        <v>0</v>
      </c>
      <c r="T44" s="717">
        <v>0</v>
      </c>
      <c r="U44" s="643">
        <v>0</v>
      </c>
      <c r="V44" s="717">
        <v>0</v>
      </c>
      <c r="W44" s="717">
        <v>0</v>
      </c>
      <c r="X44" s="643">
        <v>0</v>
      </c>
      <c r="Y44" s="717">
        <v>0</v>
      </c>
      <c r="Z44" s="717">
        <v>0</v>
      </c>
      <c r="AA44" s="643">
        <v>0</v>
      </c>
      <c r="AB44" s="717">
        <v>0</v>
      </c>
      <c r="AC44" s="717">
        <v>0</v>
      </c>
      <c r="AD44" s="674">
        <f t="shared" si="0"/>
        <v>0</v>
      </c>
    </row>
    <row r="45" spans="1:32" ht="21.75" customHeight="1" x14ac:dyDescent="0.25">
      <c r="A45" s="639" t="s">
        <v>107</v>
      </c>
      <c r="B45" s="653" t="s">
        <v>106</v>
      </c>
      <c r="C45" s="664"/>
      <c r="D45" s="650">
        <v>64469084</v>
      </c>
      <c r="E45" s="650">
        <v>55013386</v>
      </c>
      <c r="F45" s="650">
        <f>F30+F32+F33+F35+F40+F42</f>
        <v>54828959</v>
      </c>
      <c r="G45" s="717">
        <v>0</v>
      </c>
      <c r="H45" s="717">
        <v>0</v>
      </c>
      <c r="I45" s="650">
        <f>I30+I32+I33+I35+I40+I42</f>
        <v>0</v>
      </c>
      <c r="J45" s="717">
        <v>0</v>
      </c>
      <c r="K45" s="717">
        <v>0</v>
      </c>
      <c r="L45" s="650">
        <f>L30+L32+L33+L35+L40+L42</f>
        <v>0</v>
      </c>
      <c r="M45" s="650">
        <v>1000000</v>
      </c>
      <c r="N45" s="650">
        <v>1529665</v>
      </c>
      <c r="O45" s="650">
        <f>O30+O32+O33+O35+O40+O42</f>
        <v>1529665</v>
      </c>
      <c r="P45" s="650">
        <v>4000000</v>
      </c>
      <c r="Q45" s="650">
        <v>4111000</v>
      </c>
      <c r="R45" s="650">
        <f>R30+R32+R33+R35+R40+R42</f>
        <v>4111000</v>
      </c>
      <c r="S45" s="650">
        <v>21000</v>
      </c>
      <c r="T45" s="717">
        <v>0</v>
      </c>
      <c r="U45" s="650">
        <f>U30+U32+U33+U35+U40+U42</f>
        <v>0</v>
      </c>
      <c r="V45" s="717">
        <v>0</v>
      </c>
      <c r="W45" s="650">
        <v>173055</v>
      </c>
      <c r="X45" s="650">
        <f>X30+X32+X33+X35+X40+X42</f>
        <v>173055</v>
      </c>
      <c r="Y45" s="717">
        <v>0</v>
      </c>
      <c r="Z45" s="650">
        <v>1349201</v>
      </c>
      <c r="AA45" s="650">
        <f>AA30+AA32+AA33+AA35+AA40+AA42</f>
        <v>1349201</v>
      </c>
      <c r="AB45" s="650">
        <v>69490084</v>
      </c>
      <c r="AC45" s="650">
        <v>62176307</v>
      </c>
      <c r="AD45" s="674">
        <f t="shared" si="0"/>
        <v>61991880</v>
      </c>
    </row>
    <row r="46" spans="1:32" ht="21.75" customHeight="1" x14ac:dyDescent="0.25">
      <c r="A46" s="639" t="s">
        <v>109</v>
      </c>
      <c r="B46" s="653" t="s">
        <v>108</v>
      </c>
      <c r="C46" s="664"/>
      <c r="D46" s="717">
        <v>0</v>
      </c>
      <c r="E46" s="650">
        <v>1601376</v>
      </c>
      <c r="F46" s="650">
        <f>F31+F34+F36+F41+F43</f>
        <v>0</v>
      </c>
      <c r="G46" s="717">
        <v>0</v>
      </c>
      <c r="H46" s="717">
        <v>0</v>
      </c>
      <c r="I46" s="650">
        <f>I31+I34+I36+I41+I43</f>
        <v>0</v>
      </c>
      <c r="J46" s="717">
        <v>0</v>
      </c>
      <c r="K46" s="717">
        <v>0</v>
      </c>
      <c r="L46" s="650">
        <f>L31+L34+L36+L41+L43</f>
        <v>0</v>
      </c>
      <c r="M46" s="717">
        <v>0</v>
      </c>
      <c r="N46" s="717">
        <v>0</v>
      </c>
      <c r="O46" s="650">
        <f>O31+O34+O36+O41+O43</f>
        <v>0</v>
      </c>
      <c r="P46" s="717">
        <v>0</v>
      </c>
      <c r="Q46" s="717">
        <v>0</v>
      </c>
      <c r="R46" s="650">
        <f>R31+R34+R36+R41+R43</f>
        <v>0</v>
      </c>
      <c r="S46" s="717">
        <v>0</v>
      </c>
      <c r="T46" s="717">
        <v>0</v>
      </c>
      <c r="U46" s="650">
        <f>U31+U34+U36+U41+U43</f>
        <v>0</v>
      </c>
      <c r="V46" s="717">
        <v>0</v>
      </c>
      <c r="W46" s="717">
        <v>0</v>
      </c>
      <c r="X46" s="650">
        <f>X31+X34+X36+X41+X43</f>
        <v>0</v>
      </c>
      <c r="Y46" s="717">
        <v>0</v>
      </c>
      <c r="Z46" s="717">
        <v>0</v>
      </c>
      <c r="AA46" s="650">
        <f>AA31+AA34+AA36+AA41+AA43</f>
        <v>0</v>
      </c>
      <c r="AB46" s="717">
        <v>0</v>
      </c>
      <c r="AC46" s="650">
        <v>1601376</v>
      </c>
      <c r="AD46" s="674">
        <f t="shared" si="0"/>
        <v>0</v>
      </c>
    </row>
    <row r="47" spans="1:32" ht="21.75" customHeight="1" x14ac:dyDescent="0.25">
      <c r="A47" s="639" t="s">
        <v>111</v>
      </c>
      <c r="B47" s="653" t="s">
        <v>110</v>
      </c>
      <c r="C47" s="664"/>
      <c r="D47" s="650">
        <v>64469084</v>
      </c>
      <c r="E47" s="650">
        <v>56614762</v>
      </c>
      <c r="F47" s="650">
        <f>F30+F31+F32+F33+F34+F35+F36+F38</f>
        <v>54828959</v>
      </c>
      <c r="G47" s="717">
        <v>0</v>
      </c>
      <c r="H47" s="717">
        <v>0</v>
      </c>
      <c r="I47" s="650">
        <f>I30+I31+I32+I33+I34+I35+I36+I38</f>
        <v>0</v>
      </c>
      <c r="J47" s="717">
        <v>0</v>
      </c>
      <c r="K47" s="717">
        <v>0</v>
      </c>
      <c r="L47" s="650">
        <f>L30+L31+L32+L33+L34+L35+L36+L38</f>
        <v>0</v>
      </c>
      <c r="M47" s="650">
        <v>1000000</v>
      </c>
      <c r="N47" s="650">
        <v>1529665</v>
      </c>
      <c r="O47" s="650">
        <f>O30+O31+O32+O33+O34+O35+O36+O38</f>
        <v>1529665</v>
      </c>
      <c r="P47" s="650">
        <v>4000000</v>
      </c>
      <c r="Q47" s="650">
        <v>4111000</v>
      </c>
      <c r="R47" s="650">
        <f>R30+R31+R32+R33+R34+R35+R36+R38</f>
        <v>4111000</v>
      </c>
      <c r="S47" s="650">
        <v>21000</v>
      </c>
      <c r="T47" s="717">
        <v>0</v>
      </c>
      <c r="U47" s="650">
        <f>U30+U31+U32+U33+U34+U35+U36+U38</f>
        <v>0</v>
      </c>
      <c r="V47" s="717">
        <v>0</v>
      </c>
      <c r="W47" s="650">
        <v>173055</v>
      </c>
      <c r="X47" s="650">
        <f>X30+X31+X32+X33+X34+X35+X36+X38</f>
        <v>173055</v>
      </c>
      <c r="Y47" s="717">
        <v>0</v>
      </c>
      <c r="Z47" s="650">
        <v>1349201</v>
      </c>
      <c r="AA47" s="650">
        <f>AA30+AA31+AA32+AA33+AA34+AA35+AA36+AA38</f>
        <v>1349201</v>
      </c>
      <c r="AB47" s="650">
        <v>69490084</v>
      </c>
      <c r="AC47" s="650">
        <v>63777683</v>
      </c>
      <c r="AD47" s="674">
        <f t="shared" si="0"/>
        <v>61991880</v>
      </c>
    </row>
    <row r="48" spans="1:32" ht="21.75" customHeight="1" x14ac:dyDescent="0.25">
      <c r="A48" s="639" t="s">
        <v>113</v>
      </c>
      <c r="B48" s="25" t="s">
        <v>112</v>
      </c>
      <c r="C48" s="663"/>
      <c r="D48" s="717">
        <v>0</v>
      </c>
      <c r="E48" s="717">
        <v>0</v>
      </c>
      <c r="F48" s="643">
        <v>0</v>
      </c>
      <c r="G48" s="717">
        <v>0</v>
      </c>
      <c r="H48" s="717">
        <v>0</v>
      </c>
      <c r="I48" s="643">
        <v>0</v>
      </c>
      <c r="J48" s="717">
        <v>0</v>
      </c>
      <c r="K48" s="717">
        <v>0</v>
      </c>
      <c r="L48" s="643">
        <v>0</v>
      </c>
      <c r="M48" s="719">
        <v>8</v>
      </c>
      <c r="N48" s="719">
        <v>7</v>
      </c>
      <c r="O48" s="643">
        <v>7</v>
      </c>
      <c r="P48" s="643">
        <v>3</v>
      </c>
      <c r="Q48" s="643">
        <v>0</v>
      </c>
      <c r="R48" s="643"/>
      <c r="S48" s="717">
        <v>0</v>
      </c>
      <c r="T48" s="717">
        <v>0</v>
      </c>
      <c r="U48" s="643">
        <v>0</v>
      </c>
      <c r="V48" s="717">
        <v>0</v>
      </c>
      <c r="W48" s="717">
        <v>0</v>
      </c>
      <c r="X48" s="643">
        <v>0</v>
      </c>
      <c r="Y48" s="717">
        <v>0</v>
      </c>
      <c r="Z48" s="717">
        <v>0</v>
      </c>
      <c r="AA48" s="643">
        <v>0</v>
      </c>
      <c r="AB48" s="717">
        <v>11</v>
      </c>
      <c r="AC48" s="717">
        <v>7</v>
      </c>
      <c r="AD48" s="674">
        <f t="shared" si="0"/>
        <v>7</v>
      </c>
      <c r="AE48" s="659">
        <f>AB47-AB29</f>
        <v>0</v>
      </c>
    </row>
    <row r="49" spans="1:31" ht="21.75" customHeight="1" x14ac:dyDescent="0.25">
      <c r="A49" s="639" t="s">
        <v>250</v>
      </c>
      <c r="B49" s="25" t="s">
        <v>114</v>
      </c>
      <c r="C49" s="663"/>
      <c r="D49" s="717">
        <v>0</v>
      </c>
      <c r="E49" s="717">
        <v>0</v>
      </c>
      <c r="F49" s="643">
        <v>0</v>
      </c>
      <c r="G49" s="717">
        <v>0</v>
      </c>
      <c r="H49" s="717">
        <v>0</v>
      </c>
      <c r="I49" s="643">
        <v>0</v>
      </c>
      <c r="J49" s="717">
        <v>0</v>
      </c>
      <c r="K49" s="717">
        <v>0</v>
      </c>
      <c r="L49" s="643">
        <v>0</v>
      </c>
      <c r="M49" s="717">
        <v>0</v>
      </c>
      <c r="N49" s="717">
        <v>0</v>
      </c>
      <c r="O49" s="643">
        <v>0</v>
      </c>
      <c r="P49" s="717">
        <v>0</v>
      </c>
      <c r="Q49" s="717">
        <v>0</v>
      </c>
      <c r="R49" s="643">
        <v>0</v>
      </c>
      <c r="S49" s="717">
        <v>0</v>
      </c>
      <c r="T49" s="717">
        <v>0</v>
      </c>
      <c r="U49" s="643">
        <v>0</v>
      </c>
      <c r="V49" s="717">
        <v>0</v>
      </c>
      <c r="W49" s="717">
        <v>0</v>
      </c>
      <c r="X49" s="643">
        <v>0</v>
      </c>
      <c r="Y49" s="717">
        <v>0</v>
      </c>
      <c r="Z49" s="717">
        <v>0</v>
      </c>
      <c r="AA49" s="722">
        <v>0</v>
      </c>
      <c r="AB49" s="717">
        <v>0</v>
      </c>
      <c r="AC49" s="717">
        <v>0</v>
      </c>
      <c r="AD49" s="674">
        <f t="shared" si="0"/>
        <v>0</v>
      </c>
      <c r="AE49" s="659"/>
    </row>
  </sheetData>
  <mergeCells count="48">
    <mergeCell ref="A2:C3"/>
    <mergeCell ref="A4:A7"/>
    <mergeCell ref="B4:C4"/>
    <mergeCell ref="D4:F4"/>
    <mergeCell ref="G4:I4"/>
    <mergeCell ref="B6:C6"/>
    <mergeCell ref="D6:F7"/>
    <mergeCell ref="G6:I6"/>
    <mergeCell ref="B5:C5"/>
    <mergeCell ref="D5:F5"/>
    <mergeCell ref="D2:I2"/>
    <mergeCell ref="AB8:AD8"/>
    <mergeCell ref="AB4:AD7"/>
    <mergeCell ref="S5:U5"/>
    <mergeCell ref="V5:X5"/>
    <mergeCell ref="Y5:AA5"/>
    <mergeCell ref="S6:U7"/>
    <mergeCell ref="M4:O4"/>
    <mergeCell ref="G5:I5"/>
    <mergeCell ref="J5:L5"/>
    <mergeCell ref="M5:O5"/>
    <mergeCell ref="P5:R5"/>
    <mergeCell ref="J4:L4"/>
    <mergeCell ref="M8:O8"/>
    <mergeCell ref="P8:R8"/>
    <mergeCell ref="S8:U8"/>
    <mergeCell ref="Y6:AA6"/>
    <mergeCell ref="J7:L7"/>
    <mergeCell ref="M7:O7"/>
    <mergeCell ref="P7:R7"/>
    <mergeCell ref="V7:X7"/>
    <mergeCell ref="Y7:AA7"/>
    <mergeCell ref="J2:O2"/>
    <mergeCell ref="P2:U2"/>
    <mergeCell ref="V8:X8"/>
    <mergeCell ref="Y8:AA8"/>
    <mergeCell ref="D8:F8"/>
    <mergeCell ref="G8:I8"/>
    <mergeCell ref="G7:I7"/>
    <mergeCell ref="P4:R4"/>
    <mergeCell ref="S4:U4"/>
    <mergeCell ref="V4:X4"/>
    <mergeCell ref="Y4:AA4"/>
    <mergeCell ref="V2:AD2"/>
    <mergeCell ref="V6:X6"/>
    <mergeCell ref="J6:O6"/>
    <mergeCell ref="P6:R6"/>
    <mergeCell ref="J8:L8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paperSize="9" scale="40" orientation="landscape" horizontalDpi="200" verticalDpi="200" r:id="rId1"/>
  <headerFooter alignWithMargins="0">
    <oddHeader>&amp;CDunaharaszti Város Önkormányzat 2017. évi zárszámadás&amp;R&amp;A</oddHeader>
    <oddFooter>&amp;C&amp;P/&amp;N</oddFooter>
  </headerFooter>
  <colBreaks count="2" manualBreakCount="2">
    <brk id="12" max="48" man="1"/>
    <brk id="21" max="4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view="pageBreakPreview" zoomScale="28" zoomScaleNormal="80" zoomScaleSheetLayoutView="28" zoomScalePageLayoutView="80" workbookViewId="0">
      <selection activeCell="U38" sqref="U38"/>
    </sheetView>
  </sheetViews>
  <sheetFormatPr defaultRowHeight="12.75" x14ac:dyDescent="0.2"/>
  <cols>
    <col min="1" max="1" width="6" customWidth="1"/>
    <col min="2" max="2" width="65.42578125" customWidth="1"/>
    <col min="4" max="4" width="17.7109375" customWidth="1"/>
    <col min="5" max="6" width="18.28515625" customWidth="1"/>
    <col min="7" max="7" width="18" customWidth="1"/>
    <col min="8" max="9" width="16.5703125" customWidth="1"/>
    <col min="10" max="10" width="16.140625" customWidth="1"/>
    <col min="11" max="12" width="16.85546875" customWidth="1"/>
    <col min="13" max="13" width="17.42578125" customWidth="1"/>
    <col min="14" max="18" width="17.5703125" customWidth="1"/>
    <col min="19" max="20" width="17" bestFit="1" customWidth="1"/>
    <col min="21" max="22" width="16" customWidth="1"/>
    <col min="23" max="23" width="11.42578125" customWidth="1"/>
    <col min="24" max="24" width="14.7109375" customWidth="1"/>
    <col min="262" max="262" width="6" customWidth="1"/>
    <col min="263" max="263" width="65.42578125" customWidth="1"/>
    <col min="265" max="265" width="17.7109375" customWidth="1"/>
    <col min="266" max="266" width="18.28515625" customWidth="1"/>
    <col min="267" max="267" width="18" customWidth="1"/>
    <col min="268" max="268" width="16.5703125" customWidth="1"/>
    <col min="269" max="269" width="16.140625" customWidth="1"/>
    <col min="270" max="270" width="16.85546875" customWidth="1"/>
    <col min="271" max="271" width="17.42578125" customWidth="1"/>
    <col min="272" max="274" width="17.5703125" customWidth="1"/>
    <col min="275" max="276" width="17" bestFit="1" customWidth="1"/>
    <col min="518" max="518" width="6" customWidth="1"/>
    <col min="519" max="519" width="65.42578125" customWidth="1"/>
    <col min="521" max="521" width="17.7109375" customWidth="1"/>
    <col min="522" max="522" width="18.28515625" customWidth="1"/>
    <col min="523" max="523" width="18" customWidth="1"/>
    <col min="524" max="524" width="16.5703125" customWidth="1"/>
    <col min="525" max="525" width="16.140625" customWidth="1"/>
    <col min="526" max="526" width="16.85546875" customWidth="1"/>
    <col min="527" max="527" width="17.42578125" customWidth="1"/>
    <col min="528" max="530" width="17.5703125" customWidth="1"/>
    <col min="531" max="532" width="17" bestFit="1" customWidth="1"/>
    <col min="774" max="774" width="6" customWidth="1"/>
    <col min="775" max="775" width="65.42578125" customWidth="1"/>
    <col min="777" max="777" width="17.7109375" customWidth="1"/>
    <col min="778" max="778" width="18.28515625" customWidth="1"/>
    <col min="779" max="779" width="18" customWidth="1"/>
    <col min="780" max="780" width="16.5703125" customWidth="1"/>
    <col min="781" max="781" width="16.140625" customWidth="1"/>
    <col min="782" max="782" width="16.85546875" customWidth="1"/>
    <col min="783" max="783" width="17.42578125" customWidth="1"/>
    <col min="784" max="786" width="17.5703125" customWidth="1"/>
    <col min="787" max="788" width="17" bestFit="1" customWidth="1"/>
    <col min="1030" max="1030" width="6" customWidth="1"/>
    <col min="1031" max="1031" width="65.42578125" customWidth="1"/>
    <col min="1033" max="1033" width="17.7109375" customWidth="1"/>
    <col min="1034" max="1034" width="18.28515625" customWidth="1"/>
    <col min="1035" max="1035" width="18" customWidth="1"/>
    <col min="1036" max="1036" width="16.5703125" customWidth="1"/>
    <col min="1037" max="1037" width="16.140625" customWidth="1"/>
    <col min="1038" max="1038" width="16.85546875" customWidth="1"/>
    <col min="1039" max="1039" width="17.42578125" customWidth="1"/>
    <col min="1040" max="1042" width="17.5703125" customWidth="1"/>
    <col min="1043" max="1044" width="17" bestFit="1" customWidth="1"/>
    <col min="1286" max="1286" width="6" customWidth="1"/>
    <col min="1287" max="1287" width="65.42578125" customWidth="1"/>
    <col min="1289" max="1289" width="17.7109375" customWidth="1"/>
    <col min="1290" max="1290" width="18.28515625" customWidth="1"/>
    <col min="1291" max="1291" width="18" customWidth="1"/>
    <col min="1292" max="1292" width="16.5703125" customWidth="1"/>
    <col min="1293" max="1293" width="16.140625" customWidth="1"/>
    <col min="1294" max="1294" width="16.85546875" customWidth="1"/>
    <col min="1295" max="1295" width="17.42578125" customWidth="1"/>
    <col min="1296" max="1298" width="17.5703125" customWidth="1"/>
    <col min="1299" max="1300" width="17" bestFit="1" customWidth="1"/>
    <col min="1542" max="1542" width="6" customWidth="1"/>
    <col min="1543" max="1543" width="65.42578125" customWidth="1"/>
    <col min="1545" max="1545" width="17.7109375" customWidth="1"/>
    <col min="1546" max="1546" width="18.28515625" customWidth="1"/>
    <col min="1547" max="1547" width="18" customWidth="1"/>
    <col min="1548" max="1548" width="16.5703125" customWidth="1"/>
    <col min="1549" max="1549" width="16.140625" customWidth="1"/>
    <col min="1550" max="1550" width="16.85546875" customWidth="1"/>
    <col min="1551" max="1551" width="17.42578125" customWidth="1"/>
    <col min="1552" max="1554" width="17.5703125" customWidth="1"/>
    <col min="1555" max="1556" width="17" bestFit="1" customWidth="1"/>
    <col min="1798" max="1798" width="6" customWidth="1"/>
    <col min="1799" max="1799" width="65.42578125" customWidth="1"/>
    <col min="1801" max="1801" width="17.7109375" customWidth="1"/>
    <col min="1802" max="1802" width="18.28515625" customWidth="1"/>
    <col min="1803" max="1803" width="18" customWidth="1"/>
    <col min="1804" max="1804" width="16.5703125" customWidth="1"/>
    <col min="1805" max="1805" width="16.140625" customWidth="1"/>
    <col min="1806" max="1806" width="16.85546875" customWidth="1"/>
    <col min="1807" max="1807" width="17.42578125" customWidth="1"/>
    <col min="1808" max="1810" width="17.5703125" customWidth="1"/>
    <col min="1811" max="1812" width="17" bestFit="1" customWidth="1"/>
    <col min="2054" max="2054" width="6" customWidth="1"/>
    <col min="2055" max="2055" width="65.42578125" customWidth="1"/>
    <col min="2057" max="2057" width="17.7109375" customWidth="1"/>
    <col min="2058" max="2058" width="18.28515625" customWidth="1"/>
    <col min="2059" max="2059" width="18" customWidth="1"/>
    <col min="2060" max="2060" width="16.5703125" customWidth="1"/>
    <col min="2061" max="2061" width="16.140625" customWidth="1"/>
    <col min="2062" max="2062" width="16.85546875" customWidth="1"/>
    <col min="2063" max="2063" width="17.42578125" customWidth="1"/>
    <col min="2064" max="2066" width="17.5703125" customWidth="1"/>
    <col min="2067" max="2068" width="17" bestFit="1" customWidth="1"/>
    <col min="2310" max="2310" width="6" customWidth="1"/>
    <col min="2311" max="2311" width="65.42578125" customWidth="1"/>
    <col min="2313" max="2313" width="17.7109375" customWidth="1"/>
    <col min="2314" max="2314" width="18.28515625" customWidth="1"/>
    <col min="2315" max="2315" width="18" customWidth="1"/>
    <col min="2316" max="2316" width="16.5703125" customWidth="1"/>
    <col min="2317" max="2317" width="16.140625" customWidth="1"/>
    <col min="2318" max="2318" width="16.85546875" customWidth="1"/>
    <col min="2319" max="2319" width="17.42578125" customWidth="1"/>
    <col min="2320" max="2322" width="17.5703125" customWidth="1"/>
    <col min="2323" max="2324" width="17" bestFit="1" customWidth="1"/>
    <col min="2566" max="2566" width="6" customWidth="1"/>
    <col min="2567" max="2567" width="65.42578125" customWidth="1"/>
    <col min="2569" max="2569" width="17.7109375" customWidth="1"/>
    <col min="2570" max="2570" width="18.28515625" customWidth="1"/>
    <col min="2571" max="2571" width="18" customWidth="1"/>
    <col min="2572" max="2572" width="16.5703125" customWidth="1"/>
    <col min="2573" max="2573" width="16.140625" customWidth="1"/>
    <col min="2574" max="2574" width="16.85546875" customWidth="1"/>
    <col min="2575" max="2575" width="17.42578125" customWidth="1"/>
    <col min="2576" max="2578" width="17.5703125" customWidth="1"/>
    <col min="2579" max="2580" width="17" bestFit="1" customWidth="1"/>
    <col min="2822" max="2822" width="6" customWidth="1"/>
    <col min="2823" max="2823" width="65.42578125" customWidth="1"/>
    <col min="2825" max="2825" width="17.7109375" customWidth="1"/>
    <col min="2826" max="2826" width="18.28515625" customWidth="1"/>
    <col min="2827" max="2827" width="18" customWidth="1"/>
    <col min="2828" max="2828" width="16.5703125" customWidth="1"/>
    <col min="2829" max="2829" width="16.140625" customWidth="1"/>
    <col min="2830" max="2830" width="16.85546875" customWidth="1"/>
    <col min="2831" max="2831" width="17.42578125" customWidth="1"/>
    <col min="2832" max="2834" width="17.5703125" customWidth="1"/>
    <col min="2835" max="2836" width="17" bestFit="1" customWidth="1"/>
    <col min="3078" max="3078" width="6" customWidth="1"/>
    <col min="3079" max="3079" width="65.42578125" customWidth="1"/>
    <col min="3081" max="3081" width="17.7109375" customWidth="1"/>
    <col min="3082" max="3082" width="18.28515625" customWidth="1"/>
    <col min="3083" max="3083" width="18" customWidth="1"/>
    <col min="3084" max="3084" width="16.5703125" customWidth="1"/>
    <col min="3085" max="3085" width="16.140625" customWidth="1"/>
    <col min="3086" max="3086" width="16.85546875" customWidth="1"/>
    <col min="3087" max="3087" width="17.42578125" customWidth="1"/>
    <col min="3088" max="3090" width="17.5703125" customWidth="1"/>
    <col min="3091" max="3092" width="17" bestFit="1" customWidth="1"/>
    <col min="3334" max="3334" width="6" customWidth="1"/>
    <col min="3335" max="3335" width="65.42578125" customWidth="1"/>
    <col min="3337" max="3337" width="17.7109375" customWidth="1"/>
    <col min="3338" max="3338" width="18.28515625" customWidth="1"/>
    <col min="3339" max="3339" width="18" customWidth="1"/>
    <col min="3340" max="3340" width="16.5703125" customWidth="1"/>
    <col min="3341" max="3341" width="16.140625" customWidth="1"/>
    <col min="3342" max="3342" width="16.85546875" customWidth="1"/>
    <col min="3343" max="3343" width="17.42578125" customWidth="1"/>
    <col min="3344" max="3346" width="17.5703125" customWidth="1"/>
    <col min="3347" max="3348" width="17" bestFit="1" customWidth="1"/>
    <col min="3590" max="3590" width="6" customWidth="1"/>
    <col min="3591" max="3591" width="65.42578125" customWidth="1"/>
    <col min="3593" max="3593" width="17.7109375" customWidth="1"/>
    <col min="3594" max="3594" width="18.28515625" customWidth="1"/>
    <col min="3595" max="3595" width="18" customWidth="1"/>
    <col min="3596" max="3596" width="16.5703125" customWidth="1"/>
    <col min="3597" max="3597" width="16.140625" customWidth="1"/>
    <col min="3598" max="3598" width="16.85546875" customWidth="1"/>
    <col min="3599" max="3599" width="17.42578125" customWidth="1"/>
    <col min="3600" max="3602" width="17.5703125" customWidth="1"/>
    <col min="3603" max="3604" width="17" bestFit="1" customWidth="1"/>
    <col min="3846" max="3846" width="6" customWidth="1"/>
    <col min="3847" max="3847" width="65.42578125" customWidth="1"/>
    <col min="3849" max="3849" width="17.7109375" customWidth="1"/>
    <col min="3850" max="3850" width="18.28515625" customWidth="1"/>
    <col min="3851" max="3851" width="18" customWidth="1"/>
    <col min="3852" max="3852" width="16.5703125" customWidth="1"/>
    <col min="3853" max="3853" width="16.140625" customWidth="1"/>
    <col min="3854" max="3854" width="16.85546875" customWidth="1"/>
    <col min="3855" max="3855" width="17.42578125" customWidth="1"/>
    <col min="3856" max="3858" width="17.5703125" customWidth="1"/>
    <col min="3859" max="3860" width="17" bestFit="1" customWidth="1"/>
    <col min="4102" max="4102" width="6" customWidth="1"/>
    <col min="4103" max="4103" width="65.42578125" customWidth="1"/>
    <col min="4105" max="4105" width="17.7109375" customWidth="1"/>
    <col min="4106" max="4106" width="18.28515625" customWidth="1"/>
    <col min="4107" max="4107" width="18" customWidth="1"/>
    <col min="4108" max="4108" width="16.5703125" customWidth="1"/>
    <col min="4109" max="4109" width="16.140625" customWidth="1"/>
    <col min="4110" max="4110" width="16.85546875" customWidth="1"/>
    <col min="4111" max="4111" width="17.42578125" customWidth="1"/>
    <col min="4112" max="4114" width="17.5703125" customWidth="1"/>
    <col min="4115" max="4116" width="17" bestFit="1" customWidth="1"/>
    <col min="4358" max="4358" width="6" customWidth="1"/>
    <col min="4359" max="4359" width="65.42578125" customWidth="1"/>
    <col min="4361" max="4361" width="17.7109375" customWidth="1"/>
    <col min="4362" max="4362" width="18.28515625" customWidth="1"/>
    <col min="4363" max="4363" width="18" customWidth="1"/>
    <col min="4364" max="4364" width="16.5703125" customWidth="1"/>
    <col min="4365" max="4365" width="16.140625" customWidth="1"/>
    <col min="4366" max="4366" width="16.85546875" customWidth="1"/>
    <col min="4367" max="4367" width="17.42578125" customWidth="1"/>
    <col min="4368" max="4370" width="17.5703125" customWidth="1"/>
    <col min="4371" max="4372" width="17" bestFit="1" customWidth="1"/>
    <col min="4614" max="4614" width="6" customWidth="1"/>
    <col min="4615" max="4615" width="65.42578125" customWidth="1"/>
    <col min="4617" max="4617" width="17.7109375" customWidth="1"/>
    <col min="4618" max="4618" width="18.28515625" customWidth="1"/>
    <col min="4619" max="4619" width="18" customWidth="1"/>
    <col min="4620" max="4620" width="16.5703125" customWidth="1"/>
    <col min="4621" max="4621" width="16.140625" customWidth="1"/>
    <col min="4622" max="4622" width="16.85546875" customWidth="1"/>
    <col min="4623" max="4623" width="17.42578125" customWidth="1"/>
    <col min="4624" max="4626" width="17.5703125" customWidth="1"/>
    <col min="4627" max="4628" width="17" bestFit="1" customWidth="1"/>
    <col min="4870" max="4870" width="6" customWidth="1"/>
    <col min="4871" max="4871" width="65.42578125" customWidth="1"/>
    <col min="4873" max="4873" width="17.7109375" customWidth="1"/>
    <col min="4874" max="4874" width="18.28515625" customWidth="1"/>
    <col min="4875" max="4875" width="18" customWidth="1"/>
    <col min="4876" max="4876" width="16.5703125" customWidth="1"/>
    <col min="4877" max="4877" width="16.140625" customWidth="1"/>
    <col min="4878" max="4878" width="16.85546875" customWidth="1"/>
    <col min="4879" max="4879" width="17.42578125" customWidth="1"/>
    <col min="4880" max="4882" width="17.5703125" customWidth="1"/>
    <col min="4883" max="4884" width="17" bestFit="1" customWidth="1"/>
    <col min="5126" max="5126" width="6" customWidth="1"/>
    <col min="5127" max="5127" width="65.42578125" customWidth="1"/>
    <col min="5129" max="5129" width="17.7109375" customWidth="1"/>
    <col min="5130" max="5130" width="18.28515625" customWidth="1"/>
    <col min="5131" max="5131" width="18" customWidth="1"/>
    <col min="5132" max="5132" width="16.5703125" customWidth="1"/>
    <col min="5133" max="5133" width="16.140625" customWidth="1"/>
    <col min="5134" max="5134" width="16.85546875" customWidth="1"/>
    <col min="5135" max="5135" width="17.42578125" customWidth="1"/>
    <col min="5136" max="5138" width="17.5703125" customWidth="1"/>
    <col min="5139" max="5140" width="17" bestFit="1" customWidth="1"/>
    <col min="5382" max="5382" width="6" customWidth="1"/>
    <col min="5383" max="5383" width="65.42578125" customWidth="1"/>
    <col min="5385" max="5385" width="17.7109375" customWidth="1"/>
    <col min="5386" max="5386" width="18.28515625" customWidth="1"/>
    <col min="5387" max="5387" width="18" customWidth="1"/>
    <col min="5388" max="5388" width="16.5703125" customWidth="1"/>
    <col min="5389" max="5389" width="16.140625" customWidth="1"/>
    <col min="5390" max="5390" width="16.85546875" customWidth="1"/>
    <col min="5391" max="5391" width="17.42578125" customWidth="1"/>
    <col min="5392" max="5394" width="17.5703125" customWidth="1"/>
    <col min="5395" max="5396" width="17" bestFit="1" customWidth="1"/>
    <col min="5638" max="5638" width="6" customWidth="1"/>
    <col min="5639" max="5639" width="65.42578125" customWidth="1"/>
    <col min="5641" max="5641" width="17.7109375" customWidth="1"/>
    <col min="5642" max="5642" width="18.28515625" customWidth="1"/>
    <col min="5643" max="5643" width="18" customWidth="1"/>
    <col min="5644" max="5644" width="16.5703125" customWidth="1"/>
    <col min="5645" max="5645" width="16.140625" customWidth="1"/>
    <col min="5646" max="5646" width="16.85546875" customWidth="1"/>
    <col min="5647" max="5647" width="17.42578125" customWidth="1"/>
    <col min="5648" max="5650" width="17.5703125" customWidth="1"/>
    <col min="5651" max="5652" width="17" bestFit="1" customWidth="1"/>
    <col min="5894" max="5894" width="6" customWidth="1"/>
    <col min="5895" max="5895" width="65.42578125" customWidth="1"/>
    <col min="5897" max="5897" width="17.7109375" customWidth="1"/>
    <col min="5898" max="5898" width="18.28515625" customWidth="1"/>
    <col min="5899" max="5899" width="18" customWidth="1"/>
    <col min="5900" max="5900" width="16.5703125" customWidth="1"/>
    <col min="5901" max="5901" width="16.140625" customWidth="1"/>
    <col min="5902" max="5902" width="16.85546875" customWidth="1"/>
    <col min="5903" max="5903" width="17.42578125" customWidth="1"/>
    <col min="5904" max="5906" width="17.5703125" customWidth="1"/>
    <col min="5907" max="5908" width="17" bestFit="1" customWidth="1"/>
    <col min="6150" max="6150" width="6" customWidth="1"/>
    <col min="6151" max="6151" width="65.42578125" customWidth="1"/>
    <col min="6153" max="6153" width="17.7109375" customWidth="1"/>
    <col min="6154" max="6154" width="18.28515625" customWidth="1"/>
    <col min="6155" max="6155" width="18" customWidth="1"/>
    <col min="6156" max="6156" width="16.5703125" customWidth="1"/>
    <col min="6157" max="6157" width="16.140625" customWidth="1"/>
    <col min="6158" max="6158" width="16.85546875" customWidth="1"/>
    <col min="6159" max="6159" width="17.42578125" customWidth="1"/>
    <col min="6160" max="6162" width="17.5703125" customWidth="1"/>
    <col min="6163" max="6164" width="17" bestFit="1" customWidth="1"/>
    <col min="6406" max="6406" width="6" customWidth="1"/>
    <col min="6407" max="6407" width="65.42578125" customWidth="1"/>
    <col min="6409" max="6409" width="17.7109375" customWidth="1"/>
    <col min="6410" max="6410" width="18.28515625" customWidth="1"/>
    <col min="6411" max="6411" width="18" customWidth="1"/>
    <col min="6412" max="6412" width="16.5703125" customWidth="1"/>
    <col min="6413" max="6413" width="16.140625" customWidth="1"/>
    <col min="6414" max="6414" width="16.85546875" customWidth="1"/>
    <col min="6415" max="6415" width="17.42578125" customWidth="1"/>
    <col min="6416" max="6418" width="17.5703125" customWidth="1"/>
    <col min="6419" max="6420" width="17" bestFit="1" customWidth="1"/>
    <col min="6662" max="6662" width="6" customWidth="1"/>
    <col min="6663" max="6663" width="65.42578125" customWidth="1"/>
    <col min="6665" max="6665" width="17.7109375" customWidth="1"/>
    <col min="6666" max="6666" width="18.28515625" customWidth="1"/>
    <col min="6667" max="6667" width="18" customWidth="1"/>
    <col min="6668" max="6668" width="16.5703125" customWidth="1"/>
    <col min="6669" max="6669" width="16.140625" customWidth="1"/>
    <col min="6670" max="6670" width="16.85546875" customWidth="1"/>
    <col min="6671" max="6671" width="17.42578125" customWidth="1"/>
    <col min="6672" max="6674" width="17.5703125" customWidth="1"/>
    <col min="6675" max="6676" width="17" bestFit="1" customWidth="1"/>
    <col min="6918" max="6918" width="6" customWidth="1"/>
    <col min="6919" max="6919" width="65.42578125" customWidth="1"/>
    <col min="6921" max="6921" width="17.7109375" customWidth="1"/>
    <col min="6922" max="6922" width="18.28515625" customWidth="1"/>
    <col min="6923" max="6923" width="18" customWidth="1"/>
    <col min="6924" max="6924" width="16.5703125" customWidth="1"/>
    <col min="6925" max="6925" width="16.140625" customWidth="1"/>
    <col min="6926" max="6926" width="16.85546875" customWidth="1"/>
    <col min="6927" max="6927" width="17.42578125" customWidth="1"/>
    <col min="6928" max="6930" width="17.5703125" customWidth="1"/>
    <col min="6931" max="6932" width="17" bestFit="1" customWidth="1"/>
    <col min="7174" max="7174" width="6" customWidth="1"/>
    <col min="7175" max="7175" width="65.42578125" customWidth="1"/>
    <col min="7177" max="7177" width="17.7109375" customWidth="1"/>
    <col min="7178" max="7178" width="18.28515625" customWidth="1"/>
    <col min="7179" max="7179" width="18" customWidth="1"/>
    <col min="7180" max="7180" width="16.5703125" customWidth="1"/>
    <col min="7181" max="7181" width="16.140625" customWidth="1"/>
    <col min="7182" max="7182" width="16.85546875" customWidth="1"/>
    <col min="7183" max="7183" width="17.42578125" customWidth="1"/>
    <col min="7184" max="7186" width="17.5703125" customWidth="1"/>
    <col min="7187" max="7188" width="17" bestFit="1" customWidth="1"/>
    <col min="7430" max="7430" width="6" customWidth="1"/>
    <col min="7431" max="7431" width="65.42578125" customWidth="1"/>
    <col min="7433" max="7433" width="17.7109375" customWidth="1"/>
    <col min="7434" max="7434" width="18.28515625" customWidth="1"/>
    <col min="7435" max="7435" width="18" customWidth="1"/>
    <col min="7436" max="7436" width="16.5703125" customWidth="1"/>
    <col min="7437" max="7437" width="16.140625" customWidth="1"/>
    <col min="7438" max="7438" width="16.85546875" customWidth="1"/>
    <col min="7439" max="7439" width="17.42578125" customWidth="1"/>
    <col min="7440" max="7442" width="17.5703125" customWidth="1"/>
    <col min="7443" max="7444" width="17" bestFit="1" customWidth="1"/>
    <col min="7686" max="7686" width="6" customWidth="1"/>
    <col min="7687" max="7687" width="65.42578125" customWidth="1"/>
    <col min="7689" max="7689" width="17.7109375" customWidth="1"/>
    <col min="7690" max="7690" width="18.28515625" customWidth="1"/>
    <col min="7691" max="7691" width="18" customWidth="1"/>
    <col min="7692" max="7692" width="16.5703125" customWidth="1"/>
    <col min="7693" max="7693" width="16.140625" customWidth="1"/>
    <col min="7694" max="7694" width="16.85546875" customWidth="1"/>
    <col min="7695" max="7695" width="17.42578125" customWidth="1"/>
    <col min="7696" max="7698" width="17.5703125" customWidth="1"/>
    <col min="7699" max="7700" width="17" bestFit="1" customWidth="1"/>
    <col min="7942" max="7942" width="6" customWidth="1"/>
    <col min="7943" max="7943" width="65.42578125" customWidth="1"/>
    <col min="7945" max="7945" width="17.7109375" customWidth="1"/>
    <col min="7946" max="7946" width="18.28515625" customWidth="1"/>
    <col min="7947" max="7947" width="18" customWidth="1"/>
    <col min="7948" max="7948" width="16.5703125" customWidth="1"/>
    <col min="7949" max="7949" width="16.140625" customWidth="1"/>
    <col min="7950" max="7950" width="16.85546875" customWidth="1"/>
    <col min="7951" max="7951" width="17.42578125" customWidth="1"/>
    <col min="7952" max="7954" width="17.5703125" customWidth="1"/>
    <col min="7955" max="7956" width="17" bestFit="1" customWidth="1"/>
    <col min="8198" max="8198" width="6" customWidth="1"/>
    <col min="8199" max="8199" width="65.42578125" customWidth="1"/>
    <col min="8201" max="8201" width="17.7109375" customWidth="1"/>
    <col min="8202" max="8202" width="18.28515625" customWidth="1"/>
    <col min="8203" max="8203" width="18" customWidth="1"/>
    <col min="8204" max="8204" width="16.5703125" customWidth="1"/>
    <col min="8205" max="8205" width="16.140625" customWidth="1"/>
    <col min="8206" max="8206" width="16.85546875" customWidth="1"/>
    <col min="8207" max="8207" width="17.42578125" customWidth="1"/>
    <col min="8208" max="8210" width="17.5703125" customWidth="1"/>
    <col min="8211" max="8212" width="17" bestFit="1" customWidth="1"/>
    <col min="8454" max="8454" width="6" customWidth="1"/>
    <col min="8455" max="8455" width="65.42578125" customWidth="1"/>
    <col min="8457" max="8457" width="17.7109375" customWidth="1"/>
    <col min="8458" max="8458" width="18.28515625" customWidth="1"/>
    <col min="8459" max="8459" width="18" customWidth="1"/>
    <col min="8460" max="8460" width="16.5703125" customWidth="1"/>
    <col min="8461" max="8461" width="16.140625" customWidth="1"/>
    <col min="8462" max="8462" width="16.85546875" customWidth="1"/>
    <col min="8463" max="8463" width="17.42578125" customWidth="1"/>
    <col min="8464" max="8466" width="17.5703125" customWidth="1"/>
    <col min="8467" max="8468" width="17" bestFit="1" customWidth="1"/>
    <col min="8710" max="8710" width="6" customWidth="1"/>
    <col min="8711" max="8711" width="65.42578125" customWidth="1"/>
    <col min="8713" max="8713" width="17.7109375" customWidth="1"/>
    <col min="8714" max="8714" width="18.28515625" customWidth="1"/>
    <col min="8715" max="8715" width="18" customWidth="1"/>
    <col min="8716" max="8716" width="16.5703125" customWidth="1"/>
    <col min="8717" max="8717" width="16.140625" customWidth="1"/>
    <col min="8718" max="8718" width="16.85546875" customWidth="1"/>
    <col min="8719" max="8719" width="17.42578125" customWidth="1"/>
    <col min="8720" max="8722" width="17.5703125" customWidth="1"/>
    <col min="8723" max="8724" width="17" bestFit="1" customWidth="1"/>
    <col min="8966" max="8966" width="6" customWidth="1"/>
    <col min="8967" max="8967" width="65.42578125" customWidth="1"/>
    <col min="8969" max="8969" width="17.7109375" customWidth="1"/>
    <col min="8970" max="8970" width="18.28515625" customWidth="1"/>
    <col min="8971" max="8971" width="18" customWidth="1"/>
    <col min="8972" max="8972" width="16.5703125" customWidth="1"/>
    <col min="8973" max="8973" width="16.140625" customWidth="1"/>
    <col min="8974" max="8974" width="16.85546875" customWidth="1"/>
    <col min="8975" max="8975" width="17.42578125" customWidth="1"/>
    <col min="8976" max="8978" width="17.5703125" customWidth="1"/>
    <col min="8979" max="8980" width="17" bestFit="1" customWidth="1"/>
    <col min="9222" max="9222" width="6" customWidth="1"/>
    <col min="9223" max="9223" width="65.42578125" customWidth="1"/>
    <col min="9225" max="9225" width="17.7109375" customWidth="1"/>
    <col min="9226" max="9226" width="18.28515625" customWidth="1"/>
    <col min="9227" max="9227" width="18" customWidth="1"/>
    <col min="9228" max="9228" width="16.5703125" customWidth="1"/>
    <col min="9229" max="9229" width="16.140625" customWidth="1"/>
    <col min="9230" max="9230" width="16.85546875" customWidth="1"/>
    <col min="9231" max="9231" width="17.42578125" customWidth="1"/>
    <col min="9232" max="9234" width="17.5703125" customWidth="1"/>
    <col min="9235" max="9236" width="17" bestFit="1" customWidth="1"/>
    <col min="9478" max="9478" width="6" customWidth="1"/>
    <col min="9479" max="9479" width="65.42578125" customWidth="1"/>
    <col min="9481" max="9481" width="17.7109375" customWidth="1"/>
    <col min="9482" max="9482" width="18.28515625" customWidth="1"/>
    <col min="9483" max="9483" width="18" customWidth="1"/>
    <col min="9484" max="9484" width="16.5703125" customWidth="1"/>
    <col min="9485" max="9485" width="16.140625" customWidth="1"/>
    <col min="9486" max="9486" width="16.85546875" customWidth="1"/>
    <col min="9487" max="9487" width="17.42578125" customWidth="1"/>
    <col min="9488" max="9490" width="17.5703125" customWidth="1"/>
    <col min="9491" max="9492" width="17" bestFit="1" customWidth="1"/>
    <col min="9734" max="9734" width="6" customWidth="1"/>
    <col min="9735" max="9735" width="65.42578125" customWidth="1"/>
    <col min="9737" max="9737" width="17.7109375" customWidth="1"/>
    <col min="9738" max="9738" width="18.28515625" customWidth="1"/>
    <col min="9739" max="9739" width="18" customWidth="1"/>
    <col min="9740" max="9740" width="16.5703125" customWidth="1"/>
    <col min="9741" max="9741" width="16.140625" customWidth="1"/>
    <col min="9742" max="9742" width="16.85546875" customWidth="1"/>
    <col min="9743" max="9743" width="17.42578125" customWidth="1"/>
    <col min="9744" max="9746" width="17.5703125" customWidth="1"/>
    <col min="9747" max="9748" width="17" bestFit="1" customWidth="1"/>
    <col min="9990" max="9990" width="6" customWidth="1"/>
    <col min="9991" max="9991" width="65.42578125" customWidth="1"/>
    <col min="9993" max="9993" width="17.7109375" customWidth="1"/>
    <col min="9994" max="9994" width="18.28515625" customWidth="1"/>
    <col min="9995" max="9995" width="18" customWidth="1"/>
    <col min="9996" max="9996" width="16.5703125" customWidth="1"/>
    <col min="9997" max="9997" width="16.140625" customWidth="1"/>
    <col min="9998" max="9998" width="16.85546875" customWidth="1"/>
    <col min="9999" max="9999" width="17.42578125" customWidth="1"/>
    <col min="10000" max="10002" width="17.5703125" customWidth="1"/>
    <col min="10003" max="10004" width="17" bestFit="1" customWidth="1"/>
    <col min="10246" max="10246" width="6" customWidth="1"/>
    <col min="10247" max="10247" width="65.42578125" customWidth="1"/>
    <col min="10249" max="10249" width="17.7109375" customWidth="1"/>
    <col min="10250" max="10250" width="18.28515625" customWidth="1"/>
    <col min="10251" max="10251" width="18" customWidth="1"/>
    <col min="10252" max="10252" width="16.5703125" customWidth="1"/>
    <col min="10253" max="10253" width="16.140625" customWidth="1"/>
    <col min="10254" max="10254" width="16.85546875" customWidth="1"/>
    <col min="10255" max="10255" width="17.42578125" customWidth="1"/>
    <col min="10256" max="10258" width="17.5703125" customWidth="1"/>
    <col min="10259" max="10260" width="17" bestFit="1" customWidth="1"/>
    <col min="10502" max="10502" width="6" customWidth="1"/>
    <col min="10503" max="10503" width="65.42578125" customWidth="1"/>
    <col min="10505" max="10505" width="17.7109375" customWidth="1"/>
    <col min="10506" max="10506" width="18.28515625" customWidth="1"/>
    <col min="10507" max="10507" width="18" customWidth="1"/>
    <col min="10508" max="10508" width="16.5703125" customWidth="1"/>
    <col min="10509" max="10509" width="16.140625" customWidth="1"/>
    <col min="10510" max="10510" width="16.85546875" customWidth="1"/>
    <col min="10511" max="10511" width="17.42578125" customWidth="1"/>
    <col min="10512" max="10514" width="17.5703125" customWidth="1"/>
    <col min="10515" max="10516" width="17" bestFit="1" customWidth="1"/>
    <col min="10758" max="10758" width="6" customWidth="1"/>
    <col min="10759" max="10759" width="65.42578125" customWidth="1"/>
    <col min="10761" max="10761" width="17.7109375" customWidth="1"/>
    <col min="10762" max="10762" width="18.28515625" customWidth="1"/>
    <col min="10763" max="10763" width="18" customWidth="1"/>
    <col min="10764" max="10764" width="16.5703125" customWidth="1"/>
    <col min="10765" max="10765" width="16.140625" customWidth="1"/>
    <col min="10766" max="10766" width="16.85546875" customWidth="1"/>
    <col min="10767" max="10767" width="17.42578125" customWidth="1"/>
    <col min="10768" max="10770" width="17.5703125" customWidth="1"/>
    <col min="10771" max="10772" width="17" bestFit="1" customWidth="1"/>
    <col min="11014" max="11014" width="6" customWidth="1"/>
    <col min="11015" max="11015" width="65.42578125" customWidth="1"/>
    <col min="11017" max="11017" width="17.7109375" customWidth="1"/>
    <col min="11018" max="11018" width="18.28515625" customWidth="1"/>
    <col min="11019" max="11019" width="18" customWidth="1"/>
    <col min="11020" max="11020" width="16.5703125" customWidth="1"/>
    <col min="11021" max="11021" width="16.140625" customWidth="1"/>
    <col min="11022" max="11022" width="16.85546875" customWidth="1"/>
    <col min="11023" max="11023" width="17.42578125" customWidth="1"/>
    <col min="11024" max="11026" width="17.5703125" customWidth="1"/>
    <col min="11027" max="11028" width="17" bestFit="1" customWidth="1"/>
    <col min="11270" max="11270" width="6" customWidth="1"/>
    <col min="11271" max="11271" width="65.42578125" customWidth="1"/>
    <col min="11273" max="11273" width="17.7109375" customWidth="1"/>
    <col min="11274" max="11274" width="18.28515625" customWidth="1"/>
    <col min="11275" max="11275" width="18" customWidth="1"/>
    <col min="11276" max="11276" width="16.5703125" customWidth="1"/>
    <col min="11277" max="11277" width="16.140625" customWidth="1"/>
    <col min="11278" max="11278" width="16.85546875" customWidth="1"/>
    <col min="11279" max="11279" width="17.42578125" customWidth="1"/>
    <col min="11280" max="11282" width="17.5703125" customWidth="1"/>
    <col min="11283" max="11284" width="17" bestFit="1" customWidth="1"/>
    <col min="11526" max="11526" width="6" customWidth="1"/>
    <col min="11527" max="11527" width="65.42578125" customWidth="1"/>
    <col min="11529" max="11529" width="17.7109375" customWidth="1"/>
    <col min="11530" max="11530" width="18.28515625" customWidth="1"/>
    <col min="11531" max="11531" width="18" customWidth="1"/>
    <col min="11532" max="11532" width="16.5703125" customWidth="1"/>
    <col min="11533" max="11533" width="16.140625" customWidth="1"/>
    <col min="11534" max="11534" width="16.85546875" customWidth="1"/>
    <col min="11535" max="11535" width="17.42578125" customWidth="1"/>
    <col min="11536" max="11538" width="17.5703125" customWidth="1"/>
    <col min="11539" max="11540" width="17" bestFit="1" customWidth="1"/>
    <col min="11782" max="11782" width="6" customWidth="1"/>
    <col min="11783" max="11783" width="65.42578125" customWidth="1"/>
    <col min="11785" max="11785" width="17.7109375" customWidth="1"/>
    <col min="11786" max="11786" width="18.28515625" customWidth="1"/>
    <col min="11787" max="11787" width="18" customWidth="1"/>
    <col min="11788" max="11788" width="16.5703125" customWidth="1"/>
    <col min="11789" max="11789" width="16.140625" customWidth="1"/>
    <col min="11790" max="11790" width="16.85546875" customWidth="1"/>
    <col min="11791" max="11791" width="17.42578125" customWidth="1"/>
    <col min="11792" max="11794" width="17.5703125" customWidth="1"/>
    <col min="11795" max="11796" width="17" bestFit="1" customWidth="1"/>
    <col min="12038" max="12038" width="6" customWidth="1"/>
    <col min="12039" max="12039" width="65.42578125" customWidth="1"/>
    <col min="12041" max="12041" width="17.7109375" customWidth="1"/>
    <col min="12042" max="12042" width="18.28515625" customWidth="1"/>
    <col min="12043" max="12043" width="18" customWidth="1"/>
    <col min="12044" max="12044" width="16.5703125" customWidth="1"/>
    <col min="12045" max="12045" width="16.140625" customWidth="1"/>
    <col min="12046" max="12046" width="16.85546875" customWidth="1"/>
    <col min="12047" max="12047" width="17.42578125" customWidth="1"/>
    <col min="12048" max="12050" width="17.5703125" customWidth="1"/>
    <col min="12051" max="12052" width="17" bestFit="1" customWidth="1"/>
    <col min="12294" max="12294" width="6" customWidth="1"/>
    <col min="12295" max="12295" width="65.42578125" customWidth="1"/>
    <col min="12297" max="12297" width="17.7109375" customWidth="1"/>
    <col min="12298" max="12298" width="18.28515625" customWidth="1"/>
    <col min="12299" max="12299" width="18" customWidth="1"/>
    <col min="12300" max="12300" width="16.5703125" customWidth="1"/>
    <col min="12301" max="12301" width="16.140625" customWidth="1"/>
    <col min="12302" max="12302" width="16.85546875" customWidth="1"/>
    <col min="12303" max="12303" width="17.42578125" customWidth="1"/>
    <col min="12304" max="12306" width="17.5703125" customWidth="1"/>
    <col min="12307" max="12308" width="17" bestFit="1" customWidth="1"/>
    <col min="12550" max="12550" width="6" customWidth="1"/>
    <col min="12551" max="12551" width="65.42578125" customWidth="1"/>
    <col min="12553" max="12553" width="17.7109375" customWidth="1"/>
    <col min="12554" max="12554" width="18.28515625" customWidth="1"/>
    <col min="12555" max="12555" width="18" customWidth="1"/>
    <col min="12556" max="12556" width="16.5703125" customWidth="1"/>
    <col min="12557" max="12557" width="16.140625" customWidth="1"/>
    <col min="12558" max="12558" width="16.85546875" customWidth="1"/>
    <col min="12559" max="12559" width="17.42578125" customWidth="1"/>
    <col min="12560" max="12562" width="17.5703125" customWidth="1"/>
    <col min="12563" max="12564" width="17" bestFit="1" customWidth="1"/>
    <col min="12806" max="12806" width="6" customWidth="1"/>
    <col min="12807" max="12807" width="65.42578125" customWidth="1"/>
    <col min="12809" max="12809" width="17.7109375" customWidth="1"/>
    <col min="12810" max="12810" width="18.28515625" customWidth="1"/>
    <col min="12811" max="12811" width="18" customWidth="1"/>
    <col min="12812" max="12812" width="16.5703125" customWidth="1"/>
    <col min="12813" max="12813" width="16.140625" customWidth="1"/>
    <col min="12814" max="12814" width="16.85546875" customWidth="1"/>
    <col min="12815" max="12815" width="17.42578125" customWidth="1"/>
    <col min="12816" max="12818" width="17.5703125" customWidth="1"/>
    <col min="12819" max="12820" width="17" bestFit="1" customWidth="1"/>
    <col min="13062" max="13062" width="6" customWidth="1"/>
    <col min="13063" max="13063" width="65.42578125" customWidth="1"/>
    <col min="13065" max="13065" width="17.7109375" customWidth="1"/>
    <col min="13066" max="13066" width="18.28515625" customWidth="1"/>
    <col min="13067" max="13067" width="18" customWidth="1"/>
    <col min="13068" max="13068" width="16.5703125" customWidth="1"/>
    <col min="13069" max="13069" width="16.140625" customWidth="1"/>
    <col min="13070" max="13070" width="16.85546875" customWidth="1"/>
    <col min="13071" max="13071" width="17.42578125" customWidth="1"/>
    <col min="13072" max="13074" width="17.5703125" customWidth="1"/>
    <col min="13075" max="13076" width="17" bestFit="1" customWidth="1"/>
    <col min="13318" max="13318" width="6" customWidth="1"/>
    <col min="13319" max="13319" width="65.42578125" customWidth="1"/>
    <col min="13321" max="13321" width="17.7109375" customWidth="1"/>
    <col min="13322" max="13322" width="18.28515625" customWidth="1"/>
    <col min="13323" max="13323" width="18" customWidth="1"/>
    <col min="13324" max="13324" width="16.5703125" customWidth="1"/>
    <col min="13325" max="13325" width="16.140625" customWidth="1"/>
    <col min="13326" max="13326" width="16.85546875" customWidth="1"/>
    <col min="13327" max="13327" width="17.42578125" customWidth="1"/>
    <col min="13328" max="13330" width="17.5703125" customWidth="1"/>
    <col min="13331" max="13332" width="17" bestFit="1" customWidth="1"/>
    <col min="13574" max="13574" width="6" customWidth="1"/>
    <col min="13575" max="13575" width="65.42578125" customWidth="1"/>
    <col min="13577" max="13577" width="17.7109375" customWidth="1"/>
    <col min="13578" max="13578" width="18.28515625" customWidth="1"/>
    <col min="13579" max="13579" width="18" customWidth="1"/>
    <col min="13580" max="13580" width="16.5703125" customWidth="1"/>
    <col min="13581" max="13581" width="16.140625" customWidth="1"/>
    <col min="13582" max="13582" width="16.85546875" customWidth="1"/>
    <col min="13583" max="13583" width="17.42578125" customWidth="1"/>
    <col min="13584" max="13586" width="17.5703125" customWidth="1"/>
    <col min="13587" max="13588" width="17" bestFit="1" customWidth="1"/>
    <col min="13830" max="13830" width="6" customWidth="1"/>
    <col min="13831" max="13831" width="65.42578125" customWidth="1"/>
    <col min="13833" max="13833" width="17.7109375" customWidth="1"/>
    <col min="13834" max="13834" width="18.28515625" customWidth="1"/>
    <col min="13835" max="13835" width="18" customWidth="1"/>
    <col min="13836" max="13836" width="16.5703125" customWidth="1"/>
    <col min="13837" max="13837" width="16.140625" customWidth="1"/>
    <col min="13838" max="13838" width="16.85546875" customWidth="1"/>
    <col min="13839" max="13839" width="17.42578125" customWidth="1"/>
    <col min="13840" max="13842" width="17.5703125" customWidth="1"/>
    <col min="13843" max="13844" width="17" bestFit="1" customWidth="1"/>
    <col min="14086" max="14086" width="6" customWidth="1"/>
    <col min="14087" max="14087" width="65.42578125" customWidth="1"/>
    <col min="14089" max="14089" width="17.7109375" customWidth="1"/>
    <col min="14090" max="14090" width="18.28515625" customWidth="1"/>
    <col min="14091" max="14091" width="18" customWidth="1"/>
    <col min="14092" max="14092" width="16.5703125" customWidth="1"/>
    <col min="14093" max="14093" width="16.140625" customWidth="1"/>
    <col min="14094" max="14094" width="16.85546875" customWidth="1"/>
    <col min="14095" max="14095" width="17.42578125" customWidth="1"/>
    <col min="14096" max="14098" width="17.5703125" customWidth="1"/>
    <col min="14099" max="14100" width="17" bestFit="1" customWidth="1"/>
    <col min="14342" max="14342" width="6" customWidth="1"/>
    <col min="14343" max="14343" width="65.42578125" customWidth="1"/>
    <col min="14345" max="14345" width="17.7109375" customWidth="1"/>
    <col min="14346" max="14346" width="18.28515625" customWidth="1"/>
    <col min="14347" max="14347" width="18" customWidth="1"/>
    <col min="14348" max="14348" width="16.5703125" customWidth="1"/>
    <col min="14349" max="14349" width="16.140625" customWidth="1"/>
    <col min="14350" max="14350" width="16.85546875" customWidth="1"/>
    <col min="14351" max="14351" width="17.42578125" customWidth="1"/>
    <col min="14352" max="14354" width="17.5703125" customWidth="1"/>
    <col min="14355" max="14356" width="17" bestFit="1" customWidth="1"/>
    <col min="14598" max="14598" width="6" customWidth="1"/>
    <col min="14599" max="14599" width="65.42578125" customWidth="1"/>
    <col min="14601" max="14601" width="17.7109375" customWidth="1"/>
    <col min="14602" max="14602" width="18.28515625" customWidth="1"/>
    <col min="14603" max="14603" width="18" customWidth="1"/>
    <col min="14604" max="14604" width="16.5703125" customWidth="1"/>
    <col min="14605" max="14605" width="16.140625" customWidth="1"/>
    <col min="14606" max="14606" width="16.85546875" customWidth="1"/>
    <col min="14607" max="14607" width="17.42578125" customWidth="1"/>
    <col min="14608" max="14610" width="17.5703125" customWidth="1"/>
    <col min="14611" max="14612" width="17" bestFit="1" customWidth="1"/>
    <col min="14854" max="14854" width="6" customWidth="1"/>
    <col min="14855" max="14855" width="65.42578125" customWidth="1"/>
    <col min="14857" max="14857" width="17.7109375" customWidth="1"/>
    <col min="14858" max="14858" width="18.28515625" customWidth="1"/>
    <col min="14859" max="14859" width="18" customWidth="1"/>
    <col min="14860" max="14860" width="16.5703125" customWidth="1"/>
    <col min="14861" max="14861" width="16.140625" customWidth="1"/>
    <col min="14862" max="14862" width="16.85546875" customWidth="1"/>
    <col min="14863" max="14863" width="17.42578125" customWidth="1"/>
    <col min="14864" max="14866" width="17.5703125" customWidth="1"/>
    <col min="14867" max="14868" width="17" bestFit="1" customWidth="1"/>
    <col min="15110" max="15110" width="6" customWidth="1"/>
    <col min="15111" max="15111" width="65.42578125" customWidth="1"/>
    <col min="15113" max="15113" width="17.7109375" customWidth="1"/>
    <col min="15114" max="15114" width="18.28515625" customWidth="1"/>
    <col min="15115" max="15115" width="18" customWidth="1"/>
    <col min="15116" max="15116" width="16.5703125" customWidth="1"/>
    <col min="15117" max="15117" width="16.140625" customWidth="1"/>
    <col min="15118" max="15118" width="16.85546875" customWidth="1"/>
    <col min="15119" max="15119" width="17.42578125" customWidth="1"/>
    <col min="15120" max="15122" width="17.5703125" customWidth="1"/>
    <col min="15123" max="15124" width="17" bestFit="1" customWidth="1"/>
    <col min="15366" max="15366" width="6" customWidth="1"/>
    <col min="15367" max="15367" width="65.42578125" customWidth="1"/>
    <col min="15369" max="15369" width="17.7109375" customWidth="1"/>
    <col min="15370" max="15370" width="18.28515625" customWidth="1"/>
    <col min="15371" max="15371" width="18" customWidth="1"/>
    <col min="15372" max="15372" width="16.5703125" customWidth="1"/>
    <col min="15373" max="15373" width="16.140625" customWidth="1"/>
    <col min="15374" max="15374" width="16.85546875" customWidth="1"/>
    <col min="15375" max="15375" width="17.42578125" customWidth="1"/>
    <col min="15376" max="15378" width="17.5703125" customWidth="1"/>
    <col min="15379" max="15380" width="17" bestFit="1" customWidth="1"/>
    <col min="15622" max="15622" width="6" customWidth="1"/>
    <col min="15623" max="15623" width="65.42578125" customWidth="1"/>
    <col min="15625" max="15625" width="17.7109375" customWidth="1"/>
    <col min="15626" max="15626" width="18.28515625" customWidth="1"/>
    <col min="15627" max="15627" width="18" customWidth="1"/>
    <col min="15628" max="15628" width="16.5703125" customWidth="1"/>
    <col min="15629" max="15629" width="16.140625" customWidth="1"/>
    <col min="15630" max="15630" width="16.85546875" customWidth="1"/>
    <col min="15631" max="15631" width="17.42578125" customWidth="1"/>
    <col min="15632" max="15634" width="17.5703125" customWidth="1"/>
    <col min="15635" max="15636" width="17" bestFit="1" customWidth="1"/>
    <col min="15878" max="15878" width="6" customWidth="1"/>
    <col min="15879" max="15879" width="65.42578125" customWidth="1"/>
    <col min="15881" max="15881" width="17.7109375" customWidth="1"/>
    <col min="15882" max="15882" width="18.28515625" customWidth="1"/>
    <col min="15883" max="15883" width="18" customWidth="1"/>
    <col min="15884" max="15884" width="16.5703125" customWidth="1"/>
    <col min="15885" max="15885" width="16.140625" customWidth="1"/>
    <col min="15886" max="15886" width="16.85546875" customWidth="1"/>
    <col min="15887" max="15887" width="17.42578125" customWidth="1"/>
    <col min="15888" max="15890" width="17.5703125" customWidth="1"/>
    <col min="15891" max="15892" width="17" bestFit="1" customWidth="1"/>
    <col min="16134" max="16134" width="6" customWidth="1"/>
    <col min="16135" max="16135" width="65.42578125" customWidth="1"/>
    <col min="16137" max="16137" width="17.7109375" customWidth="1"/>
    <col min="16138" max="16138" width="18.28515625" customWidth="1"/>
    <col min="16139" max="16139" width="18" customWidth="1"/>
    <col min="16140" max="16140" width="16.5703125" customWidth="1"/>
    <col min="16141" max="16141" width="16.140625" customWidth="1"/>
    <col min="16142" max="16142" width="16.85546875" customWidth="1"/>
    <col min="16143" max="16143" width="17.42578125" customWidth="1"/>
    <col min="16144" max="16146" width="17.5703125" customWidth="1"/>
    <col min="16147" max="16148" width="17" bestFit="1" customWidth="1"/>
  </cols>
  <sheetData>
    <row r="1" spans="1:24" x14ac:dyDescent="0.2">
      <c r="A1" s="626"/>
      <c r="B1" s="626"/>
      <c r="C1" s="662"/>
      <c r="D1" s="628"/>
      <c r="E1" s="628"/>
      <c r="F1" s="628"/>
      <c r="G1" s="628"/>
      <c r="H1" s="628"/>
      <c r="I1" s="628"/>
      <c r="J1" s="628"/>
      <c r="K1" s="657" t="s">
        <v>0</v>
      </c>
      <c r="L1" s="657"/>
      <c r="M1" s="628"/>
      <c r="N1" s="628"/>
      <c r="O1" s="628"/>
      <c r="P1" s="628"/>
      <c r="Q1" s="628"/>
      <c r="R1" s="628"/>
      <c r="S1" s="657"/>
      <c r="T1" s="657" t="s">
        <v>0</v>
      </c>
    </row>
    <row r="2" spans="1:24" ht="15.75" customHeight="1" x14ac:dyDescent="0.2">
      <c r="A2" s="961" t="s">
        <v>1249</v>
      </c>
      <c r="B2" s="962"/>
      <c r="C2" s="963"/>
      <c r="D2" s="958" t="s">
        <v>1419</v>
      </c>
      <c r="E2" s="959"/>
      <c r="F2" s="959"/>
      <c r="G2" s="959"/>
      <c r="H2" s="959"/>
      <c r="I2" s="959"/>
      <c r="J2" s="959"/>
      <c r="K2" s="959"/>
      <c r="L2" s="791"/>
      <c r="M2" s="958" t="s">
        <v>1420</v>
      </c>
      <c r="N2" s="959"/>
      <c r="O2" s="959"/>
      <c r="P2" s="959"/>
      <c r="Q2" s="959"/>
      <c r="R2" s="959"/>
      <c r="S2" s="959"/>
      <c r="T2" s="959"/>
      <c r="U2" s="960"/>
    </row>
    <row r="3" spans="1:24" ht="31.5" x14ac:dyDescent="0.2">
      <c r="A3" s="964"/>
      <c r="B3" s="965"/>
      <c r="C3" s="966"/>
      <c r="D3" s="794" t="s">
        <v>6</v>
      </c>
      <c r="E3" s="794" t="s">
        <v>7</v>
      </c>
      <c r="F3" s="794" t="s">
        <v>788</v>
      </c>
      <c r="G3" s="794" t="s">
        <v>6</v>
      </c>
      <c r="H3" s="794" t="s">
        <v>7</v>
      </c>
      <c r="I3" s="794" t="s">
        <v>788</v>
      </c>
      <c r="J3" s="794" t="s">
        <v>6</v>
      </c>
      <c r="K3" s="794" t="s">
        <v>7</v>
      </c>
      <c r="L3" s="794" t="s">
        <v>788</v>
      </c>
      <c r="M3" s="794" t="s">
        <v>6</v>
      </c>
      <c r="N3" s="794" t="s">
        <v>7</v>
      </c>
      <c r="O3" s="794" t="s">
        <v>788</v>
      </c>
      <c r="P3" s="794" t="s">
        <v>6</v>
      </c>
      <c r="Q3" s="794" t="s">
        <v>7</v>
      </c>
      <c r="R3" s="794" t="s">
        <v>788</v>
      </c>
      <c r="S3" s="794" t="s">
        <v>6</v>
      </c>
      <c r="T3" s="794" t="s">
        <v>7</v>
      </c>
      <c r="U3" s="794" t="s">
        <v>788</v>
      </c>
    </row>
    <row r="4" spans="1:24" ht="129.75" customHeight="1" x14ac:dyDescent="0.2">
      <c r="A4" s="979" t="s">
        <v>3</v>
      </c>
      <c r="B4" s="980" t="s">
        <v>4</v>
      </c>
      <c r="C4" s="980"/>
      <c r="D4" s="955" t="s">
        <v>1358</v>
      </c>
      <c r="E4" s="956"/>
      <c r="F4" s="957"/>
      <c r="G4" s="887" t="s">
        <v>1427</v>
      </c>
      <c r="H4" s="888"/>
      <c r="I4" s="889"/>
      <c r="J4" s="958" t="s">
        <v>1316</v>
      </c>
      <c r="K4" s="959"/>
      <c r="L4" s="960"/>
      <c r="M4" s="887" t="s">
        <v>1183</v>
      </c>
      <c r="N4" s="888"/>
      <c r="O4" s="889"/>
      <c r="P4" s="958" t="s">
        <v>1316</v>
      </c>
      <c r="Q4" s="959"/>
      <c r="R4" s="960"/>
      <c r="S4" s="1001" t="s">
        <v>1258</v>
      </c>
      <c r="T4" s="1001"/>
      <c r="U4" s="1001"/>
    </row>
    <row r="5" spans="1:24" ht="21.75" customHeight="1" x14ac:dyDescent="0.2">
      <c r="A5" s="979"/>
      <c r="B5" s="980" t="s">
        <v>5</v>
      </c>
      <c r="C5" s="980"/>
      <c r="D5" s="955" t="s">
        <v>11</v>
      </c>
      <c r="E5" s="956"/>
      <c r="F5" s="957"/>
      <c r="G5" s="955" t="s">
        <v>11</v>
      </c>
      <c r="H5" s="956"/>
      <c r="I5" s="957"/>
      <c r="J5" s="955" t="s">
        <v>11</v>
      </c>
      <c r="K5" s="956"/>
      <c r="L5" s="957"/>
      <c r="M5" s="887" t="s">
        <v>164</v>
      </c>
      <c r="N5" s="888"/>
      <c r="O5" s="889"/>
      <c r="P5" s="955" t="s">
        <v>11</v>
      </c>
      <c r="Q5" s="956"/>
      <c r="R5" s="957"/>
      <c r="S5" s="1001"/>
      <c r="T5" s="1001"/>
      <c r="U5" s="1001"/>
    </row>
    <row r="6" spans="1:24" ht="20.25" customHeight="1" x14ac:dyDescent="0.2">
      <c r="A6" s="979"/>
      <c r="B6" s="980" t="s">
        <v>8</v>
      </c>
      <c r="C6" s="980"/>
      <c r="D6" s="940" t="s">
        <v>1428</v>
      </c>
      <c r="E6" s="941"/>
      <c r="F6" s="942"/>
      <c r="G6" s="940" t="s">
        <v>1429</v>
      </c>
      <c r="H6" s="941" t="s">
        <v>1421</v>
      </c>
      <c r="I6" s="942"/>
      <c r="J6" s="940" t="s">
        <v>1430</v>
      </c>
      <c r="K6" s="941" t="s">
        <v>1422</v>
      </c>
      <c r="L6" s="942"/>
      <c r="M6" s="940" t="s">
        <v>1431</v>
      </c>
      <c r="N6" s="941" t="s">
        <v>1423</v>
      </c>
      <c r="O6" s="942"/>
      <c r="P6" s="940" t="s">
        <v>1234</v>
      </c>
      <c r="Q6" s="941" t="s">
        <v>1234</v>
      </c>
      <c r="R6" s="942"/>
      <c r="S6" s="1001"/>
      <c r="T6" s="1001"/>
      <c r="U6" s="1001"/>
    </row>
    <row r="7" spans="1:24" ht="59.25" customHeight="1" x14ac:dyDescent="0.2">
      <c r="A7" s="979"/>
      <c r="B7" s="793" t="s">
        <v>9</v>
      </c>
      <c r="C7" s="636" t="s">
        <v>10</v>
      </c>
      <c r="D7" s="943"/>
      <c r="E7" s="944"/>
      <c r="F7" s="945"/>
      <c r="G7" s="943"/>
      <c r="H7" s="944"/>
      <c r="I7" s="945"/>
      <c r="J7" s="943"/>
      <c r="K7" s="944"/>
      <c r="L7" s="945"/>
      <c r="M7" s="943"/>
      <c r="N7" s="944"/>
      <c r="O7" s="945"/>
      <c r="P7" s="943"/>
      <c r="Q7" s="944"/>
      <c r="R7" s="945"/>
      <c r="S7" s="1001"/>
      <c r="T7" s="1001"/>
      <c r="U7" s="1001"/>
    </row>
    <row r="8" spans="1:24" ht="15.75" x14ac:dyDescent="0.2">
      <c r="A8" s="637" t="s">
        <v>15</v>
      </c>
      <c r="B8" s="638" t="s">
        <v>16</v>
      </c>
      <c r="C8" s="638" t="s">
        <v>17</v>
      </c>
      <c r="D8" s="976" t="s">
        <v>18</v>
      </c>
      <c r="E8" s="978"/>
      <c r="F8" s="792"/>
      <c r="G8" s="976" t="s">
        <v>19</v>
      </c>
      <c r="H8" s="978"/>
      <c r="I8" s="792"/>
      <c r="J8" s="976" t="s">
        <v>20</v>
      </c>
      <c r="K8" s="978"/>
      <c r="L8" s="792"/>
      <c r="M8" s="976" t="s">
        <v>21</v>
      </c>
      <c r="N8" s="978"/>
      <c r="O8" s="792"/>
      <c r="P8" s="976" t="s">
        <v>22</v>
      </c>
      <c r="Q8" s="978"/>
      <c r="R8" s="792"/>
      <c r="S8" s="976" t="s">
        <v>36</v>
      </c>
      <c r="T8" s="978"/>
      <c r="U8" s="801"/>
      <c r="V8" t="s">
        <v>11</v>
      </c>
      <c r="W8" t="s">
        <v>1470</v>
      </c>
    </row>
    <row r="9" spans="1:24" ht="21" customHeight="1" x14ac:dyDescent="0.2">
      <c r="A9" s="639" t="s">
        <v>15</v>
      </c>
      <c r="B9" s="640" t="s">
        <v>23</v>
      </c>
      <c r="C9" s="664" t="s">
        <v>24</v>
      </c>
      <c r="D9" s="722"/>
      <c r="E9" s="722">
        <f>D9</f>
        <v>0</v>
      </c>
      <c r="F9" s="722"/>
      <c r="G9" s="722"/>
      <c r="H9" s="722">
        <v>5463719</v>
      </c>
      <c r="I9" s="722">
        <v>5182780</v>
      </c>
      <c r="J9" s="722"/>
      <c r="K9" s="722">
        <v>7832861</v>
      </c>
      <c r="L9" s="722">
        <v>7319827</v>
      </c>
      <c r="M9" s="722"/>
      <c r="N9" s="722"/>
      <c r="O9" s="722"/>
      <c r="P9" s="722"/>
      <c r="Q9" s="722"/>
      <c r="R9" s="722"/>
      <c r="S9" s="722">
        <v>0</v>
      </c>
      <c r="T9" s="722">
        <v>13296580</v>
      </c>
      <c r="U9" s="722">
        <f>F9+I9+L9+O9+R9</f>
        <v>12502607</v>
      </c>
      <c r="V9" s="696">
        <f>+F9+I9+L9+R9</f>
        <v>12502607</v>
      </c>
      <c r="W9" s="696">
        <f>+O9</f>
        <v>0</v>
      </c>
      <c r="X9" s="696">
        <f>+V9+W9</f>
        <v>12502607</v>
      </c>
    </row>
    <row r="10" spans="1:24" ht="21" customHeight="1" x14ac:dyDescent="0.2">
      <c r="A10" s="639" t="s">
        <v>16</v>
      </c>
      <c r="B10" s="645" t="s">
        <v>25</v>
      </c>
      <c r="C10" s="664" t="s">
        <v>26</v>
      </c>
      <c r="D10" s="722"/>
      <c r="E10" s="722">
        <f>D10</f>
        <v>0</v>
      </c>
      <c r="F10" s="722"/>
      <c r="G10" s="722"/>
      <c r="H10" s="722">
        <v>1344792</v>
      </c>
      <c r="I10" s="722">
        <v>1113384</v>
      </c>
      <c r="J10" s="722"/>
      <c r="K10" s="722">
        <v>1923753</v>
      </c>
      <c r="L10" s="722">
        <v>1734494</v>
      </c>
      <c r="M10" s="722"/>
      <c r="N10" s="722"/>
      <c r="O10" s="722"/>
      <c r="P10" s="722"/>
      <c r="Q10" s="722"/>
      <c r="R10" s="722"/>
      <c r="S10" s="722">
        <v>0</v>
      </c>
      <c r="T10" s="722">
        <v>3268545</v>
      </c>
      <c r="U10" s="722">
        <f t="shared" ref="U10:U49" si="0">F10+I10+L10+O10+R10</f>
        <v>2847878</v>
      </c>
      <c r="V10" s="696">
        <f t="shared" ref="V10:V49" si="1">+F10+I10+L10+R10</f>
        <v>2847878</v>
      </c>
      <c r="W10" s="696">
        <f t="shared" ref="W10:W49" si="2">+O10</f>
        <v>0</v>
      </c>
      <c r="X10" s="696">
        <f t="shared" ref="X10:X49" si="3">+V10+W10</f>
        <v>2847878</v>
      </c>
    </row>
    <row r="11" spans="1:24" ht="21" customHeight="1" x14ac:dyDescent="0.2">
      <c r="A11" s="639" t="s">
        <v>17</v>
      </c>
      <c r="B11" s="645" t="s">
        <v>27</v>
      </c>
      <c r="C11" s="664" t="s">
        <v>28</v>
      </c>
      <c r="D11" s="722"/>
      <c r="E11" s="722">
        <f>D11</f>
        <v>0</v>
      </c>
      <c r="F11" s="722"/>
      <c r="G11" s="722"/>
      <c r="H11" s="722">
        <v>8759483</v>
      </c>
      <c r="I11" s="722">
        <v>8527878</v>
      </c>
      <c r="J11" s="722"/>
      <c r="K11" s="722">
        <v>8151865</v>
      </c>
      <c r="L11" s="722">
        <v>5772640</v>
      </c>
      <c r="M11" s="722"/>
      <c r="N11" s="722">
        <v>358979</v>
      </c>
      <c r="O11" s="722">
        <v>82019</v>
      </c>
      <c r="P11" s="722"/>
      <c r="Q11" s="722">
        <v>105000</v>
      </c>
      <c r="R11" s="722"/>
      <c r="S11" s="722">
        <v>0</v>
      </c>
      <c r="T11" s="722">
        <v>17375327</v>
      </c>
      <c r="U11" s="722">
        <f t="shared" si="0"/>
        <v>14382537</v>
      </c>
      <c r="V11" s="696">
        <f t="shared" si="1"/>
        <v>14300518</v>
      </c>
      <c r="W11" s="696">
        <f t="shared" si="2"/>
        <v>82019</v>
      </c>
      <c r="X11" s="696">
        <f t="shared" si="3"/>
        <v>14382537</v>
      </c>
    </row>
    <row r="12" spans="1:24" ht="21" customHeight="1" x14ac:dyDescent="0.2">
      <c r="A12" s="639" t="s">
        <v>18</v>
      </c>
      <c r="B12" s="646" t="s">
        <v>29</v>
      </c>
      <c r="C12" s="664" t="s">
        <v>30</v>
      </c>
      <c r="D12" s="722"/>
      <c r="E12" s="722">
        <f>D12</f>
        <v>0</v>
      </c>
      <c r="F12" s="722"/>
      <c r="G12" s="722"/>
      <c r="H12" s="722"/>
      <c r="I12" s="722"/>
      <c r="J12" s="722"/>
      <c r="K12" s="722"/>
      <c r="L12" s="722"/>
      <c r="M12" s="722"/>
      <c r="N12" s="722"/>
      <c r="O12" s="722"/>
      <c r="P12" s="722"/>
      <c r="Q12" s="722"/>
      <c r="R12" s="722"/>
      <c r="S12" s="722">
        <v>0</v>
      </c>
      <c r="T12" s="722">
        <v>0</v>
      </c>
      <c r="U12" s="722">
        <f t="shared" si="0"/>
        <v>0</v>
      </c>
      <c r="V12" s="696">
        <f t="shared" si="1"/>
        <v>0</v>
      </c>
      <c r="W12" s="696">
        <f t="shared" si="2"/>
        <v>0</v>
      </c>
      <c r="X12" s="696">
        <f t="shared" si="3"/>
        <v>0</v>
      </c>
    </row>
    <row r="13" spans="1:24" ht="21" customHeight="1" x14ac:dyDescent="0.2">
      <c r="A13" s="639" t="s">
        <v>19</v>
      </c>
      <c r="B13" s="646" t="s">
        <v>31</v>
      </c>
      <c r="C13" s="664" t="s">
        <v>32</v>
      </c>
      <c r="D13" s="722">
        <f>SUM(D14:D16)</f>
        <v>0</v>
      </c>
      <c r="E13" s="722">
        <f t="shared" ref="E13:Q13" si="4">SUM(E14:E16)</f>
        <v>0</v>
      </c>
      <c r="F13" s="722"/>
      <c r="G13" s="722">
        <f t="shared" si="4"/>
        <v>0</v>
      </c>
      <c r="H13" s="722">
        <f t="shared" si="4"/>
        <v>0</v>
      </c>
      <c r="I13" s="722"/>
      <c r="J13" s="722">
        <f t="shared" si="4"/>
        <v>0</v>
      </c>
      <c r="K13" s="722">
        <f t="shared" si="4"/>
        <v>0</v>
      </c>
      <c r="L13" s="722"/>
      <c r="M13" s="722">
        <f t="shared" si="4"/>
        <v>0</v>
      </c>
      <c r="N13" s="722">
        <f t="shared" si="4"/>
        <v>0</v>
      </c>
      <c r="O13" s="722"/>
      <c r="P13" s="722">
        <f t="shared" si="4"/>
        <v>0</v>
      </c>
      <c r="Q13" s="722">
        <f t="shared" si="4"/>
        <v>0</v>
      </c>
      <c r="R13" s="722"/>
      <c r="S13" s="722">
        <v>0</v>
      </c>
      <c r="T13" s="722">
        <v>0</v>
      </c>
      <c r="U13" s="722">
        <f t="shared" si="0"/>
        <v>0</v>
      </c>
      <c r="V13" s="696">
        <f t="shared" si="1"/>
        <v>0</v>
      </c>
      <c r="W13" s="696">
        <f t="shared" si="2"/>
        <v>0</v>
      </c>
      <c r="X13" s="696">
        <f t="shared" si="3"/>
        <v>0</v>
      </c>
    </row>
    <row r="14" spans="1:24" ht="21" customHeight="1" x14ac:dyDescent="0.2">
      <c r="A14" s="639" t="s">
        <v>20</v>
      </c>
      <c r="B14" s="21" t="s">
        <v>33</v>
      </c>
      <c r="C14" s="664"/>
      <c r="D14" s="722"/>
      <c r="E14" s="722">
        <f>D14</f>
        <v>0</v>
      </c>
      <c r="F14" s="722"/>
      <c r="G14" s="722"/>
      <c r="H14" s="722">
        <f>G14</f>
        <v>0</v>
      </c>
      <c r="I14" s="722"/>
      <c r="J14" s="722"/>
      <c r="K14" s="722">
        <f>J14</f>
        <v>0</v>
      </c>
      <c r="L14" s="722"/>
      <c r="M14" s="722"/>
      <c r="N14" s="722">
        <f>M14</f>
        <v>0</v>
      </c>
      <c r="O14" s="722"/>
      <c r="P14" s="722"/>
      <c r="Q14" s="722"/>
      <c r="R14" s="722"/>
      <c r="S14" s="722">
        <v>0</v>
      </c>
      <c r="T14" s="722">
        <v>0</v>
      </c>
      <c r="U14" s="722">
        <f t="shared" si="0"/>
        <v>0</v>
      </c>
      <c r="V14" s="696">
        <f t="shared" si="1"/>
        <v>0</v>
      </c>
      <c r="W14" s="696">
        <f t="shared" si="2"/>
        <v>0</v>
      </c>
      <c r="X14" s="696">
        <f t="shared" si="3"/>
        <v>0</v>
      </c>
    </row>
    <row r="15" spans="1:24" ht="21" customHeight="1" x14ac:dyDescent="0.2">
      <c r="A15" s="639" t="s">
        <v>21</v>
      </c>
      <c r="B15" s="21" t="s">
        <v>34</v>
      </c>
      <c r="C15" s="665"/>
      <c r="D15" s="722"/>
      <c r="E15" s="722">
        <f t="shared" ref="E15:E20" si="5">D15</f>
        <v>0</v>
      </c>
      <c r="F15" s="722"/>
      <c r="G15" s="722"/>
      <c r="H15" s="722">
        <f t="shared" ref="H15:H20" si="6">G15</f>
        <v>0</v>
      </c>
      <c r="I15" s="722"/>
      <c r="J15" s="722"/>
      <c r="K15" s="722">
        <f t="shared" ref="K15:K20" si="7">J15</f>
        <v>0</v>
      </c>
      <c r="L15" s="722"/>
      <c r="M15" s="722"/>
      <c r="N15" s="722">
        <f t="shared" ref="N15:N20" si="8">M15</f>
        <v>0</v>
      </c>
      <c r="O15" s="722"/>
      <c r="P15" s="722"/>
      <c r="Q15" s="722"/>
      <c r="R15" s="722"/>
      <c r="S15" s="722">
        <v>0</v>
      </c>
      <c r="T15" s="722">
        <v>0</v>
      </c>
      <c r="U15" s="722">
        <f t="shared" si="0"/>
        <v>0</v>
      </c>
      <c r="V15" s="696">
        <f t="shared" si="1"/>
        <v>0</v>
      </c>
      <c r="W15" s="696">
        <f t="shared" si="2"/>
        <v>0</v>
      </c>
      <c r="X15" s="696">
        <f t="shared" si="3"/>
        <v>0</v>
      </c>
    </row>
    <row r="16" spans="1:24" ht="21" customHeight="1" x14ac:dyDescent="0.2">
      <c r="A16" s="639" t="s">
        <v>22</v>
      </c>
      <c r="B16" s="17" t="s">
        <v>1268</v>
      </c>
      <c r="C16" s="665"/>
      <c r="D16" s="722"/>
      <c r="E16" s="722"/>
      <c r="F16" s="722"/>
      <c r="G16" s="722"/>
      <c r="H16" s="722">
        <f t="shared" si="6"/>
        <v>0</v>
      </c>
      <c r="I16" s="722"/>
      <c r="J16" s="722"/>
      <c r="K16" s="722">
        <f t="shared" si="7"/>
        <v>0</v>
      </c>
      <c r="L16" s="722"/>
      <c r="M16" s="722"/>
      <c r="N16" s="722">
        <f t="shared" si="8"/>
        <v>0</v>
      </c>
      <c r="O16" s="722"/>
      <c r="P16" s="722"/>
      <c r="Q16" s="722"/>
      <c r="R16" s="722"/>
      <c r="S16" s="722">
        <v>0</v>
      </c>
      <c r="T16" s="722">
        <v>0</v>
      </c>
      <c r="U16" s="722">
        <f t="shared" si="0"/>
        <v>0</v>
      </c>
      <c r="V16" s="696">
        <f t="shared" si="1"/>
        <v>0</v>
      </c>
      <c r="W16" s="696">
        <f t="shared" si="2"/>
        <v>0</v>
      </c>
      <c r="X16" s="696">
        <f t="shared" si="3"/>
        <v>0</v>
      </c>
    </row>
    <row r="17" spans="1:24" ht="21" customHeight="1" x14ac:dyDescent="0.2">
      <c r="A17" s="639" t="s">
        <v>36</v>
      </c>
      <c r="B17" s="648" t="s">
        <v>37</v>
      </c>
      <c r="C17" s="664" t="s">
        <v>38</v>
      </c>
      <c r="D17" s="722"/>
      <c r="E17" s="722">
        <f t="shared" si="5"/>
        <v>0</v>
      </c>
      <c r="F17" s="722"/>
      <c r="G17" s="722"/>
      <c r="H17" s="722">
        <v>1019300</v>
      </c>
      <c r="I17" s="722">
        <v>1019300</v>
      </c>
      <c r="J17" s="722"/>
      <c r="K17" s="722">
        <v>727713</v>
      </c>
      <c r="L17" s="722">
        <v>659651</v>
      </c>
      <c r="M17" s="722"/>
      <c r="N17" s="722">
        <f t="shared" si="8"/>
        <v>0</v>
      </c>
      <c r="O17" s="722"/>
      <c r="P17" s="722"/>
      <c r="Q17" s="722"/>
      <c r="R17" s="722"/>
      <c r="S17" s="722">
        <v>0</v>
      </c>
      <c r="T17" s="722">
        <v>1747013</v>
      </c>
      <c r="U17" s="722">
        <f t="shared" si="0"/>
        <v>1678951</v>
      </c>
      <c r="V17" s="696">
        <f t="shared" si="1"/>
        <v>1678951</v>
      </c>
      <c r="W17" s="696">
        <f t="shared" si="2"/>
        <v>0</v>
      </c>
      <c r="X17" s="696">
        <f t="shared" si="3"/>
        <v>1678951</v>
      </c>
    </row>
    <row r="18" spans="1:24" ht="21" customHeight="1" x14ac:dyDescent="0.2">
      <c r="A18" s="639" t="s">
        <v>39</v>
      </c>
      <c r="B18" s="646" t="s">
        <v>40</v>
      </c>
      <c r="C18" s="664" t="s">
        <v>41</v>
      </c>
      <c r="D18" s="722"/>
      <c r="E18" s="722">
        <f t="shared" si="5"/>
        <v>0</v>
      </c>
      <c r="F18" s="722"/>
      <c r="G18" s="722"/>
      <c r="H18" s="722">
        <f t="shared" si="6"/>
        <v>0</v>
      </c>
      <c r="I18" s="722"/>
      <c r="J18" s="722"/>
      <c r="K18" s="722">
        <f t="shared" si="7"/>
        <v>0</v>
      </c>
      <c r="L18" s="722"/>
      <c r="M18" s="722"/>
      <c r="N18" s="722">
        <f t="shared" si="8"/>
        <v>0</v>
      </c>
      <c r="O18" s="722"/>
      <c r="P18" s="722"/>
      <c r="Q18" s="722"/>
      <c r="R18" s="722"/>
      <c r="S18" s="722">
        <v>0</v>
      </c>
      <c r="T18" s="722">
        <v>0</v>
      </c>
      <c r="U18" s="722">
        <f t="shared" si="0"/>
        <v>0</v>
      </c>
      <c r="V18" s="696">
        <f t="shared" si="1"/>
        <v>0</v>
      </c>
      <c r="W18" s="696">
        <f t="shared" si="2"/>
        <v>0</v>
      </c>
      <c r="X18" s="696">
        <f t="shared" si="3"/>
        <v>0</v>
      </c>
    </row>
    <row r="19" spans="1:24" ht="21" customHeight="1" x14ac:dyDescent="0.2">
      <c r="A19" s="639" t="s">
        <v>42</v>
      </c>
      <c r="B19" s="646" t="s">
        <v>43</v>
      </c>
      <c r="C19" s="664" t="s">
        <v>44</v>
      </c>
      <c r="D19" s="722"/>
      <c r="E19" s="722">
        <f t="shared" si="5"/>
        <v>0</v>
      </c>
      <c r="F19" s="722"/>
      <c r="G19" s="722"/>
      <c r="H19" s="722">
        <f t="shared" si="6"/>
        <v>0</v>
      </c>
      <c r="I19" s="722"/>
      <c r="J19" s="722"/>
      <c r="K19" s="722">
        <f t="shared" si="7"/>
        <v>0</v>
      </c>
      <c r="L19" s="722"/>
      <c r="M19" s="722"/>
      <c r="N19" s="722">
        <f t="shared" si="8"/>
        <v>0</v>
      </c>
      <c r="O19" s="722"/>
      <c r="P19" s="722"/>
      <c r="Q19" s="722"/>
      <c r="R19" s="722"/>
      <c r="S19" s="722">
        <v>0</v>
      </c>
      <c r="T19" s="722">
        <v>0</v>
      </c>
      <c r="U19" s="722">
        <f t="shared" si="0"/>
        <v>0</v>
      </c>
      <c r="V19" s="696">
        <f t="shared" si="1"/>
        <v>0</v>
      </c>
      <c r="W19" s="696">
        <f t="shared" si="2"/>
        <v>0</v>
      </c>
      <c r="X19" s="696">
        <f t="shared" si="3"/>
        <v>0</v>
      </c>
    </row>
    <row r="20" spans="1:24" ht="21" customHeight="1" x14ac:dyDescent="0.2">
      <c r="A20" s="639" t="s">
        <v>45</v>
      </c>
      <c r="B20" s="21" t="s">
        <v>46</v>
      </c>
      <c r="C20" s="664"/>
      <c r="D20" s="722"/>
      <c r="E20" s="722">
        <f t="shared" si="5"/>
        <v>0</v>
      </c>
      <c r="F20" s="722"/>
      <c r="G20" s="722"/>
      <c r="H20" s="722">
        <f t="shared" si="6"/>
        <v>0</v>
      </c>
      <c r="I20" s="722"/>
      <c r="J20" s="722"/>
      <c r="K20" s="722">
        <f t="shared" si="7"/>
        <v>0</v>
      </c>
      <c r="L20" s="722"/>
      <c r="M20" s="722"/>
      <c r="N20" s="722">
        <f t="shared" si="8"/>
        <v>0</v>
      </c>
      <c r="O20" s="722"/>
      <c r="P20" s="722"/>
      <c r="Q20" s="722"/>
      <c r="R20" s="722"/>
      <c r="S20" s="722">
        <v>0</v>
      </c>
      <c r="T20" s="722">
        <v>0</v>
      </c>
      <c r="U20" s="722">
        <f t="shared" si="0"/>
        <v>0</v>
      </c>
      <c r="V20" s="696">
        <f t="shared" si="1"/>
        <v>0</v>
      </c>
      <c r="W20" s="696">
        <f t="shared" si="2"/>
        <v>0</v>
      </c>
      <c r="X20" s="696">
        <f t="shared" si="3"/>
        <v>0</v>
      </c>
    </row>
    <row r="21" spans="1:24" ht="21" customHeight="1" x14ac:dyDescent="0.2">
      <c r="A21" s="639" t="s">
        <v>47</v>
      </c>
      <c r="B21" s="648" t="s">
        <v>48</v>
      </c>
      <c r="C21" s="664" t="s">
        <v>49</v>
      </c>
      <c r="D21" s="722">
        <f>+D9+D10+D11+D12+D13+D17+D18+D19+D16</f>
        <v>0</v>
      </c>
      <c r="E21" s="722">
        <f>+E9+E10+E11+E12+E13+E17+E18+E19</f>
        <v>0</v>
      </c>
      <c r="F21" s="722"/>
      <c r="G21" s="722">
        <f t="shared" ref="G21:O21" si="9">+G9+G10+G11+G12+G13+G17+G18+G19+G16</f>
        <v>0</v>
      </c>
      <c r="H21" s="722">
        <v>16587294</v>
      </c>
      <c r="I21" s="722">
        <f t="shared" si="9"/>
        <v>15843342</v>
      </c>
      <c r="J21" s="722">
        <f t="shared" si="9"/>
        <v>0</v>
      </c>
      <c r="K21" s="722">
        <v>18636192</v>
      </c>
      <c r="L21" s="722">
        <f t="shared" si="9"/>
        <v>15486612</v>
      </c>
      <c r="M21" s="722">
        <f t="shared" si="9"/>
        <v>0</v>
      </c>
      <c r="N21" s="722">
        <v>358979</v>
      </c>
      <c r="O21" s="722">
        <f t="shared" si="9"/>
        <v>82019</v>
      </c>
      <c r="P21" s="722">
        <f>+P9+P10+P11+P12+P13+P17+P18+P19+P16</f>
        <v>0</v>
      </c>
      <c r="Q21" s="722">
        <v>105000</v>
      </c>
      <c r="R21" s="722"/>
      <c r="S21" s="722">
        <v>0</v>
      </c>
      <c r="T21" s="722">
        <v>35687465</v>
      </c>
      <c r="U21" s="722">
        <f t="shared" si="0"/>
        <v>31411973</v>
      </c>
      <c r="V21" s="696">
        <f t="shared" si="1"/>
        <v>31329954</v>
      </c>
      <c r="W21" s="696">
        <f t="shared" si="2"/>
        <v>82019</v>
      </c>
      <c r="X21" s="696">
        <f t="shared" si="3"/>
        <v>31411973</v>
      </c>
    </row>
    <row r="22" spans="1:24" ht="21" customHeight="1" x14ac:dyDescent="0.2">
      <c r="A22" s="639" t="s">
        <v>50</v>
      </c>
      <c r="B22" s="648" t="s">
        <v>51</v>
      </c>
      <c r="C22" s="664" t="s">
        <v>52</v>
      </c>
      <c r="D22" s="722">
        <f>SUM(D23:D26)</f>
        <v>0</v>
      </c>
      <c r="E22" s="722">
        <f t="shared" ref="E22:O22" si="10">SUM(E23:E26)</f>
        <v>0</v>
      </c>
      <c r="F22" s="722"/>
      <c r="G22" s="722">
        <f t="shared" si="10"/>
        <v>0</v>
      </c>
      <c r="H22" s="722">
        <f t="shared" si="10"/>
        <v>0</v>
      </c>
      <c r="I22" s="722"/>
      <c r="J22" s="722">
        <f t="shared" si="10"/>
        <v>0</v>
      </c>
      <c r="K22" s="722">
        <f t="shared" si="10"/>
        <v>0</v>
      </c>
      <c r="L22" s="722"/>
      <c r="M22" s="722">
        <f t="shared" si="10"/>
        <v>0</v>
      </c>
      <c r="N22" s="722">
        <f t="shared" si="10"/>
        <v>0</v>
      </c>
      <c r="O22" s="722">
        <f t="shared" si="10"/>
        <v>0</v>
      </c>
      <c r="P22" s="722">
        <f>SUM(P23:P26)</f>
        <v>0</v>
      </c>
      <c r="Q22" s="722">
        <f>SUM(Q23:Q26)</f>
        <v>0</v>
      </c>
      <c r="R22" s="722"/>
      <c r="S22" s="722">
        <v>0</v>
      </c>
      <c r="T22" s="722">
        <v>0</v>
      </c>
      <c r="U22" s="722">
        <f t="shared" si="0"/>
        <v>0</v>
      </c>
      <c r="V22" s="696">
        <f t="shared" si="1"/>
        <v>0</v>
      </c>
      <c r="W22" s="696">
        <f t="shared" si="2"/>
        <v>0</v>
      </c>
      <c r="X22" s="696">
        <f t="shared" si="3"/>
        <v>0</v>
      </c>
    </row>
    <row r="23" spans="1:24" ht="21" customHeight="1" x14ac:dyDescent="0.2">
      <c r="A23" s="639" t="s">
        <v>53</v>
      </c>
      <c r="B23" s="24" t="s">
        <v>970</v>
      </c>
      <c r="C23" s="665"/>
      <c r="D23" s="722"/>
      <c r="E23" s="722">
        <f>D23</f>
        <v>0</v>
      </c>
      <c r="F23" s="722"/>
      <c r="G23" s="722"/>
      <c r="H23" s="722">
        <f>G23</f>
        <v>0</v>
      </c>
      <c r="I23" s="722"/>
      <c r="J23" s="722"/>
      <c r="K23" s="722">
        <f>J23</f>
        <v>0</v>
      </c>
      <c r="L23" s="722"/>
      <c r="M23" s="722"/>
      <c r="N23" s="722">
        <f>M23</f>
        <v>0</v>
      </c>
      <c r="O23" s="722"/>
      <c r="P23" s="722"/>
      <c r="Q23" s="722"/>
      <c r="R23" s="722"/>
      <c r="S23" s="722">
        <v>0</v>
      </c>
      <c r="T23" s="722">
        <v>0</v>
      </c>
      <c r="U23" s="722">
        <f t="shared" si="0"/>
        <v>0</v>
      </c>
      <c r="V23" s="696">
        <f t="shared" si="1"/>
        <v>0</v>
      </c>
      <c r="W23" s="696">
        <f t="shared" si="2"/>
        <v>0</v>
      </c>
      <c r="X23" s="696">
        <f t="shared" si="3"/>
        <v>0</v>
      </c>
    </row>
    <row r="24" spans="1:24" ht="21" customHeight="1" x14ac:dyDescent="0.2">
      <c r="A24" s="639" t="s">
        <v>55</v>
      </c>
      <c r="B24" s="652" t="s">
        <v>56</v>
      </c>
      <c r="C24" s="665"/>
      <c r="D24" s="722"/>
      <c r="E24" s="722">
        <f>D24</f>
        <v>0</v>
      </c>
      <c r="F24" s="722"/>
      <c r="G24" s="722"/>
      <c r="H24" s="722">
        <f>G24</f>
        <v>0</v>
      </c>
      <c r="I24" s="722"/>
      <c r="J24" s="722"/>
      <c r="K24" s="722">
        <f>J24</f>
        <v>0</v>
      </c>
      <c r="L24" s="722"/>
      <c r="M24" s="722"/>
      <c r="N24" s="722">
        <f>M24</f>
        <v>0</v>
      </c>
      <c r="O24" s="722"/>
      <c r="P24" s="722"/>
      <c r="Q24" s="722"/>
      <c r="R24" s="722"/>
      <c r="S24" s="722">
        <v>0</v>
      </c>
      <c r="T24" s="722">
        <v>0</v>
      </c>
      <c r="U24" s="722">
        <f t="shared" si="0"/>
        <v>0</v>
      </c>
      <c r="V24" s="696">
        <f t="shared" si="1"/>
        <v>0</v>
      </c>
      <c r="W24" s="696">
        <f t="shared" si="2"/>
        <v>0</v>
      </c>
      <c r="X24" s="696">
        <f t="shared" si="3"/>
        <v>0</v>
      </c>
    </row>
    <row r="25" spans="1:24" ht="21" customHeight="1" x14ac:dyDescent="0.2">
      <c r="A25" s="639" t="s">
        <v>57</v>
      </c>
      <c r="B25" s="652" t="s">
        <v>58</v>
      </c>
      <c r="C25" s="665"/>
      <c r="D25" s="722"/>
      <c r="E25" s="722">
        <f>D25</f>
        <v>0</v>
      </c>
      <c r="F25" s="722"/>
      <c r="G25" s="722"/>
      <c r="H25" s="722">
        <f>G25</f>
        <v>0</v>
      </c>
      <c r="I25" s="722"/>
      <c r="J25" s="722"/>
      <c r="K25" s="722">
        <f>J25</f>
        <v>0</v>
      </c>
      <c r="L25" s="722"/>
      <c r="M25" s="722"/>
      <c r="N25" s="722">
        <f>M25</f>
        <v>0</v>
      </c>
      <c r="O25" s="722"/>
      <c r="P25" s="722"/>
      <c r="Q25" s="722"/>
      <c r="R25" s="722"/>
      <c r="S25" s="722">
        <v>0</v>
      </c>
      <c r="T25" s="722">
        <v>0</v>
      </c>
      <c r="U25" s="722">
        <f t="shared" si="0"/>
        <v>0</v>
      </c>
      <c r="V25" s="696">
        <f t="shared" si="1"/>
        <v>0</v>
      </c>
      <c r="W25" s="696">
        <f t="shared" si="2"/>
        <v>0</v>
      </c>
      <c r="X25" s="696">
        <f t="shared" si="3"/>
        <v>0</v>
      </c>
    </row>
    <row r="26" spans="1:24" ht="21" customHeight="1" x14ac:dyDescent="0.2">
      <c r="A26" s="639" t="s">
        <v>59</v>
      </c>
      <c r="B26" s="652" t="s">
        <v>60</v>
      </c>
      <c r="C26" s="665"/>
      <c r="D26" s="722"/>
      <c r="E26" s="722">
        <f>D26</f>
        <v>0</v>
      </c>
      <c r="F26" s="722"/>
      <c r="G26" s="722"/>
      <c r="H26" s="722">
        <f>G26</f>
        <v>0</v>
      </c>
      <c r="I26" s="722"/>
      <c r="J26" s="722"/>
      <c r="K26" s="722">
        <f>J26</f>
        <v>0</v>
      </c>
      <c r="L26" s="722"/>
      <c r="M26" s="722"/>
      <c r="N26" s="722">
        <f>M26</f>
        <v>0</v>
      </c>
      <c r="O26" s="722"/>
      <c r="P26" s="722"/>
      <c r="Q26" s="722"/>
      <c r="R26" s="722"/>
      <c r="S26" s="722">
        <v>0</v>
      </c>
      <c r="T26" s="722">
        <v>0</v>
      </c>
      <c r="U26" s="722">
        <f t="shared" si="0"/>
        <v>0</v>
      </c>
      <c r="V26" s="696">
        <f t="shared" si="1"/>
        <v>0</v>
      </c>
      <c r="W26" s="696">
        <f t="shared" si="2"/>
        <v>0</v>
      </c>
      <c r="X26" s="696">
        <f t="shared" si="3"/>
        <v>0</v>
      </c>
    </row>
    <row r="27" spans="1:24" ht="21" customHeight="1" x14ac:dyDescent="0.2">
      <c r="A27" s="639" t="s">
        <v>61</v>
      </c>
      <c r="B27" s="653" t="s">
        <v>62</v>
      </c>
      <c r="C27" s="664"/>
      <c r="D27" s="800">
        <f>+D9+D10+D11+D12+D13+D23+D24</f>
        <v>0</v>
      </c>
      <c r="E27" s="800">
        <f t="shared" ref="E27:O27" si="11">+E9+E10+E11+E12+E13+E23+E24</f>
        <v>0</v>
      </c>
      <c r="F27" s="800"/>
      <c r="G27" s="800">
        <f t="shared" si="11"/>
        <v>0</v>
      </c>
      <c r="H27" s="800">
        <f t="shared" si="11"/>
        <v>15567994</v>
      </c>
      <c r="I27" s="800">
        <f t="shared" si="11"/>
        <v>14824042</v>
      </c>
      <c r="J27" s="800">
        <f t="shared" si="11"/>
        <v>0</v>
      </c>
      <c r="K27" s="800">
        <f t="shared" si="11"/>
        <v>17908479</v>
      </c>
      <c r="L27" s="800">
        <f t="shared" si="11"/>
        <v>14826961</v>
      </c>
      <c r="M27" s="800">
        <f t="shared" si="11"/>
        <v>0</v>
      </c>
      <c r="N27" s="800">
        <f t="shared" si="11"/>
        <v>358979</v>
      </c>
      <c r="O27" s="800">
        <f t="shared" si="11"/>
        <v>82019</v>
      </c>
      <c r="P27" s="800">
        <f>+P9+P10+P11+P12+P13+P23+P24</f>
        <v>0</v>
      </c>
      <c r="Q27" s="800">
        <f>+Q9+Q10+Q11+Q12+Q13+Q23+Q24</f>
        <v>105000</v>
      </c>
      <c r="R27" s="800"/>
      <c r="S27" s="722">
        <v>0</v>
      </c>
      <c r="T27" s="800">
        <v>33940452</v>
      </c>
      <c r="U27" s="722">
        <f t="shared" si="0"/>
        <v>29733022</v>
      </c>
      <c r="V27" s="696">
        <f t="shared" si="1"/>
        <v>29651003</v>
      </c>
      <c r="W27" s="696">
        <f t="shared" si="2"/>
        <v>82019</v>
      </c>
      <c r="X27" s="696">
        <f t="shared" si="3"/>
        <v>29733022</v>
      </c>
    </row>
    <row r="28" spans="1:24" ht="21" customHeight="1" x14ac:dyDescent="0.2">
      <c r="A28" s="639" t="s">
        <v>63</v>
      </c>
      <c r="B28" s="653" t="s">
        <v>64</v>
      </c>
      <c r="C28" s="664"/>
      <c r="D28" s="800">
        <f>+D17+D18+D19+D25+D26</f>
        <v>0</v>
      </c>
      <c r="E28" s="800">
        <f t="shared" ref="E28:O28" si="12">+E17+E18+E19+E25+E26</f>
        <v>0</v>
      </c>
      <c r="F28" s="800"/>
      <c r="G28" s="800">
        <f t="shared" si="12"/>
        <v>0</v>
      </c>
      <c r="H28" s="800">
        <f t="shared" si="12"/>
        <v>1019300</v>
      </c>
      <c r="I28" s="800">
        <f t="shared" si="12"/>
        <v>1019300</v>
      </c>
      <c r="J28" s="800">
        <f t="shared" si="12"/>
        <v>0</v>
      </c>
      <c r="K28" s="800">
        <f t="shared" si="12"/>
        <v>727713</v>
      </c>
      <c r="L28" s="800">
        <f t="shared" si="12"/>
        <v>659651</v>
      </c>
      <c r="M28" s="800">
        <f t="shared" si="12"/>
        <v>0</v>
      </c>
      <c r="N28" s="800">
        <f t="shared" si="12"/>
        <v>0</v>
      </c>
      <c r="O28" s="800">
        <f t="shared" si="12"/>
        <v>0</v>
      </c>
      <c r="P28" s="800">
        <f>+P17+P18+P19+P25+P26</f>
        <v>0</v>
      </c>
      <c r="Q28" s="800">
        <f>+Q17+Q18+Q19+Q25+Q26</f>
        <v>0</v>
      </c>
      <c r="R28" s="800"/>
      <c r="S28" s="722">
        <v>0</v>
      </c>
      <c r="T28" s="800">
        <v>1747013</v>
      </c>
      <c r="U28" s="722">
        <f t="shared" si="0"/>
        <v>1678951</v>
      </c>
      <c r="V28" s="696">
        <f t="shared" si="1"/>
        <v>1678951</v>
      </c>
      <c r="W28" s="696">
        <f t="shared" si="2"/>
        <v>0</v>
      </c>
      <c r="X28" s="696">
        <f t="shared" si="3"/>
        <v>1678951</v>
      </c>
    </row>
    <row r="29" spans="1:24" ht="21" customHeight="1" x14ac:dyDescent="0.2">
      <c r="A29" s="639" t="s">
        <v>65</v>
      </c>
      <c r="B29" s="653" t="s">
        <v>66</v>
      </c>
      <c r="C29" s="664" t="s">
        <v>67</v>
      </c>
      <c r="D29" s="800">
        <f>SUM(D27:D28)</f>
        <v>0</v>
      </c>
      <c r="E29" s="800">
        <f t="shared" ref="E29:O29" si="13">SUM(E27:E28)</f>
        <v>0</v>
      </c>
      <c r="F29" s="800"/>
      <c r="G29" s="800">
        <f t="shared" si="13"/>
        <v>0</v>
      </c>
      <c r="H29" s="800">
        <f t="shared" si="13"/>
        <v>16587294</v>
      </c>
      <c r="I29" s="800">
        <f t="shared" si="13"/>
        <v>15843342</v>
      </c>
      <c r="J29" s="800">
        <f t="shared" si="13"/>
        <v>0</v>
      </c>
      <c r="K29" s="800">
        <f t="shared" si="13"/>
        <v>18636192</v>
      </c>
      <c r="L29" s="800">
        <f t="shared" si="13"/>
        <v>15486612</v>
      </c>
      <c r="M29" s="800">
        <f t="shared" si="13"/>
        <v>0</v>
      </c>
      <c r="N29" s="800">
        <f t="shared" si="13"/>
        <v>358979</v>
      </c>
      <c r="O29" s="800">
        <f t="shared" si="13"/>
        <v>82019</v>
      </c>
      <c r="P29" s="800">
        <f>SUM(P27:P28)</f>
        <v>0</v>
      </c>
      <c r="Q29" s="800">
        <f>SUM(Q27:Q28)</f>
        <v>105000</v>
      </c>
      <c r="R29" s="800"/>
      <c r="S29" s="722">
        <v>0</v>
      </c>
      <c r="T29" s="800">
        <v>35687465</v>
      </c>
      <c r="U29" s="722">
        <f t="shared" si="0"/>
        <v>31411973</v>
      </c>
      <c r="V29" s="696">
        <f t="shared" si="1"/>
        <v>31329954</v>
      </c>
      <c r="W29" s="696">
        <f t="shared" si="2"/>
        <v>82019</v>
      </c>
      <c r="X29" s="696">
        <f t="shared" si="3"/>
        <v>31411973</v>
      </c>
    </row>
    <row r="30" spans="1:24" ht="21" customHeight="1" x14ac:dyDescent="0.2">
      <c r="A30" s="639" t="s">
        <v>68</v>
      </c>
      <c r="B30" s="645" t="s">
        <v>69</v>
      </c>
      <c r="C30" s="648" t="s">
        <v>70</v>
      </c>
      <c r="D30" s="722"/>
      <c r="E30" s="722">
        <f>D30</f>
        <v>0</v>
      </c>
      <c r="F30" s="722"/>
      <c r="G30" s="722"/>
      <c r="H30" s="722"/>
      <c r="I30" s="722"/>
      <c r="J30" s="722"/>
      <c r="K30" s="722">
        <f>J30</f>
        <v>0</v>
      </c>
      <c r="L30" s="722"/>
      <c r="M30" s="722"/>
      <c r="N30" s="722">
        <f>M30</f>
        <v>0</v>
      </c>
      <c r="O30" s="722"/>
      <c r="P30" s="722"/>
      <c r="Q30" s="722"/>
      <c r="R30" s="722"/>
      <c r="S30" s="722">
        <v>0</v>
      </c>
      <c r="T30" s="722">
        <v>0</v>
      </c>
      <c r="U30" s="722">
        <f t="shared" si="0"/>
        <v>0</v>
      </c>
      <c r="V30" s="696">
        <f t="shared" si="1"/>
        <v>0</v>
      </c>
      <c r="W30" s="696">
        <f t="shared" si="2"/>
        <v>0</v>
      </c>
      <c r="X30" s="696">
        <f t="shared" si="3"/>
        <v>0</v>
      </c>
    </row>
    <row r="31" spans="1:24" ht="21" customHeight="1" x14ac:dyDescent="0.2">
      <c r="A31" s="639" t="s">
        <v>71</v>
      </c>
      <c r="B31" s="645" t="s">
        <v>72</v>
      </c>
      <c r="C31" s="648" t="s">
        <v>73</v>
      </c>
      <c r="D31" s="722"/>
      <c r="E31" s="722">
        <f t="shared" ref="E31:E36" si="14">D31</f>
        <v>0</v>
      </c>
      <c r="F31" s="722"/>
      <c r="G31" s="722"/>
      <c r="H31" s="722"/>
      <c r="I31" s="722"/>
      <c r="J31" s="722"/>
      <c r="K31" s="722">
        <f t="shared" ref="K31:K36" si="15">J31</f>
        <v>0</v>
      </c>
      <c r="L31" s="722"/>
      <c r="M31" s="722"/>
      <c r="N31" s="722">
        <f t="shared" ref="N31:N36" si="16">M31</f>
        <v>0</v>
      </c>
      <c r="O31" s="722"/>
      <c r="P31" s="722"/>
      <c r="Q31" s="722"/>
      <c r="R31" s="722"/>
      <c r="S31" s="722">
        <v>0</v>
      </c>
      <c r="T31" s="722">
        <v>0</v>
      </c>
      <c r="U31" s="722">
        <f t="shared" si="0"/>
        <v>0</v>
      </c>
      <c r="V31" s="696">
        <f t="shared" si="1"/>
        <v>0</v>
      </c>
      <c r="W31" s="696">
        <f t="shared" si="2"/>
        <v>0</v>
      </c>
      <c r="X31" s="696">
        <f t="shared" si="3"/>
        <v>0</v>
      </c>
    </row>
    <row r="32" spans="1:24" ht="21" customHeight="1" x14ac:dyDescent="0.2">
      <c r="A32" s="639" t="s">
        <v>74</v>
      </c>
      <c r="B32" s="645" t="s">
        <v>75</v>
      </c>
      <c r="C32" s="648" t="s">
        <v>76</v>
      </c>
      <c r="D32" s="722"/>
      <c r="E32" s="722">
        <f t="shared" si="14"/>
        <v>0</v>
      </c>
      <c r="F32" s="722"/>
      <c r="G32" s="722"/>
      <c r="H32" s="722"/>
      <c r="I32" s="722"/>
      <c r="J32" s="722"/>
      <c r="K32" s="722">
        <f t="shared" si="15"/>
        <v>0</v>
      </c>
      <c r="L32" s="722"/>
      <c r="M32" s="722"/>
      <c r="N32" s="722">
        <f t="shared" si="16"/>
        <v>0</v>
      </c>
      <c r="O32" s="722"/>
      <c r="P32" s="722"/>
      <c r="Q32" s="722"/>
      <c r="R32" s="722"/>
      <c r="S32" s="722">
        <v>0</v>
      </c>
      <c r="T32" s="722">
        <v>0</v>
      </c>
      <c r="U32" s="722">
        <f t="shared" si="0"/>
        <v>0</v>
      </c>
      <c r="V32" s="696">
        <f t="shared" si="1"/>
        <v>0</v>
      </c>
      <c r="W32" s="696">
        <f t="shared" si="2"/>
        <v>0</v>
      </c>
      <c r="X32" s="696">
        <f t="shared" si="3"/>
        <v>0</v>
      </c>
    </row>
    <row r="33" spans="1:24" ht="21" customHeight="1" x14ac:dyDescent="0.2">
      <c r="A33" s="639" t="s">
        <v>77</v>
      </c>
      <c r="B33" s="646" t="s">
        <v>78</v>
      </c>
      <c r="C33" s="648" t="s">
        <v>79</v>
      </c>
      <c r="D33" s="722"/>
      <c r="E33" s="722">
        <f t="shared" si="14"/>
        <v>0</v>
      </c>
      <c r="F33" s="722"/>
      <c r="G33" s="722"/>
      <c r="H33" s="722">
        <v>906356</v>
      </c>
      <c r="I33" s="722">
        <v>849128</v>
      </c>
      <c r="J33" s="722"/>
      <c r="K33" s="722">
        <v>2661750</v>
      </c>
      <c r="L33" s="722">
        <v>2609750</v>
      </c>
      <c r="M33" s="722"/>
      <c r="N33" s="722">
        <f t="shared" si="16"/>
        <v>0</v>
      </c>
      <c r="O33" s="722"/>
      <c r="P33" s="722"/>
      <c r="Q33" s="722">
        <v>105000</v>
      </c>
      <c r="R33" s="722">
        <v>105000</v>
      </c>
      <c r="S33" s="722">
        <v>0</v>
      </c>
      <c r="T33" s="722">
        <v>3673106</v>
      </c>
      <c r="U33" s="722">
        <f t="shared" si="0"/>
        <v>3563878</v>
      </c>
      <c r="V33" s="696">
        <f t="shared" si="1"/>
        <v>3563878</v>
      </c>
      <c r="W33" s="696">
        <f t="shared" si="2"/>
        <v>0</v>
      </c>
      <c r="X33" s="696">
        <f t="shared" si="3"/>
        <v>3563878</v>
      </c>
    </row>
    <row r="34" spans="1:24" ht="21" customHeight="1" x14ac:dyDescent="0.2">
      <c r="A34" s="639" t="s">
        <v>80</v>
      </c>
      <c r="B34" s="645" t="s">
        <v>81</v>
      </c>
      <c r="C34" s="648" t="s">
        <v>82</v>
      </c>
      <c r="D34" s="722"/>
      <c r="E34" s="722">
        <f t="shared" si="14"/>
        <v>0</v>
      </c>
      <c r="F34" s="722"/>
      <c r="G34" s="722"/>
      <c r="H34" s="722">
        <f>G34</f>
        <v>0</v>
      </c>
      <c r="I34" s="722"/>
      <c r="J34" s="722"/>
      <c r="K34" s="722">
        <f t="shared" si="15"/>
        <v>0</v>
      </c>
      <c r="L34" s="722"/>
      <c r="M34" s="722"/>
      <c r="N34" s="722">
        <f t="shared" si="16"/>
        <v>0</v>
      </c>
      <c r="O34" s="722"/>
      <c r="P34" s="722"/>
      <c r="Q34" s="722"/>
      <c r="R34" s="722"/>
      <c r="S34" s="722">
        <v>0</v>
      </c>
      <c r="T34" s="722">
        <v>0</v>
      </c>
      <c r="U34" s="722">
        <f t="shared" si="0"/>
        <v>0</v>
      </c>
      <c r="V34" s="696">
        <f t="shared" si="1"/>
        <v>0</v>
      </c>
      <c r="W34" s="696">
        <f t="shared" si="2"/>
        <v>0</v>
      </c>
      <c r="X34" s="696">
        <f t="shared" si="3"/>
        <v>0</v>
      </c>
    </row>
    <row r="35" spans="1:24" ht="21" customHeight="1" x14ac:dyDescent="0.2">
      <c r="A35" s="639" t="s">
        <v>83</v>
      </c>
      <c r="B35" s="645" t="s">
        <v>84</v>
      </c>
      <c r="C35" s="648" t="s">
        <v>85</v>
      </c>
      <c r="D35" s="722"/>
      <c r="E35" s="722">
        <f t="shared" si="14"/>
        <v>0</v>
      </c>
      <c r="F35" s="722"/>
      <c r="G35" s="722"/>
      <c r="H35" s="722">
        <f>G35</f>
        <v>0</v>
      </c>
      <c r="I35" s="722"/>
      <c r="J35" s="722"/>
      <c r="K35" s="722">
        <f t="shared" si="15"/>
        <v>0</v>
      </c>
      <c r="L35" s="722"/>
      <c r="M35" s="722"/>
      <c r="N35" s="722">
        <f t="shared" si="16"/>
        <v>0</v>
      </c>
      <c r="O35" s="722"/>
      <c r="P35" s="722"/>
      <c r="Q35" s="722"/>
      <c r="R35" s="722"/>
      <c r="S35" s="722">
        <v>0</v>
      </c>
      <c r="T35" s="722">
        <v>0</v>
      </c>
      <c r="U35" s="722">
        <f t="shared" si="0"/>
        <v>0</v>
      </c>
      <c r="V35" s="696">
        <f t="shared" si="1"/>
        <v>0</v>
      </c>
      <c r="W35" s="696">
        <f t="shared" si="2"/>
        <v>0</v>
      </c>
      <c r="X35" s="696">
        <f t="shared" si="3"/>
        <v>0</v>
      </c>
    </row>
    <row r="36" spans="1:24" ht="21" customHeight="1" x14ac:dyDescent="0.2">
      <c r="A36" s="639" t="s">
        <v>86</v>
      </c>
      <c r="B36" s="645" t="s">
        <v>87</v>
      </c>
      <c r="C36" s="648" t="s">
        <v>88</v>
      </c>
      <c r="D36" s="722"/>
      <c r="E36" s="722">
        <f t="shared" si="14"/>
        <v>0</v>
      </c>
      <c r="F36" s="722"/>
      <c r="G36" s="722"/>
      <c r="H36" s="722">
        <f>G36</f>
        <v>0</v>
      </c>
      <c r="I36" s="722"/>
      <c r="J36" s="722"/>
      <c r="K36" s="722">
        <f t="shared" si="15"/>
        <v>0</v>
      </c>
      <c r="L36" s="722"/>
      <c r="M36" s="722"/>
      <c r="N36" s="722">
        <f t="shared" si="16"/>
        <v>0</v>
      </c>
      <c r="O36" s="722"/>
      <c r="P36" s="722"/>
      <c r="Q36" s="722"/>
      <c r="R36" s="722"/>
      <c r="S36" s="722">
        <v>0</v>
      </c>
      <c r="T36" s="722">
        <v>0</v>
      </c>
      <c r="U36" s="722">
        <f t="shared" si="0"/>
        <v>0</v>
      </c>
      <c r="V36" s="696">
        <f t="shared" si="1"/>
        <v>0</v>
      </c>
      <c r="W36" s="696">
        <f t="shared" si="2"/>
        <v>0</v>
      </c>
      <c r="X36" s="696">
        <f t="shared" si="3"/>
        <v>0</v>
      </c>
    </row>
    <row r="37" spans="1:24" ht="21" customHeight="1" x14ac:dyDescent="0.2">
      <c r="A37" s="639" t="s">
        <v>89</v>
      </c>
      <c r="B37" s="646" t="s">
        <v>90</v>
      </c>
      <c r="C37" s="648" t="s">
        <v>91</v>
      </c>
      <c r="D37" s="722">
        <f>+D30+D31+D32+D33+D34+D35+D36</f>
        <v>0</v>
      </c>
      <c r="E37" s="722">
        <f t="shared" ref="E37:N37" si="17">+E30+E31+E32+E33+E34+E35+E36</f>
        <v>0</v>
      </c>
      <c r="F37" s="722"/>
      <c r="G37" s="722">
        <f t="shared" si="17"/>
        <v>0</v>
      </c>
      <c r="H37" s="722">
        <v>906356</v>
      </c>
      <c r="I37" s="722">
        <f t="shared" si="17"/>
        <v>849128</v>
      </c>
      <c r="J37" s="722">
        <f t="shared" si="17"/>
        <v>0</v>
      </c>
      <c r="K37" s="722">
        <v>2661750</v>
      </c>
      <c r="L37" s="722">
        <f t="shared" si="17"/>
        <v>2609750</v>
      </c>
      <c r="M37" s="722">
        <f t="shared" si="17"/>
        <v>0</v>
      </c>
      <c r="N37" s="722">
        <f t="shared" si="17"/>
        <v>0</v>
      </c>
      <c r="O37" s="722"/>
      <c r="P37" s="722">
        <f>+P30+P31+P32+P33+P34+P35+P36</f>
        <v>0</v>
      </c>
      <c r="Q37" s="722">
        <v>105000</v>
      </c>
      <c r="R37" s="722">
        <f>+R33</f>
        <v>105000</v>
      </c>
      <c r="S37" s="722">
        <v>0</v>
      </c>
      <c r="T37" s="722">
        <v>3673106</v>
      </c>
      <c r="U37" s="722">
        <f t="shared" si="0"/>
        <v>3563878</v>
      </c>
      <c r="V37" s="696">
        <f t="shared" si="1"/>
        <v>3563878</v>
      </c>
      <c r="W37" s="696">
        <f t="shared" si="2"/>
        <v>0</v>
      </c>
      <c r="X37" s="696">
        <f t="shared" si="3"/>
        <v>3563878</v>
      </c>
    </row>
    <row r="38" spans="1:24" ht="21.75" customHeight="1" x14ac:dyDescent="0.2">
      <c r="A38" s="639" t="s">
        <v>92</v>
      </c>
      <c r="B38" s="648" t="s">
        <v>93</v>
      </c>
      <c r="C38" s="664" t="s">
        <v>94</v>
      </c>
      <c r="D38" s="722">
        <f>SUM(D40:D44)</f>
        <v>0</v>
      </c>
      <c r="E38" s="722">
        <v>32014359</v>
      </c>
      <c r="F38" s="722">
        <f t="shared" ref="F38:N38" si="18">SUM(F40:F44)</f>
        <v>29326195</v>
      </c>
      <c r="G38" s="722">
        <f t="shared" si="18"/>
        <v>0</v>
      </c>
      <c r="H38" s="722">
        <f t="shared" si="18"/>
        <v>0</v>
      </c>
      <c r="I38" s="722">
        <f t="shared" si="18"/>
        <v>0</v>
      </c>
      <c r="J38" s="722">
        <f t="shared" si="18"/>
        <v>0</v>
      </c>
      <c r="K38" s="722">
        <f t="shared" si="18"/>
        <v>0</v>
      </c>
      <c r="L38" s="722"/>
      <c r="M38" s="722">
        <f t="shared" si="18"/>
        <v>0</v>
      </c>
      <c r="N38" s="722">
        <f t="shared" si="18"/>
        <v>0</v>
      </c>
      <c r="O38" s="722"/>
      <c r="P38" s="722">
        <f>SUM(P40:P44)</f>
        <v>0</v>
      </c>
      <c r="Q38" s="722">
        <f>SUM(Q40:Q44)</f>
        <v>0</v>
      </c>
      <c r="R38" s="722"/>
      <c r="S38" s="722">
        <v>0</v>
      </c>
      <c r="T38" s="722">
        <v>32014359</v>
      </c>
      <c r="U38" s="722">
        <f t="shared" si="0"/>
        <v>29326195</v>
      </c>
      <c r="V38" s="696">
        <f t="shared" si="1"/>
        <v>29326195</v>
      </c>
      <c r="W38" s="696">
        <f t="shared" si="2"/>
        <v>0</v>
      </c>
      <c r="X38" s="696">
        <f t="shared" si="3"/>
        <v>29326195</v>
      </c>
    </row>
    <row r="39" spans="1:24" ht="21.75" customHeight="1" x14ac:dyDescent="0.2">
      <c r="A39" s="639" t="s">
        <v>95</v>
      </c>
      <c r="B39" s="24" t="s">
        <v>1290</v>
      </c>
      <c r="C39" s="664"/>
      <c r="D39" s="722"/>
      <c r="E39" s="722"/>
      <c r="F39" s="722"/>
      <c r="G39" s="722"/>
      <c r="H39" s="722"/>
      <c r="I39" s="722"/>
      <c r="J39" s="722"/>
      <c r="K39" s="722"/>
      <c r="L39" s="722"/>
      <c r="M39" s="722"/>
      <c r="N39" s="722"/>
      <c r="O39" s="722"/>
      <c r="P39" s="722"/>
      <c r="Q39" s="722"/>
      <c r="R39" s="722"/>
      <c r="S39" s="722">
        <v>0</v>
      </c>
      <c r="T39" s="722">
        <v>0</v>
      </c>
      <c r="U39" s="722">
        <f t="shared" si="0"/>
        <v>0</v>
      </c>
      <c r="V39" s="696">
        <f t="shared" si="1"/>
        <v>0</v>
      </c>
      <c r="W39" s="696">
        <f t="shared" si="2"/>
        <v>0</v>
      </c>
      <c r="X39" s="696">
        <f t="shared" si="3"/>
        <v>0</v>
      </c>
    </row>
    <row r="40" spans="1:24" ht="21.75" customHeight="1" x14ac:dyDescent="0.2">
      <c r="A40" s="639" t="s">
        <v>97</v>
      </c>
      <c r="B40" s="652" t="s">
        <v>96</v>
      </c>
      <c r="C40" s="665"/>
      <c r="D40" s="722"/>
      <c r="E40" s="722">
        <f>D40</f>
        <v>0</v>
      </c>
      <c r="F40" s="722"/>
      <c r="G40" s="722"/>
      <c r="H40" s="722">
        <f>G40</f>
        <v>0</v>
      </c>
      <c r="I40" s="722"/>
      <c r="J40" s="722"/>
      <c r="K40" s="722">
        <f>J40</f>
        <v>0</v>
      </c>
      <c r="L40" s="722"/>
      <c r="M40" s="722"/>
      <c r="N40" s="722">
        <f>M40</f>
        <v>0</v>
      </c>
      <c r="O40" s="722"/>
      <c r="P40" s="722"/>
      <c r="Q40" s="722"/>
      <c r="R40" s="722"/>
      <c r="S40" s="722">
        <v>0</v>
      </c>
      <c r="T40" s="722">
        <v>0</v>
      </c>
      <c r="U40" s="722">
        <f t="shared" si="0"/>
        <v>0</v>
      </c>
      <c r="V40" s="696">
        <f t="shared" si="1"/>
        <v>0</v>
      </c>
      <c r="W40" s="696">
        <f t="shared" si="2"/>
        <v>0</v>
      </c>
      <c r="X40" s="696">
        <f t="shared" si="3"/>
        <v>0</v>
      </c>
    </row>
    <row r="41" spans="1:24" ht="21.75" customHeight="1" x14ac:dyDescent="0.2">
      <c r="A41" s="639" t="s">
        <v>99</v>
      </c>
      <c r="B41" s="652" t="s">
        <v>98</v>
      </c>
      <c r="C41" s="665"/>
      <c r="D41" s="722"/>
      <c r="E41" s="722">
        <f>D41</f>
        <v>0</v>
      </c>
      <c r="F41" s="722"/>
      <c r="G41" s="722"/>
      <c r="H41" s="722">
        <f>G41</f>
        <v>0</v>
      </c>
      <c r="I41" s="722"/>
      <c r="J41" s="722"/>
      <c r="K41" s="722">
        <f>J41</f>
        <v>0</v>
      </c>
      <c r="L41" s="722"/>
      <c r="M41" s="722"/>
      <c r="N41" s="722">
        <f>M41</f>
        <v>0</v>
      </c>
      <c r="O41" s="722"/>
      <c r="P41" s="722"/>
      <c r="Q41" s="722"/>
      <c r="R41" s="722"/>
      <c r="S41" s="722">
        <v>0</v>
      </c>
      <c r="T41" s="722">
        <v>0</v>
      </c>
      <c r="U41" s="722">
        <f t="shared" si="0"/>
        <v>0</v>
      </c>
      <c r="V41" s="696">
        <f t="shared" si="1"/>
        <v>0</v>
      </c>
      <c r="W41" s="696">
        <f t="shared" si="2"/>
        <v>0</v>
      </c>
      <c r="X41" s="696">
        <f t="shared" si="3"/>
        <v>0</v>
      </c>
    </row>
    <row r="42" spans="1:24" ht="21.75" customHeight="1" x14ac:dyDescent="0.2">
      <c r="A42" s="639" t="s">
        <v>101</v>
      </c>
      <c r="B42" s="652" t="s">
        <v>100</v>
      </c>
      <c r="C42" s="665"/>
      <c r="D42" s="722">
        <f>S27-S30-S32-S33-S35-S40</f>
        <v>0</v>
      </c>
      <c r="E42" s="722">
        <v>30267346</v>
      </c>
      <c r="F42" s="722">
        <v>28988305</v>
      </c>
      <c r="G42" s="722"/>
      <c r="H42" s="722">
        <f>G42</f>
        <v>0</v>
      </c>
      <c r="I42" s="722"/>
      <c r="J42" s="722"/>
      <c r="K42" s="722">
        <f>J42</f>
        <v>0</v>
      </c>
      <c r="L42" s="722"/>
      <c r="M42" s="722"/>
      <c r="N42" s="722">
        <f>M42</f>
        <v>0</v>
      </c>
      <c r="O42" s="722"/>
      <c r="P42" s="722"/>
      <c r="Q42" s="722"/>
      <c r="R42" s="722"/>
      <c r="S42" s="722">
        <v>0</v>
      </c>
      <c r="T42" s="722">
        <v>30267346</v>
      </c>
      <c r="U42" s="722">
        <f t="shared" si="0"/>
        <v>28988305</v>
      </c>
      <c r="V42" s="696">
        <f t="shared" si="1"/>
        <v>28988305</v>
      </c>
      <c r="W42" s="696">
        <f t="shared" si="2"/>
        <v>0</v>
      </c>
      <c r="X42" s="696">
        <f t="shared" si="3"/>
        <v>28988305</v>
      </c>
    </row>
    <row r="43" spans="1:24" ht="21.75" customHeight="1" x14ac:dyDescent="0.2">
      <c r="A43" s="639" t="s">
        <v>103</v>
      </c>
      <c r="B43" s="652" t="s">
        <v>102</v>
      </c>
      <c r="C43" s="665"/>
      <c r="D43" s="722">
        <f>S28-S31-S34-S36-S41</f>
        <v>0</v>
      </c>
      <c r="E43" s="722">
        <v>1747013</v>
      </c>
      <c r="F43" s="722">
        <v>337890</v>
      </c>
      <c r="G43" s="722"/>
      <c r="H43" s="722">
        <f>G43</f>
        <v>0</v>
      </c>
      <c r="I43" s="722"/>
      <c r="J43" s="722"/>
      <c r="K43" s="722">
        <f>J43</f>
        <v>0</v>
      </c>
      <c r="L43" s="722"/>
      <c r="M43" s="722"/>
      <c r="N43" s="722">
        <f>M43</f>
        <v>0</v>
      </c>
      <c r="O43" s="722"/>
      <c r="P43" s="722"/>
      <c r="Q43" s="722"/>
      <c r="R43" s="722"/>
      <c r="S43" s="722">
        <v>0</v>
      </c>
      <c r="T43" s="722">
        <v>1747013</v>
      </c>
      <c r="U43" s="722">
        <f t="shared" si="0"/>
        <v>337890</v>
      </c>
      <c r="V43" s="696">
        <f t="shared" si="1"/>
        <v>337890</v>
      </c>
      <c r="W43" s="696">
        <f t="shared" si="2"/>
        <v>0</v>
      </c>
      <c r="X43" s="696">
        <f t="shared" si="3"/>
        <v>337890</v>
      </c>
    </row>
    <row r="44" spans="1:24" ht="21.75" customHeight="1" x14ac:dyDescent="0.2">
      <c r="A44" s="639" t="s">
        <v>105</v>
      </c>
      <c r="B44" s="24" t="s">
        <v>104</v>
      </c>
      <c r="C44" s="665"/>
      <c r="D44" s="722"/>
      <c r="E44" s="722">
        <f>D44</f>
        <v>0</v>
      </c>
      <c r="F44" s="722"/>
      <c r="G44" s="722"/>
      <c r="H44" s="722">
        <f>G44</f>
        <v>0</v>
      </c>
      <c r="I44" s="722"/>
      <c r="J44" s="722"/>
      <c r="K44" s="722">
        <f>J44</f>
        <v>0</v>
      </c>
      <c r="L44" s="722"/>
      <c r="M44" s="722"/>
      <c r="N44" s="722">
        <f>M44</f>
        <v>0</v>
      </c>
      <c r="O44" s="722"/>
      <c r="P44" s="722"/>
      <c r="Q44" s="722"/>
      <c r="R44" s="722"/>
      <c r="S44" s="722">
        <v>0</v>
      </c>
      <c r="T44" s="722">
        <v>0</v>
      </c>
      <c r="U44" s="722">
        <f t="shared" si="0"/>
        <v>0</v>
      </c>
      <c r="V44" s="696">
        <f t="shared" si="1"/>
        <v>0</v>
      </c>
      <c r="W44" s="696">
        <f t="shared" si="2"/>
        <v>0</v>
      </c>
      <c r="X44" s="696">
        <f t="shared" si="3"/>
        <v>0</v>
      </c>
    </row>
    <row r="45" spans="1:24" ht="21.75" customHeight="1" x14ac:dyDescent="0.2">
      <c r="A45" s="639" t="s">
        <v>107</v>
      </c>
      <c r="B45" s="653" t="s">
        <v>106</v>
      </c>
      <c r="C45" s="664"/>
      <c r="D45" s="800">
        <f>+D30+D32+D33+D35+D40+D42</f>
        <v>0</v>
      </c>
      <c r="E45" s="800">
        <f t="shared" ref="E45:N45" si="19">+E30+E32+E33+E35+E40+E42</f>
        <v>30267346</v>
      </c>
      <c r="F45" s="800">
        <f t="shared" si="19"/>
        <v>28988305</v>
      </c>
      <c r="G45" s="800">
        <f t="shared" si="19"/>
        <v>0</v>
      </c>
      <c r="H45" s="800">
        <f t="shared" si="19"/>
        <v>906356</v>
      </c>
      <c r="I45" s="800">
        <f t="shared" si="19"/>
        <v>849128</v>
      </c>
      <c r="J45" s="800">
        <f t="shared" si="19"/>
        <v>0</v>
      </c>
      <c r="K45" s="800">
        <f t="shared" si="19"/>
        <v>2661750</v>
      </c>
      <c r="L45" s="800">
        <f t="shared" si="19"/>
        <v>2609750</v>
      </c>
      <c r="M45" s="800">
        <f t="shared" si="19"/>
        <v>0</v>
      </c>
      <c r="N45" s="800">
        <f t="shared" si="19"/>
        <v>0</v>
      </c>
      <c r="O45" s="800"/>
      <c r="P45" s="800">
        <f>+P30+P32+P33+P35+P40+P42</f>
        <v>0</v>
      </c>
      <c r="Q45" s="800">
        <f>+Q30+Q32+Q33+Q35+Q40+Q42</f>
        <v>105000</v>
      </c>
      <c r="R45" s="800">
        <f>+R37</f>
        <v>105000</v>
      </c>
      <c r="S45" s="722">
        <v>0</v>
      </c>
      <c r="T45" s="800">
        <v>33940452</v>
      </c>
      <c r="U45" s="800">
        <f t="shared" si="0"/>
        <v>32552183</v>
      </c>
      <c r="V45" s="696">
        <f t="shared" si="1"/>
        <v>32552183</v>
      </c>
      <c r="W45" s="696">
        <f t="shared" si="2"/>
        <v>0</v>
      </c>
      <c r="X45" s="696">
        <f t="shared" si="3"/>
        <v>32552183</v>
      </c>
    </row>
    <row r="46" spans="1:24" ht="21.75" customHeight="1" x14ac:dyDescent="0.2">
      <c r="A46" s="639" t="s">
        <v>109</v>
      </c>
      <c r="B46" s="653" t="s">
        <v>108</v>
      </c>
      <c r="C46" s="664"/>
      <c r="D46" s="800">
        <f>+D31+D34+D36+D41+D427+D44+D43</f>
        <v>0</v>
      </c>
      <c r="E46" s="800">
        <f t="shared" ref="E46:N46" si="20">+E31+E34+E36+E41+E427+E44+E43</f>
        <v>1747013</v>
      </c>
      <c r="F46" s="800">
        <f t="shared" si="20"/>
        <v>337890</v>
      </c>
      <c r="G46" s="800">
        <f t="shared" si="20"/>
        <v>0</v>
      </c>
      <c r="H46" s="800">
        <f t="shared" si="20"/>
        <v>0</v>
      </c>
      <c r="I46" s="800">
        <f t="shared" si="20"/>
        <v>0</v>
      </c>
      <c r="J46" s="800">
        <f t="shared" si="20"/>
        <v>0</v>
      </c>
      <c r="K46" s="800">
        <f t="shared" si="20"/>
        <v>0</v>
      </c>
      <c r="L46" s="800">
        <f t="shared" si="20"/>
        <v>0</v>
      </c>
      <c r="M46" s="800">
        <f t="shared" si="20"/>
        <v>0</v>
      </c>
      <c r="N46" s="800">
        <f t="shared" si="20"/>
        <v>0</v>
      </c>
      <c r="O46" s="800"/>
      <c r="P46" s="800">
        <f>+P31+P34+P36+P41+P427+P44+P43</f>
        <v>0</v>
      </c>
      <c r="Q46" s="800">
        <f>+Q31+Q34+Q36+Q41+Q427+Q44+Q43</f>
        <v>0</v>
      </c>
      <c r="R46" s="800"/>
      <c r="S46" s="722">
        <v>0</v>
      </c>
      <c r="T46" s="800">
        <v>1747013</v>
      </c>
      <c r="U46" s="800">
        <f t="shared" si="0"/>
        <v>337890</v>
      </c>
      <c r="V46" s="696">
        <f t="shared" si="1"/>
        <v>337890</v>
      </c>
      <c r="W46" s="696">
        <f t="shared" si="2"/>
        <v>0</v>
      </c>
      <c r="X46" s="696">
        <f t="shared" si="3"/>
        <v>337890</v>
      </c>
    </row>
    <row r="47" spans="1:24" ht="21.75" customHeight="1" x14ac:dyDescent="0.2">
      <c r="A47" s="639" t="s">
        <v>111</v>
      </c>
      <c r="B47" s="653" t="s">
        <v>110</v>
      </c>
      <c r="C47" s="664"/>
      <c r="D47" s="800">
        <f>+D45+D46</f>
        <v>0</v>
      </c>
      <c r="E47" s="800">
        <f t="shared" ref="E47:N47" si="21">+E45+E46</f>
        <v>32014359</v>
      </c>
      <c r="F47" s="800">
        <f t="shared" si="21"/>
        <v>29326195</v>
      </c>
      <c r="G47" s="800">
        <f t="shared" si="21"/>
        <v>0</v>
      </c>
      <c r="H47" s="800">
        <f t="shared" si="21"/>
        <v>906356</v>
      </c>
      <c r="I47" s="800">
        <f t="shared" si="21"/>
        <v>849128</v>
      </c>
      <c r="J47" s="800">
        <f t="shared" si="21"/>
        <v>0</v>
      </c>
      <c r="K47" s="800">
        <f t="shared" si="21"/>
        <v>2661750</v>
      </c>
      <c r="L47" s="800">
        <f t="shared" si="21"/>
        <v>2609750</v>
      </c>
      <c r="M47" s="800">
        <f t="shared" si="21"/>
        <v>0</v>
      </c>
      <c r="N47" s="800">
        <f t="shared" si="21"/>
        <v>0</v>
      </c>
      <c r="O47" s="800"/>
      <c r="P47" s="800">
        <f>+P45+P46</f>
        <v>0</v>
      </c>
      <c r="Q47" s="800">
        <f>+Q45+Q46</f>
        <v>105000</v>
      </c>
      <c r="R47" s="800">
        <f>+R45+R46</f>
        <v>105000</v>
      </c>
      <c r="S47" s="722">
        <v>0</v>
      </c>
      <c r="T47" s="800">
        <v>35687465</v>
      </c>
      <c r="U47" s="800">
        <f t="shared" si="0"/>
        <v>32890073</v>
      </c>
      <c r="V47" s="696">
        <f t="shared" si="1"/>
        <v>32890073</v>
      </c>
      <c r="W47" s="696">
        <f t="shared" si="2"/>
        <v>0</v>
      </c>
      <c r="X47" s="696">
        <f t="shared" si="3"/>
        <v>32890073</v>
      </c>
    </row>
    <row r="48" spans="1:24" ht="21.75" customHeight="1" x14ac:dyDescent="0.2">
      <c r="A48" s="639" t="s">
        <v>113</v>
      </c>
      <c r="B48" s="25" t="s">
        <v>112</v>
      </c>
      <c r="C48" s="668"/>
      <c r="D48" s="722"/>
      <c r="E48" s="722"/>
      <c r="F48" s="722"/>
      <c r="G48" s="722">
        <v>0</v>
      </c>
      <c r="H48" s="722">
        <v>3</v>
      </c>
      <c r="I48" s="843">
        <v>2.5</v>
      </c>
      <c r="J48" s="722">
        <v>0</v>
      </c>
      <c r="K48" s="722">
        <v>6</v>
      </c>
      <c r="L48" s="722">
        <v>6</v>
      </c>
      <c r="M48" s="722">
        <v>0</v>
      </c>
      <c r="N48" s="722">
        <v>0</v>
      </c>
      <c r="O48" s="722"/>
      <c r="P48" s="722">
        <v>0</v>
      </c>
      <c r="Q48" s="722">
        <v>0</v>
      </c>
      <c r="R48" s="722"/>
      <c r="S48" s="722">
        <v>0</v>
      </c>
      <c r="T48" s="722">
        <v>9</v>
      </c>
      <c r="U48" s="722">
        <f t="shared" si="0"/>
        <v>8.5</v>
      </c>
      <c r="V48" s="696">
        <f t="shared" si="1"/>
        <v>8.5</v>
      </c>
      <c r="W48" s="696">
        <f t="shared" si="2"/>
        <v>0</v>
      </c>
      <c r="X48" s="845">
        <f t="shared" si="3"/>
        <v>8.5</v>
      </c>
    </row>
    <row r="49" spans="1:24" ht="21.75" customHeight="1" x14ac:dyDescent="0.2">
      <c r="A49" s="639" t="s">
        <v>250</v>
      </c>
      <c r="B49" s="25" t="s">
        <v>114</v>
      </c>
      <c r="C49" s="668"/>
      <c r="D49" s="722"/>
      <c r="E49" s="722"/>
      <c r="F49" s="722"/>
      <c r="G49" s="722"/>
      <c r="H49" s="722"/>
      <c r="I49" s="722"/>
      <c r="J49" s="722"/>
      <c r="K49" s="722"/>
      <c r="L49" s="722"/>
      <c r="M49" s="722"/>
      <c r="N49" s="722"/>
      <c r="O49" s="722"/>
      <c r="P49" s="722"/>
      <c r="Q49" s="722"/>
      <c r="R49" s="722"/>
      <c r="S49" s="722">
        <v>0</v>
      </c>
      <c r="T49" s="722">
        <v>0</v>
      </c>
      <c r="U49" s="722">
        <f t="shared" si="0"/>
        <v>0</v>
      </c>
      <c r="V49" s="696">
        <f t="shared" si="1"/>
        <v>0</v>
      </c>
      <c r="W49" s="696">
        <f t="shared" si="2"/>
        <v>0</v>
      </c>
      <c r="X49" s="696">
        <f t="shared" si="3"/>
        <v>0</v>
      </c>
    </row>
  </sheetData>
  <mergeCells count="29">
    <mergeCell ref="S8:T8"/>
    <mergeCell ref="D4:F4"/>
    <mergeCell ref="G4:I4"/>
    <mergeCell ref="J4:L4"/>
    <mergeCell ref="M4:O4"/>
    <mergeCell ref="P4:R4"/>
    <mergeCell ref="D5:F5"/>
    <mergeCell ref="G5:I5"/>
    <mergeCell ref="J5:L5"/>
    <mergeCell ref="M5:O5"/>
    <mergeCell ref="D8:E8"/>
    <mergeCell ref="G8:H8"/>
    <mergeCell ref="J8:K8"/>
    <mergeCell ref="M8:N8"/>
    <mergeCell ref="P8:Q8"/>
    <mergeCell ref="P5:R5"/>
    <mergeCell ref="A2:C3"/>
    <mergeCell ref="D2:K2"/>
    <mergeCell ref="A4:A7"/>
    <mergeCell ref="B4:C4"/>
    <mergeCell ref="B5:C5"/>
    <mergeCell ref="B6:C6"/>
    <mergeCell ref="M2:U2"/>
    <mergeCell ref="S4:U7"/>
    <mergeCell ref="D6:F7"/>
    <mergeCell ref="G6:I7"/>
    <mergeCell ref="J6:L7"/>
    <mergeCell ref="M6:O7"/>
    <mergeCell ref="P6:R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42" orientation="landscape" r:id="rId1"/>
  <headerFooter>
    <oddHeader>&amp;CDunaharaszti Város Önkormányzat 2017. évi zárszámadás&amp;R&amp;A</oddHeader>
    <oddFooter>&amp;C&amp;P/&amp;N</oddFooter>
  </headerFooter>
  <colBreaks count="1" manualBreakCount="1">
    <brk id="12" max="4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9"/>
  <sheetViews>
    <sheetView view="pageBreakPreview" zoomScale="40" zoomScaleNormal="75" zoomScaleSheetLayoutView="40" zoomScalePageLayoutView="70" workbookViewId="0">
      <selection activeCell="L17" sqref="L17"/>
    </sheetView>
  </sheetViews>
  <sheetFormatPr defaultRowHeight="12.75" x14ac:dyDescent="0.2"/>
  <cols>
    <col min="1" max="1" width="8" customWidth="1"/>
    <col min="2" max="2" width="70.5703125" bestFit="1" customWidth="1"/>
    <col min="4" max="4" width="16.85546875" customWidth="1"/>
    <col min="5" max="6" width="16.42578125" customWidth="1"/>
    <col min="7" max="7" width="16.28515625" customWidth="1"/>
    <col min="8" max="9" width="16.7109375" customWidth="1"/>
    <col min="10" max="10" width="17.28515625" customWidth="1"/>
    <col min="11" max="12" width="17.5703125" customWidth="1"/>
    <col min="13" max="13" width="17.42578125" customWidth="1"/>
    <col min="14" max="15" width="17.5703125" customWidth="1"/>
    <col min="16" max="16" width="17.28515625" customWidth="1"/>
    <col min="17" max="17" width="17" customWidth="1"/>
    <col min="18" max="18" width="15.42578125" customWidth="1"/>
    <col min="261" max="261" width="8" customWidth="1"/>
    <col min="262" max="262" width="70.5703125" bestFit="1" customWidth="1"/>
    <col min="264" max="264" width="16.85546875" customWidth="1"/>
    <col min="265" max="265" width="16.42578125" customWidth="1"/>
    <col min="266" max="266" width="16.28515625" customWidth="1"/>
    <col min="267" max="267" width="16.7109375" customWidth="1"/>
    <col min="268" max="268" width="17.28515625" customWidth="1"/>
    <col min="269" max="269" width="17.5703125" customWidth="1"/>
    <col min="270" max="270" width="17.42578125" customWidth="1"/>
    <col min="271" max="271" width="17.5703125" customWidth="1"/>
    <col min="272" max="272" width="17.28515625" customWidth="1"/>
    <col min="273" max="273" width="17" customWidth="1"/>
    <col min="517" max="517" width="8" customWidth="1"/>
    <col min="518" max="518" width="70.5703125" bestFit="1" customWidth="1"/>
    <col min="520" max="520" width="16.85546875" customWidth="1"/>
    <col min="521" max="521" width="16.42578125" customWidth="1"/>
    <col min="522" max="522" width="16.28515625" customWidth="1"/>
    <col min="523" max="523" width="16.7109375" customWidth="1"/>
    <col min="524" max="524" width="17.28515625" customWidth="1"/>
    <col min="525" max="525" width="17.5703125" customWidth="1"/>
    <col min="526" max="526" width="17.42578125" customWidth="1"/>
    <col min="527" max="527" width="17.5703125" customWidth="1"/>
    <col min="528" max="528" width="17.28515625" customWidth="1"/>
    <col min="529" max="529" width="17" customWidth="1"/>
    <col min="773" max="773" width="8" customWidth="1"/>
    <col min="774" max="774" width="70.5703125" bestFit="1" customWidth="1"/>
    <col min="776" max="776" width="16.85546875" customWidth="1"/>
    <col min="777" max="777" width="16.42578125" customWidth="1"/>
    <col min="778" max="778" width="16.28515625" customWidth="1"/>
    <col min="779" max="779" width="16.7109375" customWidth="1"/>
    <col min="780" max="780" width="17.28515625" customWidth="1"/>
    <col min="781" max="781" width="17.5703125" customWidth="1"/>
    <col min="782" max="782" width="17.42578125" customWidth="1"/>
    <col min="783" max="783" width="17.5703125" customWidth="1"/>
    <col min="784" max="784" width="17.28515625" customWidth="1"/>
    <col min="785" max="785" width="17" customWidth="1"/>
    <col min="1029" max="1029" width="8" customWidth="1"/>
    <col min="1030" max="1030" width="70.5703125" bestFit="1" customWidth="1"/>
    <col min="1032" max="1032" width="16.85546875" customWidth="1"/>
    <col min="1033" max="1033" width="16.42578125" customWidth="1"/>
    <col min="1034" max="1034" width="16.28515625" customWidth="1"/>
    <col min="1035" max="1035" width="16.7109375" customWidth="1"/>
    <col min="1036" max="1036" width="17.28515625" customWidth="1"/>
    <col min="1037" max="1037" width="17.5703125" customWidth="1"/>
    <col min="1038" max="1038" width="17.42578125" customWidth="1"/>
    <col min="1039" max="1039" width="17.5703125" customWidth="1"/>
    <col min="1040" max="1040" width="17.28515625" customWidth="1"/>
    <col min="1041" max="1041" width="17" customWidth="1"/>
    <col min="1285" max="1285" width="8" customWidth="1"/>
    <col min="1286" max="1286" width="70.5703125" bestFit="1" customWidth="1"/>
    <col min="1288" max="1288" width="16.85546875" customWidth="1"/>
    <col min="1289" max="1289" width="16.42578125" customWidth="1"/>
    <col min="1290" max="1290" width="16.28515625" customWidth="1"/>
    <col min="1291" max="1291" width="16.7109375" customWidth="1"/>
    <col min="1292" max="1292" width="17.28515625" customWidth="1"/>
    <col min="1293" max="1293" width="17.5703125" customWidth="1"/>
    <col min="1294" max="1294" width="17.42578125" customWidth="1"/>
    <col min="1295" max="1295" width="17.5703125" customWidth="1"/>
    <col min="1296" max="1296" width="17.28515625" customWidth="1"/>
    <col min="1297" max="1297" width="17" customWidth="1"/>
    <col min="1541" max="1541" width="8" customWidth="1"/>
    <col min="1542" max="1542" width="70.5703125" bestFit="1" customWidth="1"/>
    <col min="1544" max="1544" width="16.85546875" customWidth="1"/>
    <col min="1545" max="1545" width="16.42578125" customWidth="1"/>
    <col min="1546" max="1546" width="16.28515625" customWidth="1"/>
    <col min="1547" max="1547" width="16.7109375" customWidth="1"/>
    <col min="1548" max="1548" width="17.28515625" customWidth="1"/>
    <col min="1549" max="1549" width="17.5703125" customWidth="1"/>
    <col min="1550" max="1550" width="17.42578125" customWidth="1"/>
    <col min="1551" max="1551" width="17.5703125" customWidth="1"/>
    <col min="1552" max="1552" width="17.28515625" customWidth="1"/>
    <col min="1553" max="1553" width="17" customWidth="1"/>
    <col min="1797" max="1797" width="8" customWidth="1"/>
    <col min="1798" max="1798" width="70.5703125" bestFit="1" customWidth="1"/>
    <col min="1800" max="1800" width="16.85546875" customWidth="1"/>
    <col min="1801" max="1801" width="16.42578125" customWidth="1"/>
    <col min="1802" max="1802" width="16.28515625" customWidth="1"/>
    <col min="1803" max="1803" width="16.7109375" customWidth="1"/>
    <col min="1804" max="1804" width="17.28515625" customWidth="1"/>
    <col min="1805" max="1805" width="17.5703125" customWidth="1"/>
    <col min="1806" max="1806" width="17.42578125" customWidth="1"/>
    <col min="1807" max="1807" width="17.5703125" customWidth="1"/>
    <col min="1808" max="1808" width="17.28515625" customWidth="1"/>
    <col min="1809" max="1809" width="17" customWidth="1"/>
    <col min="2053" max="2053" width="8" customWidth="1"/>
    <col min="2054" max="2054" width="70.5703125" bestFit="1" customWidth="1"/>
    <col min="2056" max="2056" width="16.85546875" customWidth="1"/>
    <col min="2057" max="2057" width="16.42578125" customWidth="1"/>
    <col min="2058" max="2058" width="16.28515625" customWidth="1"/>
    <col min="2059" max="2059" width="16.7109375" customWidth="1"/>
    <col min="2060" max="2060" width="17.28515625" customWidth="1"/>
    <col min="2061" max="2061" width="17.5703125" customWidth="1"/>
    <col min="2062" max="2062" width="17.42578125" customWidth="1"/>
    <col min="2063" max="2063" width="17.5703125" customWidth="1"/>
    <col min="2064" max="2064" width="17.28515625" customWidth="1"/>
    <col min="2065" max="2065" width="17" customWidth="1"/>
    <col min="2309" max="2309" width="8" customWidth="1"/>
    <col min="2310" max="2310" width="70.5703125" bestFit="1" customWidth="1"/>
    <col min="2312" max="2312" width="16.85546875" customWidth="1"/>
    <col min="2313" max="2313" width="16.42578125" customWidth="1"/>
    <col min="2314" max="2314" width="16.28515625" customWidth="1"/>
    <col min="2315" max="2315" width="16.7109375" customWidth="1"/>
    <col min="2316" max="2316" width="17.28515625" customWidth="1"/>
    <col min="2317" max="2317" width="17.5703125" customWidth="1"/>
    <col min="2318" max="2318" width="17.42578125" customWidth="1"/>
    <col min="2319" max="2319" width="17.5703125" customWidth="1"/>
    <col min="2320" max="2320" width="17.28515625" customWidth="1"/>
    <col min="2321" max="2321" width="17" customWidth="1"/>
    <col min="2565" max="2565" width="8" customWidth="1"/>
    <col min="2566" max="2566" width="70.5703125" bestFit="1" customWidth="1"/>
    <col min="2568" max="2568" width="16.85546875" customWidth="1"/>
    <col min="2569" max="2569" width="16.42578125" customWidth="1"/>
    <col min="2570" max="2570" width="16.28515625" customWidth="1"/>
    <col min="2571" max="2571" width="16.7109375" customWidth="1"/>
    <col min="2572" max="2572" width="17.28515625" customWidth="1"/>
    <col min="2573" max="2573" width="17.5703125" customWidth="1"/>
    <col min="2574" max="2574" width="17.42578125" customWidth="1"/>
    <col min="2575" max="2575" width="17.5703125" customWidth="1"/>
    <col min="2576" max="2576" width="17.28515625" customWidth="1"/>
    <col min="2577" max="2577" width="17" customWidth="1"/>
    <col min="2821" max="2821" width="8" customWidth="1"/>
    <col min="2822" max="2822" width="70.5703125" bestFit="1" customWidth="1"/>
    <col min="2824" max="2824" width="16.85546875" customWidth="1"/>
    <col min="2825" max="2825" width="16.42578125" customWidth="1"/>
    <col min="2826" max="2826" width="16.28515625" customWidth="1"/>
    <col min="2827" max="2827" width="16.7109375" customWidth="1"/>
    <col min="2828" max="2828" width="17.28515625" customWidth="1"/>
    <col min="2829" max="2829" width="17.5703125" customWidth="1"/>
    <col min="2830" max="2830" width="17.42578125" customWidth="1"/>
    <col min="2831" max="2831" width="17.5703125" customWidth="1"/>
    <col min="2832" max="2832" width="17.28515625" customWidth="1"/>
    <col min="2833" max="2833" width="17" customWidth="1"/>
    <col min="3077" max="3077" width="8" customWidth="1"/>
    <col min="3078" max="3078" width="70.5703125" bestFit="1" customWidth="1"/>
    <col min="3080" max="3080" width="16.85546875" customWidth="1"/>
    <col min="3081" max="3081" width="16.42578125" customWidth="1"/>
    <col min="3082" max="3082" width="16.28515625" customWidth="1"/>
    <col min="3083" max="3083" width="16.7109375" customWidth="1"/>
    <col min="3084" max="3084" width="17.28515625" customWidth="1"/>
    <col min="3085" max="3085" width="17.5703125" customWidth="1"/>
    <col min="3086" max="3086" width="17.42578125" customWidth="1"/>
    <col min="3087" max="3087" width="17.5703125" customWidth="1"/>
    <col min="3088" max="3088" width="17.28515625" customWidth="1"/>
    <col min="3089" max="3089" width="17" customWidth="1"/>
    <col min="3333" max="3333" width="8" customWidth="1"/>
    <col min="3334" max="3334" width="70.5703125" bestFit="1" customWidth="1"/>
    <col min="3336" max="3336" width="16.85546875" customWidth="1"/>
    <col min="3337" max="3337" width="16.42578125" customWidth="1"/>
    <col min="3338" max="3338" width="16.28515625" customWidth="1"/>
    <col min="3339" max="3339" width="16.7109375" customWidth="1"/>
    <col min="3340" max="3340" width="17.28515625" customWidth="1"/>
    <col min="3341" max="3341" width="17.5703125" customWidth="1"/>
    <col min="3342" max="3342" width="17.42578125" customWidth="1"/>
    <col min="3343" max="3343" width="17.5703125" customWidth="1"/>
    <col min="3344" max="3344" width="17.28515625" customWidth="1"/>
    <col min="3345" max="3345" width="17" customWidth="1"/>
    <col min="3589" max="3589" width="8" customWidth="1"/>
    <col min="3590" max="3590" width="70.5703125" bestFit="1" customWidth="1"/>
    <col min="3592" max="3592" width="16.85546875" customWidth="1"/>
    <col min="3593" max="3593" width="16.42578125" customWidth="1"/>
    <col min="3594" max="3594" width="16.28515625" customWidth="1"/>
    <col min="3595" max="3595" width="16.7109375" customWidth="1"/>
    <col min="3596" max="3596" width="17.28515625" customWidth="1"/>
    <col min="3597" max="3597" width="17.5703125" customWidth="1"/>
    <col min="3598" max="3598" width="17.42578125" customWidth="1"/>
    <col min="3599" max="3599" width="17.5703125" customWidth="1"/>
    <col min="3600" max="3600" width="17.28515625" customWidth="1"/>
    <col min="3601" max="3601" width="17" customWidth="1"/>
    <col min="3845" max="3845" width="8" customWidth="1"/>
    <col min="3846" max="3846" width="70.5703125" bestFit="1" customWidth="1"/>
    <col min="3848" max="3848" width="16.85546875" customWidth="1"/>
    <col min="3849" max="3849" width="16.42578125" customWidth="1"/>
    <col min="3850" max="3850" width="16.28515625" customWidth="1"/>
    <col min="3851" max="3851" width="16.7109375" customWidth="1"/>
    <col min="3852" max="3852" width="17.28515625" customWidth="1"/>
    <col min="3853" max="3853" width="17.5703125" customWidth="1"/>
    <col min="3854" max="3854" width="17.42578125" customWidth="1"/>
    <col min="3855" max="3855" width="17.5703125" customWidth="1"/>
    <col min="3856" max="3856" width="17.28515625" customWidth="1"/>
    <col min="3857" max="3857" width="17" customWidth="1"/>
    <col min="4101" max="4101" width="8" customWidth="1"/>
    <col min="4102" max="4102" width="70.5703125" bestFit="1" customWidth="1"/>
    <col min="4104" max="4104" width="16.85546875" customWidth="1"/>
    <col min="4105" max="4105" width="16.42578125" customWidth="1"/>
    <col min="4106" max="4106" width="16.28515625" customWidth="1"/>
    <col min="4107" max="4107" width="16.7109375" customWidth="1"/>
    <col min="4108" max="4108" width="17.28515625" customWidth="1"/>
    <col min="4109" max="4109" width="17.5703125" customWidth="1"/>
    <col min="4110" max="4110" width="17.42578125" customWidth="1"/>
    <col min="4111" max="4111" width="17.5703125" customWidth="1"/>
    <col min="4112" max="4112" width="17.28515625" customWidth="1"/>
    <col min="4113" max="4113" width="17" customWidth="1"/>
    <col min="4357" max="4357" width="8" customWidth="1"/>
    <col min="4358" max="4358" width="70.5703125" bestFit="1" customWidth="1"/>
    <col min="4360" max="4360" width="16.85546875" customWidth="1"/>
    <col min="4361" max="4361" width="16.42578125" customWidth="1"/>
    <col min="4362" max="4362" width="16.28515625" customWidth="1"/>
    <col min="4363" max="4363" width="16.7109375" customWidth="1"/>
    <col min="4364" max="4364" width="17.28515625" customWidth="1"/>
    <col min="4365" max="4365" width="17.5703125" customWidth="1"/>
    <col min="4366" max="4366" width="17.42578125" customWidth="1"/>
    <col min="4367" max="4367" width="17.5703125" customWidth="1"/>
    <col min="4368" max="4368" width="17.28515625" customWidth="1"/>
    <col min="4369" max="4369" width="17" customWidth="1"/>
    <col min="4613" max="4613" width="8" customWidth="1"/>
    <col min="4614" max="4614" width="70.5703125" bestFit="1" customWidth="1"/>
    <col min="4616" max="4616" width="16.85546875" customWidth="1"/>
    <col min="4617" max="4617" width="16.42578125" customWidth="1"/>
    <col min="4618" max="4618" width="16.28515625" customWidth="1"/>
    <col min="4619" max="4619" width="16.7109375" customWidth="1"/>
    <col min="4620" max="4620" width="17.28515625" customWidth="1"/>
    <col min="4621" max="4621" width="17.5703125" customWidth="1"/>
    <col min="4622" max="4622" width="17.42578125" customWidth="1"/>
    <col min="4623" max="4623" width="17.5703125" customWidth="1"/>
    <col min="4624" max="4624" width="17.28515625" customWidth="1"/>
    <col min="4625" max="4625" width="17" customWidth="1"/>
    <col min="4869" max="4869" width="8" customWidth="1"/>
    <col min="4870" max="4870" width="70.5703125" bestFit="1" customWidth="1"/>
    <col min="4872" max="4872" width="16.85546875" customWidth="1"/>
    <col min="4873" max="4873" width="16.42578125" customWidth="1"/>
    <col min="4874" max="4874" width="16.28515625" customWidth="1"/>
    <col min="4875" max="4875" width="16.7109375" customWidth="1"/>
    <col min="4876" max="4876" width="17.28515625" customWidth="1"/>
    <col min="4877" max="4877" width="17.5703125" customWidth="1"/>
    <col min="4878" max="4878" width="17.42578125" customWidth="1"/>
    <col min="4879" max="4879" width="17.5703125" customWidth="1"/>
    <col min="4880" max="4880" width="17.28515625" customWidth="1"/>
    <col min="4881" max="4881" width="17" customWidth="1"/>
    <col min="5125" max="5125" width="8" customWidth="1"/>
    <col min="5126" max="5126" width="70.5703125" bestFit="1" customWidth="1"/>
    <col min="5128" max="5128" width="16.85546875" customWidth="1"/>
    <col min="5129" max="5129" width="16.42578125" customWidth="1"/>
    <col min="5130" max="5130" width="16.28515625" customWidth="1"/>
    <col min="5131" max="5131" width="16.7109375" customWidth="1"/>
    <col min="5132" max="5132" width="17.28515625" customWidth="1"/>
    <col min="5133" max="5133" width="17.5703125" customWidth="1"/>
    <col min="5134" max="5134" width="17.42578125" customWidth="1"/>
    <col min="5135" max="5135" width="17.5703125" customWidth="1"/>
    <col min="5136" max="5136" width="17.28515625" customWidth="1"/>
    <col min="5137" max="5137" width="17" customWidth="1"/>
    <col min="5381" max="5381" width="8" customWidth="1"/>
    <col min="5382" max="5382" width="70.5703125" bestFit="1" customWidth="1"/>
    <col min="5384" max="5384" width="16.85546875" customWidth="1"/>
    <col min="5385" max="5385" width="16.42578125" customWidth="1"/>
    <col min="5386" max="5386" width="16.28515625" customWidth="1"/>
    <col min="5387" max="5387" width="16.7109375" customWidth="1"/>
    <col min="5388" max="5388" width="17.28515625" customWidth="1"/>
    <col min="5389" max="5389" width="17.5703125" customWidth="1"/>
    <col min="5390" max="5390" width="17.42578125" customWidth="1"/>
    <col min="5391" max="5391" width="17.5703125" customWidth="1"/>
    <col min="5392" max="5392" width="17.28515625" customWidth="1"/>
    <col min="5393" max="5393" width="17" customWidth="1"/>
    <col min="5637" max="5637" width="8" customWidth="1"/>
    <col min="5638" max="5638" width="70.5703125" bestFit="1" customWidth="1"/>
    <col min="5640" max="5640" width="16.85546875" customWidth="1"/>
    <col min="5641" max="5641" width="16.42578125" customWidth="1"/>
    <col min="5642" max="5642" width="16.28515625" customWidth="1"/>
    <col min="5643" max="5643" width="16.7109375" customWidth="1"/>
    <col min="5644" max="5644" width="17.28515625" customWidth="1"/>
    <col min="5645" max="5645" width="17.5703125" customWidth="1"/>
    <col min="5646" max="5646" width="17.42578125" customWidth="1"/>
    <col min="5647" max="5647" width="17.5703125" customWidth="1"/>
    <col min="5648" max="5648" width="17.28515625" customWidth="1"/>
    <col min="5649" max="5649" width="17" customWidth="1"/>
    <col min="5893" max="5893" width="8" customWidth="1"/>
    <col min="5894" max="5894" width="70.5703125" bestFit="1" customWidth="1"/>
    <col min="5896" max="5896" width="16.85546875" customWidth="1"/>
    <col min="5897" max="5897" width="16.42578125" customWidth="1"/>
    <col min="5898" max="5898" width="16.28515625" customWidth="1"/>
    <col min="5899" max="5899" width="16.7109375" customWidth="1"/>
    <col min="5900" max="5900" width="17.28515625" customWidth="1"/>
    <col min="5901" max="5901" width="17.5703125" customWidth="1"/>
    <col min="5902" max="5902" width="17.42578125" customWidth="1"/>
    <col min="5903" max="5903" width="17.5703125" customWidth="1"/>
    <col min="5904" max="5904" width="17.28515625" customWidth="1"/>
    <col min="5905" max="5905" width="17" customWidth="1"/>
    <col min="6149" max="6149" width="8" customWidth="1"/>
    <col min="6150" max="6150" width="70.5703125" bestFit="1" customWidth="1"/>
    <col min="6152" max="6152" width="16.85546875" customWidth="1"/>
    <col min="6153" max="6153" width="16.42578125" customWidth="1"/>
    <col min="6154" max="6154" width="16.28515625" customWidth="1"/>
    <col min="6155" max="6155" width="16.7109375" customWidth="1"/>
    <col min="6156" max="6156" width="17.28515625" customWidth="1"/>
    <col min="6157" max="6157" width="17.5703125" customWidth="1"/>
    <col min="6158" max="6158" width="17.42578125" customWidth="1"/>
    <col min="6159" max="6159" width="17.5703125" customWidth="1"/>
    <col min="6160" max="6160" width="17.28515625" customWidth="1"/>
    <col min="6161" max="6161" width="17" customWidth="1"/>
    <col min="6405" max="6405" width="8" customWidth="1"/>
    <col min="6406" max="6406" width="70.5703125" bestFit="1" customWidth="1"/>
    <col min="6408" max="6408" width="16.85546875" customWidth="1"/>
    <col min="6409" max="6409" width="16.42578125" customWidth="1"/>
    <col min="6410" max="6410" width="16.28515625" customWidth="1"/>
    <col min="6411" max="6411" width="16.7109375" customWidth="1"/>
    <col min="6412" max="6412" width="17.28515625" customWidth="1"/>
    <col min="6413" max="6413" width="17.5703125" customWidth="1"/>
    <col min="6414" max="6414" width="17.42578125" customWidth="1"/>
    <col min="6415" max="6415" width="17.5703125" customWidth="1"/>
    <col min="6416" max="6416" width="17.28515625" customWidth="1"/>
    <col min="6417" max="6417" width="17" customWidth="1"/>
    <col min="6661" max="6661" width="8" customWidth="1"/>
    <col min="6662" max="6662" width="70.5703125" bestFit="1" customWidth="1"/>
    <col min="6664" max="6664" width="16.85546875" customWidth="1"/>
    <col min="6665" max="6665" width="16.42578125" customWidth="1"/>
    <col min="6666" max="6666" width="16.28515625" customWidth="1"/>
    <col min="6667" max="6667" width="16.7109375" customWidth="1"/>
    <col min="6668" max="6668" width="17.28515625" customWidth="1"/>
    <col min="6669" max="6669" width="17.5703125" customWidth="1"/>
    <col min="6670" max="6670" width="17.42578125" customWidth="1"/>
    <col min="6671" max="6671" width="17.5703125" customWidth="1"/>
    <col min="6672" max="6672" width="17.28515625" customWidth="1"/>
    <col min="6673" max="6673" width="17" customWidth="1"/>
    <col min="6917" max="6917" width="8" customWidth="1"/>
    <col min="6918" max="6918" width="70.5703125" bestFit="1" customWidth="1"/>
    <col min="6920" max="6920" width="16.85546875" customWidth="1"/>
    <col min="6921" max="6921" width="16.42578125" customWidth="1"/>
    <col min="6922" max="6922" width="16.28515625" customWidth="1"/>
    <col min="6923" max="6923" width="16.7109375" customWidth="1"/>
    <col min="6924" max="6924" width="17.28515625" customWidth="1"/>
    <col min="6925" max="6925" width="17.5703125" customWidth="1"/>
    <col min="6926" max="6926" width="17.42578125" customWidth="1"/>
    <col min="6927" max="6927" width="17.5703125" customWidth="1"/>
    <col min="6928" max="6928" width="17.28515625" customWidth="1"/>
    <col min="6929" max="6929" width="17" customWidth="1"/>
    <col min="7173" max="7173" width="8" customWidth="1"/>
    <col min="7174" max="7174" width="70.5703125" bestFit="1" customWidth="1"/>
    <col min="7176" max="7176" width="16.85546875" customWidth="1"/>
    <col min="7177" max="7177" width="16.42578125" customWidth="1"/>
    <col min="7178" max="7178" width="16.28515625" customWidth="1"/>
    <col min="7179" max="7179" width="16.7109375" customWidth="1"/>
    <col min="7180" max="7180" width="17.28515625" customWidth="1"/>
    <col min="7181" max="7181" width="17.5703125" customWidth="1"/>
    <col min="7182" max="7182" width="17.42578125" customWidth="1"/>
    <col min="7183" max="7183" width="17.5703125" customWidth="1"/>
    <col min="7184" max="7184" width="17.28515625" customWidth="1"/>
    <col min="7185" max="7185" width="17" customWidth="1"/>
    <col min="7429" max="7429" width="8" customWidth="1"/>
    <col min="7430" max="7430" width="70.5703125" bestFit="1" customWidth="1"/>
    <col min="7432" max="7432" width="16.85546875" customWidth="1"/>
    <col min="7433" max="7433" width="16.42578125" customWidth="1"/>
    <col min="7434" max="7434" width="16.28515625" customWidth="1"/>
    <col min="7435" max="7435" width="16.7109375" customWidth="1"/>
    <col min="7436" max="7436" width="17.28515625" customWidth="1"/>
    <col min="7437" max="7437" width="17.5703125" customWidth="1"/>
    <col min="7438" max="7438" width="17.42578125" customWidth="1"/>
    <col min="7439" max="7439" width="17.5703125" customWidth="1"/>
    <col min="7440" max="7440" width="17.28515625" customWidth="1"/>
    <col min="7441" max="7441" width="17" customWidth="1"/>
    <col min="7685" max="7685" width="8" customWidth="1"/>
    <col min="7686" max="7686" width="70.5703125" bestFit="1" customWidth="1"/>
    <col min="7688" max="7688" width="16.85546875" customWidth="1"/>
    <col min="7689" max="7689" width="16.42578125" customWidth="1"/>
    <col min="7690" max="7690" width="16.28515625" customWidth="1"/>
    <col min="7691" max="7691" width="16.7109375" customWidth="1"/>
    <col min="7692" max="7692" width="17.28515625" customWidth="1"/>
    <col min="7693" max="7693" width="17.5703125" customWidth="1"/>
    <col min="7694" max="7694" width="17.42578125" customWidth="1"/>
    <col min="7695" max="7695" width="17.5703125" customWidth="1"/>
    <col min="7696" max="7696" width="17.28515625" customWidth="1"/>
    <col min="7697" max="7697" width="17" customWidth="1"/>
    <col min="7941" max="7941" width="8" customWidth="1"/>
    <col min="7942" max="7942" width="70.5703125" bestFit="1" customWidth="1"/>
    <col min="7944" max="7944" width="16.85546875" customWidth="1"/>
    <col min="7945" max="7945" width="16.42578125" customWidth="1"/>
    <col min="7946" max="7946" width="16.28515625" customWidth="1"/>
    <col min="7947" max="7947" width="16.7109375" customWidth="1"/>
    <col min="7948" max="7948" width="17.28515625" customWidth="1"/>
    <col min="7949" max="7949" width="17.5703125" customWidth="1"/>
    <col min="7950" max="7950" width="17.42578125" customWidth="1"/>
    <col min="7951" max="7951" width="17.5703125" customWidth="1"/>
    <col min="7952" max="7952" width="17.28515625" customWidth="1"/>
    <col min="7953" max="7953" width="17" customWidth="1"/>
    <col min="8197" max="8197" width="8" customWidth="1"/>
    <col min="8198" max="8198" width="70.5703125" bestFit="1" customWidth="1"/>
    <col min="8200" max="8200" width="16.85546875" customWidth="1"/>
    <col min="8201" max="8201" width="16.42578125" customWidth="1"/>
    <col min="8202" max="8202" width="16.28515625" customWidth="1"/>
    <col min="8203" max="8203" width="16.7109375" customWidth="1"/>
    <col min="8204" max="8204" width="17.28515625" customWidth="1"/>
    <col min="8205" max="8205" width="17.5703125" customWidth="1"/>
    <col min="8206" max="8206" width="17.42578125" customWidth="1"/>
    <col min="8207" max="8207" width="17.5703125" customWidth="1"/>
    <col min="8208" max="8208" width="17.28515625" customWidth="1"/>
    <col min="8209" max="8209" width="17" customWidth="1"/>
    <col min="8453" max="8453" width="8" customWidth="1"/>
    <col min="8454" max="8454" width="70.5703125" bestFit="1" customWidth="1"/>
    <col min="8456" max="8456" width="16.85546875" customWidth="1"/>
    <col min="8457" max="8457" width="16.42578125" customWidth="1"/>
    <col min="8458" max="8458" width="16.28515625" customWidth="1"/>
    <col min="8459" max="8459" width="16.7109375" customWidth="1"/>
    <col min="8460" max="8460" width="17.28515625" customWidth="1"/>
    <col min="8461" max="8461" width="17.5703125" customWidth="1"/>
    <col min="8462" max="8462" width="17.42578125" customWidth="1"/>
    <col min="8463" max="8463" width="17.5703125" customWidth="1"/>
    <col min="8464" max="8464" width="17.28515625" customWidth="1"/>
    <col min="8465" max="8465" width="17" customWidth="1"/>
    <col min="8709" max="8709" width="8" customWidth="1"/>
    <col min="8710" max="8710" width="70.5703125" bestFit="1" customWidth="1"/>
    <col min="8712" max="8712" width="16.85546875" customWidth="1"/>
    <col min="8713" max="8713" width="16.42578125" customWidth="1"/>
    <col min="8714" max="8714" width="16.28515625" customWidth="1"/>
    <col min="8715" max="8715" width="16.7109375" customWidth="1"/>
    <col min="8716" max="8716" width="17.28515625" customWidth="1"/>
    <col min="8717" max="8717" width="17.5703125" customWidth="1"/>
    <col min="8718" max="8718" width="17.42578125" customWidth="1"/>
    <col min="8719" max="8719" width="17.5703125" customWidth="1"/>
    <col min="8720" max="8720" width="17.28515625" customWidth="1"/>
    <col min="8721" max="8721" width="17" customWidth="1"/>
    <col min="8965" max="8965" width="8" customWidth="1"/>
    <col min="8966" max="8966" width="70.5703125" bestFit="1" customWidth="1"/>
    <col min="8968" max="8968" width="16.85546875" customWidth="1"/>
    <col min="8969" max="8969" width="16.42578125" customWidth="1"/>
    <col min="8970" max="8970" width="16.28515625" customWidth="1"/>
    <col min="8971" max="8971" width="16.7109375" customWidth="1"/>
    <col min="8972" max="8972" width="17.28515625" customWidth="1"/>
    <col min="8973" max="8973" width="17.5703125" customWidth="1"/>
    <col min="8974" max="8974" width="17.42578125" customWidth="1"/>
    <col min="8975" max="8975" width="17.5703125" customWidth="1"/>
    <col min="8976" max="8976" width="17.28515625" customWidth="1"/>
    <col min="8977" max="8977" width="17" customWidth="1"/>
    <col min="9221" max="9221" width="8" customWidth="1"/>
    <col min="9222" max="9222" width="70.5703125" bestFit="1" customWidth="1"/>
    <col min="9224" max="9224" width="16.85546875" customWidth="1"/>
    <col min="9225" max="9225" width="16.42578125" customWidth="1"/>
    <col min="9226" max="9226" width="16.28515625" customWidth="1"/>
    <col min="9227" max="9227" width="16.7109375" customWidth="1"/>
    <col min="9228" max="9228" width="17.28515625" customWidth="1"/>
    <col min="9229" max="9229" width="17.5703125" customWidth="1"/>
    <col min="9230" max="9230" width="17.42578125" customWidth="1"/>
    <col min="9231" max="9231" width="17.5703125" customWidth="1"/>
    <col min="9232" max="9232" width="17.28515625" customWidth="1"/>
    <col min="9233" max="9233" width="17" customWidth="1"/>
    <col min="9477" max="9477" width="8" customWidth="1"/>
    <col min="9478" max="9478" width="70.5703125" bestFit="1" customWidth="1"/>
    <col min="9480" max="9480" width="16.85546875" customWidth="1"/>
    <col min="9481" max="9481" width="16.42578125" customWidth="1"/>
    <col min="9482" max="9482" width="16.28515625" customWidth="1"/>
    <col min="9483" max="9483" width="16.7109375" customWidth="1"/>
    <col min="9484" max="9484" width="17.28515625" customWidth="1"/>
    <col min="9485" max="9485" width="17.5703125" customWidth="1"/>
    <col min="9486" max="9486" width="17.42578125" customWidth="1"/>
    <col min="9487" max="9487" width="17.5703125" customWidth="1"/>
    <col min="9488" max="9488" width="17.28515625" customWidth="1"/>
    <col min="9489" max="9489" width="17" customWidth="1"/>
    <col min="9733" max="9733" width="8" customWidth="1"/>
    <col min="9734" max="9734" width="70.5703125" bestFit="1" customWidth="1"/>
    <col min="9736" max="9736" width="16.85546875" customWidth="1"/>
    <col min="9737" max="9737" width="16.42578125" customWidth="1"/>
    <col min="9738" max="9738" width="16.28515625" customWidth="1"/>
    <col min="9739" max="9739" width="16.7109375" customWidth="1"/>
    <col min="9740" max="9740" width="17.28515625" customWidth="1"/>
    <col min="9741" max="9741" width="17.5703125" customWidth="1"/>
    <col min="9742" max="9742" width="17.42578125" customWidth="1"/>
    <col min="9743" max="9743" width="17.5703125" customWidth="1"/>
    <col min="9744" max="9744" width="17.28515625" customWidth="1"/>
    <col min="9745" max="9745" width="17" customWidth="1"/>
    <col min="9989" max="9989" width="8" customWidth="1"/>
    <col min="9990" max="9990" width="70.5703125" bestFit="1" customWidth="1"/>
    <col min="9992" max="9992" width="16.85546875" customWidth="1"/>
    <col min="9993" max="9993" width="16.42578125" customWidth="1"/>
    <col min="9994" max="9994" width="16.28515625" customWidth="1"/>
    <col min="9995" max="9995" width="16.7109375" customWidth="1"/>
    <col min="9996" max="9996" width="17.28515625" customWidth="1"/>
    <col min="9997" max="9997" width="17.5703125" customWidth="1"/>
    <col min="9998" max="9998" width="17.42578125" customWidth="1"/>
    <col min="9999" max="9999" width="17.5703125" customWidth="1"/>
    <col min="10000" max="10000" width="17.28515625" customWidth="1"/>
    <col min="10001" max="10001" width="17" customWidth="1"/>
    <col min="10245" max="10245" width="8" customWidth="1"/>
    <col min="10246" max="10246" width="70.5703125" bestFit="1" customWidth="1"/>
    <col min="10248" max="10248" width="16.85546875" customWidth="1"/>
    <col min="10249" max="10249" width="16.42578125" customWidth="1"/>
    <col min="10250" max="10250" width="16.28515625" customWidth="1"/>
    <col min="10251" max="10251" width="16.7109375" customWidth="1"/>
    <col min="10252" max="10252" width="17.28515625" customWidth="1"/>
    <col min="10253" max="10253" width="17.5703125" customWidth="1"/>
    <col min="10254" max="10254" width="17.42578125" customWidth="1"/>
    <col min="10255" max="10255" width="17.5703125" customWidth="1"/>
    <col min="10256" max="10256" width="17.28515625" customWidth="1"/>
    <col min="10257" max="10257" width="17" customWidth="1"/>
    <col min="10501" max="10501" width="8" customWidth="1"/>
    <col min="10502" max="10502" width="70.5703125" bestFit="1" customWidth="1"/>
    <col min="10504" max="10504" width="16.85546875" customWidth="1"/>
    <col min="10505" max="10505" width="16.42578125" customWidth="1"/>
    <col min="10506" max="10506" width="16.28515625" customWidth="1"/>
    <col min="10507" max="10507" width="16.7109375" customWidth="1"/>
    <col min="10508" max="10508" width="17.28515625" customWidth="1"/>
    <col min="10509" max="10509" width="17.5703125" customWidth="1"/>
    <col min="10510" max="10510" width="17.42578125" customWidth="1"/>
    <col min="10511" max="10511" width="17.5703125" customWidth="1"/>
    <col min="10512" max="10512" width="17.28515625" customWidth="1"/>
    <col min="10513" max="10513" width="17" customWidth="1"/>
    <col min="10757" max="10757" width="8" customWidth="1"/>
    <col min="10758" max="10758" width="70.5703125" bestFit="1" customWidth="1"/>
    <col min="10760" max="10760" width="16.85546875" customWidth="1"/>
    <col min="10761" max="10761" width="16.42578125" customWidth="1"/>
    <col min="10762" max="10762" width="16.28515625" customWidth="1"/>
    <col min="10763" max="10763" width="16.7109375" customWidth="1"/>
    <col min="10764" max="10764" width="17.28515625" customWidth="1"/>
    <col min="10765" max="10765" width="17.5703125" customWidth="1"/>
    <col min="10766" max="10766" width="17.42578125" customWidth="1"/>
    <col min="10767" max="10767" width="17.5703125" customWidth="1"/>
    <col min="10768" max="10768" width="17.28515625" customWidth="1"/>
    <col min="10769" max="10769" width="17" customWidth="1"/>
    <col min="11013" max="11013" width="8" customWidth="1"/>
    <col min="11014" max="11014" width="70.5703125" bestFit="1" customWidth="1"/>
    <col min="11016" max="11016" width="16.85546875" customWidth="1"/>
    <col min="11017" max="11017" width="16.42578125" customWidth="1"/>
    <col min="11018" max="11018" width="16.28515625" customWidth="1"/>
    <col min="11019" max="11019" width="16.7109375" customWidth="1"/>
    <col min="11020" max="11020" width="17.28515625" customWidth="1"/>
    <col min="11021" max="11021" width="17.5703125" customWidth="1"/>
    <col min="11022" max="11022" width="17.42578125" customWidth="1"/>
    <col min="11023" max="11023" width="17.5703125" customWidth="1"/>
    <col min="11024" max="11024" width="17.28515625" customWidth="1"/>
    <col min="11025" max="11025" width="17" customWidth="1"/>
    <col min="11269" max="11269" width="8" customWidth="1"/>
    <col min="11270" max="11270" width="70.5703125" bestFit="1" customWidth="1"/>
    <col min="11272" max="11272" width="16.85546875" customWidth="1"/>
    <col min="11273" max="11273" width="16.42578125" customWidth="1"/>
    <col min="11274" max="11274" width="16.28515625" customWidth="1"/>
    <col min="11275" max="11275" width="16.7109375" customWidth="1"/>
    <col min="11276" max="11276" width="17.28515625" customWidth="1"/>
    <col min="11277" max="11277" width="17.5703125" customWidth="1"/>
    <col min="11278" max="11278" width="17.42578125" customWidth="1"/>
    <col min="11279" max="11279" width="17.5703125" customWidth="1"/>
    <col min="11280" max="11280" width="17.28515625" customWidth="1"/>
    <col min="11281" max="11281" width="17" customWidth="1"/>
    <col min="11525" max="11525" width="8" customWidth="1"/>
    <col min="11526" max="11526" width="70.5703125" bestFit="1" customWidth="1"/>
    <col min="11528" max="11528" width="16.85546875" customWidth="1"/>
    <col min="11529" max="11529" width="16.42578125" customWidth="1"/>
    <col min="11530" max="11530" width="16.28515625" customWidth="1"/>
    <col min="11531" max="11531" width="16.7109375" customWidth="1"/>
    <col min="11532" max="11532" width="17.28515625" customWidth="1"/>
    <col min="11533" max="11533" width="17.5703125" customWidth="1"/>
    <col min="11534" max="11534" width="17.42578125" customWidth="1"/>
    <col min="11535" max="11535" width="17.5703125" customWidth="1"/>
    <col min="11536" max="11536" width="17.28515625" customWidth="1"/>
    <col min="11537" max="11537" width="17" customWidth="1"/>
    <col min="11781" max="11781" width="8" customWidth="1"/>
    <col min="11782" max="11782" width="70.5703125" bestFit="1" customWidth="1"/>
    <col min="11784" max="11784" width="16.85546875" customWidth="1"/>
    <col min="11785" max="11785" width="16.42578125" customWidth="1"/>
    <col min="11786" max="11786" width="16.28515625" customWidth="1"/>
    <col min="11787" max="11787" width="16.7109375" customWidth="1"/>
    <col min="11788" max="11788" width="17.28515625" customWidth="1"/>
    <col min="11789" max="11789" width="17.5703125" customWidth="1"/>
    <col min="11790" max="11790" width="17.42578125" customWidth="1"/>
    <col min="11791" max="11791" width="17.5703125" customWidth="1"/>
    <col min="11792" max="11792" width="17.28515625" customWidth="1"/>
    <col min="11793" max="11793" width="17" customWidth="1"/>
    <col min="12037" max="12037" width="8" customWidth="1"/>
    <col min="12038" max="12038" width="70.5703125" bestFit="1" customWidth="1"/>
    <col min="12040" max="12040" width="16.85546875" customWidth="1"/>
    <col min="12041" max="12041" width="16.42578125" customWidth="1"/>
    <col min="12042" max="12042" width="16.28515625" customWidth="1"/>
    <col min="12043" max="12043" width="16.7109375" customWidth="1"/>
    <col min="12044" max="12044" width="17.28515625" customWidth="1"/>
    <col min="12045" max="12045" width="17.5703125" customWidth="1"/>
    <col min="12046" max="12046" width="17.42578125" customWidth="1"/>
    <col min="12047" max="12047" width="17.5703125" customWidth="1"/>
    <col min="12048" max="12048" width="17.28515625" customWidth="1"/>
    <col min="12049" max="12049" width="17" customWidth="1"/>
    <col min="12293" max="12293" width="8" customWidth="1"/>
    <col min="12294" max="12294" width="70.5703125" bestFit="1" customWidth="1"/>
    <col min="12296" max="12296" width="16.85546875" customWidth="1"/>
    <col min="12297" max="12297" width="16.42578125" customWidth="1"/>
    <col min="12298" max="12298" width="16.28515625" customWidth="1"/>
    <col min="12299" max="12299" width="16.7109375" customWidth="1"/>
    <col min="12300" max="12300" width="17.28515625" customWidth="1"/>
    <col min="12301" max="12301" width="17.5703125" customWidth="1"/>
    <col min="12302" max="12302" width="17.42578125" customWidth="1"/>
    <col min="12303" max="12303" width="17.5703125" customWidth="1"/>
    <col min="12304" max="12304" width="17.28515625" customWidth="1"/>
    <col min="12305" max="12305" width="17" customWidth="1"/>
    <col min="12549" max="12549" width="8" customWidth="1"/>
    <col min="12550" max="12550" width="70.5703125" bestFit="1" customWidth="1"/>
    <col min="12552" max="12552" width="16.85546875" customWidth="1"/>
    <col min="12553" max="12553" width="16.42578125" customWidth="1"/>
    <col min="12554" max="12554" width="16.28515625" customWidth="1"/>
    <col min="12555" max="12555" width="16.7109375" customWidth="1"/>
    <col min="12556" max="12556" width="17.28515625" customWidth="1"/>
    <col min="12557" max="12557" width="17.5703125" customWidth="1"/>
    <col min="12558" max="12558" width="17.42578125" customWidth="1"/>
    <col min="12559" max="12559" width="17.5703125" customWidth="1"/>
    <col min="12560" max="12560" width="17.28515625" customWidth="1"/>
    <col min="12561" max="12561" width="17" customWidth="1"/>
    <col min="12805" max="12805" width="8" customWidth="1"/>
    <col min="12806" max="12806" width="70.5703125" bestFit="1" customWidth="1"/>
    <col min="12808" max="12808" width="16.85546875" customWidth="1"/>
    <col min="12809" max="12809" width="16.42578125" customWidth="1"/>
    <col min="12810" max="12810" width="16.28515625" customWidth="1"/>
    <col min="12811" max="12811" width="16.7109375" customWidth="1"/>
    <col min="12812" max="12812" width="17.28515625" customWidth="1"/>
    <col min="12813" max="12813" width="17.5703125" customWidth="1"/>
    <col min="12814" max="12814" width="17.42578125" customWidth="1"/>
    <col min="12815" max="12815" width="17.5703125" customWidth="1"/>
    <col min="12816" max="12816" width="17.28515625" customWidth="1"/>
    <col min="12817" max="12817" width="17" customWidth="1"/>
    <col min="13061" max="13061" width="8" customWidth="1"/>
    <col min="13062" max="13062" width="70.5703125" bestFit="1" customWidth="1"/>
    <col min="13064" max="13064" width="16.85546875" customWidth="1"/>
    <col min="13065" max="13065" width="16.42578125" customWidth="1"/>
    <col min="13066" max="13066" width="16.28515625" customWidth="1"/>
    <col min="13067" max="13067" width="16.7109375" customWidth="1"/>
    <col min="13068" max="13068" width="17.28515625" customWidth="1"/>
    <col min="13069" max="13069" width="17.5703125" customWidth="1"/>
    <col min="13070" max="13070" width="17.42578125" customWidth="1"/>
    <col min="13071" max="13071" width="17.5703125" customWidth="1"/>
    <col min="13072" max="13072" width="17.28515625" customWidth="1"/>
    <col min="13073" max="13073" width="17" customWidth="1"/>
    <col min="13317" max="13317" width="8" customWidth="1"/>
    <col min="13318" max="13318" width="70.5703125" bestFit="1" customWidth="1"/>
    <col min="13320" max="13320" width="16.85546875" customWidth="1"/>
    <col min="13321" max="13321" width="16.42578125" customWidth="1"/>
    <col min="13322" max="13322" width="16.28515625" customWidth="1"/>
    <col min="13323" max="13323" width="16.7109375" customWidth="1"/>
    <col min="13324" max="13324" width="17.28515625" customWidth="1"/>
    <col min="13325" max="13325" width="17.5703125" customWidth="1"/>
    <col min="13326" max="13326" width="17.42578125" customWidth="1"/>
    <col min="13327" max="13327" width="17.5703125" customWidth="1"/>
    <col min="13328" max="13328" width="17.28515625" customWidth="1"/>
    <col min="13329" max="13329" width="17" customWidth="1"/>
    <col min="13573" max="13573" width="8" customWidth="1"/>
    <col min="13574" max="13574" width="70.5703125" bestFit="1" customWidth="1"/>
    <col min="13576" max="13576" width="16.85546875" customWidth="1"/>
    <col min="13577" max="13577" width="16.42578125" customWidth="1"/>
    <col min="13578" max="13578" width="16.28515625" customWidth="1"/>
    <col min="13579" max="13579" width="16.7109375" customWidth="1"/>
    <col min="13580" max="13580" width="17.28515625" customWidth="1"/>
    <col min="13581" max="13581" width="17.5703125" customWidth="1"/>
    <col min="13582" max="13582" width="17.42578125" customWidth="1"/>
    <col min="13583" max="13583" width="17.5703125" customWidth="1"/>
    <col min="13584" max="13584" width="17.28515625" customWidth="1"/>
    <col min="13585" max="13585" width="17" customWidth="1"/>
    <col min="13829" max="13829" width="8" customWidth="1"/>
    <col min="13830" max="13830" width="70.5703125" bestFit="1" customWidth="1"/>
    <col min="13832" max="13832" width="16.85546875" customWidth="1"/>
    <col min="13833" max="13833" width="16.42578125" customWidth="1"/>
    <col min="13834" max="13834" width="16.28515625" customWidth="1"/>
    <col min="13835" max="13835" width="16.7109375" customWidth="1"/>
    <col min="13836" max="13836" width="17.28515625" customWidth="1"/>
    <col min="13837" max="13837" width="17.5703125" customWidth="1"/>
    <col min="13838" max="13838" width="17.42578125" customWidth="1"/>
    <col min="13839" max="13839" width="17.5703125" customWidth="1"/>
    <col min="13840" max="13840" width="17.28515625" customWidth="1"/>
    <col min="13841" max="13841" width="17" customWidth="1"/>
    <col min="14085" max="14085" width="8" customWidth="1"/>
    <col min="14086" max="14086" width="70.5703125" bestFit="1" customWidth="1"/>
    <col min="14088" max="14088" width="16.85546875" customWidth="1"/>
    <col min="14089" max="14089" width="16.42578125" customWidth="1"/>
    <col min="14090" max="14090" width="16.28515625" customWidth="1"/>
    <col min="14091" max="14091" width="16.7109375" customWidth="1"/>
    <col min="14092" max="14092" width="17.28515625" customWidth="1"/>
    <col min="14093" max="14093" width="17.5703125" customWidth="1"/>
    <col min="14094" max="14094" width="17.42578125" customWidth="1"/>
    <col min="14095" max="14095" width="17.5703125" customWidth="1"/>
    <col min="14096" max="14096" width="17.28515625" customWidth="1"/>
    <col min="14097" max="14097" width="17" customWidth="1"/>
    <col min="14341" max="14341" width="8" customWidth="1"/>
    <col min="14342" max="14342" width="70.5703125" bestFit="1" customWidth="1"/>
    <col min="14344" max="14344" width="16.85546875" customWidth="1"/>
    <col min="14345" max="14345" width="16.42578125" customWidth="1"/>
    <col min="14346" max="14346" width="16.28515625" customWidth="1"/>
    <col min="14347" max="14347" width="16.7109375" customWidth="1"/>
    <col min="14348" max="14348" width="17.28515625" customWidth="1"/>
    <col min="14349" max="14349" width="17.5703125" customWidth="1"/>
    <col min="14350" max="14350" width="17.42578125" customWidth="1"/>
    <col min="14351" max="14351" width="17.5703125" customWidth="1"/>
    <col min="14352" max="14352" width="17.28515625" customWidth="1"/>
    <col min="14353" max="14353" width="17" customWidth="1"/>
    <col min="14597" max="14597" width="8" customWidth="1"/>
    <col min="14598" max="14598" width="70.5703125" bestFit="1" customWidth="1"/>
    <col min="14600" max="14600" width="16.85546875" customWidth="1"/>
    <col min="14601" max="14601" width="16.42578125" customWidth="1"/>
    <col min="14602" max="14602" width="16.28515625" customWidth="1"/>
    <col min="14603" max="14603" width="16.7109375" customWidth="1"/>
    <col min="14604" max="14604" width="17.28515625" customWidth="1"/>
    <col min="14605" max="14605" width="17.5703125" customWidth="1"/>
    <col min="14606" max="14606" width="17.42578125" customWidth="1"/>
    <col min="14607" max="14607" width="17.5703125" customWidth="1"/>
    <col min="14608" max="14608" width="17.28515625" customWidth="1"/>
    <col min="14609" max="14609" width="17" customWidth="1"/>
    <col min="14853" max="14853" width="8" customWidth="1"/>
    <col min="14854" max="14854" width="70.5703125" bestFit="1" customWidth="1"/>
    <col min="14856" max="14856" width="16.85546875" customWidth="1"/>
    <col min="14857" max="14857" width="16.42578125" customWidth="1"/>
    <col min="14858" max="14858" width="16.28515625" customWidth="1"/>
    <col min="14859" max="14859" width="16.7109375" customWidth="1"/>
    <col min="14860" max="14860" width="17.28515625" customWidth="1"/>
    <col min="14861" max="14861" width="17.5703125" customWidth="1"/>
    <col min="14862" max="14862" width="17.42578125" customWidth="1"/>
    <col min="14863" max="14863" width="17.5703125" customWidth="1"/>
    <col min="14864" max="14864" width="17.28515625" customWidth="1"/>
    <col min="14865" max="14865" width="17" customWidth="1"/>
    <col min="15109" max="15109" width="8" customWidth="1"/>
    <col min="15110" max="15110" width="70.5703125" bestFit="1" customWidth="1"/>
    <col min="15112" max="15112" width="16.85546875" customWidth="1"/>
    <col min="15113" max="15113" width="16.42578125" customWidth="1"/>
    <col min="15114" max="15114" width="16.28515625" customWidth="1"/>
    <col min="15115" max="15115" width="16.7109375" customWidth="1"/>
    <col min="15116" max="15116" width="17.28515625" customWidth="1"/>
    <col min="15117" max="15117" width="17.5703125" customWidth="1"/>
    <col min="15118" max="15118" width="17.42578125" customWidth="1"/>
    <col min="15119" max="15119" width="17.5703125" customWidth="1"/>
    <col min="15120" max="15120" width="17.28515625" customWidth="1"/>
    <col min="15121" max="15121" width="17" customWidth="1"/>
    <col min="15365" max="15365" width="8" customWidth="1"/>
    <col min="15366" max="15366" width="70.5703125" bestFit="1" customWidth="1"/>
    <col min="15368" max="15368" width="16.85546875" customWidth="1"/>
    <col min="15369" max="15369" width="16.42578125" customWidth="1"/>
    <col min="15370" max="15370" width="16.28515625" customWidth="1"/>
    <col min="15371" max="15371" width="16.7109375" customWidth="1"/>
    <col min="15372" max="15372" width="17.28515625" customWidth="1"/>
    <col min="15373" max="15373" width="17.5703125" customWidth="1"/>
    <col min="15374" max="15374" width="17.42578125" customWidth="1"/>
    <col min="15375" max="15375" width="17.5703125" customWidth="1"/>
    <col min="15376" max="15376" width="17.28515625" customWidth="1"/>
    <col min="15377" max="15377" width="17" customWidth="1"/>
    <col min="15621" max="15621" width="8" customWidth="1"/>
    <col min="15622" max="15622" width="70.5703125" bestFit="1" customWidth="1"/>
    <col min="15624" max="15624" width="16.85546875" customWidth="1"/>
    <col min="15625" max="15625" width="16.42578125" customWidth="1"/>
    <col min="15626" max="15626" width="16.28515625" customWidth="1"/>
    <col min="15627" max="15627" width="16.7109375" customWidth="1"/>
    <col min="15628" max="15628" width="17.28515625" customWidth="1"/>
    <col min="15629" max="15629" width="17.5703125" customWidth="1"/>
    <col min="15630" max="15630" width="17.42578125" customWidth="1"/>
    <col min="15631" max="15631" width="17.5703125" customWidth="1"/>
    <col min="15632" max="15632" width="17.28515625" customWidth="1"/>
    <col min="15633" max="15633" width="17" customWidth="1"/>
    <col min="15877" max="15877" width="8" customWidth="1"/>
    <col min="15878" max="15878" width="70.5703125" bestFit="1" customWidth="1"/>
    <col min="15880" max="15880" width="16.85546875" customWidth="1"/>
    <col min="15881" max="15881" width="16.42578125" customWidth="1"/>
    <col min="15882" max="15882" width="16.28515625" customWidth="1"/>
    <col min="15883" max="15883" width="16.7109375" customWidth="1"/>
    <col min="15884" max="15884" width="17.28515625" customWidth="1"/>
    <col min="15885" max="15885" width="17.5703125" customWidth="1"/>
    <col min="15886" max="15886" width="17.42578125" customWidth="1"/>
    <col min="15887" max="15887" width="17.5703125" customWidth="1"/>
    <col min="15888" max="15888" width="17.28515625" customWidth="1"/>
    <col min="15889" max="15889" width="17" customWidth="1"/>
    <col min="16133" max="16133" width="8" customWidth="1"/>
    <col min="16134" max="16134" width="70.5703125" bestFit="1" customWidth="1"/>
    <col min="16136" max="16136" width="16.85546875" customWidth="1"/>
    <col min="16137" max="16137" width="16.42578125" customWidth="1"/>
    <col min="16138" max="16138" width="16.28515625" customWidth="1"/>
    <col min="16139" max="16139" width="16.7109375" customWidth="1"/>
    <col min="16140" max="16140" width="17.28515625" customWidth="1"/>
    <col min="16141" max="16141" width="17.5703125" customWidth="1"/>
    <col min="16142" max="16142" width="17.42578125" customWidth="1"/>
    <col min="16143" max="16143" width="17.5703125" customWidth="1"/>
    <col min="16144" max="16144" width="17.28515625" customWidth="1"/>
    <col min="16145" max="16145" width="17" customWidth="1"/>
  </cols>
  <sheetData>
    <row r="1" spans="1:18" x14ac:dyDescent="0.2">
      <c r="A1" s="626"/>
      <c r="B1" s="626"/>
      <c r="C1" s="627"/>
      <c r="D1" s="628"/>
      <c r="E1" s="628"/>
      <c r="F1" s="628"/>
      <c r="G1" s="628"/>
      <c r="H1" s="657" t="s">
        <v>0</v>
      </c>
      <c r="I1" s="657"/>
      <c r="J1" s="657"/>
      <c r="K1" s="657"/>
      <c r="L1" s="657"/>
      <c r="M1" s="628"/>
      <c r="N1" s="628"/>
      <c r="O1" s="628"/>
      <c r="P1" s="657"/>
      <c r="Q1" s="657" t="s">
        <v>0</v>
      </c>
    </row>
    <row r="2" spans="1:18" ht="21" customHeight="1" x14ac:dyDescent="0.2">
      <c r="A2" s="961" t="s">
        <v>1249</v>
      </c>
      <c r="B2" s="962"/>
      <c r="C2" s="963"/>
      <c r="D2" s="958" t="s">
        <v>1424</v>
      </c>
      <c r="E2" s="959"/>
      <c r="F2" s="959"/>
      <c r="G2" s="959"/>
      <c r="H2" s="960"/>
      <c r="I2" s="796"/>
      <c r="J2" s="958" t="s">
        <v>1424</v>
      </c>
      <c r="K2" s="959"/>
      <c r="L2" s="959"/>
      <c r="M2" s="959"/>
      <c r="N2" s="959"/>
      <c r="O2" s="959"/>
      <c r="P2" s="959"/>
      <c r="Q2" s="959"/>
      <c r="R2" s="960"/>
    </row>
    <row r="3" spans="1:18" ht="42.75" customHeight="1" x14ac:dyDescent="0.2">
      <c r="A3" s="964"/>
      <c r="B3" s="965"/>
      <c r="C3" s="966"/>
      <c r="D3" s="794" t="s">
        <v>6</v>
      </c>
      <c r="E3" s="794" t="s">
        <v>7</v>
      </c>
      <c r="F3" s="797" t="s">
        <v>788</v>
      </c>
      <c r="G3" s="797" t="s">
        <v>6</v>
      </c>
      <c r="H3" s="797" t="s">
        <v>7</v>
      </c>
      <c r="I3" s="797" t="s">
        <v>788</v>
      </c>
      <c r="J3" s="797" t="s">
        <v>6</v>
      </c>
      <c r="K3" s="797" t="s">
        <v>7</v>
      </c>
      <c r="L3" s="797" t="s">
        <v>788</v>
      </c>
      <c r="M3" s="797" t="s">
        <v>6</v>
      </c>
      <c r="N3" s="797" t="s">
        <v>7</v>
      </c>
      <c r="O3" s="797" t="s">
        <v>788</v>
      </c>
      <c r="P3" s="797" t="s">
        <v>6</v>
      </c>
      <c r="Q3" s="797" t="s">
        <v>7</v>
      </c>
      <c r="R3" s="797" t="s">
        <v>788</v>
      </c>
    </row>
    <row r="4" spans="1:18" ht="102" customHeight="1" x14ac:dyDescent="0.2">
      <c r="A4" s="979" t="s">
        <v>3</v>
      </c>
      <c r="B4" s="980" t="s">
        <v>4</v>
      </c>
      <c r="C4" s="980"/>
      <c r="D4" s="955" t="s">
        <v>1152</v>
      </c>
      <c r="E4" s="956"/>
      <c r="F4" s="957"/>
      <c r="G4" s="955" t="s">
        <v>1379</v>
      </c>
      <c r="H4" s="956"/>
      <c r="I4" s="957"/>
      <c r="J4" s="955" t="s">
        <v>1379</v>
      </c>
      <c r="K4" s="956"/>
      <c r="L4" s="957"/>
      <c r="M4" s="955" t="s">
        <v>1465</v>
      </c>
      <c r="N4" s="956"/>
      <c r="O4" s="957"/>
      <c r="P4" s="946" t="s">
        <v>1258</v>
      </c>
      <c r="Q4" s="947"/>
      <c r="R4" s="948"/>
    </row>
    <row r="5" spans="1:18" ht="20.25" customHeight="1" x14ac:dyDescent="0.2">
      <c r="A5" s="979"/>
      <c r="B5" s="980" t="s">
        <v>5</v>
      </c>
      <c r="C5" s="980"/>
      <c r="D5" s="955" t="s">
        <v>11</v>
      </c>
      <c r="E5" s="956"/>
      <c r="F5" s="957"/>
      <c r="G5" s="955" t="s">
        <v>11</v>
      </c>
      <c r="H5" s="956"/>
      <c r="I5" s="957"/>
      <c r="J5" s="955" t="s">
        <v>11</v>
      </c>
      <c r="K5" s="956"/>
      <c r="L5" s="957"/>
      <c r="M5" s="958" t="s">
        <v>11</v>
      </c>
      <c r="N5" s="959"/>
      <c r="O5" s="960"/>
      <c r="P5" s="949"/>
      <c r="Q5" s="950"/>
      <c r="R5" s="951"/>
    </row>
    <row r="6" spans="1:18" ht="23.25" customHeight="1" x14ac:dyDescent="0.2">
      <c r="A6" s="979"/>
      <c r="B6" s="980" t="s">
        <v>8</v>
      </c>
      <c r="C6" s="980"/>
      <c r="D6" s="940" t="s">
        <v>1466</v>
      </c>
      <c r="E6" s="941"/>
      <c r="F6" s="942"/>
      <c r="G6" s="940" t="s">
        <v>1467</v>
      </c>
      <c r="H6" s="941" t="s">
        <v>1425</v>
      </c>
      <c r="I6" s="942"/>
      <c r="J6" s="940" t="s">
        <v>1468</v>
      </c>
      <c r="K6" s="941" t="s">
        <v>1426</v>
      </c>
      <c r="L6" s="942"/>
      <c r="M6" s="940" t="s">
        <v>1469</v>
      </c>
      <c r="N6" s="941" t="s">
        <v>1267</v>
      </c>
      <c r="O6" s="942"/>
      <c r="P6" s="949"/>
      <c r="Q6" s="950"/>
      <c r="R6" s="951"/>
    </row>
    <row r="7" spans="1:18" ht="71.25" customHeight="1" x14ac:dyDescent="0.2">
      <c r="A7" s="979"/>
      <c r="B7" s="793" t="s">
        <v>9</v>
      </c>
      <c r="C7" s="636" t="s">
        <v>10</v>
      </c>
      <c r="D7" s="943"/>
      <c r="E7" s="944"/>
      <c r="F7" s="945"/>
      <c r="G7" s="943"/>
      <c r="H7" s="944"/>
      <c r="I7" s="945"/>
      <c r="J7" s="943"/>
      <c r="K7" s="944"/>
      <c r="L7" s="945"/>
      <c r="M7" s="943"/>
      <c r="N7" s="944"/>
      <c r="O7" s="945"/>
      <c r="P7" s="952"/>
      <c r="Q7" s="953"/>
      <c r="R7" s="954"/>
    </row>
    <row r="8" spans="1:18" ht="15.75" x14ac:dyDescent="0.2">
      <c r="A8" s="637" t="s">
        <v>15</v>
      </c>
      <c r="B8" s="638" t="s">
        <v>16</v>
      </c>
      <c r="C8" s="638" t="s">
        <v>17</v>
      </c>
      <c r="D8" s="976" t="s">
        <v>18</v>
      </c>
      <c r="E8" s="977"/>
      <c r="F8" s="978"/>
      <c r="G8" s="976" t="s">
        <v>19</v>
      </c>
      <c r="H8" s="977"/>
      <c r="I8" s="978"/>
      <c r="J8" s="976" t="s">
        <v>20</v>
      </c>
      <c r="K8" s="977"/>
      <c r="L8" s="978"/>
      <c r="M8" s="976" t="s">
        <v>21</v>
      </c>
      <c r="N8" s="977"/>
      <c r="O8" s="978"/>
      <c r="P8" s="976" t="s">
        <v>22</v>
      </c>
      <c r="Q8" s="977"/>
      <c r="R8" s="978"/>
    </row>
    <row r="9" spans="1:18" ht="20.25" customHeight="1" x14ac:dyDescent="0.25">
      <c r="A9" s="639" t="s">
        <v>15</v>
      </c>
      <c r="B9" s="640" t="s">
        <v>23</v>
      </c>
      <c r="C9" s="641" t="s">
        <v>24</v>
      </c>
      <c r="D9" s="643"/>
      <c r="E9" s="643">
        <f>D9</f>
        <v>0</v>
      </c>
      <c r="F9" s="643"/>
      <c r="G9" s="643"/>
      <c r="H9" s="643">
        <v>37536642</v>
      </c>
      <c r="I9" s="643">
        <v>36033682</v>
      </c>
      <c r="J9" s="643"/>
      <c r="K9" s="643">
        <v>18785015</v>
      </c>
      <c r="L9" s="643">
        <v>16918287</v>
      </c>
      <c r="M9" s="643"/>
      <c r="N9" s="643"/>
      <c r="O9" s="643"/>
      <c r="P9" s="643">
        <f>D9+G9+J9+M9</f>
        <v>0</v>
      </c>
      <c r="Q9" s="643">
        <v>56321657</v>
      </c>
      <c r="R9" s="643">
        <f>F9+I9+L9+O9</f>
        <v>52951969</v>
      </c>
    </row>
    <row r="10" spans="1:18" ht="20.25" customHeight="1" x14ac:dyDescent="0.25">
      <c r="A10" s="639" t="s">
        <v>16</v>
      </c>
      <c r="B10" s="645" t="s">
        <v>25</v>
      </c>
      <c r="C10" s="641" t="s">
        <v>26</v>
      </c>
      <c r="D10" s="643"/>
      <c r="E10" s="643">
        <f>D10</f>
        <v>0</v>
      </c>
      <c r="F10" s="643"/>
      <c r="G10" s="643"/>
      <c r="H10" s="643">
        <v>10266275</v>
      </c>
      <c r="I10" s="643">
        <v>8718810</v>
      </c>
      <c r="J10" s="643"/>
      <c r="K10" s="643">
        <v>4394203</v>
      </c>
      <c r="L10" s="643">
        <v>3745454</v>
      </c>
      <c r="M10" s="643"/>
      <c r="N10" s="643"/>
      <c r="O10" s="643"/>
      <c r="P10" s="643">
        <f t="shared" ref="P10:P49" si="0">D10+G10+J10+M10</f>
        <v>0</v>
      </c>
      <c r="Q10" s="643">
        <v>14660478</v>
      </c>
      <c r="R10" s="643">
        <f t="shared" ref="R10:R49" si="1">F10+I10+L10+O10</f>
        <v>12464264</v>
      </c>
    </row>
    <row r="11" spans="1:18" ht="20.25" customHeight="1" x14ac:dyDescent="0.25">
      <c r="A11" s="639" t="s">
        <v>17</v>
      </c>
      <c r="B11" s="645" t="s">
        <v>27</v>
      </c>
      <c r="C11" s="641" t="s">
        <v>28</v>
      </c>
      <c r="D11" s="643"/>
      <c r="E11" s="643">
        <f>D11</f>
        <v>0</v>
      </c>
      <c r="F11" s="643"/>
      <c r="G11" s="643"/>
      <c r="H11" s="643">
        <v>12155536</v>
      </c>
      <c r="I11" s="643">
        <v>5096613</v>
      </c>
      <c r="J11" s="643"/>
      <c r="K11" s="643">
        <v>5850109</v>
      </c>
      <c r="L11" s="643">
        <v>3285476</v>
      </c>
      <c r="M11" s="643"/>
      <c r="N11" s="643"/>
      <c r="O11" s="643"/>
      <c r="P11" s="643">
        <f t="shared" si="0"/>
        <v>0</v>
      </c>
      <c r="Q11" s="643">
        <v>18005645</v>
      </c>
      <c r="R11" s="643">
        <f t="shared" si="1"/>
        <v>8382089</v>
      </c>
    </row>
    <row r="12" spans="1:18" ht="20.25" customHeight="1" x14ac:dyDescent="0.25">
      <c r="A12" s="639" t="s">
        <v>18</v>
      </c>
      <c r="B12" s="646" t="s">
        <v>29</v>
      </c>
      <c r="C12" s="641" t="s">
        <v>30</v>
      </c>
      <c r="D12" s="643"/>
      <c r="E12" s="643">
        <f>D12</f>
        <v>0</v>
      </c>
      <c r="F12" s="643"/>
      <c r="G12" s="643"/>
      <c r="H12" s="643">
        <f>G12</f>
        <v>0</v>
      </c>
      <c r="I12" s="643"/>
      <c r="J12" s="643"/>
      <c r="K12" s="643">
        <f>J12</f>
        <v>0</v>
      </c>
      <c r="L12" s="643"/>
      <c r="M12" s="643"/>
      <c r="N12" s="643">
        <f>M12</f>
        <v>0</v>
      </c>
      <c r="O12" s="643"/>
      <c r="P12" s="643">
        <f t="shared" si="0"/>
        <v>0</v>
      </c>
      <c r="Q12" s="643">
        <f t="shared" ref="Q12:Q49" si="2">E12+H12+K12+N12</f>
        <v>0</v>
      </c>
      <c r="R12" s="643">
        <f t="shared" si="1"/>
        <v>0</v>
      </c>
    </row>
    <row r="13" spans="1:18" ht="20.25" customHeight="1" x14ac:dyDescent="0.25">
      <c r="A13" s="639" t="s">
        <v>19</v>
      </c>
      <c r="B13" s="646" t="s">
        <v>31</v>
      </c>
      <c r="C13" s="641" t="s">
        <v>32</v>
      </c>
      <c r="D13" s="643">
        <f t="shared" ref="D13:N13" si="3">SUM(D14:D16)</f>
        <v>0</v>
      </c>
      <c r="E13" s="643">
        <f t="shared" si="3"/>
        <v>0</v>
      </c>
      <c r="F13" s="643"/>
      <c r="G13" s="643">
        <f t="shared" si="3"/>
        <v>0</v>
      </c>
      <c r="H13" s="643">
        <f t="shared" si="3"/>
        <v>0</v>
      </c>
      <c r="I13" s="643"/>
      <c r="J13" s="643">
        <f t="shared" si="3"/>
        <v>0</v>
      </c>
      <c r="K13" s="643">
        <f t="shared" si="3"/>
        <v>0</v>
      </c>
      <c r="L13" s="643"/>
      <c r="M13" s="643">
        <f t="shared" si="3"/>
        <v>0</v>
      </c>
      <c r="N13" s="643">
        <f t="shared" si="3"/>
        <v>0</v>
      </c>
      <c r="O13" s="643"/>
      <c r="P13" s="643">
        <f t="shared" si="0"/>
        <v>0</v>
      </c>
      <c r="Q13" s="643">
        <f t="shared" si="2"/>
        <v>0</v>
      </c>
      <c r="R13" s="643">
        <f t="shared" si="1"/>
        <v>0</v>
      </c>
    </row>
    <row r="14" spans="1:18" ht="20.25" customHeight="1" x14ac:dyDescent="0.25">
      <c r="A14" s="639" t="s">
        <v>20</v>
      </c>
      <c r="B14" s="21" t="s">
        <v>33</v>
      </c>
      <c r="C14" s="641"/>
      <c r="D14" s="643"/>
      <c r="E14" s="643">
        <f>D14</f>
        <v>0</v>
      </c>
      <c r="F14" s="643"/>
      <c r="G14" s="643"/>
      <c r="H14" s="643">
        <f>G14</f>
        <v>0</v>
      </c>
      <c r="I14" s="643"/>
      <c r="J14" s="643"/>
      <c r="K14" s="643">
        <f>J14</f>
        <v>0</v>
      </c>
      <c r="L14" s="643"/>
      <c r="M14" s="643"/>
      <c r="N14" s="643">
        <f>M14</f>
        <v>0</v>
      </c>
      <c r="O14" s="643"/>
      <c r="P14" s="643">
        <f t="shared" si="0"/>
        <v>0</v>
      </c>
      <c r="Q14" s="643">
        <f t="shared" si="2"/>
        <v>0</v>
      </c>
      <c r="R14" s="643">
        <f t="shared" si="1"/>
        <v>0</v>
      </c>
    </row>
    <row r="15" spans="1:18" ht="20.25" customHeight="1" x14ac:dyDescent="0.25">
      <c r="A15" s="639" t="s">
        <v>21</v>
      </c>
      <c r="B15" s="21" t="s">
        <v>34</v>
      </c>
      <c r="C15" s="647"/>
      <c r="D15" s="643"/>
      <c r="E15" s="643">
        <f t="shared" ref="E15:E20" si="4">D15</f>
        <v>0</v>
      </c>
      <c r="F15" s="643"/>
      <c r="G15" s="643"/>
      <c r="H15" s="643">
        <f t="shared" ref="H15:H20" si="5">G15</f>
        <v>0</v>
      </c>
      <c r="I15" s="643"/>
      <c r="J15" s="643"/>
      <c r="K15" s="643">
        <f t="shared" ref="K15:K20" si="6">J15</f>
        <v>0</v>
      </c>
      <c r="L15" s="643"/>
      <c r="M15" s="643"/>
      <c r="N15" s="643">
        <f t="shared" ref="N15:N20" si="7">M15</f>
        <v>0</v>
      </c>
      <c r="O15" s="643"/>
      <c r="P15" s="643">
        <f t="shared" si="0"/>
        <v>0</v>
      </c>
      <c r="Q15" s="643">
        <f t="shared" si="2"/>
        <v>0</v>
      </c>
      <c r="R15" s="643">
        <f t="shared" si="1"/>
        <v>0</v>
      </c>
    </row>
    <row r="16" spans="1:18" ht="20.25" customHeight="1" x14ac:dyDescent="0.25">
      <c r="A16" s="639" t="s">
        <v>22</v>
      </c>
      <c r="B16" s="17" t="s">
        <v>35</v>
      </c>
      <c r="C16" s="647"/>
      <c r="D16" s="643"/>
      <c r="E16" s="643"/>
      <c r="F16" s="643"/>
      <c r="G16" s="643"/>
      <c r="H16" s="643">
        <f t="shared" si="5"/>
        <v>0</v>
      </c>
      <c r="I16" s="643"/>
      <c r="J16" s="643"/>
      <c r="K16" s="643">
        <f t="shared" si="6"/>
        <v>0</v>
      </c>
      <c r="L16" s="643"/>
      <c r="M16" s="643"/>
      <c r="N16" s="643">
        <f t="shared" si="7"/>
        <v>0</v>
      </c>
      <c r="O16" s="643"/>
      <c r="P16" s="643">
        <f t="shared" si="0"/>
        <v>0</v>
      </c>
      <c r="Q16" s="643">
        <f t="shared" si="2"/>
        <v>0</v>
      </c>
      <c r="R16" s="643">
        <f t="shared" si="1"/>
        <v>0</v>
      </c>
    </row>
    <row r="17" spans="1:18" ht="20.25" customHeight="1" x14ac:dyDescent="0.25">
      <c r="A17" s="639" t="s">
        <v>36</v>
      </c>
      <c r="B17" s="648" t="s">
        <v>37</v>
      </c>
      <c r="C17" s="641" t="s">
        <v>38</v>
      </c>
      <c r="D17" s="643"/>
      <c r="E17" s="643">
        <f t="shared" si="4"/>
        <v>0</v>
      </c>
      <c r="F17" s="643"/>
      <c r="G17" s="643"/>
      <c r="H17" s="643">
        <v>762790</v>
      </c>
      <c r="I17" s="643">
        <v>700514</v>
      </c>
      <c r="J17" s="643"/>
      <c r="K17" s="643">
        <v>636500</v>
      </c>
      <c r="L17" s="643">
        <v>371550</v>
      </c>
      <c r="M17" s="643"/>
      <c r="N17" s="643">
        <f t="shared" si="7"/>
        <v>0</v>
      </c>
      <c r="O17" s="643"/>
      <c r="P17" s="643">
        <f t="shared" si="0"/>
        <v>0</v>
      </c>
      <c r="Q17" s="643">
        <v>1399290</v>
      </c>
      <c r="R17" s="643">
        <f t="shared" si="1"/>
        <v>1072064</v>
      </c>
    </row>
    <row r="18" spans="1:18" ht="20.25" customHeight="1" x14ac:dyDescent="0.25">
      <c r="A18" s="639" t="s">
        <v>39</v>
      </c>
      <c r="B18" s="646" t="s">
        <v>40</v>
      </c>
      <c r="C18" s="641" t="s">
        <v>41</v>
      </c>
      <c r="D18" s="643"/>
      <c r="E18" s="643">
        <f t="shared" si="4"/>
        <v>0</v>
      </c>
      <c r="F18" s="643"/>
      <c r="G18" s="643"/>
      <c r="H18" s="643">
        <f t="shared" si="5"/>
        <v>0</v>
      </c>
      <c r="I18" s="643"/>
      <c r="J18" s="643"/>
      <c r="K18" s="643">
        <f t="shared" si="6"/>
        <v>0</v>
      </c>
      <c r="L18" s="643"/>
      <c r="M18" s="643"/>
      <c r="N18" s="643">
        <f t="shared" si="7"/>
        <v>0</v>
      </c>
      <c r="O18" s="643"/>
      <c r="P18" s="643">
        <f t="shared" si="0"/>
        <v>0</v>
      </c>
      <c r="Q18" s="643">
        <f t="shared" si="2"/>
        <v>0</v>
      </c>
      <c r="R18" s="643">
        <f t="shared" si="1"/>
        <v>0</v>
      </c>
    </row>
    <row r="19" spans="1:18" ht="20.25" customHeight="1" x14ac:dyDescent="0.25">
      <c r="A19" s="639" t="s">
        <v>42</v>
      </c>
      <c r="B19" s="646" t="s">
        <v>43</v>
      </c>
      <c r="C19" s="641" t="s">
        <v>44</v>
      </c>
      <c r="D19" s="643"/>
      <c r="E19" s="643">
        <f t="shared" si="4"/>
        <v>0</v>
      </c>
      <c r="F19" s="643"/>
      <c r="G19" s="643"/>
      <c r="H19" s="643">
        <f t="shared" si="5"/>
        <v>0</v>
      </c>
      <c r="I19" s="643"/>
      <c r="J19" s="643"/>
      <c r="K19" s="643">
        <f t="shared" si="6"/>
        <v>0</v>
      </c>
      <c r="L19" s="643"/>
      <c r="M19" s="643"/>
      <c r="N19" s="643">
        <f t="shared" si="7"/>
        <v>0</v>
      </c>
      <c r="O19" s="643"/>
      <c r="P19" s="643">
        <f t="shared" si="0"/>
        <v>0</v>
      </c>
      <c r="Q19" s="643">
        <f t="shared" si="2"/>
        <v>0</v>
      </c>
      <c r="R19" s="643">
        <f t="shared" si="1"/>
        <v>0</v>
      </c>
    </row>
    <row r="20" spans="1:18" ht="20.25" customHeight="1" x14ac:dyDescent="0.25">
      <c r="A20" s="639" t="s">
        <v>45</v>
      </c>
      <c r="B20" s="21" t="s">
        <v>46</v>
      </c>
      <c r="C20" s="641"/>
      <c r="D20" s="643"/>
      <c r="E20" s="643">
        <f t="shared" si="4"/>
        <v>0</v>
      </c>
      <c r="F20" s="643"/>
      <c r="G20" s="643"/>
      <c r="H20" s="643">
        <f t="shared" si="5"/>
        <v>0</v>
      </c>
      <c r="I20" s="643"/>
      <c r="J20" s="643"/>
      <c r="K20" s="643">
        <f t="shared" si="6"/>
        <v>0</v>
      </c>
      <c r="L20" s="643"/>
      <c r="M20" s="643"/>
      <c r="N20" s="643">
        <f t="shared" si="7"/>
        <v>0</v>
      </c>
      <c r="O20" s="643"/>
      <c r="P20" s="643">
        <f t="shared" si="0"/>
        <v>0</v>
      </c>
      <c r="Q20" s="643">
        <f t="shared" si="2"/>
        <v>0</v>
      </c>
      <c r="R20" s="643">
        <f t="shared" si="1"/>
        <v>0</v>
      </c>
    </row>
    <row r="21" spans="1:18" ht="20.25" customHeight="1" x14ac:dyDescent="0.25">
      <c r="A21" s="639" t="s">
        <v>47</v>
      </c>
      <c r="B21" s="648" t="s">
        <v>48</v>
      </c>
      <c r="C21" s="641" t="s">
        <v>49</v>
      </c>
      <c r="D21" s="643">
        <f>+D9+D10+D11+D12+D13+D17+D18+D19+D16</f>
        <v>0</v>
      </c>
      <c r="E21" s="643">
        <f>+E9+E10+E11+E12+E13+E17+E18+E19</f>
        <v>0</v>
      </c>
      <c r="F21" s="643">
        <f t="shared" ref="F21:O21" si="8">+F9+F10+F11+F12+F13+F17+F18+F19</f>
        <v>0</v>
      </c>
      <c r="G21" s="643">
        <f t="shared" si="8"/>
        <v>0</v>
      </c>
      <c r="H21" s="643">
        <v>60721243</v>
      </c>
      <c r="I21" s="643">
        <f t="shared" si="8"/>
        <v>50549619</v>
      </c>
      <c r="J21" s="643">
        <f t="shared" si="8"/>
        <v>0</v>
      </c>
      <c r="K21" s="643">
        <v>29665827</v>
      </c>
      <c r="L21" s="643">
        <f t="shared" si="8"/>
        <v>24320767</v>
      </c>
      <c r="M21" s="643">
        <f t="shared" si="8"/>
        <v>0</v>
      </c>
      <c r="N21" s="643">
        <f t="shared" si="8"/>
        <v>0</v>
      </c>
      <c r="O21" s="643">
        <f t="shared" si="8"/>
        <v>0</v>
      </c>
      <c r="P21" s="643">
        <f t="shared" si="0"/>
        <v>0</v>
      </c>
      <c r="Q21" s="643">
        <f t="shared" si="2"/>
        <v>90387070</v>
      </c>
      <c r="R21" s="643">
        <f t="shared" si="1"/>
        <v>74870386</v>
      </c>
    </row>
    <row r="22" spans="1:18" ht="20.25" customHeight="1" x14ac:dyDescent="0.25">
      <c r="A22" s="639" t="s">
        <v>50</v>
      </c>
      <c r="B22" s="648" t="s">
        <v>51</v>
      </c>
      <c r="C22" s="641" t="s">
        <v>52</v>
      </c>
      <c r="D22" s="643">
        <f>SUM(D23:D26)</f>
        <v>0</v>
      </c>
      <c r="E22" s="643">
        <f t="shared" ref="E22:O22" si="9">SUM(E23:E26)</f>
        <v>0</v>
      </c>
      <c r="F22" s="643">
        <f t="shared" si="9"/>
        <v>0</v>
      </c>
      <c r="G22" s="643">
        <f t="shared" si="9"/>
        <v>0</v>
      </c>
      <c r="H22" s="643">
        <f t="shared" si="9"/>
        <v>0</v>
      </c>
      <c r="I22" s="643">
        <f t="shared" si="9"/>
        <v>0</v>
      </c>
      <c r="J22" s="643">
        <f t="shared" si="9"/>
        <v>0</v>
      </c>
      <c r="K22" s="643">
        <f t="shared" si="9"/>
        <v>0</v>
      </c>
      <c r="L22" s="643">
        <f t="shared" si="9"/>
        <v>0</v>
      </c>
      <c r="M22" s="643">
        <f t="shared" si="9"/>
        <v>0</v>
      </c>
      <c r="N22" s="643">
        <f t="shared" si="9"/>
        <v>0</v>
      </c>
      <c r="O22" s="643">
        <f t="shared" si="9"/>
        <v>0</v>
      </c>
      <c r="P22" s="643">
        <f t="shared" si="0"/>
        <v>0</v>
      </c>
      <c r="Q22" s="643">
        <f t="shared" si="2"/>
        <v>0</v>
      </c>
      <c r="R22" s="643">
        <f t="shared" si="1"/>
        <v>0</v>
      </c>
    </row>
    <row r="23" spans="1:18" ht="20.25" customHeight="1" x14ac:dyDescent="0.25">
      <c r="A23" s="639" t="s">
        <v>53</v>
      </c>
      <c r="B23" s="24" t="s">
        <v>970</v>
      </c>
      <c r="C23" s="647"/>
      <c r="D23" s="643"/>
      <c r="E23" s="643">
        <f>D23</f>
        <v>0</v>
      </c>
      <c r="F23" s="643"/>
      <c r="G23" s="643"/>
      <c r="H23" s="643">
        <f>G23</f>
        <v>0</v>
      </c>
      <c r="I23" s="643"/>
      <c r="J23" s="643"/>
      <c r="K23" s="643">
        <f>J23</f>
        <v>0</v>
      </c>
      <c r="L23" s="643"/>
      <c r="M23" s="643"/>
      <c r="N23" s="643">
        <f>M23</f>
        <v>0</v>
      </c>
      <c r="O23" s="643"/>
      <c r="P23" s="643">
        <f t="shared" si="0"/>
        <v>0</v>
      </c>
      <c r="Q23" s="643">
        <f t="shared" si="2"/>
        <v>0</v>
      </c>
      <c r="R23" s="643">
        <f t="shared" si="1"/>
        <v>0</v>
      </c>
    </row>
    <row r="24" spans="1:18" ht="20.25" customHeight="1" x14ac:dyDescent="0.25">
      <c r="A24" s="639" t="s">
        <v>55</v>
      </c>
      <c r="B24" s="652" t="s">
        <v>56</v>
      </c>
      <c r="C24" s="647"/>
      <c r="D24" s="643"/>
      <c r="E24" s="643">
        <f>D24</f>
        <v>0</v>
      </c>
      <c r="F24" s="643"/>
      <c r="G24" s="643"/>
      <c r="H24" s="643">
        <f>G24</f>
        <v>0</v>
      </c>
      <c r="I24" s="643"/>
      <c r="J24" s="643"/>
      <c r="K24" s="643">
        <f>J24</f>
        <v>0</v>
      </c>
      <c r="L24" s="643"/>
      <c r="M24" s="643"/>
      <c r="N24" s="643">
        <f>M24</f>
        <v>0</v>
      </c>
      <c r="O24" s="643"/>
      <c r="P24" s="643">
        <f t="shared" si="0"/>
        <v>0</v>
      </c>
      <c r="Q24" s="643">
        <f t="shared" si="2"/>
        <v>0</v>
      </c>
      <c r="R24" s="643">
        <f t="shared" si="1"/>
        <v>0</v>
      </c>
    </row>
    <row r="25" spans="1:18" ht="20.25" customHeight="1" x14ac:dyDescent="0.25">
      <c r="A25" s="639" t="s">
        <v>57</v>
      </c>
      <c r="B25" s="652" t="s">
        <v>58</v>
      </c>
      <c r="C25" s="647"/>
      <c r="D25" s="643"/>
      <c r="E25" s="643">
        <f>D25</f>
        <v>0</v>
      </c>
      <c r="F25" s="643"/>
      <c r="G25" s="643"/>
      <c r="H25" s="643">
        <f>G25</f>
        <v>0</v>
      </c>
      <c r="I25" s="643"/>
      <c r="J25" s="643"/>
      <c r="K25" s="643">
        <f>J25</f>
        <v>0</v>
      </c>
      <c r="L25" s="643"/>
      <c r="M25" s="643"/>
      <c r="N25" s="643">
        <f>M25</f>
        <v>0</v>
      </c>
      <c r="O25" s="643"/>
      <c r="P25" s="643">
        <f t="shared" si="0"/>
        <v>0</v>
      </c>
      <c r="Q25" s="643">
        <f t="shared" si="2"/>
        <v>0</v>
      </c>
      <c r="R25" s="643">
        <f t="shared" si="1"/>
        <v>0</v>
      </c>
    </row>
    <row r="26" spans="1:18" ht="20.25" customHeight="1" x14ac:dyDescent="0.25">
      <c r="A26" s="639" t="s">
        <v>59</v>
      </c>
      <c r="B26" s="652" t="s">
        <v>60</v>
      </c>
      <c r="C26" s="647"/>
      <c r="D26" s="643"/>
      <c r="E26" s="643">
        <f>D26</f>
        <v>0</v>
      </c>
      <c r="F26" s="643"/>
      <c r="G26" s="643"/>
      <c r="H26" s="643">
        <f>G26</f>
        <v>0</v>
      </c>
      <c r="I26" s="643"/>
      <c r="J26" s="643"/>
      <c r="K26" s="643">
        <f>J26</f>
        <v>0</v>
      </c>
      <c r="L26" s="643"/>
      <c r="M26" s="643"/>
      <c r="N26" s="643">
        <f>M26</f>
        <v>0</v>
      </c>
      <c r="O26" s="643"/>
      <c r="P26" s="643">
        <f t="shared" si="0"/>
        <v>0</v>
      </c>
      <c r="Q26" s="643">
        <f t="shared" si="2"/>
        <v>0</v>
      </c>
      <c r="R26" s="643">
        <f t="shared" si="1"/>
        <v>0</v>
      </c>
    </row>
    <row r="27" spans="1:18" ht="20.25" customHeight="1" x14ac:dyDescent="0.25">
      <c r="A27" s="639" t="s">
        <v>61</v>
      </c>
      <c r="B27" s="653" t="s">
        <v>62</v>
      </c>
      <c r="C27" s="641"/>
      <c r="D27" s="650">
        <f>+D9+D10+D11+D12+D13+D23+D24</f>
        <v>0</v>
      </c>
      <c r="E27" s="650">
        <f t="shared" ref="E27:O27" si="10">+E9+E10+E11+E12+E13+E23+E24</f>
        <v>0</v>
      </c>
      <c r="F27" s="650">
        <f t="shared" si="10"/>
        <v>0</v>
      </c>
      <c r="G27" s="650">
        <f t="shared" si="10"/>
        <v>0</v>
      </c>
      <c r="H27" s="650">
        <f t="shared" si="10"/>
        <v>59958453</v>
      </c>
      <c r="I27" s="650">
        <f t="shared" si="10"/>
        <v>49849105</v>
      </c>
      <c r="J27" s="650">
        <f t="shared" si="10"/>
        <v>0</v>
      </c>
      <c r="K27" s="650">
        <f t="shared" si="10"/>
        <v>29029327</v>
      </c>
      <c r="L27" s="650">
        <f t="shared" si="10"/>
        <v>23949217</v>
      </c>
      <c r="M27" s="650">
        <f t="shared" si="10"/>
        <v>0</v>
      </c>
      <c r="N27" s="650">
        <f t="shared" si="10"/>
        <v>0</v>
      </c>
      <c r="O27" s="650">
        <f t="shared" si="10"/>
        <v>0</v>
      </c>
      <c r="P27" s="643">
        <f t="shared" si="0"/>
        <v>0</v>
      </c>
      <c r="Q27" s="643">
        <v>88987780</v>
      </c>
      <c r="R27" s="643">
        <f t="shared" si="1"/>
        <v>73798322</v>
      </c>
    </row>
    <row r="28" spans="1:18" ht="20.25" customHeight="1" x14ac:dyDescent="0.25">
      <c r="A28" s="639" t="s">
        <v>63</v>
      </c>
      <c r="B28" s="653" t="s">
        <v>64</v>
      </c>
      <c r="C28" s="641"/>
      <c r="D28" s="650">
        <f>+D17+D18+D19+D25+D26</f>
        <v>0</v>
      </c>
      <c r="E28" s="650">
        <f t="shared" ref="E28:O28" si="11">+E17+E18+E19+E25+E26</f>
        <v>0</v>
      </c>
      <c r="F28" s="650">
        <f t="shared" si="11"/>
        <v>0</v>
      </c>
      <c r="G28" s="650">
        <f t="shared" si="11"/>
        <v>0</v>
      </c>
      <c r="H28" s="650">
        <f t="shared" si="11"/>
        <v>762790</v>
      </c>
      <c r="I28" s="650">
        <f t="shared" si="11"/>
        <v>700514</v>
      </c>
      <c r="J28" s="650">
        <f t="shared" si="11"/>
        <v>0</v>
      </c>
      <c r="K28" s="650">
        <f t="shared" si="11"/>
        <v>636500</v>
      </c>
      <c r="L28" s="650">
        <f t="shared" si="11"/>
        <v>371550</v>
      </c>
      <c r="M28" s="650">
        <f t="shared" si="11"/>
        <v>0</v>
      </c>
      <c r="N28" s="650">
        <f t="shared" si="11"/>
        <v>0</v>
      </c>
      <c r="O28" s="650">
        <f t="shared" si="11"/>
        <v>0</v>
      </c>
      <c r="P28" s="643">
        <f t="shared" si="0"/>
        <v>0</v>
      </c>
      <c r="Q28" s="643">
        <v>1399290</v>
      </c>
      <c r="R28" s="643">
        <f t="shared" si="1"/>
        <v>1072064</v>
      </c>
    </row>
    <row r="29" spans="1:18" ht="20.25" customHeight="1" x14ac:dyDescent="0.25">
      <c r="A29" s="639" t="s">
        <v>65</v>
      </c>
      <c r="B29" s="653" t="s">
        <v>66</v>
      </c>
      <c r="C29" s="641" t="s">
        <v>67</v>
      </c>
      <c r="D29" s="650">
        <f>SUM(D27:D28)</f>
        <v>0</v>
      </c>
      <c r="E29" s="650">
        <f t="shared" ref="E29:O29" si="12">SUM(E27:E28)</f>
        <v>0</v>
      </c>
      <c r="F29" s="650">
        <f t="shared" si="12"/>
        <v>0</v>
      </c>
      <c r="G29" s="650">
        <f t="shared" si="12"/>
        <v>0</v>
      </c>
      <c r="H29" s="650">
        <f t="shared" si="12"/>
        <v>60721243</v>
      </c>
      <c r="I29" s="650">
        <f t="shared" si="12"/>
        <v>50549619</v>
      </c>
      <c r="J29" s="650">
        <f t="shared" si="12"/>
        <v>0</v>
      </c>
      <c r="K29" s="650">
        <f t="shared" si="12"/>
        <v>29665827</v>
      </c>
      <c r="L29" s="650">
        <f t="shared" si="12"/>
        <v>24320767</v>
      </c>
      <c r="M29" s="650">
        <f t="shared" si="12"/>
        <v>0</v>
      </c>
      <c r="N29" s="650">
        <f t="shared" si="12"/>
        <v>0</v>
      </c>
      <c r="O29" s="650">
        <f t="shared" si="12"/>
        <v>0</v>
      </c>
      <c r="P29" s="643">
        <f t="shared" si="0"/>
        <v>0</v>
      </c>
      <c r="Q29" s="643">
        <v>90387070</v>
      </c>
      <c r="R29" s="643">
        <f t="shared" si="1"/>
        <v>74870386</v>
      </c>
    </row>
    <row r="30" spans="1:18" ht="20.25" customHeight="1" x14ac:dyDescent="0.25">
      <c r="A30" s="639" t="s">
        <v>68</v>
      </c>
      <c r="B30" s="645" t="s">
        <v>69</v>
      </c>
      <c r="C30" s="648" t="s">
        <v>70</v>
      </c>
      <c r="D30" s="643"/>
      <c r="E30" s="643">
        <f>D30</f>
        <v>0</v>
      </c>
      <c r="F30" s="643"/>
      <c r="G30" s="643"/>
      <c r="H30" s="643">
        <f>G30</f>
        <v>0</v>
      </c>
      <c r="I30" s="643"/>
      <c r="J30" s="643"/>
      <c r="K30" s="643">
        <f>J30</f>
        <v>0</v>
      </c>
      <c r="L30" s="643"/>
      <c r="M30" s="643"/>
      <c r="N30" s="643">
        <f>M30</f>
        <v>0</v>
      </c>
      <c r="O30" s="643"/>
      <c r="P30" s="643">
        <f t="shared" si="0"/>
        <v>0</v>
      </c>
      <c r="Q30" s="643">
        <f t="shared" si="2"/>
        <v>0</v>
      </c>
      <c r="R30" s="643">
        <f t="shared" si="1"/>
        <v>0</v>
      </c>
    </row>
    <row r="31" spans="1:18" ht="20.25" customHeight="1" x14ac:dyDescent="0.25">
      <c r="A31" s="639" t="s">
        <v>71</v>
      </c>
      <c r="B31" s="645" t="s">
        <v>72</v>
      </c>
      <c r="C31" s="648" t="s">
        <v>73</v>
      </c>
      <c r="D31" s="643"/>
      <c r="E31" s="643">
        <f t="shared" ref="E31:E36" si="13">D31</f>
        <v>0</v>
      </c>
      <c r="F31" s="643"/>
      <c r="G31" s="643"/>
      <c r="H31" s="643">
        <f t="shared" ref="H31:H36" si="14">G31</f>
        <v>0</v>
      </c>
      <c r="I31" s="643"/>
      <c r="J31" s="643"/>
      <c r="K31" s="643">
        <f t="shared" ref="K31:K36" si="15">J31</f>
        <v>0</v>
      </c>
      <c r="L31" s="643"/>
      <c r="M31" s="643"/>
      <c r="N31" s="643">
        <f t="shared" ref="N31:N36" si="16">M31</f>
        <v>0</v>
      </c>
      <c r="O31" s="643"/>
      <c r="P31" s="643">
        <f t="shared" si="0"/>
        <v>0</v>
      </c>
      <c r="Q31" s="643">
        <f t="shared" si="2"/>
        <v>0</v>
      </c>
      <c r="R31" s="643">
        <f t="shared" si="1"/>
        <v>0</v>
      </c>
    </row>
    <row r="32" spans="1:18" ht="20.25" customHeight="1" x14ac:dyDescent="0.25">
      <c r="A32" s="639" t="s">
        <v>74</v>
      </c>
      <c r="B32" s="645" t="s">
        <v>75</v>
      </c>
      <c r="C32" s="648" t="s">
        <v>76</v>
      </c>
      <c r="D32" s="643"/>
      <c r="E32" s="643">
        <f t="shared" si="13"/>
        <v>0</v>
      </c>
      <c r="F32" s="643"/>
      <c r="G32" s="643"/>
      <c r="H32" s="643">
        <f t="shared" si="14"/>
        <v>0</v>
      </c>
      <c r="I32" s="643"/>
      <c r="J32" s="643"/>
      <c r="K32" s="643">
        <f t="shared" si="15"/>
        <v>0</v>
      </c>
      <c r="L32" s="643"/>
      <c r="M32" s="643"/>
      <c r="N32" s="643">
        <f t="shared" si="16"/>
        <v>0</v>
      </c>
      <c r="O32" s="643"/>
      <c r="P32" s="643">
        <f t="shared" si="0"/>
        <v>0</v>
      </c>
      <c r="Q32" s="643">
        <f t="shared" si="2"/>
        <v>0</v>
      </c>
      <c r="R32" s="643">
        <f t="shared" si="1"/>
        <v>0</v>
      </c>
    </row>
    <row r="33" spans="1:18" ht="20.25" customHeight="1" x14ac:dyDescent="0.25">
      <c r="A33" s="639" t="s">
        <v>77</v>
      </c>
      <c r="B33" s="646" t="s">
        <v>78</v>
      </c>
      <c r="C33" s="648" t="s">
        <v>79</v>
      </c>
      <c r="D33" s="643"/>
      <c r="E33" s="643">
        <f t="shared" si="13"/>
        <v>0</v>
      </c>
      <c r="F33" s="643"/>
      <c r="G33" s="643"/>
      <c r="H33" s="643">
        <v>18497</v>
      </c>
      <c r="I33" s="643">
        <v>18497</v>
      </c>
      <c r="J33" s="643"/>
      <c r="K33" s="643">
        <v>1</v>
      </c>
      <c r="L33" s="643">
        <v>1</v>
      </c>
      <c r="M33" s="643"/>
      <c r="N33" s="643">
        <v>0</v>
      </c>
      <c r="O33" s="643"/>
      <c r="P33" s="643">
        <f t="shared" si="0"/>
        <v>0</v>
      </c>
      <c r="Q33" s="643">
        <v>18498</v>
      </c>
      <c r="R33" s="643">
        <f t="shared" si="1"/>
        <v>18498</v>
      </c>
    </row>
    <row r="34" spans="1:18" ht="20.25" customHeight="1" x14ac:dyDescent="0.25">
      <c r="A34" s="639" t="s">
        <v>80</v>
      </c>
      <c r="B34" s="645" t="s">
        <v>81</v>
      </c>
      <c r="C34" s="648" t="s">
        <v>82</v>
      </c>
      <c r="D34" s="643"/>
      <c r="E34" s="643">
        <f t="shared" si="13"/>
        <v>0</v>
      </c>
      <c r="F34" s="643"/>
      <c r="G34" s="643"/>
      <c r="H34" s="643">
        <f t="shared" si="14"/>
        <v>0</v>
      </c>
      <c r="I34" s="643"/>
      <c r="J34" s="643"/>
      <c r="K34" s="643">
        <f t="shared" si="15"/>
        <v>0</v>
      </c>
      <c r="L34" s="643"/>
      <c r="M34" s="643"/>
      <c r="N34" s="643">
        <f t="shared" si="16"/>
        <v>0</v>
      </c>
      <c r="O34" s="643"/>
      <c r="P34" s="643">
        <f t="shared" si="0"/>
        <v>0</v>
      </c>
      <c r="Q34" s="643">
        <f t="shared" si="2"/>
        <v>0</v>
      </c>
      <c r="R34" s="643">
        <f t="shared" si="1"/>
        <v>0</v>
      </c>
    </row>
    <row r="35" spans="1:18" ht="20.25" customHeight="1" x14ac:dyDescent="0.25">
      <c r="A35" s="639" t="s">
        <v>83</v>
      </c>
      <c r="B35" s="645" t="s">
        <v>84</v>
      </c>
      <c r="C35" s="648" t="s">
        <v>85</v>
      </c>
      <c r="D35" s="643"/>
      <c r="E35" s="643">
        <f t="shared" si="13"/>
        <v>0</v>
      </c>
      <c r="F35" s="643"/>
      <c r="G35" s="643"/>
      <c r="H35" s="643">
        <f t="shared" si="14"/>
        <v>0</v>
      </c>
      <c r="I35" s="643"/>
      <c r="J35" s="643"/>
      <c r="K35" s="643">
        <f t="shared" si="15"/>
        <v>0</v>
      </c>
      <c r="L35" s="643"/>
      <c r="M35" s="643"/>
      <c r="N35" s="643">
        <f t="shared" si="16"/>
        <v>0</v>
      </c>
      <c r="O35" s="643"/>
      <c r="P35" s="643">
        <f t="shared" si="0"/>
        <v>0</v>
      </c>
      <c r="Q35" s="643">
        <f t="shared" si="2"/>
        <v>0</v>
      </c>
      <c r="R35" s="643">
        <f t="shared" si="1"/>
        <v>0</v>
      </c>
    </row>
    <row r="36" spans="1:18" ht="20.25" customHeight="1" x14ac:dyDescent="0.25">
      <c r="A36" s="639" t="s">
        <v>86</v>
      </c>
      <c r="B36" s="645" t="s">
        <v>87</v>
      </c>
      <c r="C36" s="648" t="s">
        <v>88</v>
      </c>
      <c r="D36" s="643"/>
      <c r="E36" s="643">
        <f t="shared" si="13"/>
        <v>0</v>
      </c>
      <c r="F36" s="643"/>
      <c r="G36" s="643"/>
      <c r="H36" s="643">
        <f t="shared" si="14"/>
        <v>0</v>
      </c>
      <c r="I36" s="643"/>
      <c r="J36" s="643"/>
      <c r="K36" s="643">
        <f t="shared" si="15"/>
        <v>0</v>
      </c>
      <c r="L36" s="643"/>
      <c r="M36" s="643"/>
      <c r="N36" s="643">
        <f t="shared" si="16"/>
        <v>0</v>
      </c>
      <c r="O36" s="643"/>
      <c r="P36" s="643">
        <f t="shared" si="0"/>
        <v>0</v>
      </c>
      <c r="Q36" s="643">
        <f t="shared" si="2"/>
        <v>0</v>
      </c>
      <c r="R36" s="643">
        <f t="shared" si="1"/>
        <v>0</v>
      </c>
    </row>
    <row r="37" spans="1:18" ht="20.25" customHeight="1" x14ac:dyDescent="0.25">
      <c r="A37" s="639" t="s">
        <v>89</v>
      </c>
      <c r="B37" s="646" t="s">
        <v>90</v>
      </c>
      <c r="C37" s="648" t="s">
        <v>91</v>
      </c>
      <c r="D37" s="643">
        <f t="shared" ref="D37:O37" si="17">+D30+D31+D32+D33+D34+D35+D36</f>
        <v>0</v>
      </c>
      <c r="E37" s="643">
        <f t="shared" si="17"/>
        <v>0</v>
      </c>
      <c r="F37" s="643">
        <f t="shared" si="17"/>
        <v>0</v>
      </c>
      <c r="G37" s="643">
        <f t="shared" si="17"/>
        <v>0</v>
      </c>
      <c r="H37" s="643">
        <f t="shared" si="17"/>
        <v>18497</v>
      </c>
      <c r="I37" s="643">
        <f t="shared" si="17"/>
        <v>18497</v>
      </c>
      <c r="J37" s="643">
        <f t="shared" si="17"/>
        <v>0</v>
      </c>
      <c r="K37" s="643">
        <f t="shared" si="17"/>
        <v>1</v>
      </c>
      <c r="L37" s="643">
        <f t="shared" si="17"/>
        <v>1</v>
      </c>
      <c r="M37" s="643">
        <f t="shared" si="17"/>
        <v>0</v>
      </c>
      <c r="N37" s="643">
        <f t="shared" si="17"/>
        <v>0</v>
      </c>
      <c r="O37" s="643">
        <f t="shared" si="17"/>
        <v>0</v>
      </c>
      <c r="P37" s="643">
        <f t="shared" si="0"/>
        <v>0</v>
      </c>
      <c r="Q37" s="643">
        <f t="shared" si="2"/>
        <v>18498</v>
      </c>
      <c r="R37" s="643">
        <f t="shared" si="1"/>
        <v>18498</v>
      </c>
    </row>
    <row r="38" spans="1:18" ht="20.25" customHeight="1" x14ac:dyDescent="0.25">
      <c r="A38" s="639" t="s">
        <v>92</v>
      </c>
      <c r="B38" s="648" t="s">
        <v>93</v>
      </c>
      <c r="C38" s="641" t="s">
        <v>94</v>
      </c>
      <c r="D38" s="643">
        <f>SUM(D40:D44)</f>
        <v>0</v>
      </c>
      <c r="E38" s="643">
        <f>SUM(E40:E44)</f>
        <v>90368572</v>
      </c>
      <c r="F38" s="643">
        <f t="shared" ref="F38:O38" si="18">SUM(F40:F44)</f>
        <v>81517944</v>
      </c>
      <c r="G38" s="643">
        <f t="shared" si="18"/>
        <v>0</v>
      </c>
      <c r="H38" s="643">
        <f t="shared" si="18"/>
        <v>0</v>
      </c>
      <c r="I38" s="643">
        <f t="shared" si="18"/>
        <v>0</v>
      </c>
      <c r="J38" s="643">
        <f t="shared" si="18"/>
        <v>0</v>
      </c>
      <c r="K38" s="643">
        <f t="shared" si="18"/>
        <v>0</v>
      </c>
      <c r="L38" s="643">
        <f t="shared" si="18"/>
        <v>0</v>
      </c>
      <c r="M38" s="643">
        <f t="shared" si="18"/>
        <v>0</v>
      </c>
      <c r="N38" s="643">
        <f t="shared" si="18"/>
        <v>0</v>
      </c>
      <c r="O38" s="643">
        <f t="shared" si="18"/>
        <v>0</v>
      </c>
      <c r="P38" s="643">
        <f t="shared" si="0"/>
        <v>0</v>
      </c>
      <c r="Q38" s="643">
        <f t="shared" si="2"/>
        <v>90368572</v>
      </c>
      <c r="R38" s="643">
        <f t="shared" si="1"/>
        <v>81517944</v>
      </c>
    </row>
    <row r="39" spans="1:18" ht="20.25" customHeight="1" x14ac:dyDescent="0.25">
      <c r="A39" s="639" t="s">
        <v>95</v>
      </c>
      <c r="B39" s="24" t="s">
        <v>1290</v>
      </c>
      <c r="C39" s="641"/>
      <c r="D39" s="643"/>
      <c r="E39" s="643"/>
      <c r="F39" s="643"/>
      <c r="G39" s="643"/>
      <c r="H39" s="643"/>
      <c r="I39" s="643"/>
      <c r="J39" s="643"/>
      <c r="K39" s="643"/>
      <c r="L39" s="643"/>
      <c r="M39" s="643"/>
      <c r="N39" s="643"/>
      <c r="O39" s="643"/>
      <c r="P39" s="643">
        <f t="shared" si="0"/>
        <v>0</v>
      </c>
      <c r="Q39" s="643">
        <f t="shared" si="2"/>
        <v>0</v>
      </c>
      <c r="R39" s="643">
        <f t="shared" si="1"/>
        <v>0</v>
      </c>
    </row>
    <row r="40" spans="1:18" ht="20.25" customHeight="1" x14ac:dyDescent="0.25">
      <c r="A40" s="639" t="s">
        <v>97</v>
      </c>
      <c r="B40" s="652" t="s">
        <v>96</v>
      </c>
      <c r="C40" s="647"/>
      <c r="D40" s="643"/>
      <c r="E40" s="643"/>
      <c r="F40" s="643"/>
      <c r="G40" s="643"/>
      <c r="H40" s="643">
        <f>G40</f>
        <v>0</v>
      </c>
      <c r="I40" s="643"/>
      <c r="J40" s="643"/>
      <c r="K40" s="643">
        <f>J40</f>
        <v>0</v>
      </c>
      <c r="L40" s="643"/>
      <c r="M40" s="643"/>
      <c r="N40" s="643">
        <f>M40</f>
        <v>0</v>
      </c>
      <c r="O40" s="643"/>
      <c r="P40" s="643">
        <f t="shared" si="0"/>
        <v>0</v>
      </c>
      <c r="Q40" s="643">
        <f t="shared" si="2"/>
        <v>0</v>
      </c>
      <c r="R40" s="643">
        <f t="shared" si="1"/>
        <v>0</v>
      </c>
    </row>
    <row r="41" spans="1:18" ht="20.25" customHeight="1" x14ac:dyDescent="0.25">
      <c r="A41" s="639" t="s">
        <v>99</v>
      </c>
      <c r="B41" s="652" t="s">
        <v>98</v>
      </c>
      <c r="C41" s="647"/>
      <c r="D41" s="643"/>
      <c r="E41" s="643">
        <f>D41</f>
        <v>0</v>
      </c>
      <c r="F41" s="643"/>
      <c r="G41" s="643"/>
      <c r="H41" s="643">
        <f>G41</f>
        <v>0</v>
      </c>
      <c r="I41" s="643"/>
      <c r="J41" s="643"/>
      <c r="K41" s="643">
        <f>J41</f>
        <v>0</v>
      </c>
      <c r="L41" s="643"/>
      <c r="M41" s="643"/>
      <c r="N41" s="643">
        <f>M41</f>
        <v>0</v>
      </c>
      <c r="O41" s="643"/>
      <c r="P41" s="643">
        <f t="shared" si="0"/>
        <v>0</v>
      </c>
      <c r="Q41" s="643">
        <f t="shared" si="2"/>
        <v>0</v>
      </c>
      <c r="R41" s="643">
        <f t="shared" si="1"/>
        <v>0</v>
      </c>
    </row>
    <row r="42" spans="1:18" ht="20.25" customHeight="1" x14ac:dyDescent="0.25">
      <c r="A42" s="639" t="s">
        <v>101</v>
      </c>
      <c r="B42" s="652" t="s">
        <v>100</v>
      </c>
      <c r="C42" s="647"/>
      <c r="D42" s="643">
        <f>+P27-P30-P32-P33-P35-P40</f>
        <v>0</v>
      </c>
      <c r="E42" s="643">
        <v>88969282</v>
      </c>
      <c r="F42" s="643">
        <v>80118654</v>
      </c>
      <c r="G42" s="643"/>
      <c r="H42" s="643">
        <f>G42</f>
        <v>0</v>
      </c>
      <c r="I42" s="643"/>
      <c r="J42" s="643"/>
      <c r="K42" s="643">
        <f>J42</f>
        <v>0</v>
      </c>
      <c r="L42" s="643"/>
      <c r="M42" s="643"/>
      <c r="N42" s="643">
        <f>M42</f>
        <v>0</v>
      </c>
      <c r="O42" s="643"/>
      <c r="P42" s="643">
        <f t="shared" si="0"/>
        <v>0</v>
      </c>
      <c r="Q42" s="643">
        <v>88969282</v>
      </c>
      <c r="R42" s="643">
        <f t="shared" si="1"/>
        <v>80118654</v>
      </c>
    </row>
    <row r="43" spans="1:18" ht="20.25" customHeight="1" x14ac:dyDescent="0.25">
      <c r="A43" s="639" t="s">
        <v>103</v>
      </c>
      <c r="B43" s="652" t="s">
        <v>102</v>
      </c>
      <c r="C43" s="647"/>
      <c r="D43" s="643">
        <f>+P28-P31-P34-P36-P41</f>
        <v>0</v>
      </c>
      <c r="E43" s="643">
        <v>1399290</v>
      </c>
      <c r="F43" s="643">
        <v>1399290</v>
      </c>
      <c r="G43" s="643"/>
      <c r="H43" s="643">
        <f>G43</f>
        <v>0</v>
      </c>
      <c r="I43" s="643"/>
      <c r="J43" s="643"/>
      <c r="K43" s="643">
        <f>J43</f>
        <v>0</v>
      </c>
      <c r="L43" s="643"/>
      <c r="M43" s="643"/>
      <c r="N43" s="643">
        <f>M43</f>
        <v>0</v>
      </c>
      <c r="O43" s="643"/>
      <c r="P43" s="643">
        <f t="shared" si="0"/>
        <v>0</v>
      </c>
      <c r="Q43" s="643">
        <v>1399290</v>
      </c>
      <c r="R43" s="643">
        <f t="shared" si="1"/>
        <v>1399290</v>
      </c>
    </row>
    <row r="44" spans="1:18" ht="20.25" customHeight="1" x14ac:dyDescent="0.25">
      <c r="A44" s="639" t="s">
        <v>105</v>
      </c>
      <c r="B44" s="24" t="s">
        <v>104</v>
      </c>
      <c r="C44" s="647"/>
      <c r="D44" s="643"/>
      <c r="E44" s="643">
        <f>D44</f>
        <v>0</v>
      </c>
      <c r="F44" s="643"/>
      <c r="G44" s="643"/>
      <c r="H44" s="643">
        <f>G44</f>
        <v>0</v>
      </c>
      <c r="I44" s="643"/>
      <c r="J44" s="643"/>
      <c r="K44" s="643">
        <f>J44</f>
        <v>0</v>
      </c>
      <c r="L44" s="643"/>
      <c r="M44" s="643"/>
      <c r="N44" s="643">
        <f>M44</f>
        <v>0</v>
      </c>
      <c r="O44" s="643"/>
      <c r="P44" s="643">
        <f t="shared" si="0"/>
        <v>0</v>
      </c>
      <c r="Q44" s="643">
        <f t="shared" si="2"/>
        <v>0</v>
      </c>
      <c r="R44" s="643">
        <f t="shared" si="1"/>
        <v>0</v>
      </c>
    </row>
    <row r="45" spans="1:18" ht="20.25" customHeight="1" x14ac:dyDescent="0.25">
      <c r="A45" s="639" t="s">
        <v>107</v>
      </c>
      <c r="B45" s="653" t="s">
        <v>106</v>
      </c>
      <c r="C45" s="641"/>
      <c r="D45" s="650">
        <f>+D30+D32+D33+D35+D40+D42</f>
        <v>0</v>
      </c>
      <c r="E45" s="650">
        <f t="shared" ref="E45:O45" si="19">+E30+E32+E33+E35+E40+E42</f>
        <v>88969282</v>
      </c>
      <c r="F45" s="650">
        <f t="shared" si="19"/>
        <v>80118654</v>
      </c>
      <c r="G45" s="650">
        <f t="shared" si="19"/>
        <v>0</v>
      </c>
      <c r="H45" s="650">
        <f t="shared" si="19"/>
        <v>18497</v>
      </c>
      <c r="I45" s="650">
        <f t="shared" si="19"/>
        <v>18497</v>
      </c>
      <c r="J45" s="650">
        <f t="shared" si="19"/>
        <v>0</v>
      </c>
      <c r="K45" s="650">
        <f t="shared" si="19"/>
        <v>1</v>
      </c>
      <c r="L45" s="650">
        <f t="shared" si="19"/>
        <v>1</v>
      </c>
      <c r="M45" s="650">
        <f t="shared" si="19"/>
        <v>0</v>
      </c>
      <c r="N45" s="650">
        <f t="shared" si="19"/>
        <v>0</v>
      </c>
      <c r="O45" s="650">
        <f t="shared" si="19"/>
        <v>0</v>
      </c>
      <c r="P45" s="643">
        <f t="shared" si="0"/>
        <v>0</v>
      </c>
      <c r="Q45" s="650">
        <f t="shared" si="2"/>
        <v>88987780</v>
      </c>
      <c r="R45" s="650">
        <f t="shared" si="1"/>
        <v>80137152</v>
      </c>
    </row>
    <row r="46" spans="1:18" ht="20.25" customHeight="1" x14ac:dyDescent="0.25">
      <c r="A46" s="639" t="s">
        <v>109</v>
      </c>
      <c r="B46" s="653" t="s">
        <v>108</v>
      </c>
      <c r="C46" s="641"/>
      <c r="D46" s="650">
        <f>+D31+D34+D36+D41+D427+D44+D43</f>
        <v>0</v>
      </c>
      <c r="E46" s="650">
        <f t="shared" ref="E46:O46" si="20">+E31+E34+E36+E41+E427+E44+E43</f>
        <v>1399290</v>
      </c>
      <c r="F46" s="650">
        <f t="shared" si="20"/>
        <v>1399290</v>
      </c>
      <c r="G46" s="650">
        <f t="shared" si="20"/>
        <v>0</v>
      </c>
      <c r="H46" s="650">
        <f t="shared" si="20"/>
        <v>0</v>
      </c>
      <c r="I46" s="650">
        <f t="shared" si="20"/>
        <v>0</v>
      </c>
      <c r="J46" s="650">
        <f t="shared" si="20"/>
        <v>0</v>
      </c>
      <c r="K46" s="650">
        <f t="shared" si="20"/>
        <v>0</v>
      </c>
      <c r="L46" s="650">
        <f t="shared" si="20"/>
        <v>0</v>
      </c>
      <c r="M46" s="650">
        <f t="shared" si="20"/>
        <v>0</v>
      </c>
      <c r="N46" s="650">
        <f t="shared" si="20"/>
        <v>0</v>
      </c>
      <c r="O46" s="650">
        <f t="shared" si="20"/>
        <v>0</v>
      </c>
      <c r="P46" s="643">
        <f t="shared" si="0"/>
        <v>0</v>
      </c>
      <c r="Q46" s="650">
        <f t="shared" si="2"/>
        <v>1399290</v>
      </c>
      <c r="R46" s="650">
        <f t="shared" si="1"/>
        <v>1399290</v>
      </c>
    </row>
    <row r="47" spans="1:18" ht="20.25" customHeight="1" x14ac:dyDescent="0.25">
      <c r="A47" s="639" t="s">
        <v>111</v>
      </c>
      <c r="B47" s="653" t="s">
        <v>110</v>
      </c>
      <c r="C47" s="641"/>
      <c r="D47" s="650">
        <f>+D45+D46</f>
        <v>0</v>
      </c>
      <c r="E47" s="650">
        <f t="shared" ref="E47:O47" si="21">+E45+E46</f>
        <v>90368572</v>
      </c>
      <c r="F47" s="650">
        <f t="shared" si="21"/>
        <v>81517944</v>
      </c>
      <c r="G47" s="650">
        <f t="shared" si="21"/>
        <v>0</v>
      </c>
      <c r="H47" s="650">
        <f t="shared" si="21"/>
        <v>18497</v>
      </c>
      <c r="I47" s="650">
        <f t="shared" si="21"/>
        <v>18497</v>
      </c>
      <c r="J47" s="650">
        <f t="shared" si="21"/>
        <v>0</v>
      </c>
      <c r="K47" s="650">
        <f t="shared" si="21"/>
        <v>1</v>
      </c>
      <c r="L47" s="650">
        <f t="shared" si="21"/>
        <v>1</v>
      </c>
      <c r="M47" s="650">
        <f t="shared" si="21"/>
        <v>0</v>
      </c>
      <c r="N47" s="650">
        <f t="shared" si="21"/>
        <v>0</v>
      </c>
      <c r="O47" s="650">
        <f t="shared" si="21"/>
        <v>0</v>
      </c>
      <c r="P47" s="643">
        <f t="shared" si="0"/>
        <v>0</v>
      </c>
      <c r="Q47" s="650">
        <f t="shared" si="2"/>
        <v>90387070</v>
      </c>
      <c r="R47" s="650">
        <f t="shared" si="1"/>
        <v>81536442</v>
      </c>
    </row>
    <row r="48" spans="1:18" ht="20.25" customHeight="1" x14ac:dyDescent="0.25">
      <c r="A48" s="639" t="s">
        <v>113</v>
      </c>
      <c r="B48" s="25" t="s">
        <v>112</v>
      </c>
      <c r="C48" s="656"/>
      <c r="D48" s="643"/>
      <c r="E48" s="643"/>
      <c r="F48" s="643"/>
      <c r="G48" s="643">
        <v>0</v>
      </c>
      <c r="H48" s="643">
        <v>23</v>
      </c>
      <c r="I48" s="643">
        <v>22</v>
      </c>
      <c r="J48" s="643">
        <v>0</v>
      </c>
      <c r="K48" s="643">
        <v>14</v>
      </c>
      <c r="L48" s="643">
        <v>15</v>
      </c>
      <c r="M48" s="643">
        <v>0</v>
      </c>
      <c r="N48" s="643">
        <v>0</v>
      </c>
      <c r="O48" s="643"/>
      <c r="P48" s="643">
        <f t="shared" si="0"/>
        <v>0</v>
      </c>
      <c r="Q48" s="643">
        <f t="shared" si="2"/>
        <v>37</v>
      </c>
      <c r="R48" s="643">
        <f t="shared" si="1"/>
        <v>37</v>
      </c>
    </row>
    <row r="49" spans="1:18" ht="20.25" customHeight="1" x14ac:dyDescent="0.25">
      <c r="A49" s="639" t="s">
        <v>250</v>
      </c>
      <c r="B49" s="25" t="s">
        <v>114</v>
      </c>
      <c r="C49" s="656"/>
      <c r="D49" s="643"/>
      <c r="E49" s="643"/>
      <c r="F49" s="643"/>
      <c r="G49" s="643"/>
      <c r="H49" s="643"/>
      <c r="I49" s="643"/>
      <c r="J49" s="643"/>
      <c r="K49" s="643"/>
      <c r="L49" s="643"/>
      <c r="M49" s="643"/>
      <c r="N49" s="643"/>
      <c r="O49" s="643"/>
      <c r="P49" s="643">
        <f t="shared" si="0"/>
        <v>0</v>
      </c>
      <c r="Q49" s="643">
        <f t="shared" si="2"/>
        <v>0</v>
      </c>
      <c r="R49" s="643">
        <f t="shared" si="1"/>
        <v>0</v>
      </c>
    </row>
  </sheetData>
  <mergeCells count="25">
    <mergeCell ref="J2:R2"/>
    <mergeCell ref="J5:L5"/>
    <mergeCell ref="M5:O5"/>
    <mergeCell ref="P4:R7"/>
    <mergeCell ref="D8:F8"/>
    <mergeCell ref="G8:I8"/>
    <mergeCell ref="J8:L8"/>
    <mergeCell ref="M8:O8"/>
    <mergeCell ref="M6:O7"/>
    <mergeCell ref="P8:R8"/>
    <mergeCell ref="J4:L4"/>
    <mergeCell ref="M4:O4"/>
    <mergeCell ref="J6:L7"/>
    <mergeCell ref="A2:C3"/>
    <mergeCell ref="D2:H2"/>
    <mergeCell ref="A4:A7"/>
    <mergeCell ref="B4:C4"/>
    <mergeCell ref="B5:C5"/>
    <mergeCell ref="B6:C6"/>
    <mergeCell ref="D4:F4"/>
    <mergeCell ref="G4:I4"/>
    <mergeCell ref="D6:F7"/>
    <mergeCell ref="G6:I7"/>
    <mergeCell ref="D5:F5"/>
    <mergeCell ref="G5:I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>
    <oddHeader>&amp;CDunaharaszti Város Önkormányzat 2017. évi zárszámadás&amp;R&amp;A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55"/>
  <sheetViews>
    <sheetView view="pageBreakPreview" zoomScale="19" zoomScaleNormal="70" zoomScaleSheetLayoutView="19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16" sqref="O16"/>
    </sheetView>
  </sheetViews>
  <sheetFormatPr defaultRowHeight="15.75" x14ac:dyDescent="0.25"/>
  <cols>
    <col min="1" max="1" width="5.7109375" style="626" customWidth="1"/>
    <col min="2" max="2" width="65.7109375" style="626" customWidth="1"/>
    <col min="3" max="3" width="7.85546875" style="626" customWidth="1"/>
    <col min="4" max="6" width="18.28515625" style="3" customWidth="1"/>
    <col min="7" max="12" width="16.42578125" style="3" customWidth="1"/>
    <col min="13" max="14" width="19.140625" style="3" customWidth="1"/>
    <col min="15" max="15" width="18.140625" style="626" customWidth="1"/>
    <col min="16" max="16" width="20.140625" style="626" customWidth="1"/>
    <col min="17" max="17" width="17.42578125" style="626" bestFit="1" customWidth="1"/>
    <col min="18" max="19" width="9.140625" style="626"/>
    <col min="20" max="20" width="10.5703125" style="626" bestFit="1" customWidth="1"/>
    <col min="21" max="16384" width="9.140625" style="626"/>
  </cols>
  <sheetData>
    <row r="1" spans="1:132" x14ac:dyDescent="0.25">
      <c r="H1" s="4" t="s">
        <v>0</v>
      </c>
      <c r="I1" s="4"/>
      <c r="M1" s="4"/>
      <c r="N1" s="4" t="s">
        <v>0</v>
      </c>
    </row>
    <row r="2" spans="1:132" ht="32.25" customHeight="1" x14ac:dyDescent="0.2">
      <c r="A2" s="1007" t="s">
        <v>1249</v>
      </c>
      <c r="B2" s="1007"/>
      <c r="C2" s="1007"/>
      <c r="D2" s="903" t="s">
        <v>1273</v>
      </c>
      <c r="E2" s="904"/>
      <c r="F2" s="904"/>
      <c r="G2" s="904"/>
      <c r="H2" s="904"/>
      <c r="I2" s="905"/>
      <c r="J2" s="903" t="s">
        <v>1273</v>
      </c>
      <c r="K2" s="904"/>
      <c r="L2" s="904"/>
      <c r="M2" s="904"/>
      <c r="N2" s="904"/>
      <c r="O2" s="905"/>
    </row>
    <row r="3" spans="1:132" s="634" customFormat="1" ht="27" customHeight="1" x14ac:dyDescent="0.2">
      <c r="A3" s="979" t="s">
        <v>3</v>
      </c>
      <c r="B3" s="980" t="s">
        <v>4</v>
      </c>
      <c r="C3" s="980"/>
      <c r="D3" s="906"/>
      <c r="E3" s="907"/>
      <c r="F3" s="907"/>
      <c r="G3" s="907"/>
      <c r="H3" s="907"/>
      <c r="I3" s="908"/>
      <c r="J3" s="906"/>
      <c r="K3" s="907"/>
      <c r="L3" s="907"/>
      <c r="M3" s="907"/>
      <c r="N3" s="907"/>
      <c r="O3" s="908"/>
    </row>
    <row r="4" spans="1:132" s="634" customFormat="1" ht="27.75" customHeight="1" x14ac:dyDescent="0.2">
      <c r="A4" s="979"/>
      <c r="B4" s="980" t="s">
        <v>5</v>
      </c>
      <c r="C4" s="980"/>
      <c r="D4" s="1005" t="s">
        <v>6</v>
      </c>
      <c r="E4" s="1005" t="s">
        <v>7</v>
      </c>
      <c r="F4" s="1005" t="s">
        <v>788</v>
      </c>
      <c r="G4" s="1005" t="s">
        <v>6</v>
      </c>
      <c r="H4" s="1005" t="s">
        <v>7</v>
      </c>
      <c r="I4" s="1005" t="s">
        <v>788</v>
      </c>
      <c r="J4" s="1005" t="s">
        <v>6</v>
      </c>
      <c r="K4" s="1005" t="s">
        <v>7</v>
      </c>
      <c r="L4" s="1005" t="s">
        <v>788</v>
      </c>
      <c r="M4" s="1005" t="s">
        <v>6</v>
      </c>
      <c r="N4" s="1005" t="s">
        <v>7</v>
      </c>
      <c r="O4" s="1005" t="s">
        <v>788</v>
      </c>
    </row>
    <row r="5" spans="1:132" s="634" customFormat="1" ht="26.25" customHeight="1" x14ac:dyDescent="0.2">
      <c r="A5" s="979"/>
      <c r="B5" s="980" t="s">
        <v>8</v>
      </c>
      <c r="C5" s="980"/>
      <c r="D5" s="1006"/>
      <c r="E5" s="1006"/>
      <c r="F5" s="1006"/>
      <c r="G5" s="1006"/>
      <c r="H5" s="1006"/>
      <c r="I5" s="1006"/>
      <c r="J5" s="1006"/>
      <c r="K5" s="1006"/>
      <c r="L5" s="1006"/>
      <c r="M5" s="1006"/>
      <c r="N5" s="1006"/>
      <c r="O5" s="1006"/>
    </row>
    <row r="6" spans="1:132" ht="52.5" customHeight="1" x14ac:dyDescent="0.2">
      <c r="A6" s="979"/>
      <c r="B6" s="635" t="s">
        <v>9</v>
      </c>
      <c r="C6" s="636" t="s">
        <v>10</v>
      </c>
      <c r="D6" s="934" t="s">
        <v>11</v>
      </c>
      <c r="E6" s="935"/>
      <c r="F6" s="936"/>
      <c r="G6" s="934" t="s">
        <v>12</v>
      </c>
      <c r="H6" s="935"/>
      <c r="I6" s="936"/>
      <c r="J6" s="934" t="s">
        <v>13</v>
      </c>
      <c r="K6" s="935"/>
      <c r="L6" s="936"/>
      <c r="M6" s="934" t="s">
        <v>14</v>
      </c>
      <c r="N6" s="935"/>
      <c r="O6" s="936"/>
    </row>
    <row r="7" spans="1:132" x14ac:dyDescent="0.2">
      <c r="A7" s="637" t="s">
        <v>15</v>
      </c>
      <c r="B7" s="638" t="s">
        <v>16</v>
      </c>
      <c r="C7" s="638" t="s">
        <v>17</v>
      </c>
      <c r="D7" s="1002" t="s">
        <v>18</v>
      </c>
      <c r="E7" s="1003"/>
      <c r="F7" s="1004"/>
      <c r="G7" s="1002" t="s">
        <v>19</v>
      </c>
      <c r="H7" s="1003"/>
      <c r="I7" s="1004"/>
      <c r="J7" s="1002" t="s">
        <v>20</v>
      </c>
      <c r="K7" s="1003"/>
      <c r="L7" s="1004"/>
      <c r="M7" s="1002" t="s">
        <v>21</v>
      </c>
      <c r="N7" s="1003"/>
      <c r="O7" s="1004"/>
    </row>
    <row r="8" spans="1:132" ht="23.25" customHeight="1" x14ac:dyDescent="0.25">
      <c r="A8" s="639" t="s">
        <v>15</v>
      </c>
      <c r="B8" s="640" t="s">
        <v>23</v>
      </c>
      <c r="C8" s="664" t="s">
        <v>24</v>
      </c>
      <c r="D8" s="681">
        <v>958306941</v>
      </c>
      <c r="E8" s="681">
        <v>1012593941</v>
      </c>
      <c r="F8" s="681">
        <f>+'2.1. sz. PMH'!AH9+'2.2. sz. Hétszínvirág Óvoda'!X9+'2.3. sz. Mese Óvoda'!R9+'2.4. sz. Bölcsőde'!R9+'2.5. sz. Gyermekjóléti'!AD9+'2.6 sz. Területi'!BM9+'2.7. sz. Könyvtár'!AD9+'2.9. sz. Szivárvány Ó.'!R9+'2.8. sz. Műv.Ház'!V9</f>
        <v>987880011</v>
      </c>
      <c r="G8" s="681">
        <v>25077414</v>
      </c>
      <c r="H8" s="681">
        <v>27920747</v>
      </c>
      <c r="I8" s="681">
        <f>+'2.6 sz. Területi'!BN9+'2.8. sz. Műv.Ház'!W9</f>
        <v>25252313</v>
      </c>
      <c r="J8" s="681">
        <v>34737498</v>
      </c>
      <c r="K8" s="681">
        <v>42117498</v>
      </c>
      <c r="L8" s="681">
        <f>+'2.1. sz. PMH'!AJ9</f>
        <v>38945617</v>
      </c>
      <c r="M8" s="681">
        <v>1018121853</v>
      </c>
      <c r="N8" s="681">
        <v>1082632186</v>
      </c>
      <c r="O8" s="866">
        <f>+F8+I8+L8</f>
        <v>1052077941</v>
      </c>
      <c r="P8" s="659">
        <f>O8-M8</f>
        <v>33956088</v>
      </c>
    </row>
    <row r="9" spans="1:132" ht="23.25" customHeight="1" x14ac:dyDescent="0.25">
      <c r="A9" s="639" t="s">
        <v>16</v>
      </c>
      <c r="B9" s="645" t="s">
        <v>25</v>
      </c>
      <c r="C9" s="664" t="s">
        <v>26</v>
      </c>
      <c r="D9" s="681">
        <v>241913116</v>
      </c>
      <c r="E9" s="681">
        <v>256594082</v>
      </c>
      <c r="F9" s="681">
        <f>+'2.1. sz. PMH'!AH10+'2.2. sz. Hétszínvirág Óvoda'!X10+'2.3. sz. Mese Óvoda'!R10+'2.4. sz. Bölcsőde'!R10+'2.5. sz. Gyermekjóléti'!AD10+'2.6 sz. Területi'!BM10+'2.7. sz. Könyvtár'!AD10+'2.9. sz. Szivárvány Ó.'!R10+'2.8. sz. Műv.Ház'!V10</f>
        <v>239573140</v>
      </c>
      <c r="G9" s="681">
        <v>5702493</v>
      </c>
      <c r="H9" s="681">
        <v>6051112</v>
      </c>
      <c r="I9" s="681">
        <f>+'2.6 sz. Területi'!BN10+'2.8. sz. Műv.Ház'!W10</f>
        <v>5669167</v>
      </c>
      <c r="J9" s="681">
        <v>8502323</v>
      </c>
      <c r="K9" s="681">
        <v>9882323</v>
      </c>
      <c r="L9" s="681">
        <f>+'2.1. sz. PMH'!AJ10</f>
        <v>8774374</v>
      </c>
      <c r="M9" s="681">
        <v>256117932</v>
      </c>
      <c r="N9" s="681">
        <v>272527517</v>
      </c>
      <c r="O9" s="866">
        <f t="shared" ref="O9:O48" si="0">+F9+I9+L9</f>
        <v>254016681</v>
      </c>
      <c r="P9" s="675">
        <f t="shared" ref="P9:P47" si="1">O9-M9</f>
        <v>-2101251</v>
      </c>
    </row>
    <row r="10" spans="1:132" ht="23.25" customHeight="1" x14ac:dyDescent="0.25">
      <c r="A10" s="639" t="s">
        <v>17</v>
      </c>
      <c r="B10" s="645" t="s">
        <v>27</v>
      </c>
      <c r="C10" s="664" t="s">
        <v>28</v>
      </c>
      <c r="D10" s="681">
        <v>784583065</v>
      </c>
      <c r="E10" s="681">
        <v>842864072</v>
      </c>
      <c r="F10" s="681">
        <f>+'2.1. sz. PMH'!AH11+'2.2. sz. Hétszínvirág Óvoda'!X11+'2.3. sz. Mese Óvoda'!R11+'2.4. sz. Bölcsőde'!R11+'2.5. sz. Gyermekjóléti'!AD11+'2.6 sz. Területi'!BM11+'2.7. sz. Könyvtár'!AD11+'2.9. sz. Szivárvány Ó.'!R11+'2.8. sz. Műv.Ház'!V11</f>
        <v>612236548</v>
      </c>
      <c r="G10" s="681">
        <v>3852691</v>
      </c>
      <c r="H10" s="681">
        <v>5171728</v>
      </c>
      <c r="I10" s="681">
        <f>+'2.6 sz. Területi'!BN11+'2.8. sz. Műv.Ház'!W11</f>
        <v>2512170</v>
      </c>
      <c r="J10" s="681">
        <v>14390384</v>
      </c>
      <c r="K10" s="681">
        <v>15124438</v>
      </c>
      <c r="L10" s="681">
        <f>+'2.1. sz. PMH'!AJ11</f>
        <v>9740013</v>
      </c>
      <c r="M10" s="681">
        <v>802826140</v>
      </c>
      <c r="N10" s="681">
        <v>863160238</v>
      </c>
      <c r="O10" s="866">
        <f t="shared" si="0"/>
        <v>624488731</v>
      </c>
      <c r="P10" s="659">
        <f t="shared" si="1"/>
        <v>-178337409</v>
      </c>
      <c r="EB10" s="626" t="b">
        <f>'2.10. sz. Intézmények összesen'!D8=SUMIF($D$6:$EA$6,"kötelező",D10:EA10)</f>
        <v>0</v>
      </c>
    </row>
    <row r="11" spans="1:132" ht="23.25" customHeight="1" x14ac:dyDescent="0.25">
      <c r="A11" s="639" t="s">
        <v>18</v>
      </c>
      <c r="B11" s="646" t="s">
        <v>29</v>
      </c>
      <c r="C11" s="664" t="s">
        <v>30</v>
      </c>
      <c r="D11" s="681">
        <v>100000</v>
      </c>
      <c r="E11" s="681">
        <v>100000</v>
      </c>
      <c r="F11" s="681">
        <f>+'2.1. sz. PMH'!AH12+'2.2. sz. Hétszínvirág Óvoda'!X12+'2.3. sz. Mese Óvoda'!R12+'2.4. sz. Bölcsőde'!R12+'2.5. sz. Gyermekjóléti'!AD12+'2.6 sz. Területi'!BM12+'2.7. sz. Könyvtár'!AD12+'2.9. sz. Szivárvány Ó.'!R12+'2.8. sz. Műv.Ház'!V12</f>
        <v>0</v>
      </c>
      <c r="G11" s="715">
        <v>0</v>
      </c>
      <c r="H11" s="715">
        <v>0</v>
      </c>
      <c r="I11" s="681">
        <f>+'2.6 sz. Területi'!BN12+'2.8. sz. Műv.Ház'!W12</f>
        <v>0</v>
      </c>
      <c r="J11" s="715">
        <v>0</v>
      </c>
      <c r="K11" s="715">
        <v>0</v>
      </c>
      <c r="L11" s="681">
        <f>+'2.1. sz. PMH'!AJ12</f>
        <v>0</v>
      </c>
      <c r="M11" s="681">
        <v>100000</v>
      </c>
      <c r="N11" s="681">
        <v>100000</v>
      </c>
      <c r="O11" s="866">
        <f t="shared" si="0"/>
        <v>0</v>
      </c>
      <c r="P11" s="678">
        <f t="shared" si="1"/>
        <v>-100000</v>
      </c>
    </row>
    <row r="12" spans="1:132" ht="23.25" customHeight="1" x14ac:dyDescent="0.25">
      <c r="A12" s="639" t="s">
        <v>19</v>
      </c>
      <c r="B12" s="646" t="s">
        <v>31</v>
      </c>
      <c r="C12" s="664" t="s">
        <v>32</v>
      </c>
      <c r="D12" s="715">
        <v>0</v>
      </c>
      <c r="E12" s="681">
        <v>80872960</v>
      </c>
      <c r="F12" s="681">
        <f>+'2.1. sz. PMH'!AH13+'2.2. sz. Hétszínvirág Óvoda'!X13+'2.3. sz. Mese Óvoda'!R13+'2.4. sz. Bölcsőde'!R13+'2.5. sz. Gyermekjóléti'!AD13+'2.6 sz. Területi'!BM13+'2.7. sz. Könyvtár'!AD13+'2.9. sz. Szivárvány Ó.'!R13+'2.8. sz. Műv.Ház'!V13</f>
        <v>80872960</v>
      </c>
      <c r="G12" s="715">
        <v>0</v>
      </c>
      <c r="H12" s="715">
        <v>0</v>
      </c>
      <c r="I12" s="681">
        <f>+'2.6 sz. Területi'!BN13+'2.8. sz. Műv.Ház'!W13</f>
        <v>0</v>
      </c>
      <c r="J12" s="715">
        <v>0</v>
      </c>
      <c r="K12" s="715">
        <v>0</v>
      </c>
      <c r="L12" s="681">
        <f>+'2.1. sz. PMH'!AJ13</f>
        <v>0</v>
      </c>
      <c r="M12" s="715">
        <v>0</v>
      </c>
      <c r="N12" s="681">
        <v>80872960</v>
      </c>
      <c r="O12" s="866">
        <f t="shared" si="0"/>
        <v>80872960</v>
      </c>
      <c r="P12" s="659">
        <f t="shared" si="1"/>
        <v>80872960</v>
      </c>
    </row>
    <row r="13" spans="1:132" ht="23.25" customHeight="1" x14ac:dyDescent="0.25">
      <c r="A13" s="639" t="s">
        <v>20</v>
      </c>
      <c r="B13" s="21" t="s">
        <v>33</v>
      </c>
      <c r="C13" s="664"/>
      <c r="D13" s="715">
        <v>0</v>
      </c>
      <c r="E13" s="715">
        <v>0</v>
      </c>
      <c r="F13" s="681">
        <f>+'2.1. sz. PMH'!AH14+'2.2. sz. Hétszínvirág Óvoda'!X14+'2.3. sz. Mese Óvoda'!R14+'2.4. sz. Bölcsőde'!R14+'2.5. sz. Gyermekjóléti'!AD14+'2.6 sz. Területi'!BM14+'2.7. sz. Könyvtár'!AD14+'2.9. sz. Szivárvány Ó.'!R14+'2.8. sz. Műv.Ház'!V14</f>
        <v>0</v>
      </c>
      <c r="G13" s="715">
        <v>0</v>
      </c>
      <c r="H13" s="715">
        <v>0</v>
      </c>
      <c r="I13" s="681">
        <f>+'2.6 sz. Területi'!BN14+'2.8. sz. Műv.Ház'!W14</f>
        <v>0</v>
      </c>
      <c r="J13" s="715">
        <v>0</v>
      </c>
      <c r="K13" s="715">
        <v>0</v>
      </c>
      <c r="L13" s="681">
        <f>+'2.1. sz. PMH'!AJ14</f>
        <v>0</v>
      </c>
      <c r="M13" s="715">
        <v>0</v>
      </c>
      <c r="N13" s="715">
        <v>0</v>
      </c>
      <c r="O13" s="866">
        <f t="shared" si="0"/>
        <v>0</v>
      </c>
      <c r="P13" s="659">
        <f t="shared" si="1"/>
        <v>0</v>
      </c>
    </row>
    <row r="14" spans="1:132" ht="23.25" customHeight="1" x14ac:dyDescent="0.25">
      <c r="A14" s="639" t="s">
        <v>21</v>
      </c>
      <c r="B14" s="21" t="s">
        <v>34</v>
      </c>
      <c r="C14" s="665"/>
      <c r="D14" s="715">
        <v>0</v>
      </c>
      <c r="E14" s="715">
        <v>0</v>
      </c>
      <c r="F14" s="681">
        <f>+'2.1. sz. PMH'!AH15+'2.2. sz. Hétszínvirág Óvoda'!X15+'2.3. sz. Mese Óvoda'!R15+'2.4. sz. Bölcsőde'!R15+'2.5. sz. Gyermekjóléti'!AD15+'2.6 sz. Területi'!BM15+'2.7. sz. Könyvtár'!AD15+'2.9. sz. Szivárvány Ó.'!R15+'2.8. sz. Műv.Ház'!V15</f>
        <v>0</v>
      </c>
      <c r="G14" s="715">
        <v>0</v>
      </c>
      <c r="H14" s="715">
        <v>0</v>
      </c>
      <c r="I14" s="681">
        <f>+'2.6 sz. Területi'!BN15+'2.8. sz. Műv.Ház'!W15</f>
        <v>0</v>
      </c>
      <c r="J14" s="715">
        <v>0</v>
      </c>
      <c r="K14" s="715">
        <v>0</v>
      </c>
      <c r="L14" s="681">
        <f>+'2.1. sz. PMH'!AJ15</f>
        <v>0</v>
      </c>
      <c r="M14" s="715">
        <v>0</v>
      </c>
      <c r="N14" s="715">
        <v>0</v>
      </c>
      <c r="O14" s="866">
        <f t="shared" si="0"/>
        <v>0</v>
      </c>
      <c r="P14" s="659">
        <f t="shared" si="1"/>
        <v>0</v>
      </c>
    </row>
    <row r="15" spans="1:132" ht="23.25" customHeight="1" x14ac:dyDescent="0.25">
      <c r="A15" s="639" t="s">
        <v>22</v>
      </c>
      <c r="B15" s="17" t="s">
        <v>35</v>
      </c>
      <c r="C15" s="665"/>
      <c r="D15" s="715">
        <v>0</v>
      </c>
      <c r="E15" s="681">
        <v>80872960</v>
      </c>
      <c r="F15" s="681">
        <f>+'2.1. sz. PMH'!AH16+'2.2. sz. Hétszínvirág Óvoda'!X16+'2.3. sz. Mese Óvoda'!R16+'2.4. sz. Bölcsőde'!R16+'2.5. sz. Gyermekjóléti'!AD16+'2.6 sz. Területi'!BM16+'2.7. sz. Könyvtár'!AD16+'2.9. sz. Szivárvány Ó.'!R16+'2.8. sz. Műv.Ház'!V16</f>
        <v>80872960</v>
      </c>
      <c r="G15" s="715">
        <v>0</v>
      </c>
      <c r="H15" s="715">
        <v>0</v>
      </c>
      <c r="I15" s="681">
        <f>+'2.6 sz. Területi'!BN16+'2.8. sz. Műv.Ház'!W16</f>
        <v>0</v>
      </c>
      <c r="J15" s="715">
        <v>0</v>
      </c>
      <c r="K15" s="715">
        <v>0</v>
      </c>
      <c r="L15" s="681">
        <f>+'2.1. sz. PMH'!AJ16</f>
        <v>0</v>
      </c>
      <c r="M15" s="715">
        <v>0</v>
      </c>
      <c r="N15" s="681">
        <v>80872960</v>
      </c>
      <c r="O15" s="866">
        <f t="shared" si="0"/>
        <v>80872960</v>
      </c>
      <c r="P15" s="659"/>
    </row>
    <row r="16" spans="1:132" ht="23.25" customHeight="1" x14ac:dyDescent="0.25">
      <c r="A16" s="639" t="s">
        <v>36</v>
      </c>
      <c r="B16" s="648" t="s">
        <v>37</v>
      </c>
      <c r="C16" s="664" t="s">
        <v>38</v>
      </c>
      <c r="D16" s="681">
        <v>11637320</v>
      </c>
      <c r="E16" s="681">
        <v>27665160</v>
      </c>
      <c r="F16" s="681">
        <f>+'2.1. sz. PMH'!AH17+'2.2. sz. Hétszínvirág Óvoda'!X17+'2.3. sz. Mese Óvoda'!R17+'2.4. sz. Bölcsőde'!R17+'2.5. sz. Gyermekjóléti'!AD17+'2.6 sz. Területi'!BM17+'2.7. sz. Könyvtár'!AD17+'2.9. sz. Szivárvány Ó.'!R17+'2.8. sz. Műv.Ház'!V17</f>
        <v>24621980</v>
      </c>
      <c r="G16" s="715">
        <v>0</v>
      </c>
      <c r="H16" s="681">
        <v>80599</v>
      </c>
      <c r="I16" s="681">
        <f>+'2.6 sz. Területi'!BN17+'2.8. sz. Műv.Ház'!W17</f>
        <v>80599</v>
      </c>
      <c r="J16" s="715">
        <v>0</v>
      </c>
      <c r="K16" s="681">
        <v>530565</v>
      </c>
      <c r="L16" s="681">
        <f>+'2.1. sz. PMH'!AJ17</f>
        <v>529303</v>
      </c>
      <c r="M16" s="681">
        <v>11637320</v>
      </c>
      <c r="N16" s="681">
        <v>28276324</v>
      </c>
      <c r="O16" s="866">
        <f t="shared" si="0"/>
        <v>25231882</v>
      </c>
      <c r="P16" s="659">
        <f t="shared" si="1"/>
        <v>13594562</v>
      </c>
    </row>
    <row r="17" spans="1:17" ht="23.25" customHeight="1" x14ac:dyDescent="0.25">
      <c r="A17" s="639" t="s">
        <v>39</v>
      </c>
      <c r="B17" s="646" t="s">
        <v>40</v>
      </c>
      <c r="C17" s="664" t="s">
        <v>41</v>
      </c>
      <c r="D17" s="715">
        <v>0</v>
      </c>
      <c r="E17" s="714">
        <v>0</v>
      </c>
      <c r="F17" s="681">
        <f>+'2.1. sz. PMH'!AH18+'2.2. sz. Hétszínvirág Óvoda'!X18+'2.3. sz. Mese Óvoda'!R18+'2.4. sz. Bölcsőde'!R18+'2.5. sz. Gyermekjóléti'!AD18+'2.6 sz. Területi'!BM18+'2.7. sz. Könyvtár'!AD18+'2.9. sz. Szivárvány Ó.'!R18+'2.8. sz. Műv.Ház'!V18</f>
        <v>0</v>
      </c>
      <c r="G17" s="715">
        <v>0</v>
      </c>
      <c r="H17" s="715">
        <v>0</v>
      </c>
      <c r="I17" s="681">
        <f>+'2.6 sz. Területi'!BN18+'2.8. sz. Műv.Ház'!W18</f>
        <v>0</v>
      </c>
      <c r="J17" s="715">
        <v>0</v>
      </c>
      <c r="K17" s="715">
        <v>0</v>
      </c>
      <c r="L17" s="681">
        <f>+'2.1. sz. PMH'!AJ18</f>
        <v>0</v>
      </c>
      <c r="M17" s="715">
        <v>0</v>
      </c>
      <c r="N17" s="715">
        <v>0</v>
      </c>
      <c r="O17" s="866">
        <f t="shared" si="0"/>
        <v>0</v>
      </c>
      <c r="P17" s="659">
        <f t="shared" si="1"/>
        <v>0</v>
      </c>
    </row>
    <row r="18" spans="1:17" ht="23.25" customHeight="1" x14ac:dyDescent="0.25">
      <c r="A18" s="639" t="s">
        <v>42</v>
      </c>
      <c r="B18" s="646" t="s">
        <v>43</v>
      </c>
      <c r="C18" s="664" t="s">
        <v>44</v>
      </c>
      <c r="D18" s="681">
        <v>7500000</v>
      </c>
      <c r="E18" s="681">
        <v>10169900</v>
      </c>
      <c r="F18" s="681">
        <f>+'2.1. sz. PMH'!AH19+'2.2. sz. Hétszínvirág Óvoda'!X19+'2.3. sz. Mese Óvoda'!R19+'2.4. sz. Bölcsőde'!R19+'2.5. sz. Gyermekjóléti'!AD19+'2.6 sz. Területi'!BM19+'2.7. sz. Könyvtár'!AD19+'2.9. sz. Szivárvány Ó.'!R19+'2.8. sz. Műv.Ház'!V19</f>
        <v>9600000</v>
      </c>
      <c r="G18" s="715">
        <v>0</v>
      </c>
      <c r="H18" s="715">
        <v>0</v>
      </c>
      <c r="I18" s="681">
        <f>+'2.6 sz. Területi'!BN19+'2.8. sz. Műv.Ház'!W19</f>
        <v>0</v>
      </c>
      <c r="J18" s="715">
        <v>0</v>
      </c>
      <c r="K18" s="715">
        <v>0</v>
      </c>
      <c r="L18" s="681">
        <f>+'2.1. sz. PMH'!AJ19</f>
        <v>0</v>
      </c>
      <c r="M18" s="681">
        <v>7500000</v>
      </c>
      <c r="N18" s="681">
        <v>10169900</v>
      </c>
      <c r="O18" s="866">
        <f t="shared" si="0"/>
        <v>9600000</v>
      </c>
      <c r="P18" s="659">
        <f t="shared" si="1"/>
        <v>2100000</v>
      </c>
    </row>
    <row r="19" spans="1:17" ht="23.25" customHeight="1" x14ac:dyDescent="0.25">
      <c r="A19" s="639" t="s">
        <v>45</v>
      </c>
      <c r="B19" s="21" t="s">
        <v>46</v>
      </c>
      <c r="C19" s="664"/>
      <c r="D19" s="681">
        <v>7500000</v>
      </c>
      <c r="E19" s="681">
        <v>10169900</v>
      </c>
      <c r="F19" s="681">
        <f>+'2.1. sz. PMH'!AH20+'2.2. sz. Hétszínvirág Óvoda'!X20+'2.3. sz. Mese Óvoda'!R20+'2.4. sz. Bölcsőde'!R20+'2.5. sz. Gyermekjóléti'!AD20+'2.6 sz. Területi'!BM20+'2.7. sz. Könyvtár'!AD20+'2.9. sz. Szivárvány Ó.'!R20+'2.8. sz. Műv.Ház'!V20</f>
        <v>9600000</v>
      </c>
      <c r="G19" s="715">
        <v>0</v>
      </c>
      <c r="H19" s="715">
        <v>0</v>
      </c>
      <c r="I19" s="681">
        <f>+'2.6 sz. Területi'!BN20+'2.8. sz. Műv.Ház'!W20</f>
        <v>0</v>
      </c>
      <c r="J19" s="715">
        <v>0</v>
      </c>
      <c r="K19" s="715">
        <v>0</v>
      </c>
      <c r="L19" s="681">
        <f>+'2.1. sz. PMH'!AJ20</f>
        <v>0</v>
      </c>
      <c r="M19" s="681">
        <v>7500000</v>
      </c>
      <c r="N19" s="681">
        <v>10169900</v>
      </c>
      <c r="O19" s="866">
        <f t="shared" si="0"/>
        <v>9600000</v>
      </c>
      <c r="P19" s="659">
        <f t="shared" si="1"/>
        <v>2100000</v>
      </c>
    </row>
    <row r="20" spans="1:17" ht="23.25" customHeight="1" x14ac:dyDescent="0.25">
      <c r="A20" s="639" t="s">
        <v>47</v>
      </c>
      <c r="B20" s="648" t="s">
        <v>48</v>
      </c>
      <c r="C20" s="664" t="s">
        <v>49</v>
      </c>
      <c r="D20" s="681">
        <v>2004040442</v>
      </c>
      <c r="E20" s="681">
        <v>2230860115</v>
      </c>
      <c r="F20" s="681">
        <f>+'2.1. sz. PMH'!AH21+'2.2. sz. Hétszínvirág Óvoda'!X21+'2.3. sz. Mese Óvoda'!R21+'2.4. sz. Bölcsőde'!R21+'2.5. sz. Gyermekjóléti'!AD21+'2.6 sz. Területi'!BM21+'2.7. sz. Könyvtár'!AD21+'2.9. sz. Szivárvány Ó.'!R21+'2.8. sz. Műv.Ház'!V21</f>
        <v>1954784639</v>
      </c>
      <c r="G20" s="681">
        <v>34632598</v>
      </c>
      <c r="H20" s="681">
        <v>39224186</v>
      </c>
      <c r="I20" s="681">
        <f>+'2.6 sz. Területi'!BN21+'2.8. sz. Műv.Ház'!W21</f>
        <v>33514249</v>
      </c>
      <c r="J20" s="681">
        <v>57630205</v>
      </c>
      <c r="K20" s="681">
        <v>67654824</v>
      </c>
      <c r="L20" s="681">
        <f>+'2.1. sz. PMH'!AJ21</f>
        <v>57989307</v>
      </c>
      <c r="M20" s="681">
        <v>2096303245</v>
      </c>
      <c r="N20" s="681">
        <v>2337739125</v>
      </c>
      <c r="O20" s="866">
        <f t="shared" si="0"/>
        <v>2046288195</v>
      </c>
      <c r="P20" s="659">
        <f t="shared" si="1"/>
        <v>-50015050</v>
      </c>
      <c r="Q20" s="815">
        <f>+O20+O21</f>
        <v>2046288195</v>
      </c>
    </row>
    <row r="21" spans="1:17" ht="23.25" customHeight="1" x14ac:dyDescent="0.25">
      <c r="A21" s="639" t="s">
        <v>50</v>
      </c>
      <c r="B21" s="648" t="s">
        <v>51</v>
      </c>
      <c r="C21" s="664" t="s">
        <v>52</v>
      </c>
      <c r="D21" s="715">
        <v>0</v>
      </c>
      <c r="E21" s="715">
        <v>0</v>
      </c>
      <c r="F21" s="681">
        <f>+'2.1. sz. PMH'!AH22+'2.2. sz. Hétszínvirág Óvoda'!X22+'2.3. sz. Mese Óvoda'!R22+'2.4. sz. Bölcsőde'!R22+'2.5. sz. Gyermekjóléti'!AD22+'2.6 sz. Területi'!BM22+'2.7. sz. Könyvtár'!AD22+'2.9. sz. Szivárvány Ó.'!R22+'2.8. sz. Műv.Ház'!V22</f>
        <v>0</v>
      </c>
      <c r="G21" s="715">
        <v>0</v>
      </c>
      <c r="H21" s="715">
        <v>0</v>
      </c>
      <c r="I21" s="681">
        <f>+'2.6 sz. Területi'!BN22+'2.8. sz. Műv.Ház'!W22</f>
        <v>0</v>
      </c>
      <c r="J21" s="715">
        <v>0</v>
      </c>
      <c r="K21" s="715">
        <v>0</v>
      </c>
      <c r="L21" s="681">
        <f>+'2.1. sz. PMH'!AJ22</f>
        <v>0</v>
      </c>
      <c r="M21" s="715">
        <v>0</v>
      </c>
      <c r="N21" s="715">
        <v>0</v>
      </c>
      <c r="O21" s="866">
        <f t="shared" si="0"/>
        <v>0</v>
      </c>
      <c r="P21" s="659">
        <f t="shared" si="1"/>
        <v>0</v>
      </c>
    </row>
    <row r="22" spans="1:17" ht="23.25" customHeight="1" x14ac:dyDescent="0.25">
      <c r="A22" s="639" t="s">
        <v>53</v>
      </c>
      <c r="B22" s="24" t="s">
        <v>970</v>
      </c>
      <c r="C22" s="665"/>
      <c r="D22" s="715">
        <v>0</v>
      </c>
      <c r="E22" s="715">
        <v>0</v>
      </c>
      <c r="F22" s="681">
        <f>+'2.1. sz. PMH'!AH23+'2.2. sz. Hétszínvirág Óvoda'!X23+'2.3. sz. Mese Óvoda'!R23+'2.4. sz. Bölcsőde'!R23+'2.5. sz. Gyermekjóléti'!AD23+'2.6 sz. Területi'!BM23+'2.7. sz. Könyvtár'!AD23+'2.9. sz. Szivárvány Ó.'!R23+'2.8. sz. Műv.Ház'!V23</f>
        <v>0</v>
      </c>
      <c r="G22" s="715">
        <v>0</v>
      </c>
      <c r="H22" s="715">
        <v>0</v>
      </c>
      <c r="I22" s="681">
        <f>+'2.6 sz. Területi'!BN23+'2.8. sz. Műv.Ház'!W23</f>
        <v>0</v>
      </c>
      <c r="J22" s="715">
        <v>0</v>
      </c>
      <c r="K22" s="715">
        <v>0</v>
      </c>
      <c r="L22" s="681">
        <f>+'2.1. sz. PMH'!AJ23</f>
        <v>0</v>
      </c>
      <c r="M22" s="715">
        <v>0</v>
      </c>
      <c r="N22" s="715">
        <v>0</v>
      </c>
      <c r="O22" s="866">
        <f t="shared" si="0"/>
        <v>0</v>
      </c>
      <c r="P22" s="675">
        <f t="shared" si="1"/>
        <v>0</v>
      </c>
    </row>
    <row r="23" spans="1:17" ht="23.25" customHeight="1" x14ac:dyDescent="0.25">
      <c r="A23" s="639" t="s">
        <v>55</v>
      </c>
      <c r="B23" s="652" t="s">
        <v>56</v>
      </c>
      <c r="C23" s="665"/>
      <c r="D23" s="715">
        <v>0</v>
      </c>
      <c r="E23" s="715">
        <v>0</v>
      </c>
      <c r="F23" s="681">
        <f>+'2.1. sz. PMH'!AH24+'2.2. sz. Hétszínvirág Óvoda'!X24+'2.3. sz. Mese Óvoda'!R24+'2.4. sz. Bölcsőde'!R24+'2.5. sz. Gyermekjóléti'!AD24+'2.6 sz. Területi'!BM24+'2.7. sz. Könyvtár'!AD24+'2.9. sz. Szivárvány Ó.'!R24+'2.8. sz. Műv.Ház'!V24</f>
        <v>0</v>
      </c>
      <c r="G23" s="715">
        <v>0</v>
      </c>
      <c r="H23" s="715">
        <v>0</v>
      </c>
      <c r="I23" s="681">
        <f>+'2.6 sz. Területi'!BN24+'2.8. sz. Műv.Ház'!W24</f>
        <v>0</v>
      </c>
      <c r="J23" s="715">
        <v>0</v>
      </c>
      <c r="K23" s="715">
        <v>0</v>
      </c>
      <c r="L23" s="681">
        <f>+'2.1. sz. PMH'!AJ24</f>
        <v>0</v>
      </c>
      <c r="M23" s="715">
        <v>0</v>
      </c>
      <c r="N23" s="715">
        <v>0</v>
      </c>
      <c r="O23" s="866">
        <f t="shared" si="0"/>
        <v>0</v>
      </c>
      <c r="P23" s="659">
        <f t="shared" si="1"/>
        <v>0</v>
      </c>
    </row>
    <row r="24" spans="1:17" ht="23.25" customHeight="1" x14ac:dyDescent="0.25">
      <c r="A24" s="639" t="s">
        <v>57</v>
      </c>
      <c r="B24" s="652" t="s">
        <v>58</v>
      </c>
      <c r="C24" s="665"/>
      <c r="D24" s="715">
        <v>0</v>
      </c>
      <c r="E24" s="715">
        <v>0</v>
      </c>
      <c r="F24" s="681">
        <f>+'2.1. sz. PMH'!AH25+'2.2. sz. Hétszínvirág Óvoda'!X25+'2.3. sz. Mese Óvoda'!R25+'2.4. sz. Bölcsőde'!R25+'2.5. sz. Gyermekjóléti'!AD25+'2.6 sz. Területi'!BM25+'2.7. sz. Könyvtár'!AD25+'2.9. sz. Szivárvány Ó.'!R25+'2.8. sz. Műv.Ház'!V25</f>
        <v>0</v>
      </c>
      <c r="G24" s="715">
        <v>0</v>
      </c>
      <c r="H24" s="715">
        <v>0</v>
      </c>
      <c r="I24" s="681">
        <f>+'2.6 sz. Területi'!BN25+'2.8. sz. Műv.Ház'!W25</f>
        <v>0</v>
      </c>
      <c r="J24" s="715">
        <v>0</v>
      </c>
      <c r="K24" s="715">
        <v>0</v>
      </c>
      <c r="L24" s="681">
        <f>+'2.1. sz. PMH'!AJ25</f>
        <v>0</v>
      </c>
      <c r="M24" s="715">
        <v>0</v>
      </c>
      <c r="N24" s="715">
        <v>0</v>
      </c>
      <c r="O24" s="866">
        <f t="shared" si="0"/>
        <v>0</v>
      </c>
      <c r="P24" s="659">
        <f t="shared" si="1"/>
        <v>0</v>
      </c>
    </row>
    <row r="25" spans="1:17" ht="23.25" customHeight="1" x14ac:dyDescent="0.25">
      <c r="A25" s="639" t="s">
        <v>59</v>
      </c>
      <c r="B25" s="652" t="s">
        <v>60</v>
      </c>
      <c r="C25" s="665"/>
      <c r="D25" s="715">
        <v>0</v>
      </c>
      <c r="E25" s="715">
        <v>0</v>
      </c>
      <c r="F25" s="681">
        <f>+'2.1. sz. PMH'!AH26+'2.2. sz. Hétszínvirág Óvoda'!X26+'2.3. sz. Mese Óvoda'!R26+'2.4. sz. Bölcsőde'!R26+'2.5. sz. Gyermekjóléti'!AD26+'2.6 sz. Területi'!BM26+'2.7. sz. Könyvtár'!AD26+'2.9. sz. Szivárvány Ó.'!R26+'2.8. sz. Műv.Ház'!V26</f>
        <v>0</v>
      </c>
      <c r="G25" s="715">
        <v>0</v>
      </c>
      <c r="H25" s="715">
        <v>0</v>
      </c>
      <c r="I25" s="681">
        <f>+'2.6 sz. Területi'!BN26+'2.8. sz. Műv.Ház'!W26</f>
        <v>0</v>
      </c>
      <c r="J25" s="715">
        <v>0</v>
      </c>
      <c r="K25" s="715">
        <v>0</v>
      </c>
      <c r="L25" s="681">
        <f>+'2.1. sz. PMH'!AJ26</f>
        <v>0</v>
      </c>
      <c r="M25" s="715">
        <v>0</v>
      </c>
      <c r="N25" s="715">
        <v>0</v>
      </c>
      <c r="O25" s="866">
        <f t="shared" si="0"/>
        <v>0</v>
      </c>
      <c r="P25" s="659">
        <f t="shared" si="1"/>
        <v>0</v>
      </c>
    </row>
    <row r="26" spans="1:17" s="651" customFormat="1" ht="23.25" customHeight="1" x14ac:dyDescent="0.25">
      <c r="A26" s="639" t="s">
        <v>61</v>
      </c>
      <c r="B26" s="653" t="s">
        <v>62</v>
      </c>
      <c r="C26" s="664"/>
      <c r="D26" s="682">
        <v>1984903122</v>
      </c>
      <c r="E26" s="682">
        <v>2193025055</v>
      </c>
      <c r="F26" s="681">
        <f>+'2.1. sz. PMH'!AH27+'2.2. sz. Hétszínvirág Óvoda'!X27+'2.3. sz. Mese Óvoda'!R27+'2.4. sz. Bölcsőde'!R27+'2.5. sz. Gyermekjóléti'!AD27+'2.6 sz. Területi'!BM27+'2.7. sz. Könyvtár'!AD27+'2.9. sz. Szivárvány Ó.'!R27+'2.8. sz. Műv.Ház'!V27</f>
        <v>1920562659</v>
      </c>
      <c r="G26" s="682">
        <v>34632598</v>
      </c>
      <c r="H26" s="682">
        <v>39143587</v>
      </c>
      <c r="I26" s="681">
        <f>+'2.6 sz. Területi'!BN27+'2.8. sz. Műv.Ház'!W27</f>
        <v>33433650</v>
      </c>
      <c r="J26" s="682">
        <v>57630205</v>
      </c>
      <c r="K26" s="682">
        <v>67124259</v>
      </c>
      <c r="L26" s="681">
        <f>+'2.1. sz. PMH'!AJ27</f>
        <v>57460004</v>
      </c>
      <c r="M26" s="682">
        <v>2077165925</v>
      </c>
      <c r="N26" s="682">
        <v>2299292901</v>
      </c>
      <c r="O26" s="866">
        <f t="shared" si="0"/>
        <v>2011456313</v>
      </c>
      <c r="P26" s="659">
        <f t="shared" si="1"/>
        <v>-65709612</v>
      </c>
      <c r="Q26" s="683">
        <f>+M8+M9+M10+M11+M13+M14+M15</f>
        <v>2077165925</v>
      </c>
    </row>
    <row r="27" spans="1:17" s="651" customFormat="1" ht="23.25" customHeight="1" x14ac:dyDescent="0.25">
      <c r="A27" s="639" t="s">
        <v>63</v>
      </c>
      <c r="B27" s="653" t="s">
        <v>64</v>
      </c>
      <c r="C27" s="664"/>
      <c r="D27" s="682">
        <v>19137320</v>
      </c>
      <c r="E27" s="682">
        <v>37835060</v>
      </c>
      <c r="F27" s="681">
        <f>+'2.1. sz. PMH'!AH28+'2.2. sz. Hétszínvirág Óvoda'!X28+'2.3. sz. Mese Óvoda'!R28+'2.4. sz. Bölcsőde'!R28+'2.5. sz. Gyermekjóléti'!AD28+'2.6 sz. Területi'!BM28+'2.7. sz. Könyvtár'!AD28+'2.9. sz. Szivárvány Ó.'!R28+'2.8. sz. Műv.Ház'!V28</f>
        <v>34221980</v>
      </c>
      <c r="G27" s="715">
        <v>0</v>
      </c>
      <c r="H27" s="682">
        <v>80599</v>
      </c>
      <c r="I27" s="681">
        <f>+'2.6 sz. Területi'!BN28+'2.8. sz. Műv.Ház'!W28</f>
        <v>80599</v>
      </c>
      <c r="J27" s="715">
        <v>0</v>
      </c>
      <c r="K27" s="682">
        <v>530565</v>
      </c>
      <c r="L27" s="681">
        <f>+'2.1. sz. PMH'!AJ28</f>
        <v>529303</v>
      </c>
      <c r="M27" s="682">
        <v>19137320</v>
      </c>
      <c r="N27" s="682">
        <v>38446224</v>
      </c>
      <c r="O27" s="866">
        <f t="shared" si="0"/>
        <v>34831882</v>
      </c>
      <c r="P27" s="659">
        <f t="shared" si="1"/>
        <v>15694562</v>
      </c>
    </row>
    <row r="28" spans="1:17" s="651" customFormat="1" ht="23.25" customHeight="1" x14ac:dyDescent="0.25">
      <c r="A28" s="639" t="s">
        <v>65</v>
      </c>
      <c r="B28" s="653" t="s">
        <v>66</v>
      </c>
      <c r="C28" s="664" t="s">
        <v>67</v>
      </c>
      <c r="D28" s="682">
        <v>2004040442</v>
      </c>
      <c r="E28" s="682">
        <v>2230860115</v>
      </c>
      <c r="F28" s="681">
        <f>+'2.1. sz. PMH'!AH29+'2.2. sz. Hétszínvirág Óvoda'!X29+'2.3. sz. Mese Óvoda'!R29+'2.4. sz. Bölcsőde'!R29+'2.5. sz. Gyermekjóléti'!AD29+'2.6 sz. Területi'!BM29+'2.7. sz. Könyvtár'!AD29+'2.9. sz. Szivárvány Ó.'!R29+'2.8. sz. Műv.Ház'!V29</f>
        <v>1954784639</v>
      </c>
      <c r="G28" s="682">
        <v>34632598</v>
      </c>
      <c r="H28" s="682">
        <v>39224186</v>
      </c>
      <c r="I28" s="681">
        <f>+'2.6 sz. Területi'!BN29+'2.8. sz. Műv.Ház'!W29</f>
        <v>33514249</v>
      </c>
      <c r="J28" s="682">
        <v>57630205</v>
      </c>
      <c r="K28" s="682">
        <v>67654824</v>
      </c>
      <c r="L28" s="681">
        <f>+'2.1. sz. PMH'!AJ29</f>
        <v>57989307</v>
      </c>
      <c r="M28" s="682">
        <v>2096303245</v>
      </c>
      <c r="N28" s="682">
        <v>2337739125</v>
      </c>
      <c r="O28" s="866">
        <f t="shared" si="0"/>
        <v>2046288195</v>
      </c>
      <c r="P28" s="659">
        <f t="shared" si="1"/>
        <v>-50015050</v>
      </c>
    </row>
    <row r="29" spans="1:17" ht="23.25" customHeight="1" x14ac:dyDescent="0.25">
      <c r="A29" s="639" t="s">
        <v>68</v>
      </c>
      <c r="B29" s="645" t="s">
        <v>69</v>
      </c>
      <c r="C29" s="648" t="s">
        <v>70</v>
      </c>
      <c r="D29" s="681">
        <v>43740000</v>
      </c>
      <c r="E29" s="681">
        <v>49863855</v>
      </c>
      <c r="F29" s="681">
        <f>+'2.1. sz. PMH'!AH30+'2.2. sz. Hétszínvirág Óvoda'!X30+'2.3. sz. Mese Óvoda'!R30+'2.4. sz. Bölcsőde'!R30+'2.5. sz. Gyermekjóléti'!AD30+'2.6 sz. Területi'!BM30+'2.7. sz. Könyvtár'!AD30+'2.9. sz. Szivárvány Ó.'!R30+'2.8. sz. Műv.Ház'!V30</f>
        <v>49863855</v>
      </c>
      <c r="G29" s="715">
        <v>0</v>
      </c>
      <c r="H29" s="715">
        <v>0</v>
      </c>
      <c r="I29" s="681">
        <f>+'2.6 sz. Területi'!BN30+'2.8. sz. Műv.Ház'!W30</f>
        <v>0</v>
      </c>
      <c r="J29" s="715">
        <v>0</v>
      </c>
      <c r="K29" s="715">
        <v>0</v>
      </c>
      <c r="L29" s="681">
        <f>+'2.1. sz. PMH'!AJ30</f>
        <v>0</v>
      </c>
      <c r="M29" s="681">
        <v>43740000</v>
      </c>
      <c r="N29" s="681">
        <v>49863855</v>
      </c>
      <c r="O29" s="866">
        <f t="shared" si="0"/>
        <v>49863855</v>
      </c>
      <c r="P29" s="659">
        <f t="shared" si="1"/>
        <v>6123855</v>
      </c>
    </row>
    <row r="30" spans="1:17" ht="23.25" customHeight="1" x14ac:dyDescent="0.25">
      <c r="A30" s="639" t="s">
        <v>71</v>
      </c>
      <c r="B30" s="645" t="s">
        <v>72</v>
      </c>
      <c r="C30" s="648" t="s">
        <v>73</v>
      </c>
      <c r="D30" s="715">
        <v>0</v>
      </c>
      <c r="E30" s="715">
        <v>0</v>
      </c>
      <c r="F30" s="681">
        <f>+'2.1. sz. PMH'!AH31+'2.2. sz. Hétszínvirág Óvoda'!X31+'2.3. sz. Mese Óvoda'!R31+'2.4. sz. Bölcsőde'!R31+'2.5. sz. Gyermekjóléti'!AD31+'2.6 sz. Területi'!BM31+'2.7. sz. Könyvtár'!AD31+'2.9. sz. Szivárvány Ó.'!R31+'2.8. sz. Műv.Ház'!V31</f>
        <v>0</v>
      </c>
      <c r="G30" s="715">
        <v>0</v>
      </c>
      <c r="H30" s="715">
        <v>0</v>
      </c>
      <c r="I30" s="681">
        <f>+'2.6 sz. Területi'!BN31+'2.8. sz. Műv.Ház'!W31</f>
        <v>0</v>
      </c>
      <c r="J30" s="715">
        <v>0</v>
      </c>
      <c r="K30" s="715">
        <v>0</v>
      </c>
      <c r="L30" s="681">
        <f>+'2.1. sz. PMH'!AJ31</f>
        <v>0</v>
      </c>
      <c r="M30" s="715">
        <v>0</v>
      </c>
      <c r="N30" s="715">
        <v>0</v>
      </c>
      <c r="O30" s="866">
        <f t="shared" si="0"/>
        <v>0</v>
      </c>
      <c r="P30" s="678">
        <f t="shared" si="1"/>
        <v>0</v>
      </c>
    </row>
    <row r="31" spans="1:17" ht="23.25" customHeight="1" x14ac:dyDescent="0.25">
      <c r="A31" s="639" t="s">
        <v>74</v>
      </c>
      <c r="B31" s="645" t="s">
        <v>75</v>
      </c>
      <c r="C31" s="648" t="s">
        <v>76</v>
      </c>
      <c r="D31" s="715">
        <v>0</v>
      </c>
      <c r="E31" s="681">
        <v>131250</v>
      </c>
      <c r="F31" s="681">
        <f>+'2.1. sz. PMH'!AH32+'2.2. sz. Hétszínvirág Óvoda'!X32+'2.3. sz. Mese Óvoda'!R32+'2.4. sz. Bölcsőde'!R32+'2.5. sz. Gyermekjóléti'!AD32+'2.6 sz. Területi'!BM32+'2.7. sz. Könyvtár'!AD32+'2.9. sz. Szivárvány Ó.'!R32+'2.8. sz. Műv.Ház'!V32</f>
        <v>45000</v>
      </c>
      <c r="G31" s="715">
        <v>0</v>
      </c>
      <c r="H31" s="715">
        <v>0</v>
      </c>
      <c r="I31" s="681">
        <f>+'2.6 sz. Területi'!BN32+'2.8. sz. Műv.Ház'!W32</f>
        <v>0</v>
      </c>
      <c r="J31" s="681">
        <v>1886480</v>
      </c>
      <c r="K31" s="681">
        <v>1482188</v>
      </c>
      <c r="L31" s="681">
        <f>+'2.1. sz. PMH'!AJ32</f>
        <v>1482188</v>
      </c>
      <c r="M31" s="681">
        <v>1886480</v>
      </c>
      <c r="N31" s="681">
        <v>1613438</v>
      </c>
      <c r="O31" s="866">
        <f t="shared" si="0"/>
        <v>1527188</v>
      </c>
      <c r="P31" s="684">
        <f t="shared" si="1"/>
        <v>-359292</v>
      </c>
    </row>
    <row r="32" spans="1:17" ht="23.25" customHeight="1" x14ac:dyDescent="0.25">
      <c r="A32" s="639" t="s">
        <v>77</v>
      </c>
      <c r="B32" s="646" t="s">
        <v>78</v>
      </c>
      <c r="C32" s="648" t="s">
        <v>79</v>
      </c>
      <c r="D32" s="681">
        <v>129480292</v>
      </c>
      <c r="E32" s="681">
        <v>205730305</v>
      </c>
      <c r="F32" s="681">
        <f>+'2.1. sz. PMH'!AH33+'2.2. sz. Hétszínvirág Óvoda'!X33+'2.3. sz. Mese Óvoda'!R33+'2.4. sz. Bölcsőde'!R33+'2.5. sz. Gyermekjóléti'!AD33+'2.6 sz. Területi'!BM33+'2.7. sz. Könyvtár'!AD33+'2.9. sz. Szivárvány Ó.'!R33+'2.8. sz. Műv.Ház'!V33</f>
        <v>185780074</v>
      </c>
      <c r="G32" s="681">
        <v>2400000</v>
      </c>
      <c r="H32" s="681">
        <v>3382058</v>
      </c>
      <c r="I32" s="681">
        <f>+'2.6 sz. Területi'!BN33+'2.8. sz. Műv.Ház'!W33</f>
        <v>3382058</v>
      </c>
      <c r="J32" s="681">
        <v>1468207</v>
      </c>
      <c r="K32" s="681">
        <v>428310</v>
      </c>
      <c r="L32" s="681">
        <f>+'2.1. sz. PMH'!AJ33</f>
        <v>35390</v>
      </c>
      <c r="M32" s="681">
        <v>133348499</v>
      </c>
      <c r="N32" s="681">
        <v>209540673</v>
      </c>
      <c r="O32" s="866">
        <f t="shared" si="0"/>
        <v>189197522</v>
      </c>
      <c r="P32" s="659">
        <f t="shared" si="1"/>
        <v>55849023</v>
      </c>
    </row>
    <row r="33" spans="1:20" ht="23.25" customHeight="1" x14ac:dyDescent="0.25">
      <c r="A33" s="639" t="s">
        <v>80</v>
      </c>
      <c r="B33" s="645" t="s">
        <v>81</v>
      </c>
      <c r="C33" s="648" t="s">
        <v>82</v>
      </c>
      <c r="D33" s="681">
        <v>0</v>
      </c>
      <c r="E33" s="681">
        <v>2511806</v>
      </c>
      <c r="F33" s="681">
        <f>+'2.1. sz. PMH'!AH34+'2.2. sz. Hétszínvirág Óvoda'!X34+'2.3. sz. Mese Óvoda'!R34+'2.4. sz. Bölcsőde'!R34+'2.5. sz. Gyermekjóléti'!AD34+'2.6 sz. Területi'!BM34+'2.7. sz. Könyvtár'!AD34+'2.9. sz. Szivárvány Ó.'!R34+'2.8. sz. Műv.Ház'!V34</f>
        <v>2511806</v>
      </c>
      <c r="G33" s="715">
        <v>0</v>
      </c>
      <c r="H33" s="715">
        <v>0</v>
      </c>
      <c r="I33" s="681">
        <f>+'2.6 sz. Területi'!BN34+'2.8. sz. Műv.Ház'!W34</f>
        <v>0</v>
      </c>
      <c r="J33" s="715">
        <v>0</v>
      </c>
      <c r="K33" s="715">
        <v>0</v>
      </c>
      <c r="L33" s="681">
        <f>+'2.1. sz. PMH'!AJ34</f>
        <v>0</v>
      </c>
      <c r="M33" s="715">
        <v>0</v>
      </c>
      <c r="N33" s="681">
        <v>2511806</v>
      </c>
      <c r="O33" s="866">
        <f t="shared" si="0"/>
        <v>2511806</v>
      </c>
      <c r="P33" s="659">
        <f t="shared" si="1"/>
        <v>2511806</v>
      </c>
    </row>
    <row r="34" spans="1:20" ht="23.25" customHeight="1" x14ac:dyDescent="0.25">
      <c r="A34" s="639" t="s">
        <v>83</v>
      </c>
      <c r="B34" s="645" t="s">
        <v>84</v>
      </c>
      <c r="C34" s="648" t="s">
        <v>85</v>
      </c>
      <c r="D34" s="715">
        <v>0</v>
      </c>
      <c r="E34" s="715">
        <v>0</v>
      </c>
      <c r="F34" s="681">
        <f>+'2.1. sz. PMH'!AH35+'2.2. sz. Hétszínvirág Óvoda'!X35+'2.3. sz. Mese Óvoda'!R35+'2.4. sz. Bölcsőde'!R35+'2.5. sz. Gyermekjóléti'!AD35+'2.6 sz. Területi'!BM35+'2.7. sz. Könyvtár'!AD35+'2.9. sz. Szivárvány Ó.'!R35+'2.8. sz. Műv.Ház'!V35</f>
        <v>0</v>
      </c>
      <c r="G34" s="715">
        <v>0</v>
      </c>
      <c r="H34" s="715">
        <v>0</v>
      </c>
      <c r="I34" s="681">
        <f>+'2.6 sz. Területi'!BN35+'2.8. sz. Műv.Ház'!W35</f>
        <v>0</v>
      </c>
      <c r="J34" s="715">
        <v>0</v>
      </c>
      <c r="K34" s="715">
        <v>0</v>
      </c>
      <c r="L34" s="681">
        <f>+'2.1. sz. PMH'!AJ35</f>
        <v>0</v>
      </c>
      <c r="M34" s="715">
        <v>0</v>
      </c>
      <c r="N34" s="715">
        <v>0</v>
      </c>
      <c r="O34" s="866">
        <f t="shared" si="0"/>
        <v>0</v>
      </c>
      <c r="P34" s="678">
        <f t="shared" si="1"/>
        <v>0</v>
      </c>
    </row>
    <row r="35" spans="1:20" ht="23.25" customHeight="1" x14ac:dyDescent="0.25">
      <c r="A35" s="639" t="s">
        <v>86</v>
      </c>
      <c r="B35" s="645" t="s">
        <v>87</v>
      </c>
      <c r="C35" s="648" t="s">
        <v>88</v>
      </c>
      <c r="D35" s="681">
        <v>3060000</v>
      </c>
      <c r="E35" s="681">
        <v>5263400</v>
      </c>
      <c r="F35" s="681">
        <f>+'2.1. sz. PMH'!AH36+'2.2. sz. Hétszínvirág Óvoda'!X36+'2.3. sz. Mese Óvoda'!R36+'2.4. sz. Bölcsőde'!R36+'2.5. sz. Gyermekjóléti'!AD36+'2.6 sz. Területi'!BM36+'2.7. sz. Könyvtár'!AD36+'2.9. sz. Szivárvány Ó.'!R36+'2.8. sz. Műv.Ház'!V36</f>
        <v>5250100</v>
      </c>
      <c r="G35" s="715">
        <v>0</v>
      </c>
      <c r="H35" s="715">
        <v>0</v>
      </c>
      <c r="I35" s="681">
        <f>+'2.6 sz. Területi'!BN36+'2.8. sz. Műv.Ház'!W36</f>
        <v>0</v>
      </c>
      <c r="J35" s="681">
        <v>33500</v>
      </c>
      <c r="K35" s="715">
        <v>0</v>
      </c>
      <c r="L35" s="681">
        <f>+'2.1. sz. PMH'!AJ36</f>
        <v>0</v>
      </c>
      <c r="M35" s="681">
        <v>3093500</v>
      </c>
      <c r="N35" s="681">
        <v>5263400</v>
      </c>
      <c r="O35" s="866">
        <f t="shared" si="0"/>
        <v>5250100</v>
      </c>
      <c r="P35" s="685">
        <f t="shared" si="1"/>
        <v>2156600</v>
      </c>
    </row>
    <row r="36" spans="1:20" ht="23.25" customHeight="1" x14ac:dyDescent="0.25">
      <c r="A36" s="639" t="s">
        <v>89</v>
      </c>
      <c r="B36" s="646" t="s">
        <v>90</v>
      </c>
      <c r="C36" s="648" t="s">
        <v>91</v>
      </c>
      <c r="D36" s="681">
        <v>176280292</v>
      </c>
      <c r="E36" s="681">
        <v>263500616</v>
      </c>
      <c r="F36" s="681">
        <f>+'2.1. sz. PMH'!AH37+'2.2. sz. Hétszínvirág Óvoda'!X37+'2.3. sz. Mese Óvoda'!R37+'2.4. sz. Bölcsőde'!R37+'2.5. sz. Gyermekjóléti'!AD37+'2.6 sz. Területi'!BM37+'2.7. sz. Könyvtár'!AD37+'2.9. sz. Szivárvány Ó.'!R37+'2.8. sz. Műv.Ház'!V37</f>
        <v>243450835</v>
      </c>
      <c r="G36" s="681">
        <v>2400000</v>
      </c>
      <c r="H36" s="681">
        <v>3382058</v>
      </c>
      <c r="I36" s="681">
        <f>+'2.6 sz. Területi'!BN37+'2.8. sz. Műv.Ház'!W37</f>
        <v>3382058</v>
      </c>
      <c r="J36" s="681">
        <v>3388187</v>
      </c>
      <c r="K36" s="681">
        <v>1910498</v>
      </c>
      <c r="L36" s="681">
        <f>+'2.1. sz. PMH'!AJ37</f>
        <v>1517578</v>
      </c>
      <c r="M36" s="681">
        <v>182068479</v>
      </c>
      <c r="N36" s="681">
        <v>268793172</v>
      </c>
      <c r="O36" s="874">
        <f t="shared" si="0"/>
        <v>248350471</v>
      </c>
      <c r="P36" s="659">
        <f t="shared" si="1"/>
        <v>66281992</v>
      </c>
    </row>
    <row r="37" spans="1:20" ht="23.25" customHeight="1" x14ac:dyDescent="0.25">
      <c r="A37" s="639" t="s">
        <v>92</v>
      </c>
      <c r="B37" s="648" t="s">
        <v>93</v>
      </c>
      <c r="C37" s="664" t="s">
        <v>94</v>
      </c>
      <c r="D37" s="681">
        <v>1914234766</v>
      </c>
      <c r="E37" s="681">
        <v>2068945953</v>
      </c>
      <c r="F37" s="681">
        <f>+'2.1. sz. PMH'!AH38+'2.2. sz. Hétszínvirág Óvoda'!X38+'2.3. sz. Mese Óvoda'!R38+'2.4. sz. Bölcsőde'!R38+'2.5. sz. Gyermekjóléti'!AD38+'2.6 sz. Területi'!BM38+'2.7. sz. Könyvtár'!AD38+'2.9. sz. Szivárvány Ó.'!R38+'2.8. sz. Műv.Ház'!V38</f>
        <v>1916732408</v>
      </c>
      <c r="G37" s="715">
        <v>0</v>
      </c>
      <c r="H37" s="715">
        <v>0</v>
      </c>
      <c r="I37" s="681">
        <f>+'2.6 sz. Területi'!BN38+'2.8. sz. Műv.Ház'!W38</f>
        <v>0</v>
      </c>
      <c r="J37" s="715">
        <v>0</v>
      </c>
      <c r="K37" s="715">
        <v>0</v>
      </c>
      <c r="L37" s="681">
        <f>+'2.1. sz. PMH'!AJ38</f>
        <v>0</v>
      </c>
      <c r="M37" s="681">
        <v>1914234766</v>
      </c>
      <c r="N37" s="681">
        <v>2068945953</v>
      </c>
      <c r="O37" s="874">
        <f t="shared" si="0"/>
        <v>1916732408</v>
      </c>
      <c r="P37" s="659">
        <f t="shared" si="1"/>
        <v>2497642</v>
      </c>
    </row>
    <row r="38" spans="1:20" ht="23.25" customHeight="1" x14ac:dyDescent="0.25">
      <c r="A38" s="639" t="s">
        <v>95</v>
      </c>
      <c r="B38" s="24" t="s">
        <v>1290</v>
      </c>
      <c r="C38" s="664"/>
      <c r="D38" s="715">
        <v>0</v>
      </c>
      <c r="E38" s="715">
        <v>0</v>
      </c>
      <c r="F38" s="681">
        <f>+'2.1. sz. PMH'!AH39+'2.2. sz. Hétszínvirág Óvoda'!X39+'2.3. sz. Mese Óvoda'!R39+'2.4. sz. Bölcsőde'!R39+'2.5. sz. Gyermekjóléti'!AD39+'2.6 sz. Területi'!BM39+'2.7. sz. Könyvtár'!AD39+'2.9. sz. Szivárvány Ó.'!R39+'2.8. sz. Műv.Ház'!V39</f>
        <v>0</v>
      </c>
      <c r="G38" s="715">
        <v>0</v>
      </c>
      <c r="H38" s="715">
        <v>0</v>
      </c>
      <c r="I38" s="681">
        <f>+'2.6 sz. Területi'!BN39+'2.8. sz. Műv.Ház'!W39</f>
        <v>0</v>
      </c>
      <c r="J38" s="715">
        <v>0</v>
      </c>
      <c r="K38" s="715">
        <v>0</v>
      </c>
      <c r="L38" s="681">
        <f>+'2.1. sz. PMH'!AJ39</f>
        <v>0</v>
      </c>
      <c r="M38" s="715">
        <v>0</v>
      </c>
      <c r="N38" s="715">
        <v>0</v>
      </c>
      <c r="O38" s="866">
        <f t="shared" si="0"/>
        <v>0</v>
      </c>
      <c r="P38" s="659"/>
    </row>
    <row r="39" spans="1:20" ht="23.25" customHeight="1" x14ac:dyDescent="0.25">
      <c r="A39" s="639" t="s">
        <v>97</v>
      </c>
      <c r="B39" s="652" t="s">
        <v>96</v>
      </c>
      <c r="C39" s="665"/>
      <c r="D39" s="681">
        <v>4509231</v>
      </c>
      <c r="E39" s="681">
        <v>85760599</v>
      </c>
      <c r="F39" s="681">
        <f>+'2.1. sz. PMH'!AH40+'2.2. sz. Hétszínvirág Óvoda'!X40+'2.3. sz. Mese Óvoda'!R40+'2.4. sz. Bölcsőde'!R40+'2.5. sz. Gyermekjóléti'!AD40+'2.6 sz. Területi'!BM40+'2.7. sz. Könyvtár'!AD40+'2.9. sz. Szivárvány Ó.'!R40+'2.8. sz. Műv.Ház'!V40</f>
        <v>85760599</v>
      </c>
      <c r="G39" s="715">
        <v>0</v>
      </c>
      <c r="H39" s="715">
        <v>0</v>
      </c>
      <c r="I39" s="681">
        <f>+'2.6 sz. Területi'!BN40+'2.8. sz. Műv.Ház'!W40</f>
        <v>0</v>
      </c>
      <c r="J39" s="715">
        <v>0</v>
      </c>
      <c r="K39" s="715">
        <v>0</v>
      </c>
      <c r="L39" s="681">
        <f>+'2.1. sz. PMH'!AJ40</f>
        <v>0</v>
      </c>
      <c r="M39" s="681">
        <v>4509231</v>
      </c>
      <c r="N39" s="681">
        <v>85760599</v>
      </c>
      <c r="O39" s="866">
        <f t="shared" si="0"/>
        <v>85760599</v>
      </c>
      <c r="P39" s="659">
        <f t="shared" si="1"/>
        <v>81251368</v>
      </c>
    </row>
    <row r="40" spans="1:20" ht="23.25" customHeight="1" x14ac:dyDescent="0.25">
      <c r="A40" s="639" t="s">
        <v>99</v>
      </c>
      <c r="B40" s="652" t="s">
        <v>98</v>
      </c>
      <c r="C40" s="665"/>
      <c r="D40" s="715">
        <v>0</v>
      </c>
      <c r="E40" s="681">
        <v>500000</v>
      </c>
      <c r="F40" s="681">
        <f>+'2.1. sz. PMH'!AH41+'2.2. sz. Hétszínvirág Óvoda'!X41+'2.3. sz. Mese Óvoda'!R41+'2.4. sz. Bölcsőde'!R41+'2.5. sz. Gyermekjóléti'!AD41+'2.6 sz. Területi'!BM41+'2.7. sz. Könyvtár'!AD41+'2.9. sz. Szivárvány Ó.'!R41+'2.8. sz. Műv.Ház'!V41</f>
        <v>500000</v>
      </c>
      <c r="G40" s="715">
        <v>0</v>
      </c>
      <c r="H40" s="715">
        <v>0</v>
      </c>
      <c r="I40" s="681">
        <f>+'2.6 sz. Területi'!BN41+'2.8. sz. Műv.Ház'!W41</f>
        <v>0</v>
      </c>
      <c r="J40" s="715">
        <v>0</v>
      </c>
      <c r="K40" s="715">
        <v>0</v>
      </c>
      <c r="L40" s="681">
        <f>+'2.1. sz. PMH'!AJ41</f>
        <v>0</v>
      </c>
      <c r="M40" s="715">
        <v>0</v>
      </c>
      <c r="N40" s="681">
        <v>500000</v>
      </c>
      <c r="O40" s="866">
        <f t="shared" si="0"/>
        <v>500000</v>
      </c>
      <c r="P40" s="659">
        <f t="shared" si="1"/>
        <v>500000</v>
      </c>
    </row>
    <row r="41" spans="1:20" ht="23.25" customHeight="1" x14ac:dyDescent="0.25">
      <c r="A41" s="639" t="s">
        <v>101</v>
      </c>
      <c r="B41" s="652" t="s">
        <v>100</v>
      </c>
      <c r="C41" s="665"/>
      <c r="D41" s="681">
        <v>1893681715</v>
      </c>
      <c r="E41" s="681">
        <v>1952514336</v>
      </c>
      <c r="F41" s="681">
        <f>+'2.1. sz. PMH'!AH42+'2.2. sz. Hétszínvirág Óvoda'!X42+'2.3. sz. Mese Óvoda'!R42+'2.4. sz. Bölcsőde'!R42+'2.5. sz. Gyermekjóléti'!AD42+'2.6 sz. Területi'!BM42+'2.7. sz. Könyvtár'!AD42+'2.9. sz. Szivárvány Ó.'!R42+'2.8. sz. Műv.Ház'!V42</f>
        <v>1806233415</v>
      </c>
      <c r="G41" s="715">
        <v>0</v>
      </c>
      <c r="H41" s="715">
        <v>0</v>
      </c>
      <c r="I41" s="681">
        <f>+'2.6 sz. Területi'!BN42+'2.8. sz. Műv.Ház'!W42</f>
        <v>0</v>
      </c>
      <c r="J41" s="715">
        <v>0</v>
      </c>
      <c r="K41" s="715">
        <v>0</v>
      </c>
      <c r="L41" s="681">
        <f>+'2.1. sz. PMH'!AJ42</f>
        <v>0</v>
      </c>
      <c r="M41" s="681">
        <v>1893681715</v>
      </c>
      <c r="N41" s="681">
        <v>1952514336</v>
      </c>
      <c r="O41" s="866">
        <f t="shared" si="0"/>
        <v>1806233415</v>
      </c>
      <c r="P41" s="659">
        <f t="shared" si="1"/>
        <v>-87448300</v>
      </c>
    </row>
    <row r="42" spans="1:20" ht="23.25" customHeight="1" x14ac:dyDescent="0.25">
      <c r="A42" s="639" t="s">
        <v>103</v>
      </c>
      <c r="B42" s="652" t="s">
        <v>1274</v>
      </c>
      <c r="C42" s="665"/>
      <c r="D42" s="681">
        <v>16043820</v>
      </c>
      <c r="E42" s="681">
        <v>30171018</v>
      </c>
      <c r="F42" s="681">
        <f>+'2.1. sz. PMH'!AH43+'2.2. sz. Hétszínvirág Óvoda'!X43+'2.3. sz. Mese Óvoda'!R43+'2.4. sz. Bölcsőde'!R43+'2.5. sz. Gyermekjóléti'!AD43+'2.6 sz. Területi'!BM43+'2.7. sz. Könyvtár'!AD43+'2.9. sz. Szivárvány Ó.'!R43+'2.8. sz. Műv.Ház'!V43</f>
        <v>24238394</v>
      </c>
      <c r="G42" s="715">
        <v>0</v>
      </c>
      <c r="H42" s="715">
        <v>0</v>
      </c>
      <c r="I42" s="681">
        <f>+'2.6 sz. Területi'!BN43+'2.8. sz. Műv.Ház'!W43</f>
        <v>0</v>
      </c>
      <c r="J42" s="715">
        <v>0</v>
      </c>
      <c r="K42" s="715">
        <v>0</v>
      </c>
      <c r="L42" s="681">
        <f>+'2.1. sz. PMH'!AJ43</f>
        <v>0</v>
      </c>
      <c r="M42" s="681">
        <v>16043820</v>
      </c>
      <c r="N42" s="681">
        <v>30171018</v>
      </c>
      <c r="O42" s="866">
        <f t="shared" si="0"/>
        <v>24238394</v>
      </c>
      <c r="P42" s="659">
        <f t="shared" si="1"/>
        <v>8194574</v>
      </c>
    </row>
    <row r="43" spans="1:20" ht="23.25" customHeight="1" x14ac:dyDescent="0.25">
      <c r="A43" s="639" t="s">
        <v>105</v>
      </c>
      <c r="B43" s="24" t="s">
        <v>104</v>
      </c>
      <c r="C43" s="665"/>
      <c r="D43" s="715">
        <v>0</v>
      </c>
      <c r="E43" s="715">
        <v>0</v>
      </c>
      <c r="F43" s="681">
        <f>+'2.1. sz. PMH'!AH44+'2.2. sz. Hétszínvirág Óvoda'!X44+'2.3. sz. Mese Óvoda'!R44+'2.4. sz. Bölcsőde'!R44+'2.5. sz. Gyermekjóléti'!AD44+'2.6 sz. Területi'!BM44+'2.7. sz. Könyvtár'!AD44+'2.9. sz. Szivárvány Ó.'!R44+'2.8. sz. Műv.Ház'!V44</f>
        <v>0</v>
      </c>
      <c r="G43" s="715">
        <v>0</v>
      </c>
      <c r="H43" s="715">
        <v>0</v>
      </c>
      <c r="I43" s="681">
        <f>+'2.6 sz. Területi'!BN44+'2.8. sz. Műv.Ház'!W44</f>
        <v>0</v>
      </c>
      <c r="J43" s="715">
        <v>0</v>
      </c>
      <c r="K43" s="715">
        <v>0</v>
      </c>
      <c r="L43" s="681">
        <f>+'2.1. sz. PMH'!AJ44</f>
        <v>0</v>
      </c>
      <c r="M43" s="715">
        <v>0</v>
      </c>
      <c r="N43" s="715">
        <v>0</v>
      </c>
      <c r="O43" s="866">
        <f t="shared" si="0"/>
        <v>0</v>
      </c>
      <c r="P43" s="659">
        <f t="shared" si="1"/>
        <v>0</v>
      </c>
    </row>
    <row r="44" spans="1:20" s="651" customFormat="1" ht="23.25" customHeight="1" x14ac:dyDescent="0.25">
      <c r="A44" s="639" t="s">
        <v>107</v>
      </c>
      <c r="B44" s="653" t="s">
        <v>106</v>
      </c>
      <c r="C44" s="664"/>
      <c r="D44" s="682">
        <v>2071411238</v>
      </c>
      <c r="E44" s="682">
        <v>2294000345</v>
      </c>
      <c r="F44" s="681">
        <f>+'2.1. sz. PMH'!AH45+'2.2. sz. Hétszínvirág Óvoda'!X45+'2.3. sz. Mese Óvoda'!R45+'2.4. sz. Bölcsőde'!R45+'2.5. sz. Gyermekjóléti'!AD45+'2.6 sz. Területi'!BM45+'2.7. sz. Könyvtár'!AD45+'2.9. sz. Szivárvány Ó.'!R45+'2.8. sz. Műv.Ház'!V45</f>
        <v>2127682943</v>
      </c>
      <c r="G44" s="682">
        <v>2400000</v>
      </c>
      <c r="H44" s="682">
        <v>3382058</v>
      </c>
      <c r="I44" s="681">
        <f>+'2.6 sz. Területi'!BN45+'2.8. sz. Műv.Ház'!W45</f>
        <v>3382058</v>
      </c>
      <c r="J44" s="682">
        <v>3354687</v>
      </c>
      <c r="K44" s="682">
        <v>1910498</v>
      </c>
      <c r="L44" s="681">
        <f>+'2.1. sz. PMH'!AJ45</f>
        <v>1517578</v>
      </c>
      <c r="M44" s="682">
        <v>2077165925</v>
      </c>
      <c r="N44" s="682">
        <v>2299292901</v>
      </c>
      <c r="O44" s="866">
        <f t="shared" si="0"/>
        <v>2132582579</v>
      </c>
      <c r="P44" s="659">
        <f t="shared" si="1"/>
        <v>55416654</v>
      </c>
    </row>
    <row r="45" spans="1:20" s="651" customFormat="1" ht="23.25" customHeight="1" x14ac:dyDescent="0.25">
      <c r="A45" s="639" t="s">
        <v>109</v>
      </c>
      <c r="B45" s="653" t="s">
        <v>108</v>
      </c>
      <c r="C45" s="664"/>
      <c r="D45" s="682">
        <v>19103820</v>
      </c>
      <c r="E45" s="682">
        <v>38446224</v>
      </c>
      <c r="F45" s="681">
        <f>+'2.1. sz. PMH'!AH46+'2.2. sz. Hétszínvirág Óvoda'!X46+'2.3. sz. Mese Óvoda'!R46+'2.4. sz. Bölcsőde'!R46+'2.5. sz. Gyermekjóléti'!AD46+'2.6 sz. Területi'!BM46+'2.7. sz. Könyvtár'!AD46+'2.9. sz. Szivárvány Ó.'!R46+'2.8. sz. Műv.Ház'!V46</f>
        <v>32500300</v>
      </c>
      <c r="G45" s="715">
        <v>0</v>
      </c>
      <c r="H45" s="715">
        <v>0</v>
      </c>
      <c r="I45" s="681">
        <f>+'2.6 sz. Területi'!BN46+'2.8. sz. Műv.Ház'!W46</f>
        <v>0</v>
      </c>
      <c r="J45" s="682">
        <v>33500</v>
      </c>
      <c r="K45" s="715">
        <v>0</v>
      </c>
      <c r="L45" s="681">
        <f>+'2.1. sz. PMH'!AJ46</f>
        <v>0</v>
      </c>
      <c r="M45" s="682">
        <v>19137320</v>
      </c>
      <c r="N45" s="682">
        <v>38446224</v>
      </c>
      <c r="O45" s="866">
        <f t="shared" si="0"/>
        <v>32500300</v>
      </c>
      <c r="P45" s="659">
        <f t="shared" si="1"/>
        <v>13362980</v>
      </c>
    </row>
    <row r="46" spans="1:20" s="651" customFormat="1" ht="23.25" customHeight="1" x14ac:dyDescent="0.25">
      <c r="A46" s="639" t="s">
        <v>111</v>
      </c>
      <c r="B46" s="653" t="s">
        <v>110</v>
      </c>
      <c r="C46" s="664"/>
      <c r="D46" s="682">
        <v>2090515058</v>
      </c>
      <c r="E46" s="682">
        <v>2332446569</v>
      </c>
      <c r="F46" s="681">
        <f>+'2.1. sz. PMH'!AH47+'2.2. sz. Hétszínvirág Óvoda'!X47+'2.3. sz. Mese Óvoda'!R47+'2.4. sz. Bölcsőde'!R47+'2.5. sz. Gyermekjóléti'!AD47+'2.6 sz. Területi'!BM47+'2.7. sz. Könyvtár'!AD47+'2.9. sz. Szivárvány Ó.'!R47+'2.8. sz. Műv.Ház'!V47</f>
        <v>2160183243</v>
      </c>
      <c r="G46" s="682">
        <v>2400000</v>
      </c>
      <c r="H46" s="682">
        <v>3382058</v>
      </c>
      <c r="I46" s="681">
        <f>+'2.6 sz. Területi'!BN47+'2.8. sz. Műv.Ház'!W47</f>
        <v>3382058</v>
      </c>
      <c r="J46" s="682">
        <v>3388187</v>
      </c>
      <c r="K46" s="682">
        <v>1910498</v>
      </c>
      <c r="L46" s="681">
        <f>+'2.1. sz. PMH'!AJ47</f>
        <v>1517578</v>
      </c>
      <c r="M46" s="682">
        <v>2096303245</v>
      </c>
      <c r="N46" s="682">
        <v>2337739125</v>
      </c>
      <c r="O46" s="866">
        <f t="shared" si="0"/>
        <v>2165082879</v>
      </c>
      <c r="P46" s="659">
        <f t="shared" si="1"/>
        <v>68779634</v>
      </c>
      <c r="Q46" s="683">
        <f>M46-M28</f>
        <v>0</v>
      </c>
    </row>
    <row r="47" spans="1:20" ht="23.25" customHeight="1" x14ac:dyDescent="0.25">
      <c r="A47" s="639" t="s">
        <v>113</v>
      </c>
      <c r="B47" s="25" t="s">
        <v>112</v>
      </c>
      <c r="C47" s="663"/>
      <c r="D47" s="716">
        <v>261</v>
      </c>
      <c r="E47" s="681">
        <v>274</v>
      </c>
      <c r="F47" s="681">
        <f>+'2.1. sz. PMH'!AH48+'2.2. sz. Hétszínvirág Óvoda'!X48+'2.3. sz. Mese Óvoda'!R48+'2.4. sz. Bölcsőde'!R48+'2.5. sz. Gyermekjóléti'!AD48+'2.6 sz. Területi'!BM48+'2.7. sz. Könyvtár'!AD48+'2.9. sz. Szivárvány Ó.'!R48+'2.8. sz. Műv.Ház'!V48</f>
        <v>269.52499999999998</v>
      </c>
      <c r="G47" s="681">
        <v>7</v>
      </c>
      <c r="H47" s="681">
        <v>8</v>
      </c>
      <c r="I47" s="681">
        <f>+'2.6 sz. Területi'!BN48+'2.8. sz. Műv.Ház'!W48</f>
        <v>7.25</v>
      </c>
      <c r="J47" s="681">
        <v>8</v>
      </c>
      <c r="K47" s="681">
        <v>8</v>
      </c>
      <c r="L47" s="681">
        <f>+'2.1. sz. PMH'!AJ48</f>
        <v>8</v>
      </c>
      <c r="M47" s="681">
        <v>276</v>
      </c>
      <c r="N47" s="681">
        <v>290</v>
      </c>
      <c r="O47" s="865">
        <f t="shared" si="0"/>
        <v>284.77499999999998</v>
      </c>
      <c r="P47" s="659">
        <f t="shared" si="1"/>
        <v>8.7749999999999773</v>
      </c>
      <c r="T47" s="815">
        <f>+O46-O45-O44</f>
        <v>0</v>
      </c>
    </row>
    <row r="48" spans="1:20" ht="23.25" customHeight="1" x14ac:dyDescent="0.25">
      <c r="A48" s="639" t="s">
        <v>250</v>
      </c>
      <c r="B48" s="25" t="s">
        <v>114</v>
      </c>
      <c r="C48" s="663"/>
      <c r="D48" s="715">
        <v>0</v>
      </c>
      <c r="E48" s="715">
        <v>0</v>
      </c>
      <c r="F48" s="681">
        <f>+'2.1. sz. PMH'!AH49+'2.2. sz. Hétszínvirág Óvoda'!X49+'2.3. sz. Mese Óvoda'!R49+'2.4. sz. Bölcsőde'!R49+'2.5. sz. Gyermekjóléti'!AD49+'2.6 sz. Területi'!BM49+'2.7. sz. Könyvtár'!AD49+'2.9. sz. Szivárvány Ó.'!R49+'2.8. sz. Műv.Ház'!V49</f>
        <v>0</v>
      </c>
      <c r="G48" s="715">
        <v>0</v>
      </c>
      <c r="H48" s="715">
        <v>0</v>
      </c>
      <c r="I48" s="681">
        <f>+'2.6 sz. Területi'!BN49+'2.8. sz. Műv.Ház'!W49</f>
        <v>0</v>
      </c>
      <c r="J48" s="715">
        <v>0</v>
      </c>
      <c r="K48" s="715">
        <v>0</v>
      </c>
      <c r="L48" s="681"/>
      <c r="M48" s="715">
        <v>0</v>
      </c>
      <c r="N48" s="715">
        <v>0</v>
      </c>
      <c r="O48" s="866">
        <f t="shared" si="0"/>
        <v>0</v>
      </c>
      <c r="P48" s="659"/>
      <c r="T48" s="815">
        <f>+O46-O37-O36</f>
        <v>0</v>
      </c>
    </row>
    <row r="49" spans="1:22" x14ac:dyDescent="0.25">
      <c r="A49" s="686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>
        <f>+N44+N45</f>
        <v>2337739125</v>
      </c>
      <c r="V49" s="815">
        <f>+O46-O45-O44</f>
        <v>0</v>
      </c>
    </row>
    <row r="50" spans="1:22" x14ac:dyDescent="0.25">
      <c r="D50" s="29"/>
      <c r="E50" s="29"/>
      <c r="F50" s="29">
        <f>+F44+F45-F46</f>
        <v>0</v>
      </c>
      <c r="G50" s="29"/>
      <c r="H50" s="29"/>
      <c r="I50" s="29"/>
      <c r="J50" s="29"/>
      <c r="K50" s="29"/>
      <c r="L50" s="29"/>
      <c r="M50" s="29"/>
      <c r="N50" s="29"/>
    </row>
    <row r="51" spans="1:22" x14ac:dyDescent="0.25"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815">
        <f>+O36+O37</f>
        <v>2165082879</v>
      </c>
    </row>
    <row r="52" spans="1:22" x14ac:dyDescent="0.25">
      <c r="O52" s="815">
        <f>+O51-O46</f>
        <v>0</v>
      </c>
    </row>
    <row r="53" spans="1:22" x14ac:dyDescent="0.25">
      <c r="P53" s="815">
        <f>+O44+O45</f>
        <v>2165082879</v>
      </c>
    </row>
    <row r="54" spans="1:22" x14ac:dyDescent="0.25">
      <c r="P54" s="815">
        <f>+O46</f>
        <v>2165082879</v>
      </c>
    </row>
    <row r="55" spans="1:22" x14ac:dyDescent="0.25">
      <c r="P55" s="815">
        <f>+P53-P54</f>
        <v>0</v>
      </c>
    </row>
  </sheetData>
  <mergeCells count="27">
    <mergeCell ref="J2:O3"/>
    <mergeCell ref="F4:F5"/>
    <mergeCell ref="A2:C2"/>
    <mergeCell ref="A3:A6"/>
    <mergeCell ref="B3:C3"/>
    <mergeCell ref="B4:C4"/>
    <mergeCell ref="D4:D5"/>
    <mergeCell ref="B5:C5"/>
    <mergeCell ref="D6:F6"/>
    <mergeCell ref="D2:I3"/>
    <mergeCell ref="I4:I5"/>
    <mergeCell ref="D7:F7"/>
    <mergeCell ref="G7:I7"/>
    <mergeCell ref="J7:L7"/>
    <mergeCell ref="M7:O7"/>
    <mergeCell ref="J4:J5"/>
    <mergeCell ref="K4:K5"/>
    <mergeCell ref="M4:M5"/>
    <mergeCell ref="N4:N5"/>
    <mergeCell ref="G6:I6"/>
    <mergeCell ref="J6:L6"/>
    <mergeCell ref="M6:O6"/>
    <mergeCell ref="E4:E5"/>
    <mergeCell ref="G4:G5"/>
    <mergeCell ref="H4:H5"/>
    <mergeCell ref="O4:O5"/>
    <mergeCell ref="L4:L5"/>
  </mergeCells>
  <printOptions horizontalCentered="1" verticalCentered="1"/>
  <pageMargins left="0.35433070866141736" right="0.35433070866141736" top="0.19685039370078741" bottom="0.19685039370078741" header="0.51181102362204722" footer="0.51181102362204722"/>
  <pageSetup paperSize="9" scale="52" orientation="portrait" verticalDpi="200" r:id="rId1"/>
  <headerFooter alignWithMargins="0">
    <oddHeader>&amp;CDunaharaszti Város Önkormányzat 2017. évi zárszámadás&amp;R&amp;A</oddHeader>
    <oddFooter>&amp;C&amp;P/&amp;N</oddFooter>
  </headerFooter>
  <colBreaks count="1" manualBreakCount="1">
    <brk id="9" max="4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view="pageBreakPreview" zoomScale="50" zoomScaleNormal="80" zoomScaleSheetLayoutView="50" workbookViewId="0">
      <selection activeCell="O12" sqref="O12"/>
    </sheetView>
  </sheetViews>
  <sheetFormatPr defaultColWidth="11.140625" defaultRowHeight="15.75" x14ac:dyDescent="0.25"/>
  <cols>
    <col min="1" max="1" width="5.7109375" style="28" customWidth="1"/>
    <col min="2" max="2" width="66.28515625" style="3" customWidth="1"/>
    <col min="3" max="3" width="7.28515625" style="3" customWidth="1"/>
    <col min="4" max="4" width="19.7109375" style="3" customWidth="1"/>
    <col min="5" max="5" width="20.140625" style="3" customWidth="1"/>
    <col min="6" max="6" width="21.5703125" style="3" customWidth="1"/>
    <col min="7" max="7" width="17.85546875" style="3" bestFit="1" customWidth="1"/>
    <col min="8" max="8" width="21.28515625" style="3" bestFit="1" customWidth="1"/>
    <col min="9" max="9" width="21.28515625" style="3" customWidth="1"/>
    <col min="10" max="10" width="17.42578125" style="3" customWidth="1"/>
    <col min="11" max="12" width="17.140625" style="3" customWidth="1"/>
    <col min="13" max="13" width="20.7109375" style="3" customWidth="1"/>
    <col min="14" max="14" width="21.140625" style="3" customWidth="1"/>
    <col min="15" max="15" width="22" style="3" customWidth="1"/>
    <col min="16" max="16" width="17.28515625" style="3" customWidth="1"/>
    <col min="17" max="17" width="19.28515625" style="3" customWidth="1"/>
    <col min="18" max="18" width="19.5703125" style="3" customWidth="1"/>
    <col min="19" max="19" width="18.28515625" style="3" customWidth="1"/>
    <col min="20" max="20" width="19.140625" style="3" bestFit="1" customWidth="1"/>
    <col min="21" max="21" width="29.28515625" style="3" customWidth="1"/>
    <col min="22" max="22" width="19.140625" style="3" bestFit="1" customWidth="1"/>
    <col min="23" max="23" width="19.7109375" style="3" bestFit="1" customWidth="1"/>
    <col min="24" max="25" width="9.140625" style="3" customWidth="1"/>
    <col min="26" max="26" width="19.140625" style="3" bestFit="1" customWidth="1"/>
    <col min="27" max="27" width="9.140625" style="3" customWidth="1"/>
    <col min="28" max="28" width="14.28515625" style="3" bestFit="1" customWidth="1"/>
    <col min="29" max="35" width="9.140625" style="3" customWidth="1"/>
    <col min="36" max="36" width="7.140625" style="3" customWidth="1"/>
    <col min="37" max="37" width="58.28515625" style="3" bestFit="1" customWidth="1"/>
    <col min="38" max="38" width="6.85546875" style="3" bestFit="1" customWidth="1"/>
    <col min="39" max="39" width="11.28515625" style="3" customWidth="1"/>
    <col min="40" max="40" width="9.42578125" style="3" customWidth="1"/>
    <col min="41" max="41" width="12.7109375" style="3" customWidth="1"/>
    <col min="42" max="42" width="14.7109375" style="3" customWidth="1"/>
    <col min="43" max="48" width="13" style="3" customWidth="1"/>
    <col min="49" max="49" width="6.85546875" style="3" customWidth="1"/>
    <col min="50" max="50" width="15.7109375" style="3" customWidth="1"/>
    <col min="51" max="52" width="11.140625" style="3" bestFit="1" customWidth="1"/>
    <col min="53" max="53" width="15.42578125" style="3" customWidth="1"/>
    <col min="54" max="54" width="13.7109375" style="3" customWidth="1"/>
    <col min="55" max="55" width="12.85546875" style="3" customWidth="1"/>
    <col min="56" max="56" width="14.140625" style="3" bestFit="1" customWidth="1"/>
    <col min="57" max="57" width="14.140625" style="3" customWidth="1"/>
    <col min="58" max="58" width="14.140625" style="3" bestFit="1" customWidth="1"/>
    <col min="59" max="59" width="12.42578125" style="3" customWidth="1"/>
    <col min="60" max="60" width="11.140625" style="3" bestFit="1" customWidth="1"/>
    <col min="61" max="61" width="15.140625" style="3" bestFit="1" customWidth="1"/>
    <col min="62" max="62" width="11.140625" style="3" bestFit="1" customWidth="1"/>
    <col min="63" max="63" width="12.42578125" style="3" customWidth="1"/>
    <col min="64" max="64" width="12.7109375" style="3" customWidth="1"/>
    <col min="65" max="65" width="12.28515625" style="3" customWidth="1"/>
    <col min="66" max="66" width="14.28515625" style="3" customWidth="1"/>
    <col min="67" max="68" width="14.140625" style="3" customWidth="1"/>
    <col min="69" max="69" width="15.140625" style="3" bestFit="1" customWidth="1"/>
    <col min="70" max="70" width="12.7109375" style="3" customWidth="1"/>
    <col min="71" max="71" width="12.28515625" style="3" customWidth="1"/>
    <col min="72" max="72" width="13.28515625" style="3" customWidth="1"/>
    <col min="73" max="74" width="11.140625" style="3" bestFit="1" customWidth="1"/>
    <col min="75" max="75" width="15.28515625" style="3" customWidth="1"/>
    <col min="76" max="78" width="13.7109375" style="3" customWidth="1"/>
    <col min="79" max="80" width="12.42578125" style="3" bestFit="1" customWidth="1"/>
    <col min="81" max="81" width="13.140625" style="3" bestFit="1" customWidth="1"/>
    <col min="82" max="82" width="14" style="3" customWidth="1"/>
    <col min="83" max="83" width="15" style="3" customWidth="1"/>
    <col min="84" max="84" width="13.85546875" style="3" customWidth="1"/>
    <col min="85" max="85" width="14.7109375" style="3" bestFit="1" customWidth="1"/>
    <col min="86" max="87" width="11.140625" style="3" bestFit="1" customWidth="1"/>
    <col min="88" max="88" width="11.140625" style="3" customWidth="1"/>
    <col min="89" max="91" width="11.140625" style="3" bestFit="1" customWidth="1"/>
    <col min="92" max="93" width="11.140625" style="3" customWidth="1"/>
    <col min="94" max="94" width="11.140625" style="3" bestFit="1" customWidth="1"/>
    <col min="95" max="97" width="11.140625" style="3" customWidth="1"/>
    <col min="98" max="16384" width="11.140625" style="3"/>
  </cols>
  <sheetData>
    <row r="1" spans="1:28" ht="19.5" customHeight="1" x14ac:dyDescent="0.25">
      <c r="A1" s="1"/>
      <c r="B1" s="2"/>
      <c r="C1" s="2"/>
      <c r="H1" s="4" t="s">
        <v>0</v>
      </c>
      <c r="I1" s="4"/>
      <c r="M1" s="4"/>
      <c r="N1" s="4"/>
      <c r="O1" s="4"/>
      <c r="P1" s="4"/>
      <c r="Q1" s="4" t="s">
        <v>0</v>
      </c>
      <c r="R1" s="4" t="s">
        <v>0</v>
      </c>
    </row>
    <row r="2" spans="1:28" ht="24.75" customHeight="1" x14ac:dyDescent="0.25">
      <c r="A2" s="896" t="s">
        <v>1</v>
      </c>
      <c r="B2" s="896"/>
      <c r="C2" s="896"/>
      <c r="D2" s="929" t="s">
        <v>2</v>
      </c>
      <c r="E2" s="930"/>
      <c r="F2" s="930"/>
      <c r="G2" s="930"/>
      <c r="H2" s="930"/>
      <c r="I2" s="930"/>
      <c r="J2" s="930" t="s">
        <v>2</v>
      </c>
      <c r="K2" s="930"/>
      <c r="L2" s="930"/>
      <c r="M2" s="930"/>
      <c r="N2" s="930"/>
      <c r="O2" s="931"/>
      <c r="P2" s="929" t="s">
        <v>1483</v>
      </c>
      <c r="Q2" s="930"/>
      <c r="R2" s="931"/>
    </row>
    <row r="3" spans="1:28" ht="56.25" customHeight="1" x14ac:dyDescent="0.25">
      <c r="A3" s="915" t="s">
        <v>3</v>
      </c>
      <c r="B3" s="896" t="s">
        <v>4</v>
      </c>
      <c r="C3" s="896"/>
      <c r="D3" s="1008"/>
      <c r="E3" s="1009"/>
      <c r="F3" s="1009"/>
      <c r="G3" s="1009"/>
      <c r="H3" s="1009"/>
      <c r="I3" s="1009"/>
      <c r="J3" s="933"/>
      <c r="K3" s="933"/>
      <c r="L3" s="933"/>
      <c r="M3" s="933"/>
      <c r="N3" s="933"/>
      <c r="O3" s="1010"/>
      <c r="P3" s="1008"/>
      <c r="Q3" s="1009"/>
      <c r="R3" s="1011"/>
    </row>
    <row r="4" spans="1:28" ht="27" customHeight="1" x14ac:dyDescent="0.25">
      <c r="A4" s="915"/>
      <c r="B4" s="896" t="s">
        <v>5</v>
      </c>
      <c r="C4" s="896"/>
      <c r="D4" s="1005" t="s">
        <v>6</v>
      </c>
      <c r="E4" s="1005" t="s">
        <v>7</v>
      </c>
      <c r="F4" s="1005" t="s">
        <v>788</v>
      </c>
      <c r="G4" s="1005" t="s">
        <v>6</v>
      </c>
      <c r="H4" s="1005" t="s">
        <v>7</v>
      </c>
      <c r="I4" s="1005" t="s">
        <v>788</v>
      </c>
      <c r="J4" s="1005" t="s">
        <v>6</v>
      </c>
      <c r="K4" s="1005" t="s">
        <v>7</v>
      </c>
      <c r="L4" s="1005" t="s">
        <v>788</v>
      </c>
      <c r="M4" s="1005" t="s">
        <v>6</v>
      </c>
      <c r="N4" s="1005" t="s">
        <v>7</v>
      </c>
      <c r="O4" s="1012" t="s">
        <v>788</v>
      </c>
      <c r="P4" s="1005" t="s">
        <v>6</v>
      </c>
      <c r="Q4" s="1005" t="s">
        <v>7</v>
      </c>
      <c r="R4" s="1012" t="s">
        <v>788</v>
      </c>
    </row>
    <row r="5" spans="1:28" ht="25.5" customHeight="1" x14ac:dyDescent="0.25">
      <c r="A5" s="915"/>
      <c r="B5" s="896" t="s">
        <v>8</v>
      </c>
      <c r="C5" s="896"/>
      <c r="D5" s="1006"/>
      <c r="E5" s="1006"/>
      <c r="F5" s="1006"/>
      <c r="G5" s="1006"/>
      <c r="H5" s="1006"/>
      <c r="I5" s="1006"/>
      <c r="J5" s="1006"/>
      <c r="K5" s="1006"/>
      <c r="L5" s="1006"/>
      <c r="M5" s="1006"/>
      <c r="N5" s="1006"/>
      <c r="O5" s="1012"/>
      <c r="P5" s="1006"/>
      <c r="Q5" s="1006"/>
      <c r="R5" s="1012"/>
    </row>
    <row r="6" spans="1:28" ht="48" customHeight="1" x14ac:dyDescent="0.25">
      <c r="A6" s="915"/>
      <c r="B6" s="5" t="s">
        <v>9</v>
      </c>
      <c r="C6" s="6" t="s">
        <v>10</v>
      </c>
      <c r="D6" s="934" t="s">
        <v>11</v>
      </c>
      <c r="E6" s="935"/>
      <c r="F6" s="936"/>
      <c r="G6" s="934" t="s">
        <v>12</v>
      </c>
      <c r="H6" s="935"/>
      <c r="I6" s="936"/>
      <c r="J6" s="934" t="s">
        <v>13</v>
      </c>
      <c r="K6" s="935"/>
      <c r="L6" s="936"/>
      <c r="M6" s="1008" t="s">
        <v>14</v>
      </c>
      <c r="N6" s="1009"/>
      <c r="O6" s="1011"/>
      <c r="P6" s="818"/>
      <c r="Q6" s="818"/>
      <c r="R6" s="818"/>
    </row>
    <row r="7" spans="1:28" ht="16.5" customHeight="1" x14ac:dyDescent="0.25">
      <c r="A7" s="7" t="s">
        <v>15</v>
      </c>
      <c r="B7" s="8" t="s">
        <v>16</v>
      </c>
      <c r="C7" s="8" t="s">
        <v>17</v>
      </c>
      <c r="D7" s="884" t="s">
        <v>18</v>
      </c>
      <c r="E7" s="885"/>
      <c r="F7" s="886"/>
      <c r="G7" s="884" t="s">
        <v>19</v>
      </c>
      <c r="H7" s="885"/>
      <c r="I7" s="886"/>
      <c r="J7" s="884" t="s">
        <v>20</v>
      </c>
      <c r="K7" s="885"/>
      <c r="L7" s="886"/>
      <c r="M7" s="884" t="s">
        <v>21</v>
      </c>
      <c r="N7" s="885"/>
      <c r="O7" s="886"/>
      <c r="P7" s="884" t="s">
        <v>22</v>
      </c>
      <c r="Q7" s="885"/>
      <c r="R7" s="885"/>
    </row>
    <row r="8" spans="1:28" ht="24.75" customHeight="1" x14ac:dyDescent="0.25">
      <c r="A8" s="9" t="s">
        <v>15</v>
      </c>
      <c r="B8" s="6" t="s">
        <v>23</v>
      </c>
      <c r="C8" s="10" t="s">
        <v>24</v>
      </c>
      <c r="D8" s="11">
        <v>1084071231</v>
      </c>
      <c r="E8" s="11">
        <v>1150329958</v>
      </c>
      <c r="F8" s="11">
        <f>+'2.10. sz. Intézmények összesen'!F8+'1.3 sz.Önkormányzat 2017.B'!BN8</f>
        <v>1115683421</v>
      </c>
      <c r="G8" s="11">
        <v>48137914</v>
      </c>
      <c r="H8" s="11">
        <v>54300774</v>
      </c>
      <c r="I8" s="11">
        <f>+'2.10. sz. Intézmények összesen'!I8+'1.3 sz.Önkormányzat 2017.B'!BQ8</f>
        <v>48564548</v>
      </c>
      <c r="J8" s="11">
        <v>34737498</v>
      </c>
      <c r="K8" s="11">
        <v>42117498</v>
      </c>
      <c r="L8" s="11">
        <f>+'2.10. sz. Intézmények összesen'!L8+'1.3 sz.Önkormányzat 2017.B'!BT8</f>
        <v>38945617</v>
      </c>
      <c r="M8" s="11">
        <v>1166946643</v>
      </c>
      <c r="N8" s="11">
        <v>1246748230</v>
      </c>
      <c r="O8" s="11">
        <f>+F8+I8+L8</f>
        <v>1203193586</v>
      </c>
      <c r="P8" s="11">
        <v>0</v>
      </c>
      <c r="Q8" s="11">
        <v>1748437</v>
      </c>
      <c r="R8" s="11">
        <f>+'1.3 sz.Önkormányzat 2017.B'!BZ8+'1.2 sz Önkormányzat 2017.'!DR8</f>
        <v>262160</v>
      </c>
      <c r="S8" s="12">
        <f t="shared" ref="S8:S48" si="0">R8-M8</f>
        <v>-1166684483</v>
      </c>
    </row>
    <row r="9" spans="1:28" s="14" customFormat="1" ht="24.75" customHeight="1" x14ac:dyDescent="0.25">
      <c r="A9" s="9" t="s">
        <v>16</v>
      </c>
      <c r="B9" s="13" t="s">
        <v>25</v>
      </c>
      <c r="C9" s="10" t="s">
        <v>26</v>
      </c>
      <c r="D9" s="11">
        <v>272205572</v>
      </c>
      <c r="E9" s="11">
        <v>288912902</v>
      </c>
      <c r="F9" s="11">
        <f>+'2.10. sz. Intézmények összesen'!F9+'1.3 sz.Önkormányzat 2017.B'!BN9</f>
        <v>266740254</v>
      </c>
      <c r="G9" s="11">
        <v>11072645</v>
      </c>
      <c r="H9" s="11">
        <v>12270035</v>
      </c>
      <c r="I9" s="11">
        <f>+'2.10. sz. Intézmények összesen'!I9+'1.3 sz.Önkormányzat 2017.B'!BQ9</f>
        <v>10679134</v>
      </c>
      <c r="J9" s="11">
        <v>8502323</v>
      </c>
      <c r="K9" s="11">
        <v>9882323</v>
      </c>
      <c r="L9" s="11">
        <f>+'2.10. sz. Intézmények összesen'!L9+'1.3 sz.Önkormányzat 2017.B'!BT9</f>
        <v>8774374</v>
      </c>
      <c r="M9" s="11">
        <v>291780540</v>
      </c>
      <c r="N9" s="11">
        <v>311065260</v>
      </c>
      <c r="O9" s="11">
        <f t="shared" ref="O9:O48" si="1">+F9+I9+L9</f>
        <v>286193762</v>
      </c>
      <c r="P9" s="11">
        <v>0</v>
      </c>
      <c r="Q9" s="11">
        <v>352563</v>
      </c>
      <c r="R9" s="11">
        <f>+'1.2 sz Önkormányzat 2017.'!DR9+'1.2 sz Önkormányzat 2017.'!EM9</f>
        <v>25954</v>
      </c>
      <c r="S9" s="12">
        <f t="shared" si="0"/>
        <v>-291754586</v>
      </c>
      <c r="U9" s="15">
        <f>+M8+M9+M10+M11+M12</f>
        <v>3781936416</v>
      </c>
    </row>
    <row r="10" spans="1:28" ht="24.75" customHeight="1" x14ac:dyDescent="0.25">
      <c r="A10" s="9" t="s">
        <v>17</v>
      </c>
      <c r="B10" s="13" t="s">
        <v>27</v>
      </c>
      <c r="C10" s="10" t="s">
        <v>28</v>
      </c>
      <c r="D10" s="11">
        <v>1489799201</v>
      </c>
      <c r="E10" s="11">
        <v>1867096303</v>
      </c>
      <c r="F10" s="11">
        <f>+'2.10. sz. Intézmények összesen'!F10+'1.3 sz.Önkormányzat 2017.B'!BN10</f>
        <v>1497585839</v>
      </c>
      <c r="G10" s="11">
        <v>100744404</v>
      </c>
      <c r="H10" s="11">
        <v>139823818</v>
      </c>
      <c r="I10" s="11">
        <f>+'2.10. sz. Intézmények összesen'!I10+'1.3 sz.Önkormányzat 2017.B'!BQ10</f>
        <v>118954989</v>
      </c>
      <c r="J10" s="11">
        <v>14390384</v>
      </c>
      <c r="K10" s="11">
        <v>15124438</v>
      </c>
      <c r="L10" s="11">
        <f>+'2.10. sz. Intézmények összesen'!L10+'1.3 sz.Önkormányzat 2017.B'!BT10</f>
        <v>9740013</v>
      </c>
      <c r="M10" s="11">
        <v>1604933989</v>
      </c>
      <c r="N10" s="11">
        <v>2022044559</v>
      </c>
      <c r="O10" s="11">
        <f t="shared" si="1"/>
        <v>1626280841</v>
      </c>
      <c r="P10" s="11">
        <v>0</v>
      </c>
      <c r="Q10" s="11">
        <v>13874193</v>
      </c>
      <c r="R10" s="11">
        <f>+'1.2 sz Önkormányzat 2017.'!DR10+'1.2 sz Önkormányzat 2017.'!EM10</f>
        <v>3328480</v>
      </c>
      <c r="S10" s="12">
        <f t="shared" si="0"/>
        <v>-1601605509</v>
      </c>
      <c r="U10" s="12">
        <f>+M16+M17+M18</f>
        <v>711592128</v>
      </c>
      <c r="AB10" s="12">
        <f>1184685609-O10</f>
        <v>-441595232</v>
      </c>
    </row>
    <row r="11" spans="1:28" ht="24.75" customHeight="1" x14ac:dyDescent="0.25">
      <c r="A11" s="9" t="s">
        <v>18</v>
      </c>
      <c r="B11" s="16" t="s">
        <v>29</v>
      </c>
      <c r="C11" s="10" t="s">
        <v>30</v>
      </c>
      <c r="D11" s="11">
        <v>22704500</v>
      </c>
      <c r="E11" s="11">
        <v>45185500</v>
      </c>
      <c r="F11" s="11">
        <f>+'2.10. sz. Intézmények összesen'!F11+'1.3 sz.Önkormányzat 2017.B'!BN11</f>
        <v>35804121</v>
      </c>
      <c r="G11" s="11">
        <v>1500000</v>
      </c>
      <c r="H11" s="11">
        <v>3000000</v>
      </c>
      <c r="I11" s="11">
        <f>+'2.10. sz. Intézmények összesen'!I11+'1.3 sz.Önkormányzat 2017.B'!BQ11</f>
        <v>2102900</v>
      </c>
      <c r="J11" s="11">
        <v>750000</v>
      </c>
      <c r="K11" s="11">
        <v>1850000</v>
      </c>
      <c r="L11" s="11">
        <f>+'2.10. sz. Intézmények összesen'!L11+'1.3 sz.Önkormányzat 2017.B'!BT11</f>
        <v>1447307</v>
      </c>
      <c r="M11" s="11">
        <v>24954500</v>
      </c>
      <c r="N11" s="11">
        <v>50035500</v>
      </c>
      <c r="O11" s="11">
        <f t="shared" si="1"/>
        <v>39354328</v>
      </c>
      <c r="P11" s="11">
        <v>0</v>
      </c>
      <c r="Q11" s="11">
        <v>0</v>
      </c>
      <c r="R11" s="11">
        <f>+'1.2 sz Önkormányzat 2017.'!DR11+'1.2 sz Önkormányzat 2017.'!EM11</f>
        <v>0</v>
      </c>
      <c r="S11" s="12">
        <f t="shared" si="0"/>
        <v>-24954500</v>
      </c>
      <c r="W11" s="3">
        <f>+'[2]9.sz. Szociális'!F26</f>
        <v>48044500</v>
      </c>
    </row>
    <row r="12" spans="1:28" ht="24.75" customHeight="1" x14ac:dyDescent="0.25">
      <c r="A12" s="9" t="s">
        <v>19</v>
      </c>
      <c r="B12" s="16" t="s">
        <v>31</v>
      </c>
      <c r="C12" s="10" t="s">
        <v>32</v>
      </c>
      <c r="D12" s="11">
        <v>615242923</v>
      </c>
      <c r="E12" s="11">
        <v>1146902446</v>
      </c>
      <c r="F12" s="11">
        <f>+'2.10. sz. Intézmények összesen'!F12+'1.3 sz.Önkormányzat 2017.B'!BN12</f>
        <v>311402682</v>
      </c>
      <c r="G12" s="11">
        <v>78077821</v>
      </c>
      <c r="H12" s="11">
        <v>173046821</v>
      </c>
      <c r="I12" s="11">
        <f>+'2.10. sz. Intézmények összesen'!I12+'1.3 sz.Önkormányzat 2017.B'!BQ12</f>
        <v>152181261</v>
      </c>
      <c r="J12" s="11">
        <v>0</v>
      </c>
      <c r="K12" s="11">
        <v>0</v>
      </c>
      <c r="L12" s="11">
        <f>+'2.10. sz. Intézmények összesen'!L12+'1.3 sz.Önkormányzat 2017.B'!BT12</f>
        <v>0</v>
      </c>
      <c r="M12" s="11">
        <v>693320744</v>
      </c>
      <c r="N12" s="11">
        <v>1319949267</v>
      </c>
      <c r="O12" s="11">
        <f t="shared" si="1"/>
        <v>463583943</v>
      </c>
      <c r="P12" s="11">
        <v>0</v>
      </c>
      <c r="Q12" s="11">
        <v>0</v>
      </c>
      <c r="R12" s="11">
        <f>+'1.2 sz Önkormányzat 2017.'!DR12+'1.2 sz Önkormányzat 2017.'!EM12</f>
        <v>0</v>
      </c>
      <c r="S12" s="12">
        <f t="shared" si="0"/>
        <v>-693320744</v>
      </c>
    </row>
    <row r="13" spans="1:28" ht="24.75" customHeight="1" x14ac:dyDescent="0.25">
      <c r="A13" s="9" t="s">
        <v>20</v>
      </c>
      <c r="B13" s="17" t="s">
        <v>33</v>
      </c>
      <c r="C13" s="10"/>
      <c r="D13" s="11">
        <v>33256000</v>
      </c>
      <c r="E13" s="11">
        <v>43656000</v>
      </c>
      <c r="F13" s="11">
        <f>+'2.10. sz. Intézmények összesen'!F13+'1.3 sz.Önkormányzat 2017.B'!BN13</f>
        <v>43572000</v>
      </c>
      <c r="G13" s="11">
        <v>78077821</v>
      </c>
      <c r="H13" s="11">
        <v>173046821</v>
      </c>
      <c r="I13" s="11">
        <f>+'2.10. sz. Intézmények összesen'!I13+'1.3 sz.Önkormányzat 2017.B'!BQ13</f>
        <v>152181261</v>
      </c>
      <c r="J13" s="11">
        <v>0</v>
      </c>
      <c r="K13" s="11">
        <v>0</v>
      </c>
      <c r="L13" s="11">
        <f>+'2.10. sz. Intézmények összesen'!L13+'1.3 sz.Önkormányzat 2017.B'!BT13</f>
        <v>0</v>
      </c>
      <c r="M13" s="11">
        <v>111333821</v>
      </c>
      <c r="N13" s="11">
        <v>216702821</v>
      </c>
      <c r="O13" s="11">
        <f t="shared" si="1"/>
        <v>195753261</v>
      </c>
      <c r="P13" s="11">
        <v>0</v>
      </c>
      <c r="Q13" s="11">
        <v>0</v>
      </c>
      <c r="R13" s="11">
        <f>+'1.2 sz Önkormányzat 2017.'!DR13+'1.2 sz Önkormányzat 2017.'!EM13</f>
        <v>0</v>
      </c>
      <c r="S13" s="12">
        <f t="shared" si="0"/>
        <v>-111333821</v>
      </c>
      <c r="T13" s="3">
        <f>+'[2]5.sz.Műk.c.pe.átadás'!F157+'[2]5.sz.Műk.c.pe.átadás'!H157</f>
        <v>204543821</v>
      </c>
      <c r="W13" s="3">
        <f>+'[2]5.sz.Műk.c.pe.átadás'!F157+'[2]5.sz.Műk.c.pe.átadás'!H157</f>
        <v>204543821</v>
      </c>
    </row>
    <row r="14" spans="1:28" s="19" customFormat="1" ht="24.75" customHeight="1" x14ac:dyDescent="0.25">
      <c r="A14" s="9" t="s">
        <v>21</v>
      </c>
      <c r="B14" s="17" t="s">
        <v>34</v>
      </c>
      <c r="C14" s="18"/>
      <c r="D14" s="11">
        <v>395029201</v>
      </c>
      <c r="E14" s="11">
        <v>835415764</v>
      </c>
      <c r="F14" s="11">
        <f>+'2.10. sz. Intézmények összesen'!F14+'1.3 sz.Önkormányzat 2017.B'!BN14</f>
        <v>0</v>
      </c>
      <c r="G14" s="11">
        <v>0</v>
      </c>
      <c r="H14" s="11">
        <v>0</v>
      </c>
      <c r="I14" s="11">
        <f>+'2.10. sz. Intézmények összesen'!I14+'1.3 sz.Önkormányzat 2017.B'!BQ14</f>
        <v>0</v>
      </c>
      <c r="J14" s="11">
        <v>0</v>
      </c>
      <c r="K14" s="11">
        <v>0</v>
      </c>
      <c r="L14" s="11">
        <f>+'2.10. sz. Intézmények összesen'!L14+'1.3 sz.Önkormányzat 2017.B'!BT14</f>
        <v>0</v>
      </c>
      <c r="M14" s="11">
        <v>395029201</v>
      </c>
      <c r="N14" s="11">
        <v>835415764</v>
      </c>
      <c r="O14" s="11">
        <f t="shared" si="1"/>
        <v>0</v>
      </c>
      <c r="P14" s="11">
        <v>0</v>
      </c>
      <c r="Q14" s="11">
        <v>0</v>
      </c>
      <c r="R14" s="11">
        <f>+'1.2 sz Önkormányzat 2017.'!DR14+'1.2 sz Önkormányzat 2017.'!EM14</f>
        <v>0</v>
      </c>
      <c r="S14" s="12">
        <f t="shared" si="0"/>
        <v>-395029201</v>
      </c>
      <c r="T14" s="19">
        <f>+'[2]8.sz.Tartalékok'!D72</f>
        <v>606439032</v>
      </c>
      <c r="W14" s="19">
        <f>+'[2]8.sz.Tartalékok'!D72</f>
        <v>606439032</v>
      </c>
    </row>
    <row r="15" spans="1:28" s="19" customFormat="1" ht="24.75" customHeight="1" x14ac:dyDescent="0.25">
      <c r="A15" s="9" t="s">
        <v>22</v>
      </c>
      <c r="B15" s="17" t="s">
        <v>35</v>
      </c>
      <c r="C15" s="18"/>
      <c r="D15" s="11">
        <v>186957722</v>
      </c>
      <c r="E15" s="11">
        <v>267830682</v>
      </c>
      <c r="F15" s="11">
        <f>+'2.10. sz. Intézmények összesen'!F15+'1.3 sz.Önkormányzat 2017.B'!BN15</f>
        <v>267830682</v>
      </c>
      <c r="G15" s="11">
        <v>0</v>
      </c>
      <c r="H15" s="11">
        <v>0</v>
      </c>
      <c r="I15" s="11">
        <f>+'2.10. sz. Intézmények összesen'!I15+'1.3 sz.Önkormányzat 2017.B'!BQ15</f>
        <v>0</v>
      </c>
      <c r="J15" s="11">
        <v>0</v>
      </c>
      <c r="K15" s="11">
        <v>0</v>
      </c>
      <c r="L15" s="11">
        <f>+'2.10. sz. Intézmények összesen'!L15+'1.3 sz.Önkormányzat 2017.B'!BT15</f>
        <v>0</v>
      </c>
      <c r="M15" s="11">
        <v>186957722</v>
      </c>
      <c r="N15" s="11">
        <v>267830682</v>
      </c>
      <c r="O15" s="11">
        <f t="shared" si="1"/>
        <v>267830682</v>
      </c>
      <c r="P15" s="11">
        <v>0</v>
      </c>
      <c r="Q15" s="11">
        <v>0</v>
      </c>
      <c r="R15" s="11">
        <f>+'1.2 sz Önkormányzat 2017.'!DR15+'1.2 sz Önkormányzat 2017.'!EM15</f>
        <v>0</v>
      </c>
      <c r="S15" s="12">
        <f t="shared" si="0"/>
        <v>-186957722</v>
      </c>
    </row>
    <row r="16" spans="1:28" s="14" customFormat="1" ht="24.75" customHeight="1" x14ac:dyDescent="0.25">
      <c r="A16" s="9" t="s">
        <v>36</v>
      </c>
      <c r="B16" s="20" t="s">
        <v>37</v>
      </c>
      <c r="C16" s="10" t="s">
        <v>38</v>
      </c>
      <c r="D16" s="11">
        <v>179657370</v>
      </c>
      <c r="E16" s="11">
        <v>828077820</v>
      </c>
      <c r="F16" s="11">
        <f>+'2.10. sz. Intézmények összesen'!F16+'1.3 sz.Önkormányzat 2017.B'!BN16</f>
        <v>357389393</v>
      </c>
      <c r="G16" s="11">
        <v>36634100</v>
      </c>
      <c r="H16" s="11">
        <v>56245400</v>
      </c>
      <c r="I16" s="11">
        <f>+'2.10. sz. Intézmények összesen'!I16+'1.3 sz.Önkormányzat 2017.B'!BQ16</f>
        <v>34905983</v>
      </c>
      <c r="J16" s="11">
        <v>0</v>
      </c>
      <c r="K16" s="11">
        <v>530565</v>
      </c>
      <c r="L16" s="11">
        <f>+'2.10. sz. Intézmények összesen'!L16+'1.3 sz.Önkormányzat 2017.B'!BT16</f>
        <v>529303</v>
      </c>
      <c r="M16" s="11">
        <v>216291470</v>
      </c>
      <c r="N16" s="11">
        <v>884853785</v>
      </c>
      <c r="O16" s="11">
        <f t="shared" si="1"/>
        <v>392824679</v>
      </c>
      <c r="P16" s="11">
        <v>0</v>
      </c>
      <c r="Q16" s="11">
        <v>304029281</v>
      </c>
      <c r="R16" s="11">
        <f>+'1.2 sz Önkormányzat 2017.'!DR16+'1.2 sz Önkormányzat 2017.'!EM16</f>
        <v>12155706</v>
      </c>
      <c r="S16" s="12">
        <f t="shared" si="0"/>
        <v>-204135764</v>
      </c>
      <c r="T16" s="14">
        <f>+'[2]6.sz. Beruházások'!F84</f>
        <v>501541906</v>
      </c>
      <c r="W16" s="14">
        <f>+'[2]6.sz. Beruházások'!F84</f>
        <v>501541906</v>
      </c>
      <c r="AA16" s="15">
        <f>+O15+O13-O12</f>
        <v>0</v>
      </c>
    </row>
    <row r="17" spans="1:23" s="14" customFormat="1" ht="24.75" customHeight="1" x14ac:dyDescent="0.25">
      <c r="A17" s="9" t="s">
        <v>39</v>
      </c>
      <c r="B17" s="16" t="s">
        <v>40</v>
      </c>
      <c r="C17" s="10" t="s">
        <v>41</v>
      </c>
      <c r="D17" s="11">
        <v>86919478</v>
      </c>
      <c r="E17" s="11">
        <v>411522809</v>
      </c>
      <c r="F17" s="11">
        <f>+'2.10. sz. Intézmények összesen'!F17+'1.3 sz.Önkormányzat 2017.B'!BN17</f>
        <v>262655211</v>
      </c>
      <c r="G17" s="11">
        <v>0</v>
      </c>
      <c r="H17" s="11">
        <v>0</v>
      </c>
      <c r="I17" s="11">
        <f>+'2.10. sz. Intézmények összesen'!I17+'1.3 sz.Önkormányzat 2017.B'!BQ17</f>
        <v>0</v>
      </c>
      <c r="J17" s="11">
        <v>0</v>
      </c>
      <c r="K17" s="11">
        <v>0</v>
      </c>
      <c r="L17" s="11">
        <f>+'2.10. sz. Intézmények összesen'!L17+'1.3 sz.Önkormányzat 2017.B'!BT17</f>
        <v>0</v>
      </c>
      <c r="M17" s="11">
        <v>86919478</v>
      </c>
      <c r="N17" s="11">
        <v>411522809</v>
      </c>
      <c r="O17" s="11">
        <f t="shared" si="1"/>
        <v>262655211</v>
      </c>
      <c r="P17" s="11">
        <v>0</v>
      </c>
      <c r="Q17" s="11">
        <v>0</v>
      </c>
      <c r="R17" s="11">
        <f>+'1.2 sz Önkormányzat 2017.'!DR17+'1.2 sz Önkormányzat 2017.'!EM17</f>
        <v>0</v>
      </c>
      <c r="S17" s="12">
        <f t="shared" si="0"/>
        <v>-86919478</v>
      </c>
      <c r="T17" s="14">
        <f>+'[2]7. sz. Felújítások'!F17</f>
        <v>120911978</v>
      </c>
      <c r="W17" s="14">
        <f>+'[2]7. sz. Felújítások'!F17</f>
        <v>120911978</v>
      </c>
    </row>
    <row r="18" spans="1:23" ht="24.75" customHeight="1" x14ac:dyDescent="0.25">
      <c r="A18" s="9" t="s">
        <v>42</v>
      </c>
      <c r="B18" s="16" t="s">
        <v>43</v>
      </c>
      <c r="C18" s="10" t="s">
        <v>44</v>
      </c>
      <c r="D18" s="11">
        <v>7500000</v>
      </c>
      <c r="E18" s="11">
        <v>10169900</v>
      </c>
      <c r="F18" s="11">
        <f>+'2.10. sz. Intézmények összesen'!F18+'1.3 sz.Önkormányzat 2017.B'!BN18</f>
        <v>9600000</v>
      </c>
      <c r="G18" s="11">
        <v>400881180</v>
      </c>
      <c r="H18" s="11">
        <v>497313180</v>
      </c>
      <c r="I18" s="11">
        <f>+'2.10. sz. Intézmények összesen'!I18+'1.3 sz.Önkormányzat 2017.B'!BQ18</f>
        <v>495872780</v>
      </c>
      <c r="J18" s="11">
        <v>0</v>
      </c>
      <c r="K18" s="11">
        <v>0</v>
      </c>
      <c r="L18" s="11">
        <f>+'2.10. sz. Intézmények összesen'!L18+'1.3 sz.Önkormányzat 2017.B'!BT18</f>
        <v>0</v>
      </c>
      <c r="M18" s="11">
        <v>408381180</v>
      </c>
      <c r="N18" s="11">
        <v>507483080</v>
      </c>
      <c r="O18" s="11">
        <f t="shared" si="1"/>
        <v>505472780</v>
      </c>
      <c r="P18" s="11">
        <v>0</v>
      </c>
      <c r="Q18" s="11">
        <v>0</v>
      </c>
      <c r="R18" s="11">
        <f>+'1.2 sz Önkormányzat 2017.'!DR18+'1.2 sz Önkormányzat 2017.'!EM18</f>
        <v>0</v>
      </c>
      <c r="S18" s="12">
        <f t="shared" si="0"/>
        <v>-408381180</v>
      </c>
      <c r="T18" s="3">
        <f>+'[2]4.sz.Felhalm.c.pe.átadás'!R18</f>
        <v>412988180</v>
      </c>
    </row>
    <row r="19" spans="1:23" ht="24.75" customHeight="1" x14ac:dyDescent="0.25">
      <c r="A19" s="9" t="s">
        <v>45</v>
      </c>
      <c r="B19" s="17" t="s">
        <v>46</v>
      </c>
      <c r="C19" s="10"/>
      <c r="D19" s="11">
        <v>7500000</v>
      </c>
      <c r="E19" s="11">
        <v>10169900</v>
      </c>
      <c r="F19" s="11">
        <f>+'2.10. sz. Intézmények összesen'!F19+'1.3 sz.Önkormányzat 2017.B'!BN19</f>
        <v>9600000</v>
      </c>
      <c r="G19" s="11">
        <v>400881180</v>
      </c>
      <c r="H19" s="11">
        <v>497313180</v>
      </c>
      <c r="I19" s="11">
        <f>+'2.10. sz. Intézmények összesen'!I19+'1.3 sz.Önkormányzat 2017.B'!BQ19</f>
        <v>495872780</v>
      </c>
      <c r="J19" s="11">
        <v>0</v>
      </c>
      <c r="K19" s="11">
        <v>0</v>
      </c>
      <c r="L19" s="11">
        <f>+'2.10. sz. Intézmények összesen'!L19+'1.3 sz.Önkormányzat 2017.B'!BT19</f>
        <v>0</v>
      </c>
      <c r="M19" s="11">
        <v>408381180</v>
      </c>
      <c r="N19" s="11">
        <v>507483080</v>
      </c>
      <c r="O19" s="11">
        <f t="shared" si="1"/>
        <v>505472780</v>
      </c>
      <c r="P19" s="11">
        <v>0</v>
      </c>
      <c r="Q19" s="11">
        <v>0</v>
      </c>
      <c r="R19" s="11">
        <f>+'1.2 sz Önkormányzat 2017.'!DR19+'1.2 sz Önkormányzat 2017.'!EM19</f>
        <v>0</v>
      </c>
      <c r="S19" s="12">
        <f t="shared" si="0"/>
        <v>-408381180</v>
      </c>
      <c r="W19" s="3">
        <f>+'[2]4.sz.Felhalm.c.pe.átadás'!R18</f>
        <v>412988180</v>
      </c>
    </row>
    <row r="20" spans="1:23" s="14" customFormat="1" ht="24.75" customHeight="1" x14ac:dyDescent="0.25">
      <c r="A20" s="9" t="s">
        <v>47</v>
      </c>
      <c r="B20" s="20" t="s">
        <v>48</v>
      </c>
      <c r="C20" s="10" t="s">
        <v>49</v>
      </c>
      <c r="D20" s="11">
        <v>3758100275</v>
      </c>
      <c r="E20" s="11">
        <v>5748197638</v>
      </c>
      <c r="F20" s="11">
        <f>+'2.10. sz. Intézmények összesen'!F20+'1.3 sz.Önkormányzat 2017.B'!BN20</f>
        <v>3856860921</v>
      </c>
      <c r="G20" s="11">
        <v>677048064</v>
      </c>
      <c r="H20" s="11">
        <v>936000028</v>
      </c>
      <c r="I20" s="11">
        <f>+'2.10. sz. Intézmények összesen'!I20+'1.3 sz.Önkormányzat 2017.B'!BQ20</f>
        <v>863261595</v>
      </c>
      <c r="J20" s="11">
        <v>58380205</v>
      </c>
      <c r="K20" s="11">
        <v>69504824</v>
      </c>
      <c r="L20" s="11">
        <f>+'2.10. sz. Intézmények összesen'!L20+'1.3 sz.Önkormányzat 2017.B'!BT20</f>
        <v>59436614</v>
      </c>
      <c r="M20" s="11">
        <v>4493528544</v>
      </c>
      <c r="N20" s="876">
        <v>6753702490</v>
      </c>
      <c r="O20" s="876">
        <f t="shared" si="1"/>
        <v>4779559130</v>
      </c>
      <c r="P20" s="11">
        <v>0</v>
      </c>
      <c r="Q20" s="11">
        <v>320004474</v>
      </c>
      <c r="R20" s="11">
        <f>+'1.2 sz Önkormányzat 2017.'!DR20+'1.2 sz Önkormányzat 2017.'!EM20</f>
        <v>15641220</v>
      </c>
      <c r="S20" s="12">
        <f t="shared" si="0"/>
        <v>-4477887324</v>
      </c>
      <c r="U20" s="15">
        <f>+M8+M9+M10+M11+M12+M16+M17+M18</f>
        <v>4493528544</v>
      </c>
    </row>
    <row r="21" spans="1:23" s="14" customFormat="1" ht="24.75" customHeight="1" x14ac:dyDescent="0.25">
      <c r="A21" s="9" t="s">
        <v>50</v>
      </c>
      <c r="B21" s="20" t="s">
        <v>51</v>
      </c>
      <c r="C21" s="10" t="s">
        <v>52</v>
      </c>
      <c r="D21" s="11">
        <v>1909725535</v>
      </c>
      <c r="E21" s="11">
        <v>1982685354</v>
      </c>
      <c r="F21" s="11">
        <f>+'2.10. sz. Intézmények összesen'!F21+'1.3 sz.Önkormányzat 2017.B'!BN21</f>
        <v>6850471809</v>
      </c>
      <c r="G21" s="11">
        <v>25740618</v>
      </c>
      <c r="H21" s="11">
        <v>113425587</v>
      </c>
      <c r="I21" s="11">
        <f>+'2.10. sz. Intézmények összesen'!I21+'1.3 sz.Önkormányzat 2017.B'!BQ21</f>
        <v>109895689</v>
      </c>
      <c r="J21" s="11">
        <v>0</v>
      </c>
      <c r="K21" s="11">
        <v>0</v>
      </c>
      <c r="L21" s="11">
        <f>+'2.10. sz. Intézmények összesen'!L21+'1.3 sz.Önkormányzat 2017.B'!BT21</f>
        <v>0</v>
      </c>
      <c r="M21" s="11">
        <v>1935466153</v>
      </c>
      <c r="N21" s="876">
        <v>2096110941</v>
      </c>
      <c r="O21" s="876">
        <f t="shared" si="1"/>
        <v>6960367498</v>
      </c>
      <c r="P21" s="11">
        <v>0</v>
      </c>
      <c r="Q21" s="11">
        <v>0</v>
      </c>
      <c r="R21" s="11">
        <f>+'1.2 sz Önkormányzat 2017.'!DR21+'1.2 sz Önkormányzat 2017.'!EM21</f>
        <v>0</v>
      </c>
      <c r="S21" s="12">
        <f t="shared" si="0"/>
        <v>-1935466153</v>
      </c>
    </row>
    <row r="22" spans="1:23" s="23" customFormat="1" ht="27" customHeight="1" x14ac:dyDescent="0.25">
      <c r="A22" s="9" t="s">
        <v>53</v>
      </c>
      <c r="B22" s="21" t="s">
        <v>54</v>
      </c>
      <c r="C22" s="18"/>
      <c r="D22" s="11">
        <v>0</v>
      </c>
      <c r="E22" s="11">
        <v>0</v>
      </c>
      <c r="F22" s="11">
        <f>+'2.10. sz. Intézmények összesen'!F22+'1.3 sz.Önkormányzat 2017.B'!BN22</f>
        <v>0</v>
      </c>
      <c r="G22" s="11">
        <v>22210720</v>
      </c>
      <c r="H22" s="11">
        <v>109895689</v>
      </c>
      <c r="I22" s="11">
        <f>+'2.10. sz. Intézmények összesen'!I22+'1.3 sz.Önkormányzat 2017.B'!BQ22</f>
        <v>109895689</v>
      </c>
      <c r="J22" s="11">
        <v>0</v>
      </c>
      <c r="K22" s="11">
        <v>0</v>
      </c>
      <c r="L22" s="11">
        <f>+'2.10. sz. Intézmények összesen'!L22+'1.3 sz.Önkormányzat 2017.B'!BT22</f>
        <v>0</v>
      </c>
      <c r="M22" s="11">
        <v>22210720</v>
      </c>
      <c r="N22" s="11">
        <v>109895689</v>
      </c>
      <c r="O22" s="11">
        <f t="shared" si="1"/>
        <v>109895689</v>
      </c>
      <c r="P22" s="11">
        <v>0</v>
      </c>
      <c r="Q22" s="11">
        <v>0</v>
      </c>
      <c r="R22" s="11">
        <f>+'1.2 sz Önkormányzat 2017.'!DR22+'1.2 sz Önkormányzat 2017.'!EM22</f>
        <v>0</v>
      </c>
      <c r="S22" s="12">
        <f t="shared" si="0"/>
        <v>-22210720</v>
      </c>
      <c r="T22" s="22">
        <f>+M8+M9+M10+M11+M12</f>
        <v>3781936416</v>
      </c>
      <c r="V22" s="22">
        <f>+O26+O27-O28</f>
        <v>0</v>
      </c>
    </row>
    <row r="23" spans="1:23" s="23" customFormat="1" ht="24.75" customHeight="1" x14ac:dyDescent="0.25">
      <c r="A23" s="9" t="s">
        <v>55</v>
      </c>
      <c r="B23" s="24" t="s">
        <v>56</v>
      </c>
      <c r="C23" s="18"/>
      <c r="D23" s="11">
        <v>1893681715</v>
      </c>
      <c r="E23" s="11">
        <v>1952514336</v>
      </c>
      <c r="F23" s="11">
        <f>+'2.10. sz. Intézmények összesen'!F23+'1.3 sz.Önkormányzat 2017.B'!BN23</f>
        <v>1802535483</v>
      </c>
      <c r="G23" s="11">
        <v>0</v>
      </c>
      <c r="H23" s="11">
        <v>0</v>
      </c>
      <c r="I23" s="11">
        <f>+'2.10. sz. Intézmények összesen'!I23+'1.3 sz.Önkormányzat 2017.B'!BQ23</f>
        <v>0</v>
      </c>
      <c r="J23" s="11">
        <v>0</v>
      </c>
      <c r="K23" s="11">
        <v>0</v>
      </c>
      <c r="L23" s="11">
        <f>+'2.10. sz. Intézmények összesen'!L23+'1.3 sz.Önkormányzat 2017.B'!BT23</f>
        <v>0</v>
      </c>
      <c r="M23" s="11">
        <v>1893681715</v>
      </c>
      <c r="N23" s="11">
        <v>1952514336</v>
      </c>
      <c r="O23" s="11">
        <f t="shared" si="1"/>
        <v>1802535483</v>
      </c>
      <c r="P23" s="11">
        <v>0</v>
      </c>
      <c r="Q23" s="11">
        <v>0</v>
      </c>
      <c r="R23" s="11">
        <f>+'1.2 sz Önkormányzat 2017.'!DR23+'1.2 sz Önkormányzat 2017.'!EM23</f>
        <v>0</v>
      </c>
      <c r="S23" s="12">
        <f t="shared" si="0"/>
        <v>-1893681715</v>
      </c>
      <c r="T23" s="22">
        <f>+M16+M17+M18</f>
        <v>711592128</v>
      </c>
      <c r="V23" s="22">
        <f>+O28-O20-O21</f>
        <v>0</v>
      </c>
    </row>
    <row r="24" spans="1:23" s="23" customFormat="1" ht="24.75" customHeight="1" x14ac:dyDescent="0.25">
      <c r="A24" s="9" t="s">
        <v>57</v>
      </c>
      <c r="B24" s="24" t="s">
        <v>58</v>
      </c>
      <c r="C24" s="18"/>
      <c r="D24" s="11">
        <v>16043820</v>
      </c>
      <c r="E24" s="11">
        <v>30171018</v>
      </c>
      <c r="F24" s="11">
        <f>+'2.10. sz. Intézmények összesen'!F24+'1.3 sz.Önkormányzat 2017.B'!BN24</f>
        <v>27936326</v>
      </c>
      <c r="G24" s="11">
        <v>0</v>
      </c>
      <c r="H24" s="11">
        <v>0</v>
      </c>
      <c r="I24" s="11">
        <f>+'2.10. sz. Intézmények összesen'!I24+'1.3 sz.Önkormányzat 2017.B'!BQ24</f>
        <v>0</v>
      </c>
      <c r="J24" s="11">
        <v>0</v>
      </c>
      <c r="K24" s="11">
        <v>0</v>
      </c>
      <c r="L24" s="11">
        <f>+'2.10. sz. Intézmények összesen'!L24+'1.3 sz.Önkormányzat 2017.B'!BT24</f>
        <v>0</v>
      </c>
      <c r="M24" s="11">
        <v>16043820</v>
      </c>
      <c r="N24" s="11">
        <v>30171018</v>
      </c>
      <c r="O24" s="11">
        <f t="shared" si="1"/>
        <v>27936326</v>
      </c>
      <c r="P24" s="11">
        <v>0</v>
      </c>
      <c r="Q24" s="11">
        <v>0</v>
      </c>
      <c r="R24" s="11">
        <f>+'1.2 sz Önkormányzat 2017.'!DR24+'1.2 sz Önkormányzat 2017.'!EM24</f>
        <v>0</v>
      </c>
      <c r="S24" s="12">
        <f t="shared" si="0"/>
        <v>-16043820</v>
      </c>
      <c r="T24" s="22">
        <f>+M23+M24</f>
        <v>1909725535</v>
      </c>
    </row>
    <row r="25" spans="1:23" s="23" customFormat="1" ht="24.75" customHeight="1" x14ac:dyDescent="0.25">
      <c r="A25" s="9" t="s">
        <v>59</v>
      </c>
      <c r="B25" s="24" t="s">
        <v>60</v>
      </c>
      <c r="C25" s="18"/>
      <c r="D25" s="11">
        <v>0</v>
      </c>
      <c r="E25" s="11">
        <v>0</v>
      </c>
      <c r="F25" s="11">
        <f>+'2.10. sz. Intézmények összesen'!F25+'1.3 sz.Önkormányzat 2017.B'!BN25</f>
        <v>0</v>
      </c>
      <c r="G25" s="11">
        <v>3529898</v>
      </c>
      <c r="H25" s="11">
        <v>3529898</v>
      </c>
      <c r="I25" s="11">
        <f>+'2.10. sz. Intézmények összesen'!I25+'1.3 sz.Önkormányzat 2017.B'!BQ25</f>
        <v>0</v>
      </c>
      <c r="J25" s="11">
        <v>0</v>
      </c>
      <c r="K25" s="11">
        <v>0</v>
      </c>
      <c r="L25" s="11">
        <f>+'2.10. sz. Intézmények összesen'!L25+'1.3 sz.Önkormányzat 2017.B'!BT25</f>
        <v>0</v>
      </c>
      <c r="M25" s="11">
        <v>3529898</v>
      </c>
      <c r="N25" s="11">
        <v>3529898</v>
      </c>
      <c r="O25" s="11">
        <f t="shared" si="1"/>
        <v>0</v>
      </c>
      <c r="P25" s="11">
        <v>0</v>
      </c>
      <c r="Q25" s="11">
        <v>0</v>
      </c>
      <c r="R25" s="11">
        <f>+'1.2 sz Önkormányzat 2017.'!DR25+'1.2 sz Önkormányzat 2017.'!EM25</f>
        <v>0</v>
      </c>
      <c r="S25" s="12">
        <f t="shared" si="0"/>
        <v>-3529898</v>
      </c>
      <c r="V25" s="22">
        <f>+O21-O22-O23</f>
        <v>5047936326</v>
      </c>
    </row>
    <row r="26" spans="1:23" s="14" customFormat="1" ht="24.75" customHeight="1" x14ac:dyDescent="0.25">
      <c r="A26" s="9" t="s">
        <v>61</v>
      </c>
      <c r="B26" s="25" t="s">
        <v>62</v>
      </c>
      <c r="C26" s="10"/>
      <c r="D26" s="26">
        <v>5377705142</v>
      </c>
      <c r="E26" s="26">
        <v>6450941445</v>
      </c>
      <c r="F26" s="11">
        <f>+'2.10. sz. Intézmények összesen'!F26+'1.3 sz.Önkormányzat 2017.B'!BN26</f>
        <v>10049751800</v>
      </c>
      <c r="G26" s="26">
        <v>261743504</v>
      </c>
      <c r="H26" s="26">
        <v>492337137</v>
      </c>
      <c r="I26" s="11">
        <f>+'2.10. sz. Intézmények összesen'!I26+'1.3 sz.Önkormányzat 2017.B'!BQ26</f>
        <v>442378521</v>
      </c>
      <c r="J26" s="26">
        <v>58380205</v>
      </c>
      <c r="K26" s="26">
        <v>68974259</v>
      </c>
      <c r="L26" s="11">
        <f>+'2.10. sz. Intézmények összesen'!L26+'1.3 sz.Önkormányzat 2017.B'!BT26</f>
        <v>58907311</v>
      </c>
      <c r="M26" s="26">
        <v>5697828851</v>
      </c>
      <c r="N26" s="26">
        <v>7012252841</v>
      </c>
      <c r="O26" s="11">
        <f t="shared" si="1"/>
        <v>10551037632</v>
      </c>
      <c r="P26" s="11">
        <v>0</v>
      </c>
      <c r="Q26" s="26">
        <v>15975193</v>
      </c>
      <c r="R26" s="11">
        <f>+'1.2 sz Önkormányzat 2017.'!DR26+'1.2 sz Önkormányzat 2017.'!EM26</f>
        <v>3485514</v>
      </c>
      <c r="S26" s="12">
        <f t="shared" si="0"/>
        <v>-5694343337</v>
      </c>
    </row>
    <row r="27" spans="1:23" s="14" customFormat="1" ht="24.75" customHeight="1" thickBot="1" x14ac:dyDescent="0.3">
      <c r="A27" s="9" t="s">
        <v>63</v>
      </c>
      <c r="B27" s="25" t="s">
        <v>64</v>
      </c>
      <c r="C27" s="10"/>
      <c r="D27" s="26">
        <v>290120668</v>
      </c>
      <c r="E27" s="26">
        <v>1279941547</v>
      </c>
      <c r="F27" s="11">
        <f>+'2.10. sz. Intézmények összesen'!F27+'1.3 sz.Önkormányzat 2017.B'!BN27</f>
        <v>657580930</v>
      </c>
      <c r="G27" s="26">
        <v>441045178</v>
      </c>
      <c r="H27" s="26">
        <v>557088478</v>
      </c>
      <c r="I27" s="11">
        <f>+'2.10. sz. Intézmények összesen'!I27+'1.3 sz.Önkormányzat 2017.B'!BQ27</f>
        <v>530778763</v>
      </c>
      <c r="J27" s="26">
        <v>0</v>
      </c>
      <c r="K27" s="26">
        <v>530565</v>
      </c>
      <c r="L27" s="11">
        <f>+'2.10. sz. Intézmények összesen'!L27+'1.3 sz.Önkormányzat 2017.B'!BT27</f>
        <v>529303</v>
      </c>
      <c r="M27" s="26">
        <v>731165846</v>
      </c>
      <c r="N27" s="26">
        <v>1837560590</v>
      </c>
      <c r="O27" s="11">
        <f t="shared" si="1"/>
        <v>1188888996</v>
      </c>
      <c r="P27" s="11">
        <v>0</v>
      </c>
      <c r="Q27" s="26">
        <v>304029281</v>
      </c>
      <c r="R27" s="11">
        <f>+'1.2 sz Önkormányzat 2017.'!DR27+'1.2 sz Önkormányzat 2017.'!EM27</f>
        <v>12155706</v>
      </c>
      <c r="S27" s="12">
        <f t="shared" si="0"/>
        <v>-719010140</v>
      </c>
      <c r="T27" s="15">
        <f>+M26+M27</f>
        <v>6428994697</v>
      </c>
    </row>
    <row r="28" spans="1:23" s="14" customFormat="1" ht="24.75" customHeight="1" thickBot="1" x14ac:dyDescent="0.3">
      <c r="A28" s="9" t="s">
        <v>65</v>
      </c>
      <c r="B28" s="25" t="s">
        <v>66</v>
      </c>
      <c r="C28" s="10" t="s">
        <v>67</v>
      </c>
      <c r="D28" s="26">
        <v>5667825810</v>
      </c>
      <c r="E28" s="26">
        <v>7730882992</v>
      </c>
      <c r="F28" s="11">
        <f>+'2.10. sz. Intézmények összesen'!F28+'1.3 sz.Önkormányzat 2017.B'!BN28</f>
        <v>10707332730</v>
      </c>
      <c r="G28" s="26">
        <v>702788682</v>
      </c>
      <c r="H28" s="26">
        <v>1049425615</v>
      </c>
      <c r="I28" s="11">
        <f>+'2.10. sz. Intézmények összesen'!I28+'1.3 sz.Önkormányzat 2017.B'!BQ28</f>
        <v>973157284</v>
      </c>
      <c r="J28" s="26">
        <v>58380205</v>
      </c>
      <c r="K28" s="26">
        <v>69504824</v>
      </c>
      <c r="L28" s="11">
        <f>+'2.10. sz. Intézmények összesen'!L28+'1.3 sz.Önkormányzat 2017.B'!BT28</f>
        <v>59436614</v>
      </c>
      <c r="M28" s="26">
        <v>6428994697</v>
      </c>
      <c r="N28" s="26">
        <v>8849813431</v>
      </c>
      <c r="O28" s="11">
        <f>+F28+I28+L28</f>
        <v>11739926628</v>
      </c>
      <c r="P28" s="11">
        <v>0</v>
      </c>
      <c r="Q28" s="26">
        <v>320004474</v>
      </c>
      <c r="R28" s="11">
        <f>+'1.2 sz Önkormányzat 2017.'!DR28+'1.2 sz Önkormányzat 2017.'!EM28</f>
        <v>15641220</v>
      </c>
      <c r="S28" s="12">
        <f t="shared" si="0"/>
        <v>-6413353477</v>
      </c>
      <c r="T28" s="870">
        <f>+O20+O21</f>
        <v>11739926628</v>
      </c>
      <c r="U28" s="871">
        <f>+O28-T28</f>
        <v>0</v>
      </c>
    </row>
    <row r="29" spans="1:23" ht="24.75" customHeight="1" x14ac:dyDescent="0.25">
      <c r="A29" s="9" t="s">
        <v>68</v>
      </c>
      <c r="B29" s="13" t="s">
        <v>69</v>
      </c>
      <c r="C29" s="20" t="s">
        <v>70</v>
      </c>
      <c r="D29" s="11">
        <v>791148457</v>
      </c>
      <c r="E29" s="11">
        <v>1043422022</v>
      </c>
      <c r="F29" s="11">
        <f>+'2.10. sz. Intézmények összesen'!F29+'1.3 sz.Önkormányzat 2017.B'!BN29</f>
        <v>1041469043</v>
      </c>
      <c r="G29" s="11">
        <v>0</v>
      </c>
      <c r="H29" s="11">
        <v>590000</v>
      </c>
      <c r="I29" s="11">
        <f>+'2.10. sz. Intézmények összesen'!I29+'1.3 sz.Önkormányzat 2017.B'!BQ29</f>
        <v>590000</v>
      </c>
      <c r="J29" s="11">
        <v>0</v>
      </c>
      <c r="K29" s="11">
        <v>0</v>
      </c>
      <c r="L29" s="11">
        <f>+'2.10. sz. Intézmények összesen'!L29+'1.3 sz.Önkormányzat 2017.B'!BT29</f>
        <v>0</v>
      </c>
      <c r="M29" s="11">
        <v>791148457</v>
      </c>
      <c r="N29" s="11">
        <v>1044012022</v>
      </c>
      <c r="O29" s="11">
        <f t="shared" si="1"/>
        <v>1042059043</v>
      </c>
      <c r="P29" s="11">
        <v>0</v>
      </c>
      <c r="Q29" s="11">
        <v>74464907</v>
      </c>
      <c r="R29" s="11">
        <f>+'1.2 sz Önkormányzat 2017.'!DR29+'1.2 sz Önkormányzat 2017.'!EM29</f>
        <v>74464907</v>
      </c>
      <c r="S29" s="12">
        <f t="shared" si="0"/>
        <v>-716683550</v>
      </c>
    </row>
    <row r="30" spans="1:23" ht="24.75" customHeight="1" x14ac:dyDescent="0.25">
      <c r="A30" s="9" t="s">
        <v>71</v>
      </c>
      <c r="B30" s="13" t="s">
        <v>72</v>
      </c>
      <c r="C30" s="20" t="s">
        <v>73</v>
      </c>
      <c r="D30" s="11">
        <v>0</v>
      </c>
      <c r="E30" s="11">
        <v>557031189</v>
      </c>
      <c r="F30" s="11">
        <f>+'2.10. sz. Intézmények összesen'!F30+'1.3 sz.Önkormányzat 2017.B'!BN30</f>
        <v>508531208</v>
      </c>
      <c r="G30" s="11">
        <v>0</v>
      </c>
      <c r="H30" s="11">
        <v>5760000</v>
      </c>
      <c r="I30" s="11">
        <f>+'2.10. sz. Intézmények összesen'!I30+'1.3 sz.Önkormányzat 2017.B'!BQ30</f>
        <v>2760000</v>
      </c>
      <c r="J30" s="11">
        <v>0</v>
      </c>
      <c r="K30" s="11">
        <v>0</v>
      </c>
      <c r="L30" s="11">
        <f>+'2.10. sz. Intézmények összesen'!L30+'1.3 sz.Önkormányzat 2017.B'!BT30</f>
        <v>0</v>
      </c>
      <c r="M30" s="11">
        <v>0</v>
      </c>
      <c r="N30" s="11">
        <v>562791189</v>
      </c>
      <c r="O30" s="11">
        <f t="shared" si="1"/>
        <v>511291208</v>
      </c>
      <c r="P30" s="11">
        <v>0</v>
      </c>
      <c r="Q30" s="11">
        <v>304029281</v>
      </c>
      <c r="R30" s="11">
        <f>+'1.2 sz Önkormányzat 2017.'!DR30+'1.2 sz Önkormányzat 2017.'!EM30</f>
        <v>304029281</v>
      </c>
      <c r="S30" s="12">
        <f t="shared" si="0"/>
        <v>304029281</v>
      </c>
    </row>
    <row r="31" spans="1:23" ht="24.75" customHeight="1" x14ac:dyDescent="0.25">
      <c r="A31" s="9" t="s">
        <v>74</v>
      </c>
      <c r="B31" s="13" t="s">
        <v>75</v>
      </c>
      <c r="C31" s="20" t="s">
        <v>76</v>
      </c>
      <c r="D31" s="11">
        <v>2981351675</v>
      </c>
      <c r="E31" s="11">
        <v>3539505363</v>
      </c>
      <c r="F31" s="11">
        <f>+'2.10. sz. Intézmények összesen'!F31+'1.3 sz.Önkormányzat 2017.B'!BN31</f>
        <v>3435457573</v>
      </c>
      <c r="G31" s="11">
        <v>0</v>
      </c>
      <c r="H31" s="11">
        <v>0</v>
      </c>
      <c r="I31" s="11">
        <f>+'2.10. sz. Intézmények összesen'!I31+'1.3 sz.Önkormányzat 2017.B'!BQ31</f>
        <v>0</v>
      </c>
      <c r="J31" s="11">
        <v>1886480</v>
      </c>
      <c r="K31" s="11">
        <v>1482188</v>
      </c>
      <c r="L31" s="11">
        <f>+'2.10. sz. Intézmények összesen'!L31+'1.3 sz.Önkormányzat 2017.B'!BT31</f>
        <v>1482188</v>
      </c>
      <c r="M31" s="11">
        <v>2983238155</v>
      </c>
      <c r="N31" s="11">
        <v>3540987551</v>
      </c>
      <c r="O31" s="11">
        <f t="shared" si="1"/>
        <v>3436939761</v>
      </c>
      <c r="P31" s="11">
        <v>0</v>
      </c>
      <c r="Q31" s="11">
        <v>0</v>
      </c>
      <c r="R31" s="11">
        <f>+'1.2 sz Önkormányzat 2017.'!DR31+'1.2 sz Önkormányzat 2017.'!EM31</f>
        <v>0</v>
      </c>
      <c r="S31" s="12">
        <f t="shared" si="0"/>
        <v>-2983238155</v>
      </c>
    </row>
    <row r="32" spans="1:23" ht="24.75" customHeight="1" x14ac:dyDescent="0.25">
      <c r="A32" s="9" t="s">
        <v>77</v>
      </c>
      <c r="B32" s="16" t="s">
        <v>78</v>
      </c>
      <c r="C32" s="20" t="s">
        <v>79</v>
      </c>
      <c r="D32" s="11">
        <v>360767024</v>
      </c>
      <c r="E32" s="11">
        <v>452691714</v>
      </c>
      <c r="F32" s="11">
        <f>+'2.10. sz. Intézmények összesen'!F32+'1.3 sz.Önkormányzat 2017.B'!BN32</f>
        <v>430083569</v>
      </c>
      <c r="G32" s="11">
        <v>32520000</v>
      </c>
      <c r="H32" s="11">
        <v>36283799</v>
      </c>
      <c r="I32" s="11">
        <f>+'2.10. sz. Intézmények összesen'!I32+'1.3 sz.Önkormányzat 2017.B'!BQ32</f>
        <v>36003309</v>
      </c>
      <c r="J32" s="11">
        <v>1468207</v>
      </c>
      <c r="K32" s="11">
        <v>428310</v>
      </c>
      <c r="L32" s="11">
        <f>+'2.10. sz. Intézmények összesen'!L32+'1.3 sz.Önkormányzat 2017.B'!BT32</f>
        <v>35390</v>
      </c>
      <c r="M32" s="11">
        <v>394755231</v>
      </c>
      <c r="N32" s="11">
        <v>489403823</v>
      </c>
      <c r="O32" s="11">
        <f t="shared" si="1"/>
        <v>466122268</v>
      </c>
      <c r="P32" s="11">
        <v>0</v>
      </c>
      <c r="Q32" s="11">
        <v>0</v>
      </c>
      <c r="R32" s="11">
        <f>+'1.2 sz Önkormányzat 2017.'!DR32+'1.2 sz Önkormányzat 2017.'!EM32</f>
        <v>0</v>
      </c>
      <c r="S32" s="12">
        <f t="shared" si="0"/>
        <v>-394755231</v>
      </c>
      <c r="U32" s="12">
        <f>+M29+M31+M32+M34</f>
        <v>4214141843</v>
      </c>
    </row>
    <row r="33" spans="1:26" ht="24.75" customHeight="1" x14ac:dyDescent="0.25">
      <c r="A33" s="9" t="s">
        <v>80</v>
      </c>
      <c r="B33" s="13" t="s">
        <v>81</v>
      </c>
      <c r="C33" s="20" t="s">
        <v>82</v>
      </c>
      <c r="D33" s="11">
        <v>0</v>
      </c>
      <c r="E33" s="11">
        <v>5511806</v>
      </c>
      <c r="F33" s="11">
        <f>+'2.10. sz. Intézmények összesen'!F33+'1.3 sz.Önkormányzat 2017.B'!BN33</f>
        <v>5511806</v>
      </c>
      <c r="G33" s="11">
        <v>181626200</v>
      </c>
      <c r="H33" s="11">
        <v>43339000</v>
      </c>
      <c r="I33" s="11">
        <f>+'2.10. sz. Intézmények összesen'!I33+'1.3 sz.Önkormányzat 2017.B'!BQ33</f>
        <v>43339000</v>
      </c>
      <c r="J33" s="11">
        <v>0</v>
      </c>
      <c r="K33" s="11">
        <v>0</v>
      </c>
      <c r="L33" s="11">
        <f>+'2.10. sz. Intézmények összesen'!L33+'1.3 sz.Önkormányzat 2017.B'!BT33</f>
        <v>0</v>
      </c>
      <c r="M33" s="11">
        <v>181626200</v>
      </c>
      <c r="N33" s="11">
        <v>48850806</v>
      </c>
      <c r="O33" s="11">
        <f t="shared" si="1"/>
        <v>48850806</v>
      </c>
      <c r="P33" s="11">
        <v>0</v>
      </c>
      <c r="Q33" s="11">
        <v>0</v>
      </c>
      <c r="R33" s="11">
        <f>+'1.2 sz Önkormányzat 2017.'!DR33+'1.2 sz Önkormányzat 2017.'!EM33</f>
        <v>0</v>
      </c>
      <c r="S33" s="12">
        <f t="shared" si="0"/>
        <v>-181626200</v>
      </c>
      <c r="U33" s="12">
        <f>+M30+M33+M35</f>
        <v>185320900</v>
      </c>
    </row>
    <row r="34" spans="1:26" ht="24.75" customHeight="1" x14ac:dyDescent="0.25">
      <c r="A34" s="9" t="s">
        <v>83</v>
      </c>
      <c r="B34" s="13" t="s">
        <v>84</v>
      </c>
      <c r="C34" s="20" t="s">
        <v>85</v>
      </c>
      <c r="D34" s="11">
        <v>45000000</v>
      </c>
      <c r="E34" s="11">
        <v>45000000</v>
      </c>
      <c r="F34" s="11">
        <f>+'2.10. sz. Intézmények összesen'!F34+'1.3 sz.Önkormányzat 2017.B'!BN34</f>
        <v>16905000</v>
      </c>
      <c r="G34" s="11">
        <v>0</v>
      </c>
      <c r="H34" s="11">
        <v>100000</v>
      </c>
      <c r="I34" s="11">
        <f>+'2.10. sz. Intézmények összesen'!I34+'1.3 sz.Önkormányzat 2017.B'!BQ34</f>
        <v>100000</v>
      </c>
      <c r="J34" s="11">
        <v>0</v>
      </c>
      <c r="K34" s="11">
        <v>0</v>
      </c>
      <c r="L34" s="11">
        <f>+'2.10. sz. Intézmények összesen'!L34+'1.3 sz.Önkormányzat 2017.B'!BT34</f>
        <v>0</v>
      </c>
      <c r="M34" s="11">
        <v>45000000</v>
      </c>
      <c r="N34" s="11">
        <v>45100000</v>
      </c>
      <c r="O34" s="11">
        <f t="shared" si="1"/>
        <v>17005000</v>
      </c>
      <c r="P34" s="11">
        <v>0</v>
      </c>
      <c r="Q34" s="11">
        <v>0</v>
      </c>
      <c r="R34" s="11">
        <f>+'1.2 sz Önkormányzat 2017.'!DR34+'1.2 sz Önkormányzat 2017.'!EM34</f>
        <v>0</v>
      </c>
      <c r="S34" s="12">
        <f t="shared" si="0"/>
        <v>-45000000</v>
      </c>
      <c r="T34" s="12">
        <f>+M29+M31+M32+M34</f>
        <v>4214141843</v>
      </c>
    </row>
    <row r="35" spans="1:26" ht="24.75" customHeight="1" x14ac:dyDescent="0.25">
      <c r="A35" s="9" t="s">
        <v>86</v>
      </c>
      <c r="B35" s="13" t="s">
        <v>87</v>
      </c>
      <c r="C35" s="20" t="s">
        <v>88</v>
      </c>
      <c r="D35" s="11">
        <v>3060000</v>
      </c>
      <c r="E35" s="11">
        <v>11064120</v>
      </c>
      <c r="F35" s="11">
        <f>+'2.10. sz. Intézmények összesen'!F35+'1.3 sz.Önkormányzat 2017.B'!BN35</f>
        <v>11050820</v>
      </c>
      <c r="G35" s="11">
        <v>601200</v>
      </c>
      <c r="H35" s="11">
        <v>1930227</v>
      </c>
      <c r="I35" s="11">
        <f>+'2.10. sz. Intézmények összesen'!I35+'1.3 sz.Önkormányzat 2017.B'!BQ35</f>
        <v>1930227</v>
      </c>
      <c r="J35" s="11">
        <v>33500</v>
      </c>
      <c r="K35" s="11">
        <v>0</v>
      </c>
      <c r="L35" s="11">
        <f>+'2.10. sz. Intézmények összesen'!L35+'1.3 sz.Önkormányzat 2017.B'!BT35</f>
        <v>0</v>
      </c>
      <c r="M35" s="11">
        <v>3694700</v>
      </c>
      <c r="N35" s="11">
        <v>12994347</v>
      </c>
      <c r="O35" s="11">
        <f t="shared" si="1"/>
        <v>12981047</v>
      </c>
      <c r="P35" s="11">
        <v>0</v>
      </c>
      <c r="Q35" s="11">
        <v>0</v>
      </c>
      <c r="R35" s="11">
        <f>+'1.2 sz Önkormányzat 2017.'!DR35+'1.2 sz Önkormányzat 2017.'!EM35</f>
        <v>0</v>
      </c>
      <c r="S35" s="12">
        <f t="shared" si="0"/>
        <v>-3694700</v>
      </c>
      <c r="T35" s="12">
        <f>+M30+M33+M35</f>
        <v>185320900</v>
      </c>
    </row>
    <row r="36" spans="1:26" s="14" customFormat="1" ht="24.75" customHeight="1" x14ac:dyDescent="0.25">
      <c r="A36" s="9" t="s">
        <v>89</v>
      </c>
      <c r="B36" s="16" t="s">
        <v>90</v>
      </c>
      <c r="C36" s="20" t="s">
        <v>91</v>
      </c>
      <c r="D36" s="11">
        <v>4181327156</v>
      </c>
      <c r="E36" s="11">
        <v>5654226214</v>
      </c>
      <c r="F36" s="11">
        <f>+'2.10. sz. Intézmények összesen'!F36+'1.3 sz.Önkormányzat 2017.B'!BN36</f>
        <v>5449009019</v>
      </c>
      <c r="G36" s="11">
        <v>214747400</v>
      </c>
      <c r="H36" s="11">
        <v>88003026</v>
      </c>
      <c r="I36" s="11">
        <f>+'2.10. sz. Intézmények összesen'!I36+'1.3 sz.Önkormányzat 2017.B'!BQ36</f>
        <v>84722536</v>
      </c>
      <c r="J36" s="11">
        <v>3388187</v>
      </c>
      <c r="K36" s="11">
        <v>1910498</v>
      </c>
      <c r="L36" s="11">
        <f>+'2.10. sz. Intézmények összesen'!L36+'1.3 sz.Önkormányzat 2017.B'!BT36</f>
        <v>1517578</v>
      </c>
      <c r="M36" s="11">
        <v>4399462743</v>
      </c>
      <c r="N36" s="876">
        <v>5744139738</v>
      </c>
      <c r="O36" s="876">
        <f t="shared" si="1"/>
        <v>5535249133</v>
      </c>
      <c r="P36" s="11">
        <v>0</v>
      </c>
      <c r="Q36" s="11">
        <v>378494188</v>
      </c>
      <c r="R36" s="11">
        <f>+'1.2 sz Önkormányzat 2017.'!DR36+'1.2 sz Önkormányzat 2017.'!EM36</f>
        <v>378494188</v>
      </c>
      <c r="S36" s="12">
        <f t="shared" si="0"/>
        <v>-4020968555</v>
      </c>
    </row>
    <row r="37" spans="1:26" s="14" customFormat="1" ht="24.75" customHeight="1" x14ac:dyDescent="0.25">
      <c r="A37" s="9" t="s">
        <v>92</v>
      </c>
      <c r="B37" s="20" t="s">
        <v>93</v>
      </c>
      <c r="C37" s="10" t="s">
        <v>94</v>
      </c>
      <c r="D37" s="11">
        <v>2029531954</v>
      </c>
      <c r="E37" s="11">
        <v>3001204803</v>
      </c>
      <c r="F37" s="11">
        <f>+'2.10. sz. Intézmények összesen'!F37+'1.3 sz.Önkormányzat 2017.B'!BN37</f>
        <v>7868991258</v>
      </c>
      <c r="G37" s="11">
        <v>0</v>
      </c>
      <c r="H37" s="11">
        <v>104468890</v>
      </c>
      <c r="I37" s="11">
        <f>+'2.10. sz. Intézmények összesen'!I37+'1.3 sz.Önkormányzat 2017.B'!BQ37</f>
        <v>104468890</v>
      </c>
      <c r="J37" s="11">
        <v>0</v>
      </c>
      <c r="K37" s="11">
        <v>0</v>
      </c>
      <c r="L37" s="11">
        <f>+'2.10. sz. Intézmények összesen'!L37+'1.3 sz.Önkormányzat 2017.B'!BT37</f>
        <v>0</v>
      </c>
      <c r="M37" s="11">
        <v>2029531954</v>
      </c>
      <c r="N37" s="876">
        <v>3105673693</v>
      </c>
      <c r="O37" s="876">
        <f t="shared" si="1"/>
        <v>7973460148</v>
      </c>
      <c r="P37" s="11">
        <v>0</v>
      </c>
      <c r="Q37" s="11">
        <v>0</v>
      </c>
      <c r="R37" s="11">
        <f>+'1.2 sz Önkormányzat 2017.'!DR37+'1.2 sz Önkormányzat 2017.'!EM37</f>
        <v>0</v>
      </c>
      <c r="S37" s="12">
        <f t="shared" si="0"/>
        <v>-2029531954</v>
      </c>
    </row>
    <row r="38" spans="1:26" s="14" customFormat="1" ht="24.75" customHeight="1" x14ac:dyDescent="0.25">
      <c r="A38" s="9" t="s">
        <v>95</v>
      </c>
      <c r="B38" s="24" t="s">
        <v>1290</v>
      </c>
      <c r="C38" s="10"/>
      <c r="D38" s="11">
        <v>0</v>
      </c>
      <c r="E38" s="11">
        <v>0</v>
      </c>
      <c r="F38" s="11">
        <f>+'2.10. sz. Intézmények összesen'!F38+'1.3 sz.Önkormányzat 2017.B'!BN38</f>
        <v>0</v>
      </c>
      <c r="G38" s="11">
        <v>0</v>
      </c>
      <c r="H38" s="11">
        <v>104468890</v>
      </c>
      <c r="I38" s="11">
        <f>+'2.10. sz. Intézmények összesen'!I38+'1.3 sz.Önkormányzat 2017.B'!BQ38</f>
        <v>104468890</v>
      </c>
      <c r="J38" s="11">
        <v>0</v>
      </c>
      <c r="K38" s="11">
        <v>0</v>
      </c>
      <c r="L38" s="11">
        <f>+'2.10. sz. Intézmények összesen'!L38+'1.3 sz.Önkormányzat 2017.B'!BT38</f>
        <v>0</v>
      </c>
      <c r="M38" s="11">
        <v>0</v>
      </c>
      <c r="N38" s="11">
        <v>104468890</v>
      </c>
      <c r="O38" s="11">
        <f t="shared" si="1"/>
        <v>104468890</v>
      </c>
      <c r="P38" s="11">
        <v>0</v>
      </c>
      <c r="Q38" s="11">
        <v>0</v>
      </c>
      <c r="R38" s="11">
        <f>+'1.2 sz Önkormányzat 2017.'!DR38+'1.2 sz Önkormányzat 2017.'!EM38</f>
        <v>0</v>
      </c>
      <c r="S38" s="12">
        <f t="shared" si="0"/>
        <v>0</v>
      </c>
    </row>
    <row r="39" spans="1:26" s="23" customFormat="1" ht="24.75" customHeight="1" x14ac:dyDescent="0.25">
      <c r="A39" s="9" t="s">
        <v>97</v>
      </c>
      <c r="B39" s="24" t="s">
        <v>96</v>
      </c>
      <c r="C39" s="18"/>
      <c r="D39" s="11">
        <v>49192079</v>
      </c>
      <c r="E39" s="11">
        <v>783905109</v>
      </c>
      <c r="F39" s="11">
        <f>+'2.10. sz. Intézmények összesen'!F39+'1.3 sz.Önkormányzat 2017.B'!BN39</f>
        <v>783905109</v>
      </c>
      <c r="G39" s="11">
        <v>0</v>
      </c>
      <c r="H39" s="11">
        <v>0</v>
      </c>
      <c r="I39" s="11">
        <f>+'2.10. sz. Intézmények összesen'!I39+'1.3 sz.Önkormányzat 2017.B'!BQ39</f>
        <v>0</v>
      </c>
      <c r="J39" s="11">
        <v>0</v>
      </c>
      <c r="K39" s="11">
        <v>0</v>
      </c>
      <c r="L39" s="11">
        <f>+'2.10. sz. Intézmények összesen'!L39+'1.3 sz.Önkormányzat 2017.B'!BT39</f>
        <v>0</v>
      </c>
      <c r="M39" s="11">
        <v>49192079</v>
      </c>
      <c r="N39" s="11">
        <v>783905109</v>
      </c>
      <c r="O39" s="11">
        <f t="shared" si="1"/>
        <v>783905109</v>
      </c>
      <c r="P39" s="11">
        <v>0</v>
      </c>
      <c r="Q39" s="11">
        <v>0</v>
      </c>
      <c r="R39" s="11">
        <f>+'1.2 sz Önkormányzat 2017.'!DR39+'1.2 sz Önkormányzat 2017.'!EM39</f>
        <v>0</v>
      </c>
      <c r="S39" s="12">
        <f t="shared" si="0"/>
        <v>-49192079</v>
      </c>
    </row>
    <row r="40" spans="1:26" s="23" customFormat="1" ht="24.75" customHeight="1" x14ac:dyDescent="0.25">
      <c r="A40" s="9" t="s">
        <v>99</v>
      </c>
      <c r="B40" s="24" t="s">
        <v>98</v>
      </c>
      <c r="C40" s="18"/>
      <c r="D40" s="11">
        <v>70614340</v>
      </c>
      <c r="E40" s="11">
        <v>234614340</v>
      </c>
      <c r="F40" s="11">
        <f>+'2.10. sz. Intézmények összesen'!F40+'1.3 sz.Önkormányzat 2017.B'!BN40</f>
        <v>234614340</v>
      </c>
      <c r="G40" s="11">
        <v>0</v>
      </c>
      <c r="H40" s="11">
        <v>0</v>
      </c>
      <c r="I40" s="11">
        <f>+'2.10. sz. Intézmények összesen'!I40+'1.3 sz.Önkormányzat 2017.B'!BQ40</f>
        <v>0</v>
      </c>
      <c r="J40" s="11">
        <v>0</v>
      </c>
      <c r="K40" s="11">
        <v>0</v>
      </c>
      <c r="L40" s="11">
        <f>+'2.10. sz. Intézmények összesen'!L40+'1.3 sz.Önkormányzat 2017.B'!BT40</f>
        <v>0</v>
      </c>
      <c r="M40" s="11">
        <v>70614340</v>
      </c>
      <c r="N40" s="11">
        <v>234614340</v>
      </c>
      <c r="O40" s="11">
        <f t="shared" si="1"/>
        <v>234614340</v>
      </c>
      <c r="P40" s="11">
        <v>0</v>
      </c>
      <c r="Q40" s="11">
        <v>0</v>
      </c>
      <c r="R40" s="11">
        <f>+'1.2 sz Önkormányzat 2017.'!DR40+'1.2 sz Önkormányzat 2017.'!EM40</f>
        <v>0</v>
      </c>
      <c r="S40" s="12">
        <f t="shared" si="0"/>
        <v>-70614340</v>
      </c>
      <c r="U40" s="22">
        <f>+M39+M40</f>
        <v>119806419</v>
      </c>
      <c r="W40" s="22">
        <f>+O46-O37-O36</f>
        <v>0</v>
      </c>
    </row>
    <row r="41" spans="1:26" s="23" customFormat="1" ht="24.75" customHeight="1" x14ac:dyDescent="0.25">
      <c r="A41" s="9" t="s">
        <v>101</v>
      </c>
      <c r="B41" s="24" t="s">
        <v>100</v>
      </c>
      <c r="C41" s="18"/>
      <c r="D41" s="11">
        <v>1893681715</v>
      </c>
      <c r="E41" s="11">
        <v>1952514336</v>
      </c>
      <c r="F41" s="11">
        <f>+'2.10. sz. Intézmények összesen'!F41+'1.3 sz.Önkormányzat 2017.B'!BN41</f>
        <v>1806233415</v>
      </c>
      <c r="G41" s="11">
        <v>0</v>
      </c>
      <c r="H41" s="11">
        <v>0</v>
      </c>
      <c r="I41" s="11">
        <f>+'2.10. sz. Intézmények összesen'!I41+'1.3 sz.Önkormányzat 2017.B'!BQ41</f>
        <v>0</v>
      </c>
      <c r="J41" s="11">
        <v>0</v>
      </c>
      <c r="K41" s="11">
        <v>0</v>
      </c>
      <c r="L41" s="11">
        <f>+'2.10. sz. Intézmények összesen'!L41+'1.3 sz.Önkormányzat 2017.B'!BT41</f>
        <v>0</v>
      </c>
      <c r="M41" s="11">
        <v>1893681715</v>
      </c>
      <c r="N41" s="11">
        <v>1952514336</v>
      </c>
      <c r="O41" s="11">
        <f t="shared" si="1"/>
        <v>1806233415</v>
      </c>
      <c r="P41" s="11">
        <v>0</v>
      </c>
      <c r="Q41" s="11">
        <v>0</v>
      </c>
      <c r="R41" s="11">
        <f>+'1.2 sz Önkormányzat 2017.'!DR41+'1.2 sz Önkormányzat 2017.'!EM41</f>
        <v>0</v>
      </c>
      <c r="S41" s="12">
        <f t="shared" si="0"/>
        <v>-1893681715</v>
      </c>
      <c r="T41" s="22">
        <f>+M39+M40</f>
        <v>119806419</v>
      </c>
      <c r="U41" s="23">
        <f>+'[2]10.sz.Intézményfinanszírozás'!E13</f>
        <v>1891882393</v>
      </c>
    </row>
    <row r="42" spans="1:26" s="23" customFormat="1" ht="24.75" customHeight="1" x14ac:dyDescent="0.25">
      <c r="A42" s="9" t="s">
        <v>103</v>
      </c>
      <c r="B42" s="24" t="s">
        <v>102</v>
      </c>
      <c r="C42" s="18"/>
      <c r="D42" s="11">
        <v>16043820</v>
      </c>
      <c r="E42" s="11">
        <v>30171018</v>
      </c>
      <c r="F42" s="11">
        <f>+'2.10. sz. Intézmények összesen'!F42+'1.3 sz.Önkormányzat 2017.B'!BN42</f>
        <v>24238394</v>
      </c>
      <c r="G42" s="11">
        <v>0</v>
      </c>
      <c r="H42" s="11">
        <v>0</v>
      </c>
      <c r="I42" s="11">
        <f>+'2.10. sz. Intézmények összesen'!I42+'1.3 sz.Önkormányzat 2017.B'!BQ42</f>
        <v>0</v>
      </c>
      <c r="J42" s="11">
        <v>0</v>
      </c>
      <c r="K42" s="11">
        <v>0</v>
      </c>
      <c r="L42" s="11">
        <f>+'2.10. sz. Intézmények összesen'!L42+'1.3 sz.Önkormányzat 2017.B'!BT42</f>
        <v>0</v>
      </c>
      <c r="M42" s="11">
        <v>16043820</v>
      </c>
      <c r="N42" s="11">
        <v>30171018</v>
      </c>
      <c r="O42" s="11">
        <f t="shared" si="1"/>
        <v>24238394</v>
      </c>
      <c r="P42" s="11">
        <v>0</v>
      </c>
      <c r="Q42" s="11">
        <v>0</v>
      </c>
      <c r="R42" s="11">
        <f>+'1.2 sz Önkormányzat 2017.'!DR42+'1.2 sz Önkormányzat 2017.'!EM42</f>
        <v>0</v>
      </c>
      <c r="S42" s="12">
        <f t="shared" si="0"/>
        <v>-16043820</v>
      </c>
      <c r="T42" s="22">
        <f>+M41+M42</f>
        <v>1909725535</v>
      </c>
      <c r="U42" s="23">
        <f>+'[2]10.sz.Intézményfinanszírozás'!G13</f>
        <v>20353334</v>
      </c>
    </row>
    <row r="43" spans="1:26" s="23" customFormat="1" ht="24.75" customHeight="1" x14ac:dyDescent="0.25">
      <c r="A43" s="9" t="s">
        <v>105</v>
      </c>
      <c r="B43" s="24" t="s">
        <v>104</v>
      </c>
      <c r="C43" s="18"/>
      <c r="D43" s="11">
        <v>0</v>
      </c>
      <c r="E43" s="11">
        <v>0</v>
      </c>
      <c r="F43" s="11">
        <f>+'2.10. sz. Intézmények összesen'!F43+'1.3 sz.Önkormányzat 2017.B'!BN43</f>
        <v>0</v>
      </c>
      <c r="G43" s="11">
        <v>0</v>
      </c>
      <c r="H43" s="11">
        <v>0</v>
      </c>
      <c r="I43" s="11">
        <f>+'2.10. sz. Intézmények összesen'!I43+'1.3 sz.Önkormányzat 2017.B'!BQ43</f>
        <v>0</v>
      </c>
      <c r="J43" s="11">
        <v>0</v>
      </c>
      <c r="K43" s="11">
        <v>0</v>
      </c>
      <c r="L43" s="11">
        <f>+'2.10. sz. Intézmények összesen'!L43+'1.3 sz.Önkormányzat 2017.B'!BT43</f>
        <v>0</v>
      </c>
      <c r="M43" s="11">
        <v>0</v>
      </c>
      <c r="N43" s="11">
        <v>0</v>
      </c>
      <c r="O43" s="11">
        <f t="shared" si="1"/>
        <v>0</v>
      </c>
      <c r="P43" s="11">
        <v>0</v>
      </c>
      <c r="Q43" s="11">
        <v>0</v>
      </c>
      <c r="R43" s="11">
        <f>+'1.2 sz Önkormányzat 2017.'!DR43+'1.2 sz Önkormányzat 2017.'!EM43</f>
        <v>0</v>
      </c>
      <c r="S43" s="12">
        <f t="shared" si="0"/>
        <v>0</v>
      </c>
      <c r="U43" s="23">
        <f>SUM(U41:U42)</f>
        <v>1912235727</v>
      </c>
      <c r="W43" s="22">
        <f>+O44+O45-O46</f>
        <v>0</v>
      </c>
    </row>
    <row r="44" spans="1:26" s="14" customFormat="1" ht="24.75" customHeight="1" x14ac:dyDescent="0.25">
      <c r="A44" s="9" t="s">
        <v>107</v>
      </c>
      <c r="B44" s="25" t="s">
        <v>106</v>
      </c>
      <c r="C44" s="10"/>
      <c r="D44" s="26">
        <v>6121140950</v>
      </c>
      <c r="E44" s="26">
        <v>7817038544</v>
      </c>
      <c r="F44" s="11">
        <f>+'2.10. sz. Intézmények összesen'!F44+'1.3 sz.Önkormányzat 2017.B'!BN44</f>
        <v>12534053709</v>
      </c>
      <c r="G44" s="26">
        <v>32520000</v>
      </c>
      <c r="H44" s="26">
        <v>141442689</v>
      </c>
      <c r="I44" s="11">
        <f>+'2.10. sz. Intézmények összesen'!I44+'1.3 sz.Önkormányzat 2017.B'!BQ44</f>
        <v>141162199</v>
      </c>
      <c r="J44" s="26">
        <v>3354687</v>
      </c>
      <c r="K44" s="26">
        <v>1910498</v>
      </c>
      <c r="L44" s="11">
        <f>+'2.10. sz. Intézmények összesen'!L44+'1.3 sz.Önkormányzat 2017.B'!BT44</f>
        <v>1517578</v>
      </c>
      <c r="M44" s="26">
        <v>6157015637</v>
      </c>
      <c r="N44" s="26">
        <v>7960391731</v>
      </c>
      <c r="O44" s="11">
        <f t="shared" si="1"/>
        <v>12676733486</v>
      </c>
      <c r="P44" s="11">
        <v>0</v>
      </c>
      <c r="Q44" s="26">
        <v>74464907</v>
      </c>
      <c r="R44" s="11">
        <f>+'1.2 sz Önkormányzat 2017.'!DR44+'1.2 sz Önkormányzat 2017.'!EM44</f>
        <v>74464907</v>
      </c>
      <c r="S44" s="12">
        <f t="shared" si="0"/>
        <v>-6082550730</v>
      </c>
      <c r="U44" s="15">
        <f>+N39+N40</f>
        <v>1018519449</v>
      </c>
    </row>
    <row r="45" spans="1:26" s="14" customFormat="1" ht="24.75" customHeight="1" thickBot="1" x14ac:dyDescent="0.3">
      <c r="A45" s="9" t="s">
        <v>109</v>
      </c>
      <c r="B45" s="25" t="s">
        <v>108</v>
      </c>
      <c r="C45" s="10"/>
      <c r="D45" s="26">
        <v>89718160</v>
      </c>
      <c r="E45" s="26">
        <v>838392473</v>
      </c>
      <c r="F45" s="11">
        <f>+'2.10. sz. Intézmények összesen'!F45+'1.3 sz.Önkormányzat 2017.B'!BN45</f>
        <v>783946568</v>
      </c>
      <c r="G45" s="26">
        <v>182227400</v>
      </c>
      <c r="H45" s="26">
        <v>51029227</v>
      </c>
      <c r="I45" s="11">
        <f>+'2.10. sz. Intézmények összesen'!I45+'1.3 sz.Önkormányzat 2017.B'!BQ45</f>
        <v>48029227</v>
      </c>
      <c r="J45" s="26">
        <v>33500</v>
      </c>
      <c r="K45" s="26">
        <v>0</v>
      </c>
      <c r="L45" s="11">
        <f>+'2.10. sz. Intézmények összesen'!L45+'1.3 sz.Önkormányzat 2017.B'!BT45</f>
        <v>0</v>
      </c>
      <c r="M45" s="26">
        <v>271979060</v>
      </c>
      <c r="N45" s="26">
        <v>889421700</v>
      </c>
      <c r="O45" s="11">
        <f t="shared" si="1"/>
        <v>831975795</v>
      </c>
      <c r="P45" s="11">
        <v>0</v>
      </c>
      <c r="Q45" s="26">
        <v>304029281</v>
      </c>
      <c r="R45" s="11">
        <f>+'1.2 sz Önkormányzat 2017.'!DR45+'1.2 sz Önkormányzat 2017.'!EM45</f>
        <v>304029281</v>
      </c>
      <c r="S45" s="12">
        <f t="shared" si="0"/>
        <v>32050221</v>
      </c>
    </row>
    <row r="46" spans="1:26" s="14" customFormat="1" ht="24.75" customHeight="1" thickBot="1" x14ac:dyDescent="0.3">
      <c r="A46" s="9" t="s">
        <v>111</v>
      </c>
      <c r="B46" s="25" t="s">
        <v>110</v>
      </c>
      <c r="C46" s="10"/>
      <c r="D46" s="26">
        <v>6210859110</v>
      </c>
      <c r="E46" s="26">
        <v>8655431017</v>
      </c>
      <c r="F46" s="11">
        <f>+'2.10. sz. Intézmények összesen'!F46+'1.3 sz.Önkormányzat 2017.B'!BN46</f>
        <v>13318000277</v>
      </c>
      <c r="G46" s="26">
        <v>214747400</v>
      </c>
      <c r="H46" s="26">
        <v>192471916</v>
      </c>
      <c r="I46" s="11">
        <f>+'2.10. sz. Intézmények összesen'!I46+'1.3 sz.Önkormányzat 2017.B'!BQ46</f>
        <v>189191426</v>
      </c>
      <c r="J46" s="26">
        <v>3388187</v>
      </c>
      <c r="K46" s="26">
        <v>1910498</v>
      </c>
      <c r="L46" s="11">
        <f>+'2.10. sz. Intézmények összesen'!L46+'1.3 sz.Önkormányzat 2017.B'!BT46</f>
        <v>1517578</v>
      </c>
      <c r="M46" s="26">
        <v>6428994697</v>
      </c>
      <c r="N46" s="26">
        <v>8849813431</v>
      </c>
      <c r="O46" s="11">
        <f>+F46+I46+L46</f>
        <v>13508709281</v>
      </c>
      <c r="P46" s="11">
        <v>0</v>
      </c>
      <c r="Q46" s="26">
        <v>378494188</v>
      </c>
      <c r="R46" s="11">
        <f>+'1.2 sz Önkormányzat 2017.'!DR46+'1.2 sz Önkormányzat 2017.'!EM46</f>
        <v>378494188</v>
      </c>
      <c r="S46" s="12">
        <f t="shared" si="0"/>
        <v>-6050500509</v>
      </c>
      <c r="T46" s="872">
        <f>+O36+O37</f>
        <v>13508709281</v>
      </c>
      <c r="U46" s="873">
        <v>0</v>
      </c>
      <c r="V46" s="27"/>
      <c r="W46" s="27"/>
      <c r="Z46" s="15">
        <f>+O37+O36</f>
        <v>13508709281</v>
      </c>
    </row>
    <row r="47" spans="1:26" s="14" customFormat="1" ht="24.75" customHeight="1" x14ac:dyDescent="0.25">
      <c r="A47" s="9" t="s">
        <v>113</v>
      </c>
      <c r="B47" s="25" t="s">
        <v>112</v>
      </c>
      <c r="C47" s="10"/>
      <c r="D47" s="11">
        <v>282</v>
      </c>
      <c r="E47" s="11">
        <v>286</v>
      </c>
      <c r="F47" s="848">
        <f>+'2.10. sz. Intézmények összesen'!F47+'1.3 sz.Önkormányzat 2017.B'!BN47</f>
        <v>279.57499999999999</v>
      </c>
      <c r="G47" s="11">
        <v>11</v>
      </c>
      <c r="H47" s="11">
        <v>13</v>
      </c>
      <c r="I47" s="846">
        <f>+'2.10. sz. Intézmények összesen'!I47+'1.3 sz.Önkormányzat 2017.B'!BQ47</f>
        <v>12.25</v>
      </c>
      <c r="J47" s="11">
        <v>8</v>
      </c>
      <c r="K47" s="11">
        <v>8</v>
      </c>
      <c r="L47" s="846">
        <f>+'2.10. sz. Intézmények összesen'!L47+'1.3 sz.Önkormányzat 2017.B'!BT47</f>
        <v>8</v>
      </c>
      <c r="M47" s="11">
        <v>301</v>
      </c>
      <c r="N47" s="11">
        <v>307</v>
      </c>
      <c r="O47" s="847">
        <f t="shared" si="1"/>
        <v>299.82499999999999</v>
      </c>
      <c r="P47" s="11">
        <v>0</v>
      </c>
      <c r="Q47" s="11">
        <v>0</v>
      </c>
      <c r="R47" s="11">
        <f>+'1.2 sz Önkormányzat 2017.'!DR47+'1.2 sz Önkormányzat 2017.'!EM47</f>
        <v>0</v>
      </c>
      <c r="S47" s="12">
        <f t="shared" si="0"/>
        <v>-301</v>
      </c>
      <c r="U47" s="27"/>
      <c r="V47" s="27"/>
      <c r="W47" s="27"/>
    </row>
    <row r="48" spans="1:26" s="14" customFormat="1" ht="24.75" customHeight="1" x14ac:dyDescent="0.25">
      <c r="A48" s="9" t="s">
        <v>250</v>
      </c>
      <c r="B48" s="25" t="s">
        <v>114</v>
      </c>
      <c r="C48" s="10"/>
      <c r="D48" s="11">
        <v>651664033</v>
      </c>
      <c r="E48" s="11">
        <v>0</v>
      </c>
      <c r="F48" s="11">
        <f>+'2.10. sz. Intézmények összesen'!F48+'1.3 sz.Önkormányzat 2017.B'!BN48</f>
        <v>0</v>
      </c>
      <c r="G48" s="11">
        <v>98800000</v>
      </c>
      <c r="H48" s="11">
        <v>0</v>
      </c>
      <c r="I48" s="11">
        <f>+'2.10. sz. Intézmények összesen'!I48+'1.3 sz.Önkormányzat 2017.B'!BQ48</f>
        <v>0</v>
      </c>
      <c r="J48" s="11">
        <v>750000</v>
      </c>
      <c r="K48" s="11">
        <v>0</v>
      </c>
      <c r="L48" s="11">
        <f>+'2.10. sz. Intézmények összesen'!L48+'1.3 sz.Önkormányzat 2017.B'!BT48</f>
        <v>0</v>
      </c>
      <c r="M48" s="11">
        <v>751214033</v>
      </c>
      <c r="N48" s="11">
        <v>0</v>
      </c>
      <c r="O48" s="11">
        <f t="shared" si="1"/>
        <v>0</v>
      </c>
      <c r="P48" s="11">
        <v>0</v>
      </c>
      <c r="Q48" s="11">
        <v>0</v>
      </c>
      <c r="R48" s="11">
        <f>+'1.2 sz Önkormányzat 2017.'!DR48+'1.2 sz Önkormányzat 2017.'!EM48</f>
        <v>0</v>
      </c>
      <c r="S48" s="12">
        <f t="shared" si="0"/>
        <v>-751214033</v>
      </c>
      <c r="U48" s="27"/>
      <c r="V48" s="27"/>
      <c r="W48" s="27"/>
      <c r="Z48" s="15">
        <f>+O44+O45</f>
        <v>13508709281</v>
      </c>
    </row>
    <row r="49" spans="4:26" x14ac:dyDescent="0.25">
      <c r="D49" s="29"/>
      <c r="E49" s="29"/>
      <c r="F49" s="29"/>
      <c r="G49" s="29"/>
      <c r="H49" s="29"/>
      <c r="I49" s="29"/>
      <c r="J49" s="29"/>
      <c r="K49" s="29"/>
      <c r="L49" s="29"/>
      <c r="M49" s="30"/>
      <c r="N49" s="29"/>
      <c r="O49" s="29"/>
      <c r="P49" s="29"/>
      <c r="Q49" s="29"/>
      <c r="R49" s="29"/>
      <c r="S49" s="31"/>
      <c r="T49" s="31"/>
      <c r="U49" s="31"/>
      <c r="V49" s="31"/>
      <c r="W49" s="31"/>
      <c r="X49" s="31"/>
      <c r="Y49" s="31"/>
      <c r="Z49" s="31"/>
    </row>
    <row r="50" spans="4:26" x14ac:dyDescent="0.25">
      <c r="D50" s="12"/>
      <c r="E50" s="12"/>
      <c r="F50" s="12">
        <f>+F36+F37</f>
        <v>13318000277</v>
      </c>
      <c r="G50" s="12"/>
      <c r="H50" s="12"/>
      <c r="I50" s="12">
        <f>+I36+I37</f>
        <v>189191426</v>
      </c>
      <c r="J50" s="12"/>
      <c r="K50" s="12"/>
      <c r="L50" s="12">
        <f>+L36+L37</f>
        <v>1517578</v>
      </c>
      <c r="M50" s="12"/>
      <c r="N50" s="12"/>
      <c r="O50" s="12">
        <f>+O36+O37</f>
        <v>13508709281</v>
      </c>
      <c r="P50" s="12"/>
      <c r="Q50" s="12"/>
      <c r="R50" s="12"/>
      <c r="S50" s="32"/>
      <c r="T50" s="31"/>
      <c r="U50" s="29">
        <f>+O39+O40</f>
        <v>1018519449</v>
      </c>
      <c r="V50" s="31"/>
      <c r="W50" s="31"/>
      <c r="X50" s="31"/>
      <c r="Y50" s="31"/>
      <c r="Z50" s="29">
        <f>+O46-O45-O44</f>
        <v>0</v>
      </c>
    </row>
    <row r="51" spans="4:26" x14ac:dyDescent="0.25">
      <c r="F51" s="12">
        <f>+F50-F46</f>
        <v>0</v>
      </c>
      <c r="I51" s="12">
        <f>+I46-I50</f>
        <v>0</v>
      </c>
      <c r="L51" s="12">
        <f>+L50-L44</f>
        <v>0</v>
      </c>
      <c r="M51" s="12"/>
      <c r="N51" s="12"/>
      <c r="O51" s="12">
        <f>+O20+O21</f>
        <v>11739926628</v>
      </c>
      <c r="P51" s="12"/>
      <c r="Q51" s="12"/>
      <c r="R51" s="12"/>
      <c r="S51" s="31"/>
      <c r="T51" s="31"/>
      <c r="U51" s="31"/>
      <c r="V51" s="31"/>
      <c r="W51" s="31"/>
      <c r="X51" s="31"/>
      <c r="Y51" s="31"/>
      <c r="Z51" s="31"/>
    </row>
    <row r="52" spans="4:26" x14ac:dyDescent="0.25">
      <c r="J52" s="3" t="s">
        <v>115</v>
      </c>
      <c r="K52" s="3" t="s">
        <v>116</v>
      </c>
      <c r="M52" s="12">
        <f>+M29+M31+M32+M34</f>
        <v>4214141843</v>
      </c>
      <c r="N52" s="12">
        <f>+N29+N31+N32+N34</f>
        <v>5119503396</v>
      </c>
      <c r="O52" s="12"/>
      <c r="S52" s="31"/>
      <c r="T52" s="31"/>
      <c r="U52" s="31"/>
      <c r="V52" s="31"/>
      <c r="W52" s="31"/>
      <c r="X52" s="31"/>
      <c r="Y52" s="31"/>
      <c r="Z52" s="31"/>
    </row>
    <row r="53" spans="4:26" x14ac:dyDescent="0.25">
      <c r="F53" s="12">
        <f>+F20+F21</f>
        <v>10707332730</v>
      </c>
      <c r="K53" s="3" t="s">
        <v>117</v>
      </c>
      <c r="M53" s="12">
        <f>+M30+M33+M35</f>
        <v>185320900</v>
      </c>
      <c r="N53" s="12">
        <f>+N30+N33+N35</f>
        <v>624636342</v>
      </c>
      <c r="O53" s="12"/>
      <c r="S53" s="31"/>
      <c r="T53" s="31"/>
      <c r="U53" s="31"/>
      <c r="V53" s="31"/>
      <c r="W53" s="31"/>
      <c r="X53" s="31"/>
      <c r="Y53" s="31"/>
      <c r="Z53" s="31"/>
    </row>
    <row r="54" spans="4:26" x14ac:dyDescent="0.25">
      <c r="F54" s="12">
        <f>+F53-F28</f>
        <v>0</v>
      </c>
      <c r="N54" s="12">
        <f>SUM(N52:N53)</f>
        <v>5744139738</v>
      </c>
      <c r="O54" s="12"/>
      <c r="P54" s="12">
        <f>+N36+N37</f>
        <v>8849813431</v>
      </c>
      <c r="Q54" s="12">
        <f>+O36+O37</f>
        <v>13508709281</v>
      </c>
      <c r="S54" s="31"/>
      <c r="T54" s="31"/>
      <c r="U54" s="31"/>
      <c r="V54" s="31"/>
      <c r="W54" s="31"/>
      <c r="X54" s="31"/>
      <c r="Y54" s="31"/>
      <c r="Z54" s="31"/>
    </row>
    <row r="55" spans="4:26" x14ac:dyDescent="0.25">
      <c r="U55" s="817">
        <v>4387628962</v>
      </c>
    </row>
    <row r="56" spans="4:26" x14ac:dyDescent="0.25">
      <c r="J56" s="3" t="s">
        <v>118</v>
      </c>
      <c r="K56" s="3" t="s">
        <v>116</v>
      </c>
      <c r="M56" s="12">
        <f>+M8+M9+M10+M11+M12</f>
        <v>3781936416</v>
      </c>
      <c r="N56" s="12">
        <f>+N8+N9+N10+N11+N12</f>
        <v>4949842816</v>
      </c>
      <c r="O56" s="12"/>
      <c r="U56" s="817">
        <v>6006471402</v>
      </c>
    </row>
    <row r="57" spans="4:26" x14ac:dyDescent="0.25">
      <c r="K57" s="3" t="s">
        <v>117</v>
      </c>
      <c r="M57" s="12">
        <f>+M16+M17+M18</f>
        <v>711592128</v>
      </c>
      <c r="N57" s="12">
        <f>+N16+N17+N18</f>
        <v>1803859674</v>
      </c>
      <c r="O57" s="12"/>
      <c r="U57" s="12">
        <f>SUM(U55:U56)</f>
        <v>10394100364</v>
      </c>
    </row>
  </sheetData>
  <mergeCells count="32">
    <mergeCell ref="Q4:Q5"/>
    <mergeCell ref="R4:R5"/>
    <mergeCell ref="P2:R3"/>
    <mergeCell ref="A2:C2"/>
    <mergeCell ref="A3:A6"/>
    <mergeCell ref="B3:C3"/>
    <mergeCell ref="B4:C4"/>
    <mergeCell ref="D4:D5"/>
    <mergeCell ref="E4:E5"/>
    <mergeCell ref="B5:C5"/>
    <mergeCell ref="F4:F5"/>
    <mergeCell ref="I4:I5"/>
    <mergeCell ref="L4:L5"/>
    <mergeCell ref="O4:O5"/>
    <mergeCell ref="G4:G5"/>
    <mergeCell ref="H4:H5"/>
    <mergeCell ref="D2:I3"/>
    <mergeCell ref="J2:O3"/>
    <mergeCell ref="P4:P5"/>
    <mergeCell ref="J4:J5"/>
    <mergeCell ref="P7:R7"/>
    <mergeCell ref="D7:F7"/>
    <mergeCell ref="G7:I7"/>
    <mergeCell ref="J7:L7"/>
    <mergeCell ref="M7:O7"/>
    <mergeCell ref="D6:F6"/>
    <mergeCell ref="G6:I6"/>
    <mergeCell ref="J6:L6"/>
    <mergeCell ref="M6:O6"/>
    <mergeCell ref="K4:K5"/>
    <mergeCell ref="M4:M5"/>
    <mergeCell ref="N4:N5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paperSize="9" scale="37" fitToHeight="0" orientation="portrait" r:id="rId1"/>
  <headerFooter alignWithMargins="0">
    <oddHeader>&amp;CDunaharaszti Város Önkormányzat 2017. évi zárszámadás&amp;R&amp;A</oddHeader>
    <oddFooter>&amp;C&amp;P/&amp;N</oddFooter>
  </headerFooter>
  <colBreaks count="1" manualBreakCount="1">
    <brk id="9" max="4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29"/>
  <sheetViews>
    <sheetView view="pageBreakPreview" zoomScale="46" zoomScaleNormal="100" zoomScaleSheetLayoutView="46" workbookViewId="0">
      <selection activeCell="AE22" sqref="AE22"/>
    </sheetView>
  </sheetViews>
  <sheetFormatPr defaultRowHeight="12.75" x14ac:dyDescent="0.2"/>
  <cols>
    <col min="1" max="1" width="3.7109375" style="33" customWidth="1"/>
    <col min="2" max="2" width="4" style="33" customWidth="1"/>
    <col min="3" max="3" width="5.5703125" style="33" customWidth="1"/>
    <col min="4" max="4" width="47" style="33" customWidth="1"/>
    <col min="5" max="7" width="15.7109375" style="33" customWidth="1"/>
    <col min="8" max="16" width="15.5703125" style="33" customWidth="1"/>
    <col min="17" max="19" width="16.42578125" style="33" customWidth="1"/>
    <col min="20" max="22" width="16" style="33" customWidth="1"/>
    <col min="23" max="28" width="17.5703125" style="33" customWidth="1"/>
    <col min="29" max="29" width="13.5703125" style="33" customWidth="1"/>
    <col min="30" max="31" width="13.85546875" style="33" customWidth="1"/>
    <col min="32" max="32" width="13.28515625" style="33" customWidth="1"/>
    <col min="33" max="33" width="13.140625" style="33" customWidth="1"/>
    <col min="34" max="36" width="9.140625" style="33"/>
    <col min="37" max="37" width="12" style="33" bestFit="1" customWidth="1"/>
    <col min="38" max="16384" width="9.140625" style="33"/>
  </cols>
  <sheetData>
    <row r="1" spans="1:34" ht="23.25" customHeight="1" x14ac:dyDescent="0.2">
      <c r="A1" s="1018" t="s">
        <v>119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  <c r="U1" s="1018"/>
      <c r="V1" s="1018"/>
      <c r="W1" s="1018"/>
      <c r="X1" s="1018"/>
      <c r="Y1" s="1018"/>
      <c r="Z1" s="1018"/>
      <c r="AA1" s="1018"/>
      <c r="AB1" s="1018"/>
      <c r="AC1" s="1018"/>
      <c r="AD1" s="1018"/>
      <c r="AE1" s="1018"/>
      <c r="AF1" s="1018"/>
      <c r="AG1" s="1018"/>
    </row>
    <row r="2" spans="1:34" ht="17.2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5" t="s">
        <v>0</v>
      </c>
    </row>
    <row r="3" spans="1:34" ht="32.25" customHeight="1" x14ac:dyDescent="0.2">
      <c r="A3" s="1019"/>
      <c r="B3" s="1019"/>
      <c r="C3" s="1019"/>
      <c r="D3" s="1020"/>
      <c r="E3" s="36" t="s">
        <v>6</v>
      </c>
      <c r="F3" s="36" t="s">
        <v>7</v>
      </c>
      <c r="G3" s="36" t="s">
        <v>788</v>
      </c>
      <c r="H3" s="36" t="s">
        <v>6</v>
      </c>
      <c r="I3" s="36" t="s">
        <v>7</v>
      </c>
      <c r="J3" s="36" t="s">
        <v>788</v>
      </c>
      <c r="K3" s="36" t="s">
        <v>6</v>
      </c>
      <c r="L3" s="36" t="s">
        <v>7</v>
      </c>
      <c r="M3" s="36" t="s">
        <v>788</v>
      </c>
      <c r="N3" s="850" t="s">
        <v>6</v>
      </c>
      <c r="O3" s="850" t="s">
        <v>7</v>
      </c>
      <c r="P3" s="850" t="s">
        <v>788</v>
      </c>
      <c r="Q3" s="36" t="s">
        <v>6</v>
      </c>
      <c r="R3" s="36" t="s">
        <v>7</v>
      </c>
      <c r="S3" s="36" t="s">
        <v>788</v>
      </c>
      <c r="T3" s="36" t="s">
        <v>6</v>
      </c>
      <c r="U3" s="36" t="s">
        <v>7</v>
      </c>
      <c r="V3" s="36" t="s">
        <v>788</v>
      </c>
      <c r="W3" s="36" t="s">
        <v>6</v>
      </c>
      <c r="X3" s="36" t="s">
        <v>7</v>
      </c>
      <c r="Y3" s="36" t="s">
        <v>788</v>
      </c>
      <c r="Z3" s="798" t="s">
        <v>6</v>
      </c>
      <c r="AA3" s="798" t="s">
        <v>7</v>
      </c>
      <c r="AB3" s="798" t="s">
        <v>788</v>
      </c>
      <c r="AC3" s="36" t="s">
        <v>6</v>
      </c>
      <c r="AD3" s="36" t="s">
        <v>7</v>
      </c>
      <c r="AE3" s="36" t="s">
        <v>788</v>
      </c>
      <c r="AF3" s="36" t="s">
        <v>6</v>
      </c>
      <c r="AG3" s="36" t="s">
        <v>7</v>
      </c>
      <c r="AH3" s="369" t="s">
        <v>788</v>
      </c>
    </row>
    <row r="4" spans="1:34" ht="73.5" customHeight="1" x14ac:dyDescent="0.2">
      <c r="A4" s="37" t="s">
        <v>120</v>
      </c>
      <c r="B4" s="38" t="s">
        <v>121</v>
      </c>
      <c r="C4" s="38" t="s">
        <v>122</v>
      </c>
      <c r="D4" s="39" t="s">
        <v>123</v>
      </c>
      <c r="E4" s="1013" t="s">
        <v>789</v>
      </c>
      <c r="F4" s="1014"/>
      <c r="G4" s="1015"/>
      <c r="H4" s="1013" t="s">
        <v>790</v>
      </c>
      <c r="I4" s="1014"/>
      <c r="J4" s="1015"/>
      <c r="K4" s="1013" t="s">
        <v>791</v>
      </c>
      <c r="L4" s="1014" t="s">
        <v>124</v>
      </c>
      <c r="M4" s="1015"/>
      <c r="N4" s="1013" t="s">
        <v>812</v>
      </c>
      <c r="O4" s="1014"/>
      <c r="P4" s="1015"/>
      <c r="Q4" s="1013" t="s">
        <v>792</v>
      </c>
      <c r="R4" s="1014" t="s">
        <v>125</v>
      </c>
      <c r="S4" s="1015"/>
      <c r="T4" s="1013" t="s">
        <v>793</v>
      </c>
      <c r="U4" s="1014" t="s">
        <v>126</v>
      </c>
      <c r="V4" s="1015"/>
      <c r="W4" s="1013" t="s">
        <v>127</v>
      </c>
      <c r="X4" s="1014" t="s">
        <v>127</v>
      </c>
      <c r="Y4" s="1015"/>
      <c r="Z4" s="1030" t="s">
        <v>1462</v>
      </c>
      <c r="AA4" s="1031"/>
      <c r="AB4" s="1032"/>
      <c r="AC4" s="1013" t="s">
        <v>128</v>
      </c>
      <c r="AD4" s="1014" t="s">
        <v>128</v>
      </c>
      <c r="AE4" s="1015"/>
      <c r="AF4" s="1028" t="s">
        <v>129</v>
      </c>
      <c r="AG4" s="1029"/>
      <c r="AH4" s="1029"/>
    </row>
    <row r="5" spans="1:34" s="42" customFormat="1" ht="22.5" customHeight="1" x14ac:dyDescent="0.2">
      <c r="A5" s="1021" t="s">
        <v>130</v>
      </c>
      <c r="B5" s="1022"/>
      <c r="C5" s="1022"/>
      <c r="D5" s="1022"/>
      <c r="E5" s="40">
        <f>SUM(E6:E17)</f>
        <v>2250000</v>
      </c>
      <c r="F5" s="40">
        <f t="shared" ref="F5:AB5" si="0">SUM(F6:F17)</f>
        <v>2250000</v>
      </c>
      <c r="G5" s="40">
        <f t="shared" si="0"/>
        <v>1059600</v>
      </c>
      <c r="H5" s="40">
        <f t="shared" si="0"/>
        <v>500000</v>
      </c>
      <c r="I5" s="40">
        <f t="shared" si="0"/>
        <v>1000000</v>
      </c>
      <c r="J5" s="40">
        <f t="shared" si="0"/>
        <v>750000</v>
      </c>
      <c r="K5" s="40">
        <f t="shared" si="0"/>
        <v>0</v>
      </c>
      <c r="L5" s="40">
        <f t="shared" si="0"/>
        <v>300000</v>
      </c>
      <c r="M5" s="40">
        <f t="shared" si="0"/>
        <v>300000</v>
      </c>
      <c r="N5" s="40">
        <f t="shared" si="0"/>
        <v>0</v>
      </c>
      <c r="O5" s="40">
        <f t="shared" si="0"/>
        <v>96000</v>
      </c>
      <c r="P5" s="40">
        <f t="shared" si="0"/>
        <v>96000</v>
      </c>
      <c r="Q5" s="40">
        <f t="shared" si="0"/>
        <v>0</v>
      </c>
      <c r="R5" s="40">
        <f t="shared" si="0"/>
        <v>2000000</v>
      </c>
      <c r="S5" s="40">
        <f t="shared" si="0"/>
        <v>2000000</v>
      </c>
      <c r="T5" s="40">
        <f t="shared" si="0"/>
        <v>398131180</v>
      </c>
      <c r="U5" s="40">
        <f t="shared" si="0"/>
        <v>490587180</v>
      </c>
      <c r="V5" s="40">
        <f t="shared" si="0"/>
        <v>490587180</v>
      </c>
      <c r="W5" s="40">
        <f t="shared" si="0"/>
        <v>0</v>
      </c>
      <c r="X5" s="40">
        <f t="shared" si="0"/>
        <v>0</v>
      </c>
      <c r="Y5" s="40">
        <f t="shared" si="0"/>
        <v>0</v>
      </c>
      <c r="Z5" s="40">
        <f t="shared" si="0"/>
        <v>0</v>
      </c>
      <c r="AA5" s="40">
        <f t="shared" si="0"/>
        <v>1080000</v>
      </c>
      <c r="AB5" s="40">
        <f t="shared" si="0"/>
        <v>1080000</v>
      </c>
      <c r="AC5" s="41">
        <f>E5+H5+Q5+W5+T5</f>
        <v>400881180</v>
      </c>
      <c r="AD5" s="41">
        <v>497313180</v>
      </c>
      <c r="AE5" s="41">
        <f>G5+J5+S5+V5+Y5+M5+AB5+P5</f>
        <v>495872780</v>
      </c>
      <c r="AF5" s="41">
        <f>SUM(AF6:AF17)</f>
        <v>2000000</v>
      </c>
      <c r="AG5" s="41">
        <f>SUM(AG6:AG17)</f>
        <v>0</v>
      </c>
      <c r="AH5" s="68"/>
    </row>
    <row r="6" spans="1:34" ht="19.5" customHeight="1" x14ac:dyDescent="0.2">
      <c r="A6" s="43" t="s">
        <v>15</v>
      </c>
      <c r="B6" s="44" t="s">
        <v>131</v>
      </c>
      <c r="C6" s="45" t="s">
        <v>132</v>
      </c>
      <c r="D6" s="46" t="s">
        <v>133</v>
      </c>
      <c r="E6" s="562">
        <v>1000000</v>
      </c>
      <c r="F6" s="562">
        <v>1000000</v>
      </c>
      <c r="G6" s="562">
        <f>999300-J7+27000+33300</f>
        <v>309600</v>
      </c>
      <c r="H6" s="562"/>
      <c r="I6" s="562">
        <f>H6</f>
        <v>0</v>
      </c>
      <c r="J6" s="562"/>
      <c r="K6" s="562"/>
      <c r="L6" s="562"/>
      <c r="M6" s="562"/>
      <c r="N6" s="562"/>
      <c r="O6" s="562"/>
      <c r="P6" s="562"/>
      <c r="Q6" s="562"/>
      <c r="R6" s="562">
        <f t="shared" ref="R6:R11" si="1">Q6</f>
        <v>0</v>
      </c>
      <c r="S6" s="562"/>
      <c r="T6" s="562"/>
      <c r="U6" s="562">
        <f>T6</f>
        <v>0</v>
      </c>
      <c r="V6" s="562"/>
      <c r="W6" s="562"/>
      <c r="X6" s="562">
        <f>W6</f>
        <v>0</v>
      </c>
      <c r="Y6" s="562"/>
      <c r="Z6" s="562"/>
      <c r="AA6" s="562"/>
      <c r="AB6" s="562"/>
      <c r="AC6" s="688">
        <f>+E6</f>
        <v>1000000</v>
      </c>
      <c r="AD6" s="700">
        <v>1000000</v>
      </c>
      <c r="AE6" s="700">
        <f>+G6+J6+M6+S6+V6+P6</f>
        <v>309600</v>
      </c>
      <c r="AF6" s="689"/>
      <c r="AG6" s="562">
        <f t="shared" ref="AG6:AG11" si="2">AF6</f>
        <v>0</v>
      </c>
      <c r="AH6" s="563"/>
    </row>
    <row r="7" spans="1:34" ht="27" customHeight="1" x14ac:dyDescent="0.2">
      <c r="A7" s="43" t="s">
        <v>16</v>
      </c>
      <c r="B7" s="49" t="s">
        <v>134</v>
      </c>
      <c r="C7" s="50" t="s">
        <v>132</v>
      </c>
      <c r="D7" s="51" t="s">
        <v>135</v>
      </c>
      <c r="E7" s="52"/>
      <c r="F7" s="52">
        <f t="shared" ref="F7:F17" si="3">E7</f>
        <v>0</v>
      </c>
      <c r="G7" s="52"/>
      <c r="H7" s="52">
        <v>500000</v>
      </c>
      <c r="I7" s="52">
        <v>1000000</v>
      </c>
      <c r="J7" s="52">
        <v>750000</v>
      </c>
      <c r="K7" s="52"/>
      <c r="L7" s="52"/>
      <c r="M7" s="52"/>
      <c r="N7" s="52"/>
      <c r="O7" s="52"/>
      <c r="P7" s="52"/>
      <c r="Q7" s="52"/>
      <c r="R7" s="52">
        <f t="shared" si="1"/>
        <v>0</v>
      </c>
      <c r="S7" s="52"/>
      <c r="T7" s="52"/>
      <c r="U7" s="52">
        <f t="shared" ref="U7:U17" si="4">T7</f>
        <v>0</v>
      </c>
      <c r="V7" s="52"/>
      <c r="W7" s="52"/>
      <c r="X7" s="52">
        <f t="shared" ref="X7:X17" si="5">W7</f>
        <v>0</v>
      </c>
      <c r="Y7" s="52"/>
      <c r="Z7" s="52"/>
      <c r="AA7" s="52"/>
      <c r="AB7" s="52"/>
      <c r="AC7" s="690">
        <v>500000</v>
      </c>
      <c r="AD7" s="701">
        <v>1000000</v>
      </c>
      <c r="AE7" s="701">
        <f t="shared" ref="AE7:AE17" si="6">+G7+J7+M7+S7+V7+P7</f>
        <v>750000</v>
      </c>
      <c r="AF7" s="691"/>
      <c r="AG7" s="52">
        <f t="shared" si="2"/>
        <v>0</v>
      </c>
      <c r="AH7" s="564"/>
    </row>
    <row r="8" spans="1:34" ht="25.5" x14ac:dyDescent="0.2">
      <c r="A8" s="43" t="s">
        <v>17</v>
      </c>
      <c r="B8" s="49" t="s">
        <v>131</v>
      </c>
      <c r="C8" s="50" t="s">
        <v>136</v>
      </c>
      <c r="D8" s="55" t="s">
        <v>137</v>
      </c>
      <c r="E8" s="52">
        <v>500000</v>
      </c>
      <c r="F8" s="52">
        <v>500000</v>
      </c>
      <c r="G8" s="52"/>
      <c r="H8" s="52"/>
      <c r="I8" s="52">
        <f t="shared" ref="I8:I17" si="7">H8</f>
        <v>0</v>
      </c>
      <c r="J8" s="52"/>
      <c r="K8" s="52"/>
      <c r="L8" s="52"/>
      <c r="M8" s="52"/>
      <c r="N8" s="52"/>
      <c r="O8" s="52"/>
      <c r="P8" s="52"/>
      <c r="Q8" s="52"/>
      <c r="R8" s="52">
        <f t="shared" si="1"/>
        <v>0</v>
      </c>
      <c r="S8" s="52"/>
      <c r="T8" s="52"/>
      <c r="U8" s="52">
        <f t="shared" si="4"/>
        <v>0</v>
      </c>
      <c r="V8" s="52"/>
      <c r="W8" s="52"/>
      <c r="X8" s="52">
        <f t="shared" si="5"/>
        <v>0</v>
      </c>
      <c r="Y8" s="52"/>
      <c r="Z8" s="52"/>
      <c r="AA8" s="52"/>
      <c r="AB8" s="52"/>
      <c r="AC8" s="690">
        <v>500000</v>
      </c>
      <c r="AD8" s="701">
        <v>500000</v>
      </c>
      <c r="AE8" s="701">
        <f t="shared" si="6"/>
        <v>0</v>
      </c>
      <c r="AF8" s="691"/>
      <c r="AG8" s="52">
        <f t="shared" si="2"/>
        <v>0</v>
      </c>
      <c r="AH8" s="564"/>
    </row>
    <row r="9" spans="1:34" ht="23.25" customHeight="1" x14ac:dyDescent="0.2">
      <c r="A9" s="43" t="s">
        <v>18</v>
      </c>
      <c r="B9" s="49" t="s">
        <v>131</v>
      </c>
      <c r="C9" s="50" t="s">
        <v>136</v>
      </c>
      <c r="D9" s="51" t="s">
        <v>138</v>
      </c>
      <c r="E9" s="52">
        <v>750000</v>
      </c>
      <c r="F9" s="52">
        <v>750000</v>
      </c>
      <c r="G9" s="52">
        <v>750000</v>
      </c>
      <c r="H9" s="52"/>
      <c r="I9" s="52">
        <f t="shared" si="7"/>
        <v>0</v>
      </c>
      <c r="J9" s="52"/>
      <c r="K9" s="52"/>
      <c r="L9" s="52"/>
      <c r="M9" s="52"/>
      <c r="N9" s="52"/>
      <c r="O9" s="52"/>
      <c r="P9" s="52"/>
      <c r="Q9" s="52"/>
      <c r="R9" s="52">
        <f t="shared" si="1"/>
        <v>0</v>
      </c>
      <c r="S9" s="52"/>
      <c r="T9" s="52"/>
      <c r="U9" s="52">
        <f t="shared" si="4"/>
        <v>0</v>
      </c>
      <c r="V9" s="52"/>
      <c r="W9" s="52"/>
      <c r="X9" s="52">
        <f t="shared" si="5"/>
        <v>0</v>
      </c>
      <c r="Y9" s="52"/>
      <c r="Z9" s="52"/>
      <c r="AA9" s="52"/>
      <c r="AB9" s="52"/>
      <c r="AC9" s="690">
        <v>750000</v>
      </c>
      <c r="AD9" s="701">
        <v>750000</v>
      </c>
      <c r="AE9" s="701">
        <f t="shared" si="6"/>
        <v>750000</v>
      </c>
      <c r="AF9" s="691"/>
      <c r="AG9" s="52">
        <f t="shared" si="2"/>
        <v>0</v>
      </c>
      <c r="AH9" s="564"/>
    </row>
    <row r="10" spans="1:34" ht="45.75" customHeight="1" x14ac:dyDescent="0.2">
      <c r="A10" s="43" t="s">
        <v>19</v>
      </c>
      <c r="B10" s="56" t="s">
        <v>139</v>
      </c>
      <c r="C10" s="57" t="s">
        <v>132</v>
      </c>
      <c r="D10" s="58" t="s">
        <v>140</v>
      </c>
      <c r="E10" s="52"/>
      <c r="F10" s="52">
        <f t="shared" si="3"/>
        <v>0</v>
      </c>
      <c r="G10" s="52"/>
      <c r="H10" s="52"/>
      <c r="I10" s="52">
        <f t="shared" si="7"/>
        <v>0</v>
      </c>
      <c r="J10" s="52"/>
      <c r="K10" s="52"/>
      <c r="L10" s="52"/>
      <c r="M10" s="52"/>
      <c r="N10" s="52"/>
      <c r="O10" s="52"/>
      <c r="P10" s="52"/>
      <c r="Q10" s="52"/>
      <c r="R10" s="52">
        <f t="shared" si="1"/>
        <v>0</v>
      </c>
      <c r="S10" s="52"/>
      <c r="T10" s="52">
        <v>380000000</v>
      </c>
      <c r="U10" s="52">
        <v>380000000</v>
      </c>
      <c r="V10" s="52">
        <f>298131180+192456000-V12-V11</f>
        <v>380000000</v>
      </c>
      <c r="W10" s="52"/>
      <c r="X10" s="52">
        <f t="shared" si="5"/>
        <v>0</v>
      </c>
      <c r="Y10" s="52"/>
      <c r="Z10" s="52"/>
      <c r="AA10" s="52"/>
      <c r="AB10" s="52"/>
      <c r="AC10" s="690">
        <v>380000000</v>
      </c>
      <c r="AD10" s="701">
        <v>380000000</v>
      </c>
      <c r="AE10" s="701">
        <f t="shared" si="6"/>
        <v>380000000</v>
      </c>
      <c r="AF10" s="691"/>
      <c r="AG10" s="52">
        <f t="shared" si="2"/>
        <v>0</v>
      </c>
      <c r="AH10" s="564"/>
    </row>
    <row r="11" spans="1:34" ht="25.5" x14ac:dyDescent="0.2">
      <c r="A11" s="43" t="s">
        <v>20</v>
      </c>
      <c r="B11" s="56" t="s">
        <v>139</v>
      </c>
      <c r="C11" s="57" t="s">
        <v>132</v>
      </c>
      <c r="D11" s="58" t="s">
        <v>141</v>
      </c>
      <c r="E11" s="52"/>
      <c r="F11" s="52">
        <f t="shared" si="3"/>
        <v>0</v>
      </c>
      <c r="G11" s="52"/>
      <c r="H11" s="52"/>
      <c r="I11" s="52">
        <f t="shared" si="7"/>
        <v>0</v>
      </c>
      <c r="J11" s="52"/>
      <c r="K11" s="52"/>
      <c r="L11" s="52"/>
      <c r="M11" s="52"/>
      <c r="N11" s="52"/>
      <c r="O11" s="52"/>
      <c r="P11" s="52"/>
      <c r="Q11" s="52"/>
      <c r="R11" s="52">
        <f t="shared" si="1"/>
        <v>0</v>
      </c>
      <c r="S11" s="52"/>
      <c r="T11" s="52">
        <v>18131180</v>
      </c>
      <c r="U11" s="52">
        <v>18131180</v>
      </c>
      <c r="V11" s="52">
        <v>18131180</v>
      </c>
      <c r="W11" s="52"/>
      <c r="X11" s="52">
        <f t="shared" si="5"/>
        <v>0</v>
      </c>
      <c r="Y11" s="52"/>
      <c r="Z11" s="52"/>
      <c r="AA11" s="52"/>
      <c r="AB11" s="52"/>
      <c r="AC11" s="690">
        <v>18131180</v>
      </c>
      <c r="AD11" s="701">
        <v>18131180</v>
      </c>
      <c r="AE11" s="701">
        <f t="shared" si="6"/>
        <v>18131180</v>
      </c>
      <c r="AF11" s="691"/>
      <c r="AG11" s="52">
        <f t="shared" si="2"/>
        <v>0</v>
      </c>
      <c r="AH11" s="564"/>
    </row>
    <row r="12" spans="1:34" ht="22.5" customHeight="1" x14ac:dyDescent="0.2">
      <c r="A12" s="43" t="s">
        <v>21</v>
      </c>
      <c r="B12" s="56" t="s">
        <v>139</v>
      </c>
      <c r="C12" s="57" t="s">
        <v>132</v>
      </c>
      <c r="D12" s="58" t="s">
        <v>1461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>
        <v>92456000</v>
      </c>
      <c r="V12" s="52">
        <v>92456000</v>
      </c>
      <c r="W12" s="52"/>
      <c r="X12" s="52"/>
      <c r="Y12" s="52"/>
      <c r="Z12" s="52"/>
      <c r="AA12" s="52"/>
      <c r="AB12" s="52"/>
      <c r="AC12" s="690"/>
      <c r="AD12" s="701">
        <v>92456000</v>
      </c>
      <c r="AE12" s="701">
        <f t="shared" si="6"/>
        <v>92456000</v>
      </c>
      <c r="AF12" s="691"/>
      <c r="AG12" s="52"/>
      <c r="AH12" s="564"/>
    </row>
    <row r="13" spans="1:34" ht="24" customHeight="1" x14ac:dyDescent="0.2">
      <c r="A13" s="43" t="s">
        <v>22</v>
      </c>
      <c r="B13" s="56" t="s">
        <v>142</v>
      </c>
      <c r="C13" s="57" t="s">
        <v>132</v>
      </c>
      <c r="D13" s="61" t="s">
        <v>143</v>
      </c>
      <c r="E13" s="52"/>
      <c r="F13" s="52"/>
      <c r="G13" s="52"/>
      <c r="H13" s="52"/>
      <c r="I13" s="52"/>
      <c r="J13" s="52"/>
      <c r="K13" s="52"/>
      <c r="L13" s="52">
        <v>100000</v>
      </c>
      <c r="M13" s="52">
        <v>100000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690"/>
      <c r="AD13" s="701">
        <v>100000</v>
      </c>
      <c r="AE13" s="701">
        <f t="shared" si="6"/>
        <v>100000</v>
      </c>
      <c r="AF13" s="691"/>
      <c r="AG13" s="52"/>
      <c r="AH13" s="564"/>
    </row>
    <row r="14" spans="1:34" ht="23.25" customHeight="1" x14ac:dyDescent="0.2">
      <c r="A14" s="43" t="s">
        <v>36</v>
      </c>
      <c r="B14" s="56" t="s">
        <v>142</v>
      </c>
      <c r="C14" s="57" t="s">
        <v>132</v>
      </c>
      <c r="D14" s="63" t="s">
        <v>144</v>
      </c>
      <c r="E14" s="52"/>
      <c r="F14" s="52"/>
      <c r="G14" s="52"/>
      <c r="H14" s="52"/>
      <c r="I14" s="52"/>
      <c r="J14" s="52"/>
      <c r="K14" s="52"/>
      <c r="L14" s="52">
        <v>200000</v>
      </c>
      <c r="M14" s="52">
        <v>200000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690"/>
      <c r="AD14" s="701">
        <v>200000</v>
      </c>
      <c r="AE14" s="701">
        <f t="shared" si="6"/>
        <v>200000</v>
      </c>
      <c r="AF14" s="691"/>
      <c r="AG14" s="52"/>
      <c r="AH14" s="564"/>
    </row>
    <row r="15" spans="1:34" ht="23.25" customHeight="1" x14ac:dyDescent="0.2">
      <c r="A15" s="43" t="s">
        <v>39</v>
      </c>
      <c r="B15" s="56" t="s">
        <v>176</v>
      </c>
      <c r="C15" s="57" t="s">
        <v>132</v>
      </c>
      <c r="D15" s="63" t="s">
        <v>1460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>
        <v>1080000</v>
      </c>
      <c r="AB15" s="59">
        <v>1080000</v>
      </c>
      <c r="AC15" s="690"/>
      <c r="AD15" s="701">
        <v>1080000</v>
      </c>
      <c r="AE15" s="701">
        <f>+G15+J15+M15+S15+V15+P15+AB15</f>
        <v>1080000</v>
      </c>
      <c r="AF15" s="691"/>
      <c r="AG15" s="59"/>
      <c r="AH15" s="805"/>
    </row>
    <row r="16" spans="1:34" ht="23.25" customHeight="1" x14ac:dyDescent="0.2">
      <c r="A16" s="43" t="s">
        <v>42</v>
      </c>
      <c r="B16" s="56" t="s">
        <v>142</v>
      </c>
      <c r="C16" s="57" t="s">
        <v>132</v>
      </c>
      <c r="D16" s="63" t="s">
        <v>1513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>
        <v>96000</v>
      </c>
      <c r="P16" s="59">
        <v>96000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690"/>
      <c r="AD16" s="701">
        <v>96000</v>
      </c>
      <c r="AE16" s="701">
        <f t="shared" si="6"/>
        <v>96000</v>
      </c>
      <c r="AF16" s="691"/>
      <c r="AG16" s="59"/>
      <c r="AH16" s="805"/>
    </row>
    <row r="17" spans="1:37" ht="39.75" customHeight="1" x14ac:dyDescent="0.2">
      <c r="A17" s="43" t="s">
        <v>45</v>
      </c>
      <c r="B17" s="56" t="s">
        <v>145</v>
      </c>
      <c r="C17" s="57" t="s">
        <v>132</v>
      </c>
      <c r="D17" s="64" t="s">
        <v>146</v>
      </c>
      <c r="E17" s="65"/>
      <c r="F17" s="65">
        <f t="shared" si="3"/>
        <v>0</v>
      </c>
      <c r="G17" s="65"/>
      <c r="H17" s="65"/>
      <c r="I17" s="65">
        <f t="shared" si="7"/>
        <v>0</v>
      </c>
      <c r="J17" s="65"/>
      <c r="K17" s="65"/>
      <c r="L17" s="65"/>
      <c r="M17" s="65"/>
      <c r="N17" s="65"/>
      <c r="O17" s="65"/>
      <c r="P17" s="65"/>
      <c r="Q17" s="65"/>
      <c r="R17" s="65">
        <v>2000000</v>
      </c>
      <c r="S17" s="65">
        <v>2000000</v>
      </c>
      <c r="T17" s="65"/>
      <c r="U17" s="65">
        <f t="shared" si="4"/>
        <v>0</v>
      </c>
      <c r="V17" s="65"/>
      <c r="W17" s="65"/>
      <c r="X17" s="65">
        <f t="shared" si="5"/>
        <v>0</v>
      </c>
      <c r="Y17" s="65"/>
      <c r="Z17" s="65"/>
      <c r="AA17" s="65"/>
      <c r="AB17" s="65"/>
      <c r="AC17" s="692">
        <f t="shared" ref="AC17" si="8">E17+H17+Q17+T17+W17</f>
        <v>0</v>
      </c>
      <c r="AD17" s="702">
        <v>2000000</v>
      </c>
      <c r="AE17" s="856">
        <f t="shared" si="6"/>
        <v>2000000</v>
      </c>
      <c r="AF17" s="693">
        <v>2000000</v>
      </c>
      <c r="AG17" s="65">
        <f>AF17-2000000</f>
        <v>0</v>
      </c>
      <c r="AH17" s="565"/>
    </row>
    <row r="18" spans="1:37" s="42" customFormat="1" ht="20.25" customHeight="1" x14ac:dyDescent="0.2">
      <c r="A18" s="1021" t="s">
        <v>147</v>
      </c>
      <c r="B18" s="1022"/>
      <c r="C18" s="1022"/>
      <c r="D18" s="1022"/>
      <c r="E18" s="40">
        <f>SUM(E20)</f>
        <v>0</v>
      </c>
      <c r="F18" s="40">
        <f t="shared" ref="F18:W18" si="9">SUM(F20)</f>
        <v>0</v>
      </c>
      <c r="G18" s="40"/>
      <c r="H18" s="40">
        <f t="shared" si="9"/>
        <v>0</v>
      </c>
      <c r="I18" s="40">
        <f t="shared" si="9"/>
        <v>0</v>
      </c>
      <c r="J18" s="40"/>
      <c r="K18" s="40"/>
      <c r="L18" s="40"/>
      <c r="M18" s="40"/>
      <c r="N18" s="40"/>
      <c r="O18" s="40"/>
      <c r="P18" s="40"/>
      <c r="Q18" s="40">
        <f t="shared" si="9"/>
        <v>0</v>
      </c>
      <c r="R18" s="40">
        <f t="shared" si="9"/>
        <v>0</v>
      </c>
      <c r="S18" s="40"/>
      <c r="T18" s="40">
        <f t="shared" si="9"/>
        <v>0</v>
      </c>
      <c r="U18" s="40">
        <f t="shared" si="9"/>
        <v>0</v>
      </c>
      <c r="V18" s="40"/>
      <c r="W18" s="40">
        <f t="shared" si="9"/>
        <v>7500000</v>
      </c>
      <c r="X18" s="40">
        <f>SUM(X20)</f>
        <v>10169900</v>
      </c>
      <c r="Y18" s="40">
        <f>SUM(Y20)</f>
        <v>9600000</v>
      </c>
      <c r="Z18" s="40">
        <f t="shared" ref="Z18:AB18" si="10">SUM(Z20)</f>
        <v>0</v>
      </c>
      <c r="AA18" s="40">
        <f t="shared" si="10"/>
        <v>0</v>
      </c>
      <c r="AB18" s="40">
        <f t="shared" si="10"/>
        <v>0</v>
      </c>
      <c r="AC18" s="41">
        <f>E18+H18+Q18+T18+W18</f>
        <v>7500000</v>
      </c>
      <c r="AD18" s="66">
        <f>F18+I18+R18+U18+X18</f>
        <v>10169900</v>
      </c>
      <c r="AE18" s="41">
        <f>G18+J18+S18+V18+Y18</f>
        <v>9600000</v>
      </c>
      <c r="AF18" s="561">
        <f>AF20</f>
        <v>0</v>
      </c>
      <c r="AG18" s="561">
        <f>AG20</f>
        <v>0</v>
      </c>
      <c r="AH18" s="68"/>
      <c r="AK18" s="806">
        <f>+AE6+AE7+AE8+AE9+AE10+AE11+AE12+AE13+AE14+AE15+AE17-AE5</f>
        <v>-96000</v>
      </c>
    </row>
    <row r="19" spans="1:37" s="42" customFormat="1" ht="20.25" customHeight="1" x14ac:dyDescent="0.2">
      <c r="A19" s="1023" t="s">
        <v>148</v>
      </c>
      <c r="B19" s="1024"/>
      <c r="C19" s="1024"/>
      <c r="D19" s="1025"/>
      <c r="E19" s="1026"/>
      <c r="F19" s="1027"/>
      <c r="G19" s="1027"/>
      <c r="H19" s="1027"/>
      <c r="I19" s="1027"/>
      <c r="J19" s="1027"/>
      <c r="K19" s="1027"/>
      <c r="L19" s="1027"/>
      <c r="M19" s="1027"/>
      <c r="N19" s="1027"/>
      <c r="O19" s="1027"/>
      <c r="P19" s="1027"/>
      <c r="Q19" s="1027"/>
      <c r="R19" s="1027"/>
      <c r="S19" s="1027"/>
      <c r="T19" s="1027"/>
      <c r="U19" s="1027"/>
      <c r="V19" s="1027"/>
      <c r="W19" s="1027"/>
      <c r="X19" s="67"/>
      <c r="Y19" s="67"/>
      <c r="Z19" s="67"/>
      <c r="AA19" s="67"/>
      <c r="AB19" s="67"/>
      <c r="AC19" s="41"/>
      <c r="AD19" s="41"/>
      <c r="AE19" s="41"/>
      <c r="AF19" s="68"/>
      <c r="AG19" s="68"/>
      <c r="AH19" s="68"/>
    </row>
    <row r="20" spans="1:37" ht="25.5" customHeight="1" x14ac:dyDescent="0.2">
      <c r="A20" s="69" t="s">
        <v>15</v>
      </c>
      <c r="B20" s="70" t="s">
        <v>149</v>
      </c>
      <c r="C20" s="71" t="s">
        <v>150</v>
      </c>
      <c r="D20" s="72" t="s">
        <v>151</v>
      </c>
      <c r="E20" s="73"/>
      <c r="F20" s="73">
        <f>E20</f>
        <v>0</v>
      </c>
      <c r="G20" s="73"/>
      <c r="H20" s="73"/>
      <c r="I20" s="73">
        <f>H20</f>
        <v>0</v>
      </c>
      <c r="J20" s="73"/>
      <c r="K20" s="73"/>
      <c r="L20" s="73"/>
      <c r="M20" s="73"/>
      <c r="N20" s="73"/>
      <c r="O20" s="73"/>
      <c r="P20" s="73"/>
      <c r="Q20" s="73"/>
      <c r="R20" s="74">
        <f>Q20</f>
        <v>0</v>
      </c>
      <c r="S20" s="74"/>
      <c r="T20" s="74"/>
      <c r="U20" s="74">
        <f>T20</f>
        <v>0</v>
      </c>
      <c r="V20" s="74"/>
      <c r="W20" s="74">
        <v>7500000</v>
      </c>
      <c r="X20" s="75">
        <v>10169900</v>
      </c>
      <c r="Y20" s="558">
        <v>9600000</v>
      </c>
      <c r="Z20" s="558"/>
      <c r="AA20" s="558"/>
      <c r="AB20" s="558"/>
      <c r="AC20" s="76">
        <v>7500000</v>
      </c>
      <c r="AD20" s="76">
        <v>10169900</v>
      </c>
      <c r="AE20" s="76">
        <f>+Y20</f>
        <v>9600000</v>
      </c>
      <c r="AF20" s="77"/>
      <c r="AG20" s="77"/>
      <c r="AH20" s="77"/>
    </row>
    <row r="21" spans="1:37" ht="31.5" customHeight="1" x14ac:dyDescent="0.2">
      <c r="A21" s="1016" t="s">
        <v>152</v>
      </c>
      <c r="B21" s="1017"/>
      <c r="C21" s="1017"/>
      <c r="D21" s="1017"/>
      <c r="E21" s="78">
        <f>+E18+E5</f>
        <v>2250000</v>
      </c>
      <c r="F21" s="78">
        <f t="shared" ref="F21:AB21" si="11">+F18+F5</f>
        <v>2250000</v>
      </c>
      <c r="G21" s="78">
        <f t="shared" si="11"/>
        <v>1059600</v>
      </c>
      <c r="H21" s="78">
        <f t="shared" si="11"/>
        <v>500000</v>
      </c>
      <c r="I21" s="78">
        <f>+I18+I5</f>
        <v>1000000</v>
      </c>
      <c r="J21" s="78">
        <f>+J18+J5</f>
        <v>750000</v>
      </c>
      <c r="K21" s="78">
        <f>+K18+K5</f>
        <v>0</v>
      </c>
      <c r="L21" s="78">
        <f>+L18+L5</f>
        <v>300000</v>
      </c>
      <c r="M21" s="78">
        <f>+M18+M5</f>
        <v>300000</v>
      </c>
      <c r="N21" s="78">
        <f t="shared" ref="N21:P21" si="12">+N18+N5</f>
        <v>0</v>
      </c>
      <c r="O21" s="78">
        <f t="shared" si="12"/>
        <v>96000</v>
      </c>
      <c r="P21" s="78">
        <f t="shared" si="12"/>
        <v>96000</v>
      </c>
      <c r="Q21" s="78">
        <f t="shared" si="11"/>
        <v>0</v>
      </c>
      <c r="R21" s="78">
        <f t="shared" si="11"/>
        <v>2000000</v>
      </c>
      <c r="S21" s="78">
        <f t="shared" si="11"/>
        <v>2000000</v>
      </c>
      <c r="T21" s="78">
        <f t="shared" si="11"/>
        <v>398131180</v>
      </c>
      <c r="U21" s="78">
        <f t="shared" si="11"/>
        <v>490587180</v>
      </c>
      <c r="V21" s="78">
        <f t="shared" si="11"/>
        <v>490587180</v>
      </c>
      <c r="W21" s="78">
        <f t="shared" si="11"/>
        <v>7500000</v>
      </c>
      <c r="X21" s="78">
        <f t="shared" si="11"/>
        <v>10169900</v>
      </c>
      <c r="Y21" s="78">
        <f t="shared" si="11"/>
        <v>9600000</v>
      </c>
      <c r="Z21" s="78">
        <f t="shared" si="11"/>
        <v>0</v>
      </c>
      <c r="AA21" s="78">
        <f t="shared" si="11"/>
        <v>1080000</v>
      </c>
      <c r="AB21" s="78">
        <f t="shared" si="11"/>
        <v>1080000</v>
      </c>
      <c r="AC21" s="41">
        <f>E21+H21+Q21+T21+W21</f>
        <v>408381180</v>
      </c>
      <c r="AD21" s="41">
        <v>507483080</v>
      </c>
      <c r="AE21" s="820">
        <f>G21+J21+S21+V21+Y21+M21+AB21+P21</f>
        <v>505472780</v>
      </c>
      <c r="AF21" s="41">
        <f>+AF18+AF5</f>
        <v>2000000</v>
      </c>
      <c r="AG21" s="41">
        <f>+AG18+AG5</f>
        <v>0</v>
      </c>
      <c r="AH21" s="77"/>
      <c r="AK21" s="207">
        <f>495122780-AE5</f>
        <v>-750000</v>
      </c>
    </row>
    <row r="22" spans="1:37" x14ac:dyDescent="0.2"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1:37" x14ac:dyDescent="0.2"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37" x14ac:dyDescent="0.2"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</row>
    <row r="25" spans="1:37" x14ac:dyDescent="0.2"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</row>
    <row r="26" spans="1:37" x14ac:dyDescent="0.2"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</row>
    <row r="27" spans="1:37" x14ac:dyDescent="0.2"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</row>
    <row r="29" spans="1:37" x14ac:dyDescent="0.2">
      <c r="U29" s="33">
        <f>+'1.3 sz.Önkormányzat 2017.B'!BW18</f>
        <v>495872780</v>
      </c>
    </row>
  </sheetData>
  <mergeCells count="17">
    <mergeCell ref="Z4:AB4"/>
    <mergeCell ref="N4:P4"/>
    <mergeCell ref="A21:D21"/>
    <mergeCell ref="A1:AG1"/>
    <mergeCell ref="A3:D3"/>
    <mergeCell ref="A5:D5"/>
    <mergeCell ref="A18:D18"/>
    <mergeCell ref="A19:D19"/>
    <mergeCell ref="E19:W19"/>
    <mergeCell ref="E4:G4"/>
    <mergeCell ref="H4:J4"/>
    <mergeCell ref="K4:M4"/>
    <mergeCell ref="Q4:S4"/>
    <mergeCell ref="T4:V4"/>
    <mergeCell ref="W4:Y4"/>
    <mergeCell ref="AC4:AE4"/>
    <mergeCell ref="AF4:AH4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48" orientation="landscape" r:id="rId1"/>
  <headerFooter>
    <oddHeader>&amp;CDunaharaszti Város Önkormányzat 2017. évi zárszámadás&amp;R&amp;A</oddHead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94"/>
  <sheetViews>
    <sheetView view="pageBreakPreview" zoomScale="90" zoomScaleNormal="100" zoomScaleSheetLayoutView="90" workbookViewId="0">
      <selection activeCell="E183" sqref="E183"/>
    </sheetView>
  </sheetViews>
  <sheetFormatPr defaultRowHeight="12.75" x14ac:dyDescent="0.2"/>
  <cols>
    <col min="1" max="1" width="4.28515625" style="33" customWidth="1"/>
    <col min="2" max="2" width="3.5703125" style="33" bestFit="1" customWidth="1"/>
    <col min="3" max="3" width="3.28515625" style="33" bestFit="1" customWidth="1"/>
    <col min="4" max="4" width="60.28515625" style="33" customWidth="1"/>
    <col min="5" max="8" width="18.5703125" style="33" customWidth="1"/>
    <col min="9" max="10" width="19" style="33" customWidth="1"/>
    <col min="11" max="12" width="18.42578125" style="33" customWidth="1"/>
    <col min="13" max="13" width="12.140625" style="33" customWidth="1"/>
    <col min="14" max="14" width="14.140625" style="33" customWidth="1"/>
    <col min="15" max="15" width="14.140625" style="33" bestFit="1" customWidth="1"/>
    <col min="16" max="16384" width="9.140625" style="33"/>
  </cols>
  <sheetData>
    <row r="1" spans="1:15" ht="29.25" customHeight="1" x14ac:dyDescent="0.2">
      <c r="A1" s="1018" t="s">
        <v>153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</row>
    <row r="2" spans="1:15" ht="30" customHeight="1" x14ac:dyDescent="0.2">
      <c r="M2" s="80" t="s">
        <v>0</v>
      </c>
    </row>
    <row r="3" spans="1:15" ht="33.75" customHeight="1" x14ac:dyDescent="0.2">
      <c r="A3" s="1061"/>
      <c r="B3" s="1061"/>
      <c r="C3" s="1061"/>
      <c r="D3" s="1061"/>
      <c r="E3" s="81" t="s">
        <v>154</v>
      </c>
      <c r="F3" s="82" t="s">
        <v>7</v>
      </c>
      <c r="G3" s="82" t="s">
        <v>788</v>
      </c>
      <c r="H3" s="82" t="s">
        <v>154</v>
      </c>
      <c r="I3" s="82" t="s">
        <v>7</v>
      </c>
      <c r="J3" s="82" t="s">
        <v>788</v>
      </c>
      <c r="K3" s="82" t="s">
        <v>154</v>
      </c>
      <c r="L3" s="83" t="s">
        <v>7</v>
      </c>
      <c r="M3" s="1062" t="s">
        <v>5</v>
      </c>
    </row>
    <row r="4" spans="1:15" ht="94.5" customHeight="1" x14ac:dyDescent="0.2">
      <c r="A4" s="84" t="s">
        <v>120</v>
      </c>
      <c r="B4" s="85" t="s">
        <v>121</v>
      </c>
      <c r="C4" s="85" t="s">
        <v>155</v>
      </c>
      <c r="D4" s="86" t="s">
        <v>123</v>
      </c>
      <c r="E4" s="1045" t="s">
        <v>156</v>
      </c>
      <c r="F4" s="1046"/>
      <c r="G4" s="1047"/>
      <c r="H4" s="1045" t="s">
        <v>157</v>
      </c>
      <c r="I4" s="1046"/>
      <c r="J4" s="1047"/>
      <c r="K4" s="728" t="s">
        <v>129</v>
      </c>
      <c r="L4" s="728" t="s">
        <v>129</v>
      </c>
      <c r="M4" s="1067"/>
    </row>
    <row r="5" spans="1:15" ht="17.25" customHeight="1" x14ac:dyDescent="0.2">
      <c r="A5" s="1033" t="s">
        <v>122</v>
      </c>
      <c r="B5" s="1034"/>
      <c r="C5" s="1034"/>
      <c r="D5" s="1034"/>
      <c r="E5" s="1035" t="s">
        <v>158</v>
      </c>
      <c r="F5" s="1036"/>
      <c r="G5" s="1037"/>
      <c r="H5" s="1035" t="s">
        <v>159</v>
      </c>
      <c r="I5" s="1036"/>
      <c r="J5" s="1037"/>
      <c r="K5" s="729"/>
      <c r="L5" s="729"/>
      <c r="M5" s="88"/>
      <c r="N5" s="79"/>
      <c r="O5" s="79"/>
    </row>
    <row r="6" spans="1:15" s="42" customFormat="1" ht="23.25" customHeight="1" x14ac:dyDescent="0.2">
      <c r="A6" s="1050" t="s">
        <v>160</v>
      </c>
      <c r="B6" s="1051"/>
      <c r="C6" s="1051"/>
      <c r="D6" s="725" t="s">
        <v>161</v>
      </c>
      <c r="E6" s="89">
        <f>SUM(E7:E14)</f>
        <v>0</v>
      </c>
      <c r="F6" s="89">
        <f>SUM(F7:F14)</f>
        <v>0</v>
      </c>
      <c r="G6" s="89"/>
      <c r="H6" s="89">
        <f>SUM(H7:H14)</f>
        <v>19959000</v>
      </c>
      <c r="I6" s="89">
        <f>SUM(I7:I16)</f>
        <v>34834000</v>
      </c>
      <c r="J6" s="89">
        <f>SUM(J7:J16)</f>
        <v>34756000</v>
      </c>
      <c r="K6" s="89">
        <f>SUM(K7:K14)</f>
        <v>12075000</v>
      </c>
      <c r="L6" s="89">
        <f>SUM(L7:L14)</f>
        <v>0</v>
      </c>
      <c r="M6" s="90"/>
      <c r="N6" s="91"/>
      <c r="O6" s="91"/>
    </row>
    <row r="7" spans="1:15" ht="23.25" customHeight="1" x14ac:dyDescent="0.2">
      <c r="A7" s="43" t="s">
        <v>15</v>
      </c>
      <c r="B7" s="44" t="s">
        <v>162</v>
      </c>
      <c r="C7" s="92"/>
      <c r="D7" s="92" t="s">
        <v>163</v>
      </c>
      <c r="E7" s="93">
        <v>0</v>
      </c>
      <c r="F7" s="93">
        <f>E7</f>
        <v>0</v>
      </c>
      <c r="G7" s="93"/>
      <c r="H7" s="93">
        <f>24150000-12075000</f>
        <v>12075000</v>
      </c>
      <c r="I7" s="94">
        <f>H7+12075000</f>
        <v>24150000</v>
      </c>
      <c r="J7" s="94">
        <v>24150000</v>
      </c>
      <c r="K7" s="94">
        <v>12075000</v>
      </c>
      <c r="L7" s="94">
        <f>K7-12075000</f>
        <v>0</v>
      </c>
      <c r="M7" s="95" t="s">
        <v>164</v>
      </c>
      <c r="N7" s="79"/>
      <c r="O7" s="79"/>
    </row>
    <row r="8" spans="1:15" ht="23.25" customHeight="1" x14ac:dyDescent="0.2">
      <c r="A8" s="96" t="s">
        <v>16</v>
      </c>
      <c r="B8" s="49" t="s">
        <v>142</v>
      </c>
      <c r="C8" s="97"/>
      <c r="D8" s="97" t="s">
        <v>165</v>
      </c>
      <c r="E8" s="93">
        <v>0</v>
      </c>
      <c r="F8" s="93">
        <f>E8</f>
        <v>0</v>
      </c>
      <c r="G8" s="93"/>
      <c r="H8" s="98">
        <v>78000</v>
      </c>
      <c r="I8" s="94">
        <f>H8</f>
        <v>78000</v>
      </c>
      <c r="J8" s="94"/>
      <c r="K8" s="94">
        <v>0</v>
      </c>
      <c r="L8" s="94">
        <f>K8</f>
        <v>0</v>
      </c>
      <c r="M8" s="99" t="s">
        <v>164</v>
      </c>
      <c r="N8" s="79"/>
      <c r="O8" s="79"/>
    </row>
    <row r="9" spans="1:15" ht="23.25" customHeight="1" x14ac:dyDescent="0.2">
      <c r="A9" s="100" t="s">
        <v>17</v>
      </c>
      <c r="B9" s="49" t="s">
        <v>142</v>
      </c>
      <c r="C9" s="97"/>
      <c r="D9" s="97" t="s">
        <v>166</v>
      </c>
      <c r="E9" s="93">
        <v>0</v>
      </c>
      <c r="F9" s="93">
        <f>E9</f>
        <v>0</v>
      </c>
      <c r="G9" s="93"/>
      <c r="H9" s="98">
        <f>300000-150000</f>
        <v>150000</v>
      </c>
      <c r="I9" s="94">
        <f>H9</f>
        <v>150000</v>
      </c>
      <c r="J9" s="94">
        <v>150000</v>
      </c>
      <c r="K9" s="94">
        <v>0</v>
      </c>
      <c r="L9" s="94">
        <f>K9</f>
        <v>0</v>
      </c>
      <c r="M9" s="99" t="s">
        <v>164</v>
      </c>
      <c r="N9" s="79"/>
      <c r="O9" s="79"/>
    </row>
    <row r="10" spans="1:15" ht="23.25" customHeight="1" x14ac:dyDescent="0.2">
      <c r="A10" s="101" t="s">
        <v>18</v>
      </c>
      <c r="B10" s="56" t="s">
        <v>167</v>
      </c>
      <c r="C10" s="102"/>
      <c r="D10" s="103" t="s">
        <v>168</v>
      </c>
      <c r="E10" s="93">
        <v>0</v>
      </c>
      <c r="F10" s="93">
        <f>E10</f>
        <v>0</v>
      </c>
      <c r="G10" s="113"/>
      <c r="H10" s="104">
        <v>7656000</v>
      </c>
      <c r="I10" s="94">
        <f>H10</f>
        <v>7656000</v>
      </c>
      <c r="J10" s="94">
        <f>5742000+638000+638000+638000</f>
        <v>7656000</v>
      </c>
      <c r="K10" s="94">
        <v>0</v>
      </c>
      <c r="L10" s="94">
        <f>K10</f>
        <v>0</v>
      </c>
      <c r="M10" s="105" t="s">
        <v>164</v>
      </c>
      <c r="N10" s="79"/>
      <c r="O10" s="79"/>
    </row>
    <row r="11" spans="1:15" ht="23.25" customHeight="1" x14ac:dyDescent="0.2">
      <c r="A11" s="101" t="s">
        <v>19</v>
      </c>
      <c r="B11" s="56" t="s">
        <v>142</v>
      </c>
      <c r="C11" s="102"/>
      <c r="D11" s="103" t="s">
        <v>169</v>
      </c>
      <c r="E11" s="93">
        <v>0</v>
      </c>
      <c r="F11" s="93">
        <f>E11</f>
        <v>0</v>
      </c>
      <c r="G11" s="98"/>
      <c r="H11" s="104"/>
      <c r="I11" s="94">
        <v>1000000</v>
      </c>
      <c r="J11" s="94">
        <v>1000000</v>
      </c>
      <c r="K11" s="94">
        <v>0</v>
      </c>
      <c r="L11" s="94">
        <f>K11</f>
        <v>0</v>
      </c>
      <c r="M11" s="105" t="s">
        <v>164</v>
      </c>
      <c r="N11" s="79"/>
      <c r="O11" s="79"/>
    </row>
    <row r="12" spans="1:15" ht="23.25" customHeight="1" x14ac:dyDescent="0.2">
      <c r="A12" s="101" t="s">
        <v>20</v>
      </c>
      <c r="B12" s="56" t="s">
        <v>142</v>
      </c>
      <c r="C12" s="102"/>
      <c r="D12" s="106" t="s">
        <v>172</v>
      </c>
      <c r="E12" s="93"/>
      <c r="F12" s="93"/>
      <c r="G12" s="98"/>
      <c r="H12" s="104"/>
      <c r="I12" s="94">
        <v>200000</v>
      </c>
      <c r="J12" s="94">
        <v>200000</v>
      </c>
      <c r="K12" s="94"/>
      <c r="L12" s="94"/>
      <c r="M12" s="105" t="s">
        <v>164</v>
      </c>
      <c r="N12" s="79"/>
      <c r="O12" s="79"/>
    </row>
    <row r="13" spans="1:15" ht="23.25" customHeight="1" x14ac:dyDescent="0.2">
      <c r="A13" s="101" t="s">
        <v>21</v>
      </c>
      <c r="B13" s="56" t="s">
        <v>142</v>
      </c>
      <c r="C13" s="102"/>
      <c r="D13" s="106" t="s">
        <v>173</v>
      </c>
      <c r="E13" s="93">
        <v>0</v>
      </c>
      <c r="F13" s="93">
        <f>E13</f>
        <v>0</v>
      </c>
      <c r="G13" s="98"/>
      <c r="H13" s="104"/>
      <c r="I13" s="94">
        <v>300000</v>
      </c>
      <c r="J13" s="94">
        <v>300000</v>
      </c>
      <c r="K13" s="94">
        <v>0</v>
      </c>
      <c r="L13" s="94">
        <f>K13</f>
        <v>0</v>
      </c>
      <c r="M13" s="105" t="s">
        <v>164</v>
      </c>
      <c r="N13" s="79"/>
      <c r="O13" s="79"/>
    </row>
    <row r="14" spans="1:15" ht="23.25" customHeight="1" x14ac:dyDescent="0.2">
      <c r="A14" s="101" t="s">
        <v>22</v>
      </c>
      <c r="B14" s="56" t="s">
        <v>142</v>
      </c>
      <c r="C14" s="102"/>
      <c r="D14" s="784" t="s">
        <v>144</v>
      </c>
      <c r="E14" s="93">
        <v>0</v>
      </c>
      <c r="F14" s="93">
        <f>E14</f>
        <v>0</v>
      </c>
      <c r="G14" s="98"/>
      <c r="H14" s="98"/>
      <c r="I14" s="93">
        <v>100000</v>
      </c>
      <c r="J14" s="93">
        <v>100000</v>
      </c>
      <c r="K14" s="93">
        <v>0</v>
      </c>
      <c r="L14" s="93">
        <f>K14</f>
        <v>0</v>
      </c>
      <c r="M14" s="105" t="s">
        <v>164</v>
      </c>
      <c r="N14" s="79"/>
      <c r="O14" s="79"/>
    </row>
    <row r="15" spans="1:15" s="120" customFormat="1" ht="23.25" customHeight="1" x14ac:dyDescent="0.2">
      <c r="A15" s="100" t="s">
        <v>36</v>
      </c>
      <c r="B15" s="44" t="s">
        <v>142</v>
      </c>
      <c r="C15" s="92"/>
      <c r="D15" s="338" t="s">
        <v>170</v>
      </c>
      <c r="E15" s="98"/>
      <c r="F15" s="98"/>
      <c r="G15" s="98"/>
      <c r="H15" s="98"/>
      <c r="I15" s="98">
        <v>100000</v>
      </c>
      <c r="J15" s="98">
        <v>100000</v>
      </c>
      <c r="K15" s="98"/>
      <c r="L15" s="98"/>
      <c r="M15" s="95"/>
      <c r="N15" s="119"/>
      <c r="O15" s="119"/>
    </row>
    <row r="16" spans="1:15" s="120" customFormat="1" ht="23.25" customHeight="1" x14ac:dyDescent="0.2">
      <c r="A16" s="101" t="s">
        <v>39</v>
      </c>
      <c r="B16" s="706" t="s">
        <v>142</v>
      </c>
      <c r="C16" s="152"/>
      <c r="D16" s="359" t="s">
        <v>171</v>
      </c>
      <c r="E16" s="705"/>
      <c r="F16" s="705"/>
      <c r="G16" s="705"/>
      <c r="H16" s="705"/>
      <c r="I16" s="705">
        <v>1100000</v>
      </c>
      <c r="J16" s="705">
        <v>1100000</v>
      </c>
      <c r="K16" s="705"/>
      <c r="L16" s="705"/>
      <c r="M16" s="707"/>
      <c r="N16" s="119"/>
      <c r="O16" s="119"/>
    </row>
    <row r="17" spans="1:15" s="42" customFormat="1" ht="23.25" customHeight="1" x14ac:dyDescent="0.2">
      <c r="A17" s="1068" t="s">
        <v>174</v>
      </c>
      <c r="B17" s="1066"/>
      <c r="C17" s="1066"/>
      <c r="D17" s="107" t="s">
        <v>175</v>
      </c>
      <c r="E17" s="108">
        <f t="shared" ref="E17:L17" si="0">+E18</f>
        <v>0</v>
      </c>
      <c r="F17" s="108">
        <f t="shared" si="0"/>
        <v>0</v>
      </c>
      <c r="G17" s="108"/>
      <c r="H17" s="108">
        <f t="shared" si="0"/>
        <v>3600000</v>
      </c>
      <c r="I17" s="108">
        <f t="shared" si="0"/>
        <v>2520000</v>
      </c>
      <c r="J17" s="108">
        <f t="shared" si="0"/>
        <v>2520000</v>
      </c>
      <c r="K17" s="108">
        <f t="shared" si="0"/>
        <v>0</v>
      </c>
      <c r="L17" s="108">
        <f t="shared" si="0"/>
        <v>0</v>
      </c>
      <c r="M17" s="109"/>
      <c r="N17" s="91"/>
      <c r="O17" s="91"/>
    </row>
    <row r="18" spans="1:15" ht="23.25" customHeight="1" x14ac:dyDescent="0.2">
      <c r="A18" s="110" t="s">
        <v>15</v>
      </c>
      <c r="B18" s="111" t="s">
        <v>176</v>
      </c>
      <c r="C18" s="112"/>
      <c r="D18" s="112" t="s">
        <v>177</v>
      </c>
      <c r="E18" s="113"/>
      <c r="F18" s="113">
        <f>E18</f>
        <v>0</v>
      </c>
      <c r="G18" s="113"/>
      <c r="H18" s="113">
        <v>3600000</v>
      </c>
      <c r="I18" s="114">
        <v>2520000</v>
      </c>
      <c r="J18" s="114">
        <v>2520000</v>
      </c>
      <c r="K18" s="114"/>
      <c r="L18" s="114">
        <f>K18</f>
        <v>0</v>
      </c>
      <c r="M18" s="115" t="s">
        <v>164</v>
      </c>
      <c r="N18" s="79"/>
      <c r="O18" s="79"/>
    </row>
    <row r="19" spans="1:15" s="118" customFormat="1" ht="27.6" customHeight="1" x14ac:dyDescent="0.2">
      <c r="A19" s="1068" t="s">
        <v>178</v>
      </c>
      <c r="B19" s="1066"/>
      <c r="C19" s="1066"/>
      <c r="D19" s="116" t="s">
        <v>179</v>
      </c>
      <c r="E19" s="108">
        <f t="shared" ref="E19:L19" si="1">+E20</f>
        <v>70000</v>
      </c>
      <c r="F19" s="108">
        <f>+F20+F21</f>
        <v>1080000</v>
      </c>
      <c r="G19" s="108">
        <f>SUM(G20:G21)</f>
        <v>1080000</v>
      </c>
      <c r="H19" s="108">
        <f t="shared" si="1"/>
        <v>0</v>
      </c>
      <c r="I19" s="108">
        <f t="shared" si="1"/>
        <v>0</v>
      </c>
      <c r="J19" s="108"/>
      <c r="K19" s="108">
        <f t="shared" si="1"/>
        <v>0</v>
      </c>
      <c r="L19" s="108">
        <f t="shared" si="1"/>
        <v>0</v>
      </c>
      <c r="M19" s="109"/>
      <c r="N19" s="117"/>
      <c r="O19" s="117"/>
    </row>
    <row r="20" spans="1:15" s="120" customFormat="1" ht="23.25" customHeight="1" x14ac:dyDescent="0.2">
      <c r="A20" s="110" t="s">
        <v>15</v>
      </c>
      <c r="B20" s="111" t="s">
        <v>180</v>
      </c>
      <c r="C20" s="112"/>
      <c r="D20" s="112" t="s">
        <v>181</v>
      </c>
      <c r="E20" s="113">
        <v>70000</v>
      </c>
      <c r="F20" s="113">
        <f>E20</f>
        <v>70000</v>
      </c>
      <c r="G20" s="113">
        <v>70000</v>
      </c>
      <c r="H20" s="113">
        <v>0</v>
      </c>
      <c r="I20" s="113">
        <f>H20</f>
        <v>0</v>
      </c>
      <c r="J20" s="113"/>
      <c r="K20" s="113">
        <v>0</v>
      </c>
      <c r="L20" s="114">
        <f>K20</f>
        <v>0</v>
      </c>
      <c r="M20" s="115" t="s">
        <v>164</v>
      </c>
      <c r="N20" s="119"/>
      <c r="O20" s="119"/>
    </row>
    <row r="21" spans="1:15" s="120" customFormat="1" ht="23.25" customHeight="1" x14ac:dyDescent="0.2">
      <c r="A21" s="195" t="s">
        <v>16</v>
      </c>
      <c r="B21" s="706">
        <v>16</v>
      </c>
      <c r="C21" s="152"/>
      <c r="D21" s="106" t="s">
        <v>1404</v>
      </c>
      <c r="E21" s="705"/>
      <c r="F21" s="705">
        <v>1010000</v>
      </c>
      <c r="G21" s="705">
        <v>1010000</v>
      </c>
      <c r="H21" s="705"/>
      <c r="I21" s="705"/>
      <c r="J21" s="705"/>
      <c r="K21" s="705"/>
      <c r="L21" s="705"/>
      <c r="M21" s="707"/>
      <c r="N21" s="119"/>
      <c r="O21" s="119"/>
    </row>
    <row r="22" spans="1:15" s="42" customFormat="1" ht="23.25" customHeight="1" x14ac:dyDescent="0.2">
      <c r="A22" s="1068" t="s">
        <v>182</v>
      </c>
      <c r="B22" s="1066"/>
      <c r="C22" s="1066"/>
      <c r="D22" s="116" t="s">
        <v>183</v>
      </c>
      <c r="E22" s="108">
        <f t="shared" ref="E22:L22" si="2">+E23</f>
        <v>0</v>
      </c>
      <c r="F22" s="108">
        <f t="shared" si="2"/>
        <v>0</v>
      </c>
      <c r="G22" s="108"/>
      <c r="H22" s="108">
        <f t="shared" si="2"/>
        <v>25600000</v>
      </c>
      <c r="I22" s="108">
        <f t="shared" si="2"/>
        <v>36000000</v>
      </c>
      <c r="J22" s="108">
        <f t="shared" si="2"/>
        <v>35916000</v>
      </c>
      <c r="K22" s="108">
        <f t="shared" si="2"/>
        <v>10400000</v>
      </c>
      <c r="L22" s="108">
        <f t="shared" si="2"/>
        <v>0</v>
      </c>
      <c r="M22" s="109"/>
      <c r="N22" s="91"/>
      <c r="O22" s="91"/>
    </row>
    <row r="23" spans="1:15" ht="23.25" customHeight="1" x14ac:dyDescent="0.2">
      <c r="A23" s="110" t="s">
        <v>15</v>
      </c>
      <c r="B23" s="111" t="s">
        <v>184</v>
      </c>
      <c r="C23" s="112"/>
      <c r="D23" s="112" t="s">
        <v>185</v>
      </c>
      <c r="E23" s="113">
        <v>0</v>
      </c>
      <c r="F23" s="113">
        <f>E23</f>
        <v>0</v>
      </c>
      <c r="G23" s="113"/>
      <c r="H23" s="113">
        <v>25600000</v>
      </c>
      <c r="I23" s="114">
        <f>H23+4376000+10400000-4376000</f>
        <v>36000000</v>
      </c>
      <c r="J23" s="114">
        <f>26937000+2333000+660000+2333000+660000+2333000+660000</f>
        <v>35916000</v>
      </c>
      <c r="K23" s="114">
        <v>10400000</v>
      </c>
      <c r="L23" s="114">
        <f>K23-10400000</f>
        <v>0</v>
      </c>
      <c r="M23" s="115" t="s">
        <v>164</v>
      </c>
      <c r="N23" s="79"/>
      <c r="O23" s="79"/>
    </row>
    <row r="24" spans="1:15" s="42" customFormat="1" ht="23.25" customHeight="1" x14ac:dyDescent="0.2">
      <c r="A24" s="1068" t="s">
        <v>186</v>
      </c>
      <c r="B24" s="1066"/>
      <c r="C24" s="1066"/>
      <c r="D24" s="116" t="s">
        <v>187</v>
      </c>
      <c r="E24" s="108">
        <f t="shared" ref="E24:L24" si="3">+E25</f>
        <v>3000000</v>
      </c>
      <c r="F24" s="108">
        <f t="shared" si="3"/>
        <v>3160000</v>
      </c>
      <c r="G24" s="108">
        <f t="shared" si="3"/>
        <v>3100000</v>
      </c>
      <c r="H24" s="108">
        <f t="shared" si="3"/>
        <v>0</v>
      </c>
      <c r="I24" s="108">
        <f t="shared" si="3"/>
        <v>0</v>
      </c>
      <c r="J24" s="108"/>
      <c r="K24" s="108">
        <f t="shared" si="3"/>
        <v>0</v>
      </c>
      <c r="L24" s="108">
        <f t="shared" si="3"/>
        <v>0</v>
      </c>
      <c r="M24" s="109"/>
      <c r="N24" s="91"/>
      <c r="O24" s="91"/>
    </row>
    <row r="25" spans="1:15" ht="23.25" customHeight="1" x14ac:dyDescent="0.2">
      <c r="A25" s="121" t="s">
        <v>15</v>
      </c>
      <c r="B25" s="122" t="s">
        <v>188</v>
      </c>
      <c r="C25" s="123"/>
      <c r="D25" s="123" t="s">
        <v>189</v>
      </c>
      <c r="E25" s="124">
        <v>3000000</v>
      </c>
      <c r="F25" s="124">
        <v>3160000</v>
      </c>
      <c r="G25" s="124">
        <v>3100000</v>
      </c>
      <c r="H25" s="124"/>
      <c r="I25" s="125">
        <f>H25</f>
        <v>0</v>
      </c>
      <c r="J25" s="125"/>
      <c r="K25" s="125">
        <v>0</v>
      </c>
      <c r="L25" s="125">
        <f>K25</f>
        <v>0</v>
      </c>
      <c r="M25" s="109" t="s">
        <v>164</v>
      </c>
      <c r="N25" s="79"/>
      <c r="O25" s="79"/>
    </row>
    <row r="26" spans="1:15" ht="23.25" customHeight="1" x14ac:dyDescent="0.2">
      <c r="A26" s="1065" t="s">
        <v>190</v>
      </c>
      <c r="B26" s="1066"/>
      <c r="C26" s="1066"/>
      <c r="D26" s="725" t="s">
        <v>191</v>
      </c>
      <c r="E26" s="108">
        <f>+E27</f>
        <v>0</v>
      </c>
      <c r="F26" s="108">
        <f>+F27</f>
        <v>0</v>
      </c>
      <c r="G26" s="108"/>
      <c r="H26" s="108">
        <f>+H27</f>
        <v>0</v>
      </c>
      <c r="I26" s="108">
        <f>+I27+I28+I29+I30</f>
        <v>650000</v>
      </c>
      <c r="J26" s="108">
        <f>+J27+J28+J29+J30</f>
        <v>650000</v>
      </c>
      <c r="K26" s="108">
        <f>+K27</f>
        <v>0</v>
      </c>
      <c r="L26" s="108">
        <f>+L27</f>
        <v>0</v>
      </c>
      <c r="M26" s="109"/>
      <c r="N26" s="79"/>
      <c r="O26" s="79"/>
    </row>
    <row r="27" spans="1:15" ht="23.25" customHeight="1" x14ac:dyDescent="0.2">
      <c r="A27" s="128" t="s">
        <v>15</v>
      </c>
      <c r="B27" s="736" t="s">
        <v>142</v>
      </c>
      <c r="C27" s="785"/>
      <c r="D27" s="785" t="s">
        <v>192</v>
      </c>
      <c r="E27" s="786"/>
      <c r="F27" s="786">
        <f>E27</f>
        <v>0</v>
      </c>
      <c r="G27" s="786"/>
      <c r="H27" s="786"/>
      <c r="I27" s="786">
        <v>300000</v>
      </c>
      <c r="J27" s="786">
        <v>300000</v>
      </c>
      <c r="K27" s="786">
        <v>0</v>
      </c>
      <c r="L27" s="786">
        <f>K27</f>
        <v>0</v>
      </c>
      <c r="M27" s="130" t="s">
        <v>164</v>
      </c>
      <c r="N27" s="79"/>
      <c r="O27" s="79"/>
    </row>
    <row r="28" spans="1:15" s="120" customFormat="1" ht="23.25" customHeight="1" x14ac:dyDescent="0.2">
      <c r="A28" s="703" t="s">
        <v>16</v>
      </c>
      <c r="B28" s="263" t="s">
        <v>142</v>
      </c>
      <c r="C28" s="175"/>
      <c r="D28" s="97" t="s">
        <v>1406</v>
      </c>
      <c r="E28" s="98"/>
      <c r="F28" s="98"/>
      <c r="G28" s="98"/>
      <c r="H28" s="98"/>
      <c r="I28" s="98">
        <v>200000</v>
      </c>
      <c r="J28" s="98">
        <v>200000</v>
      </c>
      <c r="K28" s="98"/>
      <c r="L28" s="98"/>
      <c r="M28" s="99" t="s">
        <v>164</v>
      </c>
      <c r="N28" s="119"/>
      <c r="O28" s="119"/>
    </row>
    <row r="29" spans="1:15" s="851" customFormat="1" ht="23.25" customHeight="1" x14ac:dyDescent="0.2">
      <c r="A29" s="703" t="s">
        <v>17</v>
      </c>
      <c r="B29" s="49" t="s">
        <v>142</v>
      </c>
      <c r="C29" s="175"/>
      <c r="D29" s="97" t="s">
        <v>1407</v>
      </c>
      <c r="E29" s="98"/>
      <c r="F29" s="98"/>
      <c r="G29" s="98"/>
      <c r="H29" s="98"/>
      <c r="I29" s="98">
        <v>0</v>
      </c>
      <c r="J29" s="98"/>
      <c r="K29" s="98"/>
      <c r="L29" s="98"/>
      <c r="M29" s="99" t="s">
        <v>164</v>
      </c>
      <c r="N29" s="853"/>
      <c r="O29" s="853"/>
    </row>
    <row r="30" spans="1:15" s="120" customFormat="1" ht="27.75" customHeight="1" x14ac:dyDescent="0.2">
      <c r="A30" s="802" t="s">
        <v>18</v>
      </c>
      <c r="B30" s="741" t="s">
        <v>142</v>
      </c>
      <c r="C30" s="822"/>
      <c r="D30" s="359" t="s">
        <v>1408</v>
      </c>
      <c r="E30" s="705"/>
      <c r="F30" s="705"/>
      <c r="G30" s="705"/>
      <c r="H30" s="705"/>
      <c r="I30" s="705">
        <v>150000</v>
      </c>
      <c r="J30" s="705">
        <v>150000</v>
      </c>
      <c r="K30" s="705"/>
      <c r="L30" s="705"/>
      <c r="M30" s="707" t="s">
        <v>164</v>
      </c>
      <c r="N30" s="119"/>
      <c r="O30" s="119"/>
    </row>
    <row r="31" spans="1:15" ht="23.25" customHeight="1" x14ac:dyDescent="0.2">
      <c r="A31" s="1057" t="s">
        <v>193</v>
      </c>
      <c r="B31" s="1058"/>
      <c r="C31" s="1059"/>
      <c r="D31" s="734" t="s">
        <v>194</v>
      </c>
      <c r="E31" s="126">
        <f>SUM(E32:E34)</f>
        <v>0</v>
      </c>
      <c r="F31" s="126">
        <f>SUM(F32:F34)</f>
        <v>0</v>
      </c>
      <c r="G31" s="126"/>
      <c r="H31" s="126">
        <f>SUM(H32:H34)</f>
        <v>0</v>
      </c>
      <c r="I31" s="127">
        <f>SUM(I32:I37)</f>
        <v>3775000</v>
      </c>
      <c r="J31" s="127">
        <f>SUM(J32:J37)</f>
        <v>3675000</v>
      </c>
      <c r="K31" s="126">
        <f>SUM(K32:K34)</f>
        <v>0</v>
      </c>
      <c r="L31" s="126">
        <f>L32</f>
        <v>0</v>
      </c>
      <c r="M31" s="126"/>
      <c r="N31" s="79"/>
      <c r="O31" s="79"/>
    </row>
    <row r="32" spans="1:15" ht="31.5" customHeight="1" x14ac:dyDescent="0.2">
      <c r="A32" s="128" t="s">
        <v>15</v>
      </c>
      <c r="B32" s="736" t="s">
        <v>142</v>
      </c>
      <c r="C32" s="86"/>
      <c r="D32" s="737" t="s">
        <v>195</v>
      </c>
      <c r="E32" s="738"/>
      <c r="F32" s="738"/>
      <c r="G32" s="738"/>
      <c r="H32" s="738"/>
      <c r="I32" s="738">
        <v>100000</v>
      </c>
      <c r="J32" s="738">
        <v>0</v>
      </c>
      <c r="K32" s="738"/>
      <c r="L32" s="738"/>
      <c r="M32" s="130" t="s">
        <v>164</v>
      </c>
      <c r="N32" s="79"/>
      <c r="O32" s="79"/>
    </row>
    <row r="33" spans="1:15" ht="24" customHeight="1" x14ac:dyDescent="0.2">
      <c r="A33" s="100" t="s">
        <v>16</v>
      </c>
      <c r="B33" s="49" t="s">
        <v>142</v>
      </c>
      <c r="C33" s="131"/>
      <c r="D33" s="132" t="s">
        <v>196</v>
      </c>
      <c r="E33" s="133"/>
      <c r="F33" s="133"/>
      <c r="G33" s="133"/>
      <c r="H33" s="133"/>
      <c r="I33" s="133">
        <v>800000</v>
      </c>
      <c r="J33" s="133">
        <v>800000</v>
      </c>
      <c r="K33" s="133"/>
      <c r="L33" s="133"/>
      <c r="M33" s="99" t="s">
        <v>164</v>
      </c>
      <c r="N33" s="79"/>
      <c r="O33" s="79"/>
    </row>
    <row r="34" spans="1:15" ht="24" customHeight="1" x14ac:dyDescent="0.2">
      <c r="A34" s="100" t="s">
        <v>17</v>
      </c>
      <c r="B34" s="49" t="s">
        <v>142</v>
      </c>
      <c r="C34" s="131"/>
      <c r="D34" s="132" t="s">
        <v>144</v>
      </c>
      <c r="E34" s="133"/>
      <c r="F34" s="133"/>
      <c r="G34" s="133"/>
      <c r="H34" s="133"/>
      <c r="I34" s="133">
        <v>200000</v>
      </c>
      <c r="J34" s="133">
        <v>200000</v>
      </c>
      <c r="K34" s="133"/>
      <c r="L34" s="133"/>
      <c r="M34" s="99" t="s">
        <v>164</v>
      </c>
      <c r="N34" s="79"/>
      <c r="O34" s="79"/>
    </row>
    <row r="35" spans="1:15" ht="23.25" customHeight="1" x14ac:dyDescent="0.2">
      <c r="A35" s="100" t="s">
        <v>18</v>
      </c>
      <c r="B35" s="49" t="s">
        <v>142</v>
      </c>
      <c r="C35" s="97"/>
      <c r="D35" s="106" t="s">
        <v>170</v>
      </c>
      <c r="E35" s="98"/>
      <c r="F35" s="98"/>
      <c r="G35" s="98"/>
      <c r="H35" s="98"/>
      <c r="I35" s="98">
        <v>2300000</v>
      </c>
      <c r="J35" s="98">
        <f>2400000-100000</f>
        <v>2300000</v>
      </c>
      <c r="K35" s="98"/>
      <c r="L35" s="98"/>
      <c r="M35" s="99" t="s">
        <v>164</v>
      </c>
      <c r="N35" s="79"/>
      <c r="O35" s="79"/>
    </row>
    <row r="36" spans="1:15" ht="23.25" customHeight="1" x14ac:dyDescent="0.2">
      <c r="A36" s="100" t="s">
        <v>19</v>
      </c>
      <c r="B36" s="49" t="s">
        <v>142</v>
      </c>
      <c r="C36" s="97"/>
      <c r="D36" s="106" t="s">
        <v>171</v>
      </c>
      <c r="E36" s="98">
        <v>0</v>
      </c>
      <c r="F36" s="98">
        <f>E36</f>
        <v>0</v>
      </c>
      <c r="G36" s="98"/>
      <c r="H36" s="98"/>
      <c r="I36" s="98">
        <v>300000</v>
      </c>
      <c r="J36" s="98">
        <f>1400000-1100000</f>
        <v>300000</v>
      </c>
      <c r="K36" s="98">
        <v>0</v>
      </c>
      <c r="L36" s="98">
        <f>K36</f>
        <v>0</v>
      </c>
      <c r="M36" s="99" t="s">
        <v>164</v>
      </c>
      <c r="N36" s="79"/>
      <c r="O36" s="79"/>
    </row>
    <row r="37" spans="1:15" ht="24" customHeight="1" x14ac:dyDescent="0.2">
      <c r="A37" s="100" t="s">
        <v>20</v>
      </c>
      <c r="B37" s="741" t="s">
        <v>142</v>
      </c>
      <c r="C37" s="732"/>
      <c r="D37" s="739" t="s">
        <v>1403</v>
      </c>
      <c r="E37" s="87"/>
      <c r="F37" s="87"/>
      <c r="G37" s="87"/>
      <c r="H37" s="87"/>
      <c r="I37" s="87">
        <v>75000</v>
      </c>
      <c r="J37" s="87">
        <v>75000</v>
      </c>
      <c r="K37" s="87"/>
      <c r="L37" s="87"/>
      <c r="M37" s="707"/>
      <c r="N37" s="79"/>
      <c r="O37" s="79"/>
    </row>
    <row r="38" spans="1:15" ht="23.25" customHeight="1" x14ac:dyDescent="0.2">
      <c r="A38" s="1057">
        <v>81045</v>
      </c>
      <c r="B38" s="1058"/>
      <c r="C38" s="1059"/>
      <c r="D38" s="734" t="s">
        <v>1409</v>
      </c>
      <c r="E38" s="126">
        <f>SUM(E39:E41)</f>
        <v>0</v>
      </c>
      <c r="F38" s="126">
        <f>SUM(F39:F41)</f>
        <v>0</v>
      </c>
      <c r="G38" s="126"/>
      <c r="H38" s="126">
        <f>SUM(H39:H41)</f>
        <v>0</v>
      </c>
      <c r="I38" s="127">
        <f>SUM(I39:I44)</f>
        <v>250000</v>
      </c>
      <c r="J38" s="127">
        <f>SUM(J39:J44)</f>
        <v>250000</v>
      </c>
      <c r="K38" s="126">
        <f>SUM(K39:K41)</f>
        <v>0</v>
      </c>
      <c r="L38" s="126">
        <f>L39</f>
        <v>0</v>
      </c>
      <c r="M38" s="126"/>
      <c r="N38" s="79"/>
      <c r="O38" s="79"/>
    </row>
    <row r="39" spans="1:15" ht="31.5" customHeight="1" x14ac:dyDescent="0.2">
      <c r="A39" s="121" t="s">
        <v>15</v>
      </c>
      <c r="B39" s="122" t="s">
        <v>142</v>
      </c>
      <c r="C39" s="857"/>
      <c r="D39" s="858" t="s">
        <v>1410</v>
      </c>
      <c r="E39" s="148"/>
      <c r="F39" s="148"/>
      <c r="G39" s="148"/>
      <c r="H39" s="148"/>
      <c r="I39" s="148">
        <v>250000</v>
      </c>
      <c r="J39" s="148">
        <v>250000</v>
      </c>
      <c r="K39" s="148"/>
      <c r="L39" s="148"/>
      <c r="M39" s="109" t="s">
        <v>164</v>
      </c>
      <c r="N39" s="79"/>
      <c r="O39" s="79"/>
    </row>
    <row r="40" spans="1:15" ht="24" customHeight="1" x14ac:dyDescent="0.2">
      <c r="A40" s="787"/>
      <c r="B40" s="788"/>
      <c r="C40" s="136"/>
      <c r="D40" s="354"/>
      <c r="E40" s="137"/>
      <c r="F40" s="137"/>
      <c r="G40" s="137"/>
      <c r="H40" s="137"/>
      <c r="I40" s="137"/>
      <c r="J40" s="137"/>
      <c r="K40" s="137"/>
      <c r="L40" s="137"/>
      <c r="M40" s="789"/>
      <c r="N40" s="79"/>
      <c r="O40" s="79"/>
    </row>
    <row r="41" spans="1:15" ht="23.25" customHeight="1" x14ac:dyDescent="0.2">
      <c r="A41" s="136"/>
      <c r="B41" s="136"/>
      <c r="C41" s="136"/>
      <c r="D41" s="136"/>
      <c r="E41" s="126"/>
      <c r="F41" s="126"/>
      <c r="G41" s="126"/>
      <c r="H41" s="137"/>
      <c r="I41" s="137"/>
      <c r="J41" s="137"/>
      <c r="K41" s="126"/>
      <c r="L41" s="126"/>
      <c r="M41" s="126"/>
      <c r="N41" s="79"/>
      <c r="O41" s="79"/>
    </row>
    <row r="42" spans="1:15" ht="23.25" customHeight="1" x14ac:dyDescent="0.2">
      <c r="A42" s="1060" t="s">
        <v>197</v>
      </c>
      <c r="B42" s="1060"/>
      <c r="C42" s="1060"/>
      <c r="D42" s="1060"/>
      <c r="E42" s="1060"/>
      <c r="F42" s="1060"/>
      <c r="G42" s="1060"/>
      <c r="H42" s="1060"/>
      <c r="I42" s="1060"/>
      <c r="J42" s="1060"/>
      <c r="K42" s="1060"/>
      <c r="L42" s="1060"/>
      <c r="M42" s="1060"/>
      <c r="N42" s="79"/>
      <c r="O42" s="79"/>
    </row>
    <row r="43" spans="1:15" ht="20.25" customHeight="1" x14ac:dyDescent="0.2">
      <c r="M43" s="80" t="s">
        <v>0</v>
      </c>
      <c r="N43" s="79"/>
      <c r="O43" s="79"/>
    </row>
    <row r="44" spans="1:15" ht="33" customHeight="1" x14ac:dyDescent="0.2">
      <c r="A44" s="1061"/>
      <c r="B44" s="1061"/>
      <c r="C44" s="1061"/>
      <c r="D44" s="1061"/>
      <c r="E44" s="81" t="s">
        <v>154</v>
      </c>
      <c r="F44" s="82" t="s">
        <v>7</v>
      </c>
      <c r="G44" s="82" t="s">
        <v>788</v>
      </c>
      <c r="H44" s="82" t="s">
        <v>154</v>
      </c>
      <c r="I44" s="82" t="s">
        <v>7</v>
      </c>
      <c r="J44" s="82" t="s">
        <v>788</v>
      </c>
      <c r="K44" s="82" t="s">
        <v>154</v>
      </c>
      <c r="L44" s="83" t="s">
        <v>7</v>
      </c>
      <c r="M44" s="1062" t="s">
        <v>5</v>
      </c>
      <c r="N44" s="79"/>
      <c r="O44" s="79"/>
    </row>
    <row r="45" spans="1:15" ht="100.5" customHeight="1" x14ac:dyDescent="0.2">
      <c r="A45" s="37" t="s">
        <v>120</v>
      </c>
      <c r="B45" s="38" t="s">
        <v>121</v>
      </c>
      <c r="C45" s="38" t="s">
        <v>155</v>
      </c>
      <c r="D45" s="129" t="s">
        <v>123</v>
      </c>
      <c r="E45" s="1045" t="s">
        <v>156</v>
      </c>
      <c r="F45" s="1046"/>
      <c r="G45" s="1047"/>
      <c r="H45" s="1045" t="s">
        <v>157</v>
      </c>
      <c r="I45" s="1046"/>
      <c r="J45" s="1047"/>
      <c r="K45" s="138" t="s">
        <v>129</v>
      </c>
      <c r="L45" s="138" t="s">
        <v>129</v>
      </c>
      <c r="M45" s="1063"/>
      <c r="N45" s="79"/>
      <c r="O45" s="79"/>
    </row>
    <row r="46" spans="1:15" ht="21" customHeight="1" x14ac:dyDescent="0.2">
      <c r="A46" s="1033" t="s">
        <v>122</v>
      </c>
      <c r="B46" s="1034"/>
      <c r="C46" s="1034"/>
      <c r="D46" s="1034"/>
      <c r="E46" s="1035" t="s">
        <v>158</v>
      </c>
      <c r="F46" s="1036"/>
      <c r="G46" s="1037"/>
      <c r="H46" s="1035" t="s">
        <v>159</v>
      </c>
      <c r="I46" s="1036"/>
      <c r="J46" s="1037"/>
      <c r="K46" s="729"/>
      <c r="L46" s="729"/>
      <c r="M46" s="88"/>
      <c r="N46" s="79"/>
      <c r="O46" s="79"/>
    </row>
    <row r="47" spans="1:15" ht="20.25" customHeight="1" x14ac:dyDescent="0.2">
      <c r="A47" s="1064" t="s">
        <v>190</v>
      </c>
      <c r="B47" s="1022"/>
      <c r="C47" s="1022"/>
      <c r="D47" s="139" t="s">
        <v>198</v>
      </c>
      <c r="E47" s="89"/>
      <c r="F47" s="89"/>
      <c r="G47" s="89"/>
      <c r="H47" s="89"/>
      <c r="I47" s="89">
        <f>SUM(I48:I53)</f>
        <v>1340000</v>
      </c>
      <c r="J47" s="89">
        <f>SUM(J48:J53)</f>
        <v>1340000</v>
      </c>
      <c r="K47" s="89"/>
      <c r="L47" s="89"/>
      <c r="M47" s="140"/>
      <c r="N47" s="79"/>
      <c r="O47" s="79"/>
    </row>
    <row r="48" spans="1:15" ht="18" customHeight="1" x14ac:dyDescent="0.2">
      <c r="A48" s="141" t="s">
        <v>15</v>
      </c>
      <c r="B48" s="142"/>
      <c r="C48" s="142"/>
      <c r="D48" s="92" t="s">
        <v>199</v>
      </c>
      <c r="E48" s="143"/>
      <c r="F48" s="143"/>
      <c r="G48" s="143"/>
      <c r="H48" s="143"/>
      <c r="I48" s="143">
        <v>360000</v>
      </c>
      <c r="J48" s="143">
        <v>360000</v>
      </c>
      <c r="K48" s="143"/>
      <c r="L48" s="143"/>
      <c r="M48" s="144" t="s">
        <v>164</v>
      </c>
      <c r="N48" s="79"/>
      <c r="O48" s="79"/>
    </row>
    <row r="49" spans="1:15" ht="18" customHeight="1" x14ac:dyDescent="0.2">
      <c r="A49" s="145" t="s">
        <v>16</v>
      </c>
      <c r="B49" s="131"/>
      <c r="C49" s="131"/>
      <c r="D49" s="97" t="s">
        <v>200</v>
      </c>
      <c r="E49" s="133"/>
      <c r="F49" s="133"/>
      <c r="G49" s="133"/>
      <c r="H49" s="133"/>
      <c r="I49" s="143">
        <v>150000</v>
      </c>
      <c r="J49" s="143">
        <v>150000</v>
      </c>
      <c r="K49" s="133"/>
      <c r="L49" s="133"/>
      <c r="M49" s="144" t="s">
        <v>164</v>
      </c>
      <c r="N49" s="79"/>
      <c r="O49" s="79"/>
    </row>
    <row r="50" spans="1:15" ht="18" customHeight="1" x14ac:dyDescent="0.2">
      <c r="A50" s="145" t="s">
        <v>17</v>
      </c>
      <c r="B50" s="131"/>
      <c r="C50" s="131"/>
      <c r="D50" s="97" t="s">
        <v>201</v>
      </c>
      <c r="E50" s="133"/>
      <c r="F50" s="133"/>
      <c r="G50" s="133"/>
      <c r="H50" s="133"/>
      <c r="I50" s="143">
        <v>50000</v>
      </c>
      <c r="J50" s="143">
        <v>50000</v>
      </c>
      <c r="K50" s="133"/>
      <c r="L50" s="133"/>
      <c r="M50" s="144" t="s">
        <v>164</v>
      </c>
      <c r="N50" s="79"/>
      <c r="O50" s="79"/>
    </row>
    <row r="51" spans="1:15" ht="18" customHeight="1" x14ac:dyDescent="0.2">
      <c r="A51" s="145" t="s">
        <v>18</v>
      </c>
      <c r="B51" s="131"/>
      <c r="C51" s="131"/>
      <c r="D51" s="97" t="s">
        <v>202</v>
      </c>
      <c r="E51" s="133"/>
      <c r="F51" s="133"/>
      <c r="G51" s="133"/>
      <c r="H51" s="133"/>
      <c r="I51" s="143">
        <v>500000</v>
      </c>
      <c r="J51" s="143">
        <v>500000</v>
      </c>
      <c r="K51" s="133"/>
      <c r="L51" s="133"/>
      <c r="M51" s="144" t="s">
        <v>164</v>
      </c>
      <c r="N51" s="79"/>
      <c r="O51" s="79"/>
    </row>
    <row r="52" spans="1:15" ht="18" customHeight="1" x14ac:dyDescent="0.2">
      <c r="A52" s="145" t="s">
        <v>19</v>
      </c>
      <c r="B52" s="131"/>
      <c r="C52" s="131"/>
      <c r="D52" s="97" t="s">
        <v>203</v>
      </c>
      <c r="E52" s="133"/>
      <c r="F52" s="133"/>
      <c r="G52" s="133"/>
      <c r="H52" s="133"/>
      <c r="I52" s="143">
        <v>130000</v>
      </c>
      <c r="J52" s="143">
        <v>130000</v>
      </c>
      <c r="K52" s="133"/>
      <c r="L52" s="133"/>
      <c r="M52" s="144" t="s">
        <v>164</v>
      </c>
      <c r="N52" s="79"/>
      <c r="O52" s="79"/>
    </row>
    <row r="53" spans="1:15" ht="18" customHeight="1" x14ac:dyDescent="0.2">
      <c r="A53" s="730" t="s">
        <v>20</v>
      </c>
      <c r="B53" s="731"/>
      <c r="C53" s="731"/>
      <c r="D53" s="102" t="s">
        <v>204</v>
      </c>
      <c r="E53" s="146"/>
      <c r="F53" s="146"/>
      <c r="G53" s="146"/>
      <c r="H53" s="146"/>
      <c r="I53" s="147">
        <v>150000</v>
      </c>
      <c r="J53" s="147">
        <v>150000</v>
      </c>
      <c r="K53" s="146"/>
      <c r="L53" s="146"/>
      <c r="M53" s="144" t="s">
        <v>164</v>
      </c>
      <c r="N53" s="79"/>
      <c r="O53" s="79"/>
    </row>
    <row r="54" spans="1:15" ht="21" customHeight="1" x14ac:dyDescent="0.2">
      <c r="A54" s="1064" t="s">
        <v>205</v>
      </c>
      <c r="B54" s="1022"/>
      <c r="C54" s="1022"/>
      <c r="D54" s="139" t="s">
        <v>206</v>
      </c>
      <c r="E54" s="89"/>
      <c r="F54" s="89"/>
      <c r="G54" s="89"/>
      <c r="H54" s="89"/>
      <c r="I54" s="89">
        <f>SUM(I55:I56)</f>
        <v>450000</v>
      </c>
      <c r="J54" s="89">
        <f>SUM(J55:J56)</f>
        <v>450000</v>
      </c>
      <c r="K54" s="89"/>
      <c r="L54" s="89"/>
      <c r="M54" s="90"/>
      <c r="N54" s="79"/>
      <c r="O54" s="79"/>
    </row>
    <row r="55" spans="1:15" ht="18" customHeight="1" x14ac:dyDescent="0.2">
      <c r="A55" s="141" t="s">
        <v>15</v>
      </c>
      <c r="B55" s="142"/>
      <c r="C55" s="142"/>
      <c r="D55" s="92" t="s">
        <v>207</v>
      </c>
      <c r="E55" s="143"/>
      <c r="F55" s="143"/>
      <c r="G55" s="143"/>
      <c r="H55" s="143"/>
      <c r="I55" s="143">
        <v>300000</v>
      </c>
      <c r="J55" s="143">
        <v>300000</v>
      </c>
      <c r="K55" s="143"/>
      <c r="L55" s="143"/>
      <c r="M55" s="144" t="s">
        <v>164</v>
      </c>
      <c r="N55" s="79"/>
      <c r="O55" s="79"/>
    </row>
    <row r="56" spans="1:15" ht="18" customHeight="1" x14ac:dyDescent="0.2">
      <c r="A56" s="730" t="s">
        <v>16</v>
      </c>
      <c r="B56" s="731"/>
      <c r="C56" s="731"/>
      <c r="D56" s="102" t="s">
        <v>208</v>
      </c>
      <c r="E56" s="146"/>
      <c r="F56" s="146"/>
      <c r="G56" s="146"/>
      <c r="H56" s="146"/>
      <c r="I56" s="146">
        <v>150000</v>
      </c>
      <c r="J56" s="146">
        <v>150000</v>
      </c>
      <c r="K56" s="146"/>
      <c r="L56" s="146"/>
      <c r="M56" s="144" t="s">
        <v>164</v>
      </c>
      <c r="N56" s="79"/>
      <c r="O56" s="79"/>
    </row>
    <row r="57" spans="1:15" ht="21" customHeight="1" x14ac:dyDescent="0.2">
      <c r="A57" s="1054" t="s">
        <v>160</v>
      </c>
      <c r="B57" s="1024"/>
      <c r="C57" s="1025"/>
      <c r="D57" s="139" t="s">
        <v>209</v>
      </c>
      <c r="E57" s="148"/>
      <c r="F57" s="148"/>
      <c r="G57" s="148"/>
      <c r="H57" s="148"/>
      <c r="I57" s="89">
        <f>SUM(I58:I67)</f>
        <v>820000</v>
      </c>
      <c r="J57" s="89">
        <f>SUM(J58:J67)</f>
        <v>820000</v>
      </c>
      <c r="K57" s="148"/>
      <c r="L57" s="148"/>
      <c r="M57" s="140"/>
      <c r="N57" s="79"/>
      <c r="O57" s="79"/>
    </row>
    <row r="58" spans="1:15" ht="18" customHeight="1" x14ac:dyDescent="0.2">
      <c r="A58" s="149" t="s">
        <v>15</v>
      </c>
      <c r="B58" s="142"/>
      <c r="C58" s="142"/>
      <c r="D58" s="92" t="s">
        <v>210</v>
      </c>
      <c r="E58" s="143"/>
      <c r="F58" s="143"/>
      <c r="G58" s="143"/>
      <c r="H58" s="143"/>
      <c r="I58" s="143">
        <v>80000</v>
      </c>
      <c r="J58" s="143">
        <v>80000</v>
      </c>
      <c r="K58" s="143"/>
      <c r="L58" s="143"/>
      <c r="M58" s="144" t="s">
        <v>164</v>
      </c>
      <c r="N58" s="79"/>
      <c r="O58" s="79"/>
    </row>
    <row r="59" spans="1:15" ht="18" customHeight="1" x14ac:dyDescent="0.2">
      <c r="A59" s="145" t="s">
        <v>16</v>
      </c>
      <c r="B59" s="131"/>
      <c r="C59" s="131"/>
      <c r="D59" s="97" t="s">
        <v>204</v>
      </c>
      <c r="E59" s="133"/>
      <c r="F59" s="133"/>
      <c r="G59" s="133"/>
      <c r="H59" s="133"/>
      <c r="I59" s="143">
        <v>100000</v>
      </c>
      <c r="J59" s="143">
        <v>100000</v>
      </c>
      <c r="K59" s="133"/>
      <c r="L59" s="133"/>
      <c r="M59" s="144" t="s">
        <v>164</v>
      </c>
      <c r="N59" s="79"/>
      <c r="O59" s="79"/>
    </row>
    <row r="60" spans="1:15" ht="18" customHeight="1" x14ac:dyDescent="0.2">
      <c r="A60" s="145" t="s">
        <v>17</v>
      </c>
      <c r="B60" s="131"/>
      <c r="C60" s="131"/>
      <c r="D60" s="97" t="s">
        <v>211</v>
      </c>
      <c r="E60" s="133"/>
      <c r="F60" s="133"/>
      <c r="G60" s="133"/>
      <c r="H60" s="133"/>
      <c r="I60" s="143">
        <v>200000</v>
      </c>
      <c r="J60" s="143">
        <v>200000</v>
      </c>
      <c r="K60" s="133"/>
      <c r="L60" s="133"/>
      <c r="M60" s="144" t="s">
        <v>164</v>
      </c>
      <c r="N60" s="79"/>
      <c r="O60" s="79"/>
    </row>
    <row r="61" spans="1:15" ht="18" customHeight="1" x14ac:dyDescent="0.2">
      <c r="A61" s="145" t="s">
        <v>18</v>
      </c>
      <c r="B61" s="131"/>
      <c r="C61" s="131"/>
      <c r="D61" s="97" t="s">
        <v>212</v>
      </c>
      <c r="E61" s="133"/>
      <c r="F61" s="133"/>
      <c r="G61" s="133"/>
      <c r="H61" s="133"/>
      <c r="I61" s="143">
        <v>50000</v>
      </c>
      <c r="J61" s="143">
        <v>50000</v>
      </c>
      <c r="K61" s="133"/>
      <c r="L61" s="133"/>
      <c r="M61" s="144" t="s">
        <v>164</v>
      </c>
      <c r="N61" s="79"/>
      <c r="O61" s="79"/>
    </row>
    <row r="62" spans="1:15" ht="18" customHeight="1" x14ac:dyDescent="0.2">
      <c r="A62" s="145" t="s">
        <v>19</v>
      </c>
      <c r="B62" s="131"/>
      <c r="C62" s="131"/>
      <c r="D62" s="97" t="s">
        <v>213</v>
      </c>
      <c r="E62" s="133"/>
      <c r="F62" s="133"/>
      <c r="G62" s="133"/>
      <c r="H62" s="133"/>
      <c r="I62" s="143">
        <v>100000</v>
      </c>
      <c r="J62" s="143">
        <v>100000</v>
      </c>
      <c r="K62" s="133"/>
      <c r="L62" s="133"/>
      <c r="M62" s="144" t="s">
        <v>164</v>
      </c>
      <c r="N62" s="79"/>
      <c r="O62" s="79"/>
    </row>
    <row r="63" spans="1:15" ht="18" customHeight="1" x14ac:dyDescent="0.2">
      <c r="A63" s="145" t="s">
        <v>20</v>
      </c>
      <c r="B63" s="131"/>
      <c r="C63" s="131"/>
      <c r="D63" s="97" t="s">
        <v>214</v>
      </c>
      <c r="E63" s="133"/>
      <c r="F63" s="133"/>
      <c r="G63" s="133"/>
      <c r="H63" s="133"/>
      <c r="I63" s="143">
        <v>40000</v>
      </c>
      <c r="J63" s="143">
        <v>40000</v>
      </c>
      <c r="K63" s="133"/>
      <c r="L63" s="133"/>
      <c r="M63" s="144" t="s">
        <v>164</v>
      </c>
      <c r="N63" s="79"/>
      <c r="O63" s="79"/>
    </row>
    <row r="64" spans="1:15" ht="18" customHeight="1" x14ac:dyDescent="0.2">
      <c r="A64" s="145" t="s">
        <v>21</v>
      </c>
      <c r="B64" s="131"/>
      <c r="C64" s="131"/>
      <c r="D64" s="97" t="s">
        <v>215</v>
      </c>
      <c r="E64" s="133"/>
      <c r="F64" s="133"/>
      <c r="G64" s="133"/>
      <c r="H64" s="133"/>
      <c r="I64" s="143">
        <v>50000</v>
      </c>
      <c r="J64" s="143">
        <v>50000</v>
      </c>
      <c r="K64" s="133"/>
      <c r="L64" s="133"/>
      <c r="M64" s="144" t="s">
        <v>164</v>
      </c>
      <c r="N64" s="79"/>
      <c r="O64" s="79"/>
    </row>
    <row r="65" spans="1:15" ht="18" customHeight="1" x14ac:dyDescent="0.2">
      <c r="A65" s="145" t="s">
        <v>22</v>
      </c>
      <c r="B65" s="131"/>
      <c r="C65" s="131"/>
      <c r="D65" s="97" t="s">
        <v>216</v>
      </c>
      <c r="E65" s="133"/>
      <c r="F65" s="133"/>
      <c r="G65" s="133"/>
      <c r="H65" s="133"/>
      <c r="I65" s="143">
        <v>50000</v>
      </c>
      <c r="J65" s="143">
        <v>50000</v>
      </c>
      <c r="K65" s="133"/>
      <c r="L65" s="133"/>
      <c r="M65" s="144" t="s">
        <v>164</v>
      </c>
      <c r="N65" s="79"/>
      <c r="O65" s="79"/>
    </row>
    <row r="66" spans="1:15" ht="18" customHeight="1" x14ac:dyDescent="0.2">
      <c r="A66" s="145" t="s">
        <v>36</v>
      </c>
      <c r="B66" s="131"/>
      <c r="C66" s="131"/>
      <c r="D66" s="97" t="s">
        <v>217</v>
      </c>
      <c r="E66" s="133"/>
      <c r="F66" s="133"/>
      <c r="G66" s="133"/>
      <c r="H66" s="133"/>
      <c r="I66" s="143">
        <v>100000</v>
      </c>
      <c r="J66" s="143">
        <v>100000</v>
      </c>
      <c r="K66" s="133"/>
      <c r="L66" s="133"/>
      <c r="M66" s="144" t="s">
        <v>164</v>
      </c>
      <c r="N66" s="79"/>
      <c r="O66" s="79"/>
    </row>
    <row r="67" spans="1:15" ht="18" customHeight="1" x14ac:dyDescent="0.2">
      <c r="A67" s="730" t="s">
        <v>39</v>
      </c>
      <c r="B67" s="731"/>
      <c r="C67" s="731"/>
      <c r="D67" s="102" t="s">
        <v>218</v>
      </c>
      <c r="E67" s="146"/>
      <c r="F67" s="146"/>
      <c r="G67" s="146"/>
      <c r="H67" s="146"/>
      <c r="I67" s="143">
        <v>50000</v>
      </c>
      <c r="J67" s="143">
        <v>50000</v>
      </c>
      <c r="K67" s="146"/>
      <c r="L67" s="146"/>
      <c r="M67" s="144" t="s">
        <v>164</v>
      </c>
      <c r="N67" s="79"/>
      <c r="O67" s="79"/>
    </row>
    <row r="68" spans="1:15" ht="23.25" customHeight="1" x14ac:dyDescent="0.2">
      <c r="A68" s="1054" t="s">
        <v>193</v>
      </c>
      <c r="B68" s="1024"/>
      <c r="C68" s="1025"/>
      <c r="D68" s="139" t="s">
        <v>219</v>
      </c>
      <c r="E68" s="148"/>
      <c r="F68" s="148"/>
      <c r="G68" s="148"/>
      <c r="H68" s="148"/>
      <c r="I68" s="89">
        <f>SUM(I69:I112)</f>
        <v>9634000</v>
      </c>
      <c r="J68" s="89">
        <f>SUM(J69:J112)</f>
        <v>9634000</v>
      </c>
      <c r="K68" s="148"/>
      <c r="L68" s="148"/>
      <c r="M68" s="140"/>
      <c r="N68" s="79"/>
      <c r="O68" s="79"/>
    </row>
    <row r="69" spans="1:15" ht="18" customHeight="1" x14ac:dyDescent="0.2">
      <c r="A69" s="141" t="s">
        <v>15</v>
      </c>
      <c r="B69" s="142"/>
      <c r="C69" s="142"/>
      <c r="D69" s="92" t="s">
        <v>220</v>
      </c>
      <c r="E69" s="143"/>
      <c r="F69" s="143"/>
      <c r="G69" s="143"/>
      <c r="H69" s="143"/>
      <c r="I69" s="143">
        <v>250000</v>
      </c>
      <c r="J69" s="143">
        <v>250000</v>
      </c>
      <c r="K69" s="143"/>
      <c r="L69" s="143"/>
      <c r="M69" s="144" t="s">
        <v>164</v>
      </c>
      <c r="N69" s="79"/>
      <c r="O69" s="79"/>
    </row>
    <row r="70" spans="1:15" ht="18" customHeight="1" x14ac:dyDescent="0.2">
      <c r="A70" s="141" t="s">
        <v>16</v>
      </c>
      <c r="B70" s="131"/>
      <c r="C70" s="131"/>
      <c r="D70" s="97" t="s">
        <v>221</v>
      </c>
      <c r="E70" s="133"/>
      <c r="F70" s="133"/>
      <c r="G70" s="133"/>
      <c r="H70" s="133"/>
      <c r="I70" s="143">
        <v>150000</v>
      </c>
      <c r="J70" s="143">
        <v>150000</v>
      </c>
      <c r="K70" s="133"/>
      <c r="L70" s="133"/>
      <c r="M70" s="144" t="s">
        <v>164</v>
      </c>
      <c r="N70" s="79"/>
      <c r="O70" s="79"/>
    </row>
    <row r="71" spans="1:15" ht="18" customHeight="1" x14ac:dyDescent="0.2">
      <c r="A71" s="141" t="s">
        <v>17</v>
      </c>
      <c r="B71" s="131"/>
      <c r="C71" s="131"/>
      <c r="D71" s="97" t="s">
        <v>222</v>
      </c>
      <c r="E71" s="133"/>
      <c r="F71" s="133"/>
      <c r="G71" s="133"/>
      <c r="H71" s="133"/>
      <c r="I71" s="143">
        <v>400000</v>
      </c>
      <c r="J71" s="143">
        <v>400000</v>
      </c>
      <c r="K71" s="133"/>
      <c r="L71" s="133"/>
      <c r="M71" s="144" t="s">
        <v>164</v>
      </c>
      <c r="N71" s="79"/>
      <c r="O71" s="79"/>
    </row>
    <row r="72" spans="1:15" ht="18" customHeight="1" x14ac:dyDescent="0.2">
      <c r="A72" s="141" t="s">
        <v>18</v>
      </c>
      <c r="B72" s="131"/>
      <c r="C72" s="131"/>
      <c r="D72" s="97" t="s">
        <v>223</v>
      </c>
      <c r="E72" s="133"/>
      <c r="F72" s="133"/>
      <c r="G72" s="133"/>
      <c r="H72" s="133"/>
      <c r="I72" s="143">
        <v>140000</v>
      </c>
      <c r="J72" s="143">
        <v>140000</v>
      </c>
      <c r="K72" s="133"/>
      <c r="L72" s="133"/>
      <c r="M72" s="144" t="s">
        <v>164</v>
      </c>
      <c r="N72" s="79"/>
      <c r="O72" s="79"/>
    </row>
    <row r="73" spans="1:15" ht="18" customHeight="1" x14ac:dyDescent="0.2">
      <c r="A73" s="141" t="s">
        <v>19</v>
      </c>
      <c r="B73" s="131"/>
      <c r="C73" s="131"/>
      <c r="D73" s="97" t="s">
        <v>224</v>
      </c>
      <c r="E73" s="133"/>
      <c r="F73" s="133"/>
      <c r="G73" s="133"/>
      <c r="H73" s="133"/>
      <c r="I73" s="143">
        <v>300000</v>
      </c>
      <c r="J73" s="143">
        <v>300000</v>
      </c>
      <c r="K73" s="133"/>
      <c r="L73" s="133"/>
      <c r="M73" s="144" t="s">
        <v>164</v>
      </c>
      <c r="N73" s="79"/>
      <c r="O73" s="79"/>
    </row>
    <row r="74" spans="1:15" ht="18" customHeight="1" x14ac:dyDescent="0.2">
      <c r="A74" s="141" t="s">
        <v>20</v>
      </c>
      <c r="B74" s="131"/>
      <c r="C74" s="131"/>
      <c r="D74" s="97" t="s">
        <v>225</v>
      </c>
      <c r="E74" s="133"/>
      <c r="F74" s="133"/>
      <c r="G74" s="133"/>
      <c r="H74" s="133"/>
      <c r="I74" s="143">
        <v>200000</v>
      </c>
      <c r="J74" s="143">
        <v>200000</v>
      </c>
      <c r="K74" s="133"/>
      <c r="L74" s="133"/>
      <c r="M74" s="144" t="s">
        <v>164</v>
      </c>
      <c r="N74" s="79"/>
      <c r="O74" s="79"/>
    </row>
    <row r="75" spans="1:15" ht="18" customHeight="1" x14ac:dyDescent="0.2">
      <c r="A75" s="141" t="s">
        <v>21</v>
      </c>
      <c r="B75" s="131"/>
      <c r="C75" s="131"/>
      <c r="D75" s="97" t="s">
        <v>226</v>
      </c>
      <c r="E75" s="133"/>
      <c r="F75" s="133"/>
      <c r="G75" s="133"/>
      <c r="H75" s="133"/>
      <c r="I75" s="143">
        <v>70000</v>
      </c>
      <c r="J75" s="143">
        <v>70000</v>
      </c>
      <c r="K75" s="133"/>
      <c r="L75" s="133"/>
      <c r="M75" s="144" t="s">
        <v>164</v>
      </c>
      <c r="N75" s="79"/>
      <c r="O75" s="79"/>
    </row>
    <row r="76" spans="1:15" ht="18" customHeight="1" x14ac:dyDescent="0.2">
      <c r="A76" s="141" t="s">
        <v>22</v>
      </c>
      <c r="B76" s="131"/>
      <c r="C76" s="131"/>
      <c r="D76" s="97" t="s">
        <v>207</v>
      </c>
      <c r="E76" s="133"/>
      <c r="F76" s="133"/>
      <c r="G76" s="133"/>
      <c r="H76" s="133"/>
      <c r="I76" s="143">
        <v>200000</v>
      </c>
      <c r="J76" s="143">
        <v>200000</v>
      </c>
      <c r="K76" s="133"/>
      <c r="L76" s="133"/>
      <c r="M76" s="144" t="s">
        <v>164</v>
      </c>
      <c r="N76" s="79"/>
      <c r="O76" s="79"/>
    </row>
    <row r="77" spans="1:15" ht="18" customHeight="1" x14ac:dyDescent="0.2">
      <c r="A77" s="141" t="s">
        <v>36</v>
      </c>
      <c r="B77" s="131"/>
      <c r="C77" s="131"/>
      <c r="D77" s="97" t="s">
        <v>227</v>
      </c>
      <c r="E77" s="133"/>
      <c r="F77" s="133"/>
      <c r="G77" s="133"/>
      <c r="H77" s="133"/>
      <c r="I77" s="143">
        <v>250000</v>
      </c>
      <c r="J77" s="143">
        <v>250000</v>
      </c>
      <c r="K77" s="133"/>
      <c r="L77" s="133"/>
      <c r="M77" s="144" t="s">
        <v>164</v>
      </c>
      <c r="N77" s="79"/>
      <c r="O77" s="79"/>
    </row>
    <row r="78" spans="1:15" ht="18" customHeight="1" x14ac:dyDescent="0.2">
      <c r="A78" s="141" t="s">
        <v>39</v>
      </c>
      <c r="B78" s="131"/>
      <c r="C78" s="131"/>
      <c r="D78" s="97" t="s">
        <v>212</v>
      </c>
      <c r="E78" s="133"/>
      <c r="F78" s="133"/>
      <c r="G78" s="133"/>
      <c r="H78" s="133"/>
      <c r="I78" s="143">
        <v>400000</v>
      </c>
      <c r="J78" s="143">
        <v>400000</v>
      </c>
      <c r="K78" s="133"/>
      <c r="L78" s="133"/>
      <c r="M78" s="144" t="s">
        <v>164</v>
      </c>
      <c r="N78" s="79"/>
      <c r="O78" s="79"/>
    </row>
    <row r="79" spans="1:15" ht="18" customHeight="1" x14ac:dyDescent="0.2">
      <c r="A79" s="141" t="s">
        <v>42</v>
      </c>
      <c r="B79" s="131"/>
      <c r="C79" s="131"/>
      <c r="D79" s="97" t="s">
        <v>203</v>
      </c>
      <c r="E79" s="133"/>
      <c r="F79" s="133"/>
      <c r="G79" s="133"/>
      <c r="H79" s="133"/>
      <c r="I79" s="143">
        <v>70000</v>
      </c>
      <c r="J79" s="143">
        <v>70000</v>
      </c>
      <c r="K79" s="133"/>
      <c r="L79" s="133"/>
      <c r="M79" s="144" t="s">
        <v>164</v>
      </c>
      <c r="N79" s="79"/>
      <c r="O79" s="79"/>
    </row>
    <row r="80" spans="1:15" ht="18" customHeight="1" x14ac:dyDescent="0.2">
      <c r="A80" s="141" t="s">
        <v>45</v>
      </c>
      <c r="B80" s="131"/>
      <c r="C80" s="131"/>
      <c r="D80" s="97" t="s">
        <v>228</v>
      </c>
      <c r="E80" s="133"/>
      <c r="F80" s="133"/>
      <c r="G80" s="133"/>
      <c r="H80" s="133"/>
      <c r="I80" s="143">
        <v>50000</v>
      </c>
      <c r="J80" s="143">
        <v>50000</v>
      </c>
      <c r="K80" s="133"/>
      <c r="L80" s="133"/>
      <c r="M80" s="144" t="s">
        <v>164</v>
      </c>
      <c r="N80" s="79"/>
      <c r="O80" s="79"/>
    </row>
    <row r="81" spans="1:15" ht="18" customHeight="1" x14ac:dyDescent="0.2">
      <c r="A81" s="141" t="s">
        <v>47</v>
      </c>
      <c r="B81" s="131"/>
      <c r="C81" s="131"/>
      <c r="D81" s="97" t="s">
        <v>229</v>
      </c>
      <c r="E81" s="133"/>
      <c r="F81" s="133"/>
      <c r="G81" s="133"/>
      <c r="H81" s="133"/>
      <c r="I81" s="143">
        <v>50000</v>
      </c>
      <c r="J81" s="143">
        <v>50000</v>
      </c>
      <c r="K81" s="133"/>
      <c r="L81" s="133"/>
      <c r="M81" s="144" t="s">
        <v>164</v>
      </c>
      <c r="N81" s="79"/>
      <c r="O81" s="79"/>
    </row>
    <row r="82" spans="1:15" ht="18" customHeight="1" x14ac:dyDescent="0.2">
      <c r="A82" s="141" t="s">
        <v>50</v>
      </c>
      <c r="B82" s="131"/>
      <c r="C82" s="131"/>
      <c r="D82" s="97" t="s">
        <v>215</v>
      </c>
      <c r="E82" s="133"/>
      <c r="F82" s="133"/>
      <c r="G82" s="133"/>
      <c r="H82" s="133"/>
      <c r="I82" s="143">
        <v>350000</v>
      </c>
      <c r="J82" s="143">
        <v>350000</v>
      </c>
      <c r="K82" s="133"/>
      <c r="L82" s="133"/>
      <c r="M82" s="144" t="s">
        <v>164</v>
      </c>
      <c r="N82" s="79"/>
      <c r="O82" s="79"/>
    </row>
    <row r="83" spans="1:15" ht="18" customHeight="1" x14ac:dyDescent="0.2">
      <c r="A83" s="141" t="s">
        <v>53</v>
      </c>
      <c r="B83" s="131"/>
      <c r="C83" s="131"/>
      <c r="D83" s="97" t="s">
        <v>210</v>
      </c>
      <c r="E83" s="133"/>
      <c r="F83" s="133"/>
      <c r="G83" s="133"/>
      <c r="H83" s="133"/>
      <c r="I83" s="143">
        <v>120000</v>
      </c>
      <c r="J83" s="143">
        <v>120000</v>
      </c>
      <c r="K83" s="133"/>
      <c r="L83" s="133"/>
      <c r="M83" s="144" t="s">
        <v>164</v>
      </c>
      <c r="N83" s="79"/>
      <c r="O83" s="79"/>
    </row>
    <row r="84" spans="1:15" s="851" customFormat="1" ht="18" customHeight="1" x14ac:dyDescent="0.2">
      <c r="A84" s="43" t="s">
        <v>55</v>
      </c>
      <c r="B84" s="97"/>
      <c r="C84" s="97"/>
      <c r="D84" s="97" t="s">
        <v>230</v>
      </c>
      <c r="E84" s="98"/>
      <c r="F84" s="98"/>
      <c r="G84" s="98"/>
      <c r="H84" s="98"/>
      <c r="I84" s="93">
        <v>384000</v>
      </c>
      <c r="J84" s="93">
        <f>480000-96000</f>
        <v>384000</v>
      </c>
      <c r="K84" s="98"/>
      <c r="L84" s="98"/>
      <c r="M84" s="95" t="s">
        <v>164</v>
      </c>
      <c r="N84" s="853"/>
      <c r="O84" s="853"/>
    </row>
    <row r="85" spans="1:15" ht="18" customHeight="1" x14ac:dyDescent="0.2">
      <c r="A85" s="141" t="s">
        <v>57</v>
      </c>
      <c r="B85" s="131"/>
      <c r="C85" s="131"/>
      <c r="D85" s="97" t="s">
        <v>231</v>
      </c>
      <c r="E85" s="133"/>
      <c r="F85" s="133"/>
      <c r="G85" s="133"/>
      <c r="H85" s="133"/>
      <c r="I85" s="143">
        <v>400000</v>
      </c>
      <c r="J85" s="143">
        <v>400000</v>
      </c>
      <c r="K85" s="133"/>
      <c r="L85" s="133"/>
      <c r="M85" s="144" t="s">
        <v>164</v>
      </c>
      <c r="N85" s="79"/>
      <c r="O85" s="79"/>
    </row>
    <row r="86" spans="1:15" ht="18" customHeight="1" x14ac:dyDescent="0.2">
      <c r="A86" s="141" t="s">
        <v>59</v>
      </c>
      <c r="B86" s="131"/>
      <c r="C86" s="131"/>
      <c r="D86" s="97" t="s">
        <v>232</v>
      </c>
      <c r="E86" s="133"/>
      <c r="F86" s="133"/>
      <c r="G86" s="133"/>
      <c r="H86" s="133"/>
      <c r="I86" s="143">
        <v>400000</v>
      </c>
      <c r="J86" s="143">
        <v>400000</v>
      </c>
      <c r="K86" s="133"/>
      <c r="L86" s="133"/>
      <c r="M86" s="144" t="s">
        <v>164</v>
      </c>
      <c r="N86" s="79"/>
      <c r="O86" s="79"/>
    </row>
    <row r="87" spans="1:15" ht="18" customHeight="1" x14ac:dyDescent="0.2">
      <c r="A87" s="141" t="s">
        <v>61</v>
      </c>
      <c r="B87" s="131"/>
      <c r="C87" s="131"/>
      <c r="D87" s="97" t="s">
        <v>211</v>
      </c>
      <c r="E87" s="133"/>
      <c r="F87" s="133"/>
      <c r="G87" s="133"/>
      <c r="H87" s="133"/>
      <c r="I87" s="143">
        <v>250000</v>
      </c>
      <c r="J87" s="143">
        <v>250000</v>
      </c>
      <c r="K87" s="133"/>
      <c r="L87" s="133"/>
      <c r="M87" s="144" t="s">
        <v>164</v>
      </c>
      <c r="N87" s="79"/>
      <c r="O87" s="79"/>
    </row>
    <row r="88" spans="1:15" ht="18" customHeight="1" x14ac:dyDescent="0.2">
      <c r="A88" s="141" t="s">
        <v>63</v>
      </c>
      <c r="B88" s="131"/>
      <c r="C88" s="131"/>
      <c r="D88" s="97" t="s">
        <v>233</v>
      </c>
      <c r="E88" s="133"/>
      <c r="F88" s="133"/>
      <c r="G88" s="133"/>
      <c r="H88" s="133"/>
      <c r="I88" s="143">
        <v>750000</v>
      </c>
      <c r="J88" s="143">
        <v>750000</v>
      </c>
      <c r="K88" s="133"/>
      <c r="L88" s="133"/>
      <c r="M88" s="144" t="s">
        <v>164</v>
      </c>
      <c r="N88" s="79"/>
      <c r="O88" s="79"/>
    </row>
    <row r="89" spans="1:15" ht="18" customHeight="1" x14ac:dyDescent="0.2">
      <c r="A89" s="141" t="s">
        <v>65</v>
      </c>
      <c r="B89" s="131"/>
      <c r="C89" s="131"/>
      <c r="D89" s="97" t="s">
        <v>234</v>
      </c>
      <c r="E89" s="133"/>
      <c r="F89" s="133"/>
      <c r="G89" s="133"/>
      <c r="H89" s="133"/>
      <c r="I89" s="143">
        <v>350000</v>
      </c>
      <c r="J89" s="143">
        <v>350000</v>
      </c>
      <c r="K89" s="133"/>
      <c r="L89" s="133"/>
      <c r="M89" s="144" t="s">
        <v>164</v>
      </c>
      <c r="N89" s="79"/>
      <c r="O89" s="79"/>
    </row>
    <row r="90" spans="1:15" ht="18" customHeight="1" x14ac:dyDescent="0.2">
      <c r="A90" s="141" t="s">
        <v>68</v>
      </c>
      <c r="B90" s="131"/>
      <c r="C90" s="131"/>
      <c r="D90" s="97" t="s">
        <v>235</v>
      </c>
      <c r="E90" s="133"/>
      <c r="F90" s="133"/>
      <c r="G90" s="133"/>
      <c r="H90" s="133"/>
      <c r="I90" s="143">
        <v>150000</v>
      </c>
      <c r="J90" s="143">
        <v>150000</v>
      </c>
      <c r="K90" s="133"/>
      <c r="L90" s="133"/>
      <c r="M90" s="144" t="s">
        <v>164</v>
      </c>
      <c r="N90" s="79"/>
      <c r="O90" s="79"/>
    </row>
    <row r="91" spans="1:15" ht="18" customHeight="1" x14ac:dyDescent="0.2">
      <c r="A91" s="141" t="s">
        <v>71</v>
      </c>
      <c r="B91" s="131"/>
      <c r="C91" s="131"/>
      <c r="D91" s="97" t="s">
        <v>236</v>
      </c>
      <c r="E91" s="133"/>
      <c r="F91" s="133"/>
      <c r="G91" s="133"/>
      <c r="H91" s="133"/>
      <c r="I91" s="143">
        <v>200000</v>
      </c>
      <c r="J91" s="143">
        <v>200000</v>
      </c>
      <c r="K91" s="133"/>
      <c r="L91" s="133"/>
      <c r="M91" s="144" t="s">
        <v>164</v>
      </c>
      <c r="N91" s="79"/>
      <c r="O91" s="79"/>
    </row>
    <row r="92" spans="1:15" ht="18" customHeight="1" x14ac:dyDescent="0.2">
      <c r="A92" s="141" t="s">
        <v>74</v>
      </c>
      <c r="B92" s="131"/>
      <c r="C92" s="131"/>
      <c r="D92" s="97" t="s">
        <v>237</v>
      </c>
      <c r="E92" s="133"/>
      <c r="F92" s="133"/>
      <c r="G92" s="133"/>
      <c r="H92" s="133"/>
      <c r="I92" s="143">
        <v>200000</v>
      </c>
      <c r="J92" s="143">
        <v>200000</v>
      </c>
      <c r="K92" s="133"/>
      <c r="L92" s="133"/>
      <c r="M92" s="144" t="s">
        <v>164</v>
      </c>
      <c r="N92" s="79"/>
      <c r="O92" s="79"/>
    </row>
    <row r="93" spans="1:15" ht="18" customHeight="1" x14ac:dyDescent="0.2">
      <c r="A93" s="141" t="s">
        <v>77</v>
      </c>
      <c r="B93" s="131"/>
      <c r="C93" s="131"/>
      <c r="D93" s="97" t="s">
        <v>238</v>
      </c>
      <c r="E93" s="133"/>
      <c r="F93" s="133"/>
      <c r="G93" s="133"/>
      <c r="H93" s="133"/>
      <c r="I93" s="143">
        <v>300000</v>
      </c>
      <c r="J93" s="143">
        <v>300000</v>
      </c>
      <c r="K93" s="133"/>
      <c r="L93" s="133"/>
      <c r="M93" s="144" t="s">
        <v>164</v>
      </c>
      <c r="N93" s="79"/>
      <c r="O93" s="79"/>
    </row>
    <row r="94" spans="1:15" ht="18" customHeight="1" x14ac:dyDescent="0.2">
      <c r="A94" s="141" t="s">
        <v>80</v>
      </c>
      <c r="B94" s="131"/>
      <c r="C94" s="131"/>
      <c r="D94" s="97" t="s">
        <v>239</v>
      </c>
      <c r="E94" s="133"/>
      <c r="F94" s="133"/>
      <c r="G94" s="133"/>
      <c r="H94" s="133"/>
      <c r="I94" s="143">
        <v>50000</v>
      </c>
      <c r="J94" s="143">
        <v>50000</v>
      </c>
      <c r="K94" s="133"/>
      <c r="L94" s="133"/>
      <c r="M94" s="144" t="s">
        <v>164</v>
      </c>
      <c r="N94" s="79"/>
      <c r="O94" s="79"/>
    </row>
    <row r="95" spans="1:15" ht="18" customHeight="1" x14ac:dyDescent="0.2">
      <c r="A95" s="141" t="s">
        <v>83</v>
      </c>
      <c r="B95" s="131"/>
      <c r="C95" s="131"/>
      <c r="D95" s="97" t="s">
        <v>213</v>
      </c>
      <c r="E95" s="133"/>
      <c r="F95" s="133"/>
      <c r="G95" s="133"/>
      <c r="H95" s="133"/>
      <c r="I95" s="143">
        <v>350000</v>
      </c>
      <c r="J95" s="143">
        <v>350000</v>
      </c>
      <c r="K95" s="133"/>
      <c r="L95" s="133"/>
      <c r="M95" s="144" t="s">
        <v>164</v>
      </c>
      <c r="N95" s="79"/>
      <c r="O95" s="79"/>
    </row>
    <row r="96" spans="1:15" ht="18" customHeight="1" x14ac:dyDescent="0.2">
      <c r="A96" s="141" t="s">
        <v>86</v>
      </c>
      <c r="B96" s="131"/>
      <c r="C96" s="131"/>
      <c r="D96" s="97" t="s">
        <v>240</v>
      </c>
      <c r="E96" s="133"/>
      <c r="F96" s="133"/>
      <c r="G96" s="133"/>
      <c r="H96" s="133"/>
      <c r="I96" s="143">
        <v>200000</v>
      </c>
      <c r="J96" s="143">
        <v>200000</v>
      </c>
      <c r="K96" s="133"/>
      <c r="L96" s="133"/>
      <c r="M96" s="144" t="s">
        <v>164</v>
      </c>
      <c r="N96" s="79"/>
      <c r="O96" s="79"/>
    </row>
    <row r="97" spans="1:15" ht="18" customHeight="1" x14ac:dyDescent="0.2">
      <c r="A97" s="141" t="s">
        <v>89</v>
      </c>
      <c r="B97" s="131"/>
      <c r="C97" s="131"/>
      <c r="D97" s="97" t="s">
        <v>214</v>
      </c>
      <c r="E97" s="133"/>
      <c r="F97" s="133"/>
      <c r="G97" s="133"/>
      <c r="H97" s="133"/>
      <c r="I97" s="143">
        <v>60000</v>
      </c>
      <c r="J97" s="143">
        <v>60000</v>
      </c>
      <c r="K97" s="133"/>
      <c r="L97" s="133"/>
      <c r="M97" s="144" t="s">
        <v>164</v>
      </c>
      <c r="N97" s="79"/>
      <c r="O97" s="79"/>
    </row>
    <row r="98" spans="1:15" ht="18" customHeight="1" x14ac:dyDescent="0.2">
      <c r="A98" s="141" t="s">
        <v>92</v>
      </c>
      <c r="B98" s="131"/>
      <c r="C98" s="131"/>
      <c r="D98" s="97" t="s">
        <v>241</v>
      </c>
      <c r="E98" s="133"/>
      <c r="F98" s="133"/>
      <c r="G98" s="133"/>
      <c r="H98" s="133"/>
      <c r="I98" s="143">
        <v>300000</v>
      </c>
      <c r="J98" s="143">
        <v>300000</v>
      </c>
      <c r="K98" s="133"/>
      <c r="L98" s="133"/>
      <c r="M98" s="144" t="s">
        <v>164</v>
      </c>
      <c r="N98" s="79"/>
      <c r="O98" s="79"/>
    </row>
    <row r="99" spans="1:15" ht="18" customHeight="1" x14ac:dyDescent="0.2">
      <c r="A99" s="141" t="s">
        <v>95</v>
      </c>
      <c r="B99" s="131"/>
      <c r="C99" s="131"/>
      <c r="D99" s="97" t="s">
        <v>242</v>
      </c>
      <c r="E99" s="133"/>
      <c r="F99" s="133"/>
      <c r="G99" s="133"/>
      <c r="H99" s="133"/>
      <c r="I99" s="143">
        <v>100000</v>
      </c>
      <c r="J99" s="143">
        <v>100000</v>
      </c>
      <c r="K99" s="133"/>
      <c r="L99" s="133"/>
      <c r="M99" s="144" t="s">
        <v>164</v>
      </c>
      <c r="N99" s="79"/>
      <c r="O99" s="79"/>
    </row>
    <row r="100" spans="1:15" ht="18" customHeight="1" x14ac:dyDescent="0.2">
      <c r="A100" s="141" t="s">
        <v>97</v>
      </c>
      <c r="B100" s="131"/>
      <c r="C100" s="131"/>
      <c r="D100" s="97" t="s">
        <v>243</v>
      </c>
      <c r="E100" s="133"/>
      <c r="F100" s="133"/>
      <c r="G100" s="133"/>
      <c r="H100" s="133"/>
      <c r="I100" s="143">
        <v>200000</v>
      </c>
      <c r="J100" s="143">
        <v>200000</v>
      </c>
      <c r="K100" s="133"/>
      <c r="L100" s="133"/>
      <c r="M100" s="144" t="s">
        <v>164</v>
      </c>
      <c r="N100" s="79"/>
      <c r="O100" s="79"/>
    </row>
    <row r="101" spans="1:15" ht="18" customHeight="1" x14ac:dyDescent="0.2">
      <c r="A101" s="141" t="s">
        <v>99</v>
      </c>
      <c r="B101" s="131"/>
      <c r="C101" s="131"/>
      <c r="D101" s="97" t="s">
        <v>244</v>
      </c>
      <c r="E101" s="133"/>
      <c r="F101" s="133"/>
      <c r="G101" s="133"/>
      <c r="H101" s="133"/>
      <c r="I101" s="143">
        <v>200000</v>
      </c>
      <c r="J101" s="143">
        <v>200000</v>
      </c>
      <c r="K101" s="133"/>
      <c r="L101" s="133"/>
      <c r="M101" s="144" t="s">
        <v>164</v>
      </c>
      <c r="N101" s="79"/>
      <c r="O101" s="79"/>
    </row>
    <row r="102" spans="1:15" ht="18" customHeight="1" x14ac:dyDescent="0.2">
      <c r="A102" s="141" t="s">
        <v>101</v>
      </c>
      <c r="B102" s="131"/>
      <c r="C102" s="131"/>
      <c r="D102" s="97" t="s">
        <v>245</v>
      </c>
      <c r="E102" s="133"/>
      <c r="F102" s="133"/>
      <c r="G102" s="133"/>
      <c r="H102" s="133"/>
      <c r="I102" s="143">
        <v>400000</v>
      </c>
      <c r="J102" s="143">
        <v>400000</v>
      </c>
      <c r="K102" s="133"/>
      <c r="L102" s="133"/>
      <c r="M102" s="144" t="s">
        <v>164</v>
      </c>
      <c r="N102" s="79"/>
      <c r="O102" s="79"/>
    </row>
    <row r="103" spans="1:15" ht="18" customHeight="1" x14ac:dyDescent="0.2">
      <c r="A103" s="141" t="s">
        <v>103</v>
      </c>
      <c r="B103" s="131"/>
      <c r="C103" s="131"/>
      <c r="D103" s="97" t="s">
        <v>246</v>
      </c>
      <c r="E103" s="133"/>
      <c r="F103" s="133"/>
      <c r="G103" s="133"/>
      <c r="H103" s="133"/>
      <c r="I103" s="143">
        <v>230000</v>
      </c>
      <c r="J103" s="143">
        <v>230000</v>
      </c>
      <c r="K103" s="133"/>
      <c r="L103" s="133"/>
      <c r="M103" s="144" t="s">
        <v>164</v>
      </c>
      <c r="N103" s="79"/>
      <c r="O103" s="79"/>
    </row>
    <row r="104" spans="1:15" ht="18" customHeight="1" x14ac:dyDescent="0.2">
      <c r="A104" s="141" t="s">
        <v>105</v>
      </c>
      <c r="B104" s="131"/>
      <c r="C104" s="131"/>
      <c r="D104" s="97" t="s">
        <v>247</v>
      </c>
      <c r="E104" s="133"/>
      <c r="F104" s="133"/>
      <c r="G104" s="133"/>
      <c r="H104" s="133"/>
      <c r="I104" s="143">
        <v>180000</v>
      </c>
      <c r="J104" s="143">
        <v>180000</v>
      </c>
      <c r="K104" s="133"/>
      <c r="L104" s="133"/>
      <c r="M104" s="144" t="s">
        <v>164</v>
      </c>
      <c r="N104" s="79"/>
      <c r="O104" s="79"/>
    </row>
    <row r="105" spans="1:15" ht="18" customHeight="1" x14ac:dyDescent="0.2">
      <c r="A105" s="141" t="s">
        <v>107</v>
      </c>
      <c r="B105" s="131"/>
      <c r="C105" s="131"/>
      <c r="D105" s="97" t="s">
        <v>248</v>
      </c>
      <c r="E105" s="133"/>
      <c r="F105" s="133"/>
      <c r="G105" s="133"/>
      <c r="H105" s="133"/>
      <c r="I105" s="143">
        <v>230000</v>
      </c>
      <c r="J105" s="143">
        <v>230000</v>
      </c>
      <c r="K105" s="133"/>
      <c r="L105" s="133"/>
      <c r="M105" s="144" t="s">
        <v>164</v>
      </c>
      <c r="N105" s="79"/>
      <c r="O105" s="79"/>
    </row>
    <row r="106" spans="1:15" ht="18" customHeight="1" x14ac:dyDescent="0.2">
      <c r="A106" s="141" t="s">
        <v>109</v>
      </c>
      <c r="B106" s="131"/>
      <c r="C106" s="131"/>
      <c r="D106" s="97" t="s">
        <v>216</v>
      </c>
      <c r="E106" s="133"/>
      <c r="F106" s="133"/>
      <c r="G106" s="133"/>
      <c r="H106" s="133"/>
      <c r="I106" s="143">
        <v>100000</v>
      </c>
      <c r="J106" s="143">
        <v>100000</v>
      </c>
      <c r="K106" s="133"/>
      <c r="L106" s="133"/>
      <c r="M106" s="144" t="s">
        <v>164</v>
      </c>
      <c r="N106" s="79"/>
      <c r="O106" s="79"/>
    </row>
    <row r="107" spans="1:15" ht="18" customHeight="1" x14ac:dyDescent="0.2">
      <c r="A107" s="141" t="s">
        <v>111</v>
      </c>
      <c r="B107" s="131"/>
      <c r="C107" s="131"/>
      <c r="D107" s="97" t="s">
        <v>218</v>
      </c>
      <c r="E107" s="133"/>
      <c r="F107" s="133"/>
      <c r="G107" s="133"/>
      <c r="H107" s="133"/>
      <c r="I107" s="143">
        <v>300000</v>
      </c>
      <c r="J107" s="143">
        <v>300000</v>
      </c>
      <c r="K107" s="133"/>
      <c r="L107" s="133"/>
      <c r="M107" s="144" t="s">
        <v>164</v>
      </c>
      <c r="N107" s="79"/>
      <c r="O107" s="79"/>
    </row>
    <row r="108" spans="1:15" ht="18" customHeight="1" x14ac:dyDescent="0.2">
      <c r="A108" s="141" t="s">
        <v>113</v>
      </c>
      <c r="B108" s="131"/>
      <c r="C108" s="131"/>
      <c r="D108" s="97" t="s">
        <v>249</v>
      </c>
      <c r="E108" s="133"/>
      <c r="F108" s="133"/>
      <c r="G108" s="133"/>
      <c r="H108" s="133"/>
      <c r="I108" s="143">
        <v>100000</v>
      </c>
      <c r="J108" s="143">
        <v>100000</v>
      </c>
      <c r="K108" s="133"/>
      <c r="L108" s="133"/>
      <c r="M108" s="144" t="s">
        <v>164</v>
      </c>
      <c r="N108" s="79"/>
      <c r="O108" s="79"/>
    </row>
    <row r="109" spans="1:15" ht="18" customHeight="1" x14ac:dyDescent="0.2">
      <c r="A109" s="141" t="s">
        <v>250</v>
      </c>
      <c r="B109" s="131"/>
      <c r="C109" s="131"/>
      <c r="D109" s="97" t="s">
        <v>251</v>
      </c>
      <c r="E109" s="133"/>
      <c r="F109" s="133"/>
      <c r="G109" s="133"/>
      <c r="H109" s="133"/>
      <c r="I109" s="143">
        <v>150000</v>
      </c>
      <c r="J109" s="143">
        <v>150000</v>
      </c>
      <c r="K109" s="133"/>
      <c r="L109" s="133"/>
      <c r="M109" s="144" t="s">
        <v>164</v>
      </c>
      <c r="N109" s="79"/>
      <c r="O109" s="79"/>
    </row>
    <row r="110" spans="1:15" ht="18" customHeight="1" x14ac:dyDescent="0.2">
      <c r="A110" s="141" t="s">
        <v>252</v>
      </c>
      <c r="B110" s="131"/>
      <c r="C110" s="131"/>
      <c r="D110" s="97" t="s">
        <v>253</v>
      </c>
      <c r="E110" s="133"/>
      <c r="F110" s="133"/>
      <c r="G110" s="133"/>
      <c r="H110" s="133"/>
      <c r="I110" s="143">
        <v>100000</v>
      </c>
      <c r="J110" s="143">
        <v>100000</v>
      </c>
      <c r="K110" s="133"/>
      <c r="L110" s="133"/>
      <c r="M110" s="144" t="s">
        <v>164</v>
      </c>
      <c r="N110" s="79"/>
      <c r="O110" s="79"/>
    </row>
    <row r="111" spans="1:15" ht="18" customHeight="1" x14ac:dyDescent="0.2">
      <c r="A111" s="141" t="s">
        <v>254</v>
      </c>
      <c r="B111" s="131"/>
      <c r="C111" s="131"/>
      <c r="D111" s="97" t="s">
        <v>255</v>
      </c>
      <c r="E111" s="133"/>
      <c r="F111" s="133"/>
      <c r="G111" s="133"/>
      <c r="H111" s="133"/>
      <c r="I111" s="143">
        <f>150000-150000</f>
        <v>0</v>
      </c>
      <c r="J111" s="143"/>
      <c r="K111" s="133"/>
      <c r="L111" s="133"/>
      <c r="M111" s="144" t="s">
        <v>164</v>
      </c>
      <c r="N111" s="79"/>
      <c r="O111" s="79"/>
    </row>
    <row r="112" spans="1:15" ht="18" customHeight="1" x14ac:dyDescent="0.2">
      <c r="A112" s="141" t="s">
        <v>256</v>
      </c>
      <c r="B112" s="731"/>
      <c r="C112" s="731"/>
      <c r="D112" s="102" t="s">
        <v>257</v>
      </c>
      <c r="E112" s="146"/>
      <c r="F112" s="146"/>
      <c r="G112" s="146"/>
      <c r="H112" s="146"/>
      <c r="I112" s="143">
        <f>150000-150000</f>
        <v>0</v>
      </c>
      <c r="J112" s="147"/>
      <c r="K112" s="146"/>
      <c r="L112" s="146"/>
      <c r="M112" s="144" t="s">
        <v>164</v>
      </c>
      <c r="N112" s="79"/>
      <c r="O112" s="79"/>
    </row>
    <row r="113" spans="1:15" ht="26.25" customHeight="1" x14ac:dyDescent="0.2">
      <c r="A113" s="1054" t="s">
        <v>258</v>
      </c>
      <c r="B113" s="1024"/>
      <c r="C113" s="1025"/>
      <c r="D113" s="139" t="s">
        <v>259</v>
      </c>
      <c r="E113" s="148"/>
      <c r="F113" s="148"/>
      <c r="G113" s="148"/>
      <c r="H113" s="148"/>
      <c r="I113" s="89">
        <f>SUM(I114:I119)</f>
        <v>1660000</v>
      </c>
      <c r="J113" s="89">
        <f>SUM(J114:J119)</f>
        <v>1660000</v>
      </c>
      <c r="K113" s="148"/>
      <c r="L113" s="148"/>
      <c r="M113" s="140"/>
      <c r="N113" s="79"/>
      <c r="O113" s="79"/>
    </row>
    <row r="114" spans="1:15" ht="19.5" customHeight="1" x14ac:dyDescent="0.2">
      <c r="A114" s="149" t="s">
        <v>15</v>
      </c>
      <c r="B114" s="142"/>
      <c r="C114" s="142"/>
      <c r="D114" s="92" t="s">
        <v>260</v>
      </c>
      <c r="E114" s="143"/>
      <c r="F114" s="143"/>
      <c r="G114" s="143"/>
      <c r="H114" s="143"/>
      <c r="I114" s="143">
        <v>400000</v>
      </c>
      <c r="J114" s="143">
        <v>400000</v>
      </c>
      <c r="K114" s="143"/>
      <c r="L114" s="143"/>
      <c r="M114" s="144" t="s">
        <v>164</v>
      </c>
      <c r="N114" s="79"/>
      <c r="O114" s="79"/>
    </row>
    <row r="115" spans="1:15" ht="19.5" customHeight="1" x14ac:dyDescent="0.2">
      <c r="A115" s="141" t="s">
        <v>16</v>
      </c>
      <c r="B115" s="131"/>
      <c r="C115" s="131"/>
      <c r="D115" s="97" t="s">
        <v>261</v>
      </c>
      <c r="E115" s="133"/>
      <c r="F115" s="133"/>
      <c r="G115" s="133"/>
      <c r="H115" s="133"/>
      <c r="I115" s="143">
        <v>500000</v>
      </c>
      <c r="J115" s="143">
        <v>500000</v>
      </c>
      <c r="K115" s="133"/>
      <c r="L115" s="133"/>
      <c r="M115" s="144" t="s">
        <v>164</v>
      </c>
      <c r="N115" s="79"/>
      <c r="O115" s="79"/>
    </row>
    <row r="116" spans="1:15" ht="19.5" customHeight="1" x14ac:dyDescent="0.2">
      <c r="A116" s="141" t="s">
        <v>17</v>
      </c>
      <c r="B116" s="131"/>
      <c r="C116" s="131"/>
      <c r="D116" s="97" t="s">
        <v>262</v>
      </c>
      <c r="E116" s="133"/>
      <c r="F116" s="133"/>
      <c r="G116" s="133"/>
      <c r="H116" s="133"/>
      <c r="I116" s="143">
        <v>110000</v>
      </c>
      <c r="J116" s="143">
        <v>110000</v>
      </c>
      <c r="K116" s="133"/>
      <c r="L116" s="133"/>
      <c r="M116" s="144" t="s">
        <v>164</v>
      </c>
      <c r="N116" s="79"/>
      <c r="O116" s="79"/>
    </row>
    <row r="117" spans="1:15" ht="19.5" customHeight="1" x14ac:dyDescent="0.2">
      <c r="A117" s="141" t="s">
        <v>18</v>
      </c>
      <c r="B117" s="731"/>
      <c r="C117" s="731"/>
      <c r="D117" s="102" t="s">
        <v>263</v>
      </c>
      <c r="E117" s="146"/>
      <c r="F117" s="146"/>
      <c r="G117" s="146"/>
      <c r="H117" s="146"/>
      <c r="I117" s="146">
        <v>350000</v>
      </c>
      <c r="J117" s="146">
        <v>350000</v>
      </c>
      <c r="K117" s="146"/>
      <c r="L117" s="146"/>
      <c r="M117" s="144" t="s">
        <v>164</v>
      </c>
      <c r="N117" s="79"/>
      <c r="O117" s="79"/>
    </row>
    <row r="118" spans="1:15" ht="19.5" customHeight="1" x14ac:dyDescent="0.2">
      <c r="A118" s="141" t="s">
        <v>19</v>
      </c>
      <c r="B118" s="731"/>
      <c r="C118" s="731"/>
      <c r="D118" s="97" t="s">
        <v>255</v>
      </c>
      <c r="E118" s="133"/>
      <c r="F118" s="133"/>
      <c r="G118" s="133"/>
      <c r="H118" s="133"/>
      <c r="I118" s="133">
        <v>150000</v>
      </c>
      <c r="J118" s="133">
        <v>150000</v>
      </c>
      <c r="K118" s="146"/>
      <c r="L118" s="146"/>
      <c r="M118" s="144" t="s">
        <v>164</v>
      </c>
      <c r="N118" s="79"/>
      <c r="O118" s="79"/>
    </row>
    <row r="119" spans="1:15" ht="19.5" customHeight="1" x14ac:dyDescent="0.2">
      <c r="A119" s="726" t="s">
        <v>20</v>
      </c>
      <c r="B119" s="727"/>
      <c r="C119" s="727"/>
      <c r="D119" s="152" t="s">
        <v>257</v>
      </c>
      <c r="E119" s="87"/>
      <c r="F119" s="87"/>
      <c r="G119" s="87"/>
      <c r="H119" s="87"/>
      <c r="I119" s="87">
        <v>150000</v>
      </c>
      <c r="J119" s="87">
        <v>150000</v>
      </c>
      <c r="K119" s="87"/>
      <c r="L119" s="87"/>
      <c r="M119" s="88" t="s">
        <v>164</v>
      </c>
      <c r="N119" s="79"/>
      <c r="O119" s="79"/>
    </row>
    <row r="120" spans="1:15" ht="9.75" customHeight="1" x14ac:dyDescent="0.2">
      <c r="A120" s="136"/>
      <c r="B120" s="136"/>
      <c r="C120" s="136"/>
      <c r="D120" s="136"/>
      <c r="E120" s="126"/>
      <c r="F120" s="126"/>
      <c r="G120" s="126"/>
      <c r="H120" s="137"/>
      <c r="I120" s="137"/>
      <c r="J120" s="137"/>
      <c r="K120" s="126"/>
      <c r="L120" s="126"/>
      <c r="M120" s="126"/>
      <c r="N120" s="79"/>
      <c r="O120" s="79"/>
    </row>
    <row r="121" spans="1:15" ht="23.25" customHeight="1" x14ac:dyDescent="0.2">
      <c r="A121" s="1055" t="s">
        <v>264</v>
      </c>
      <c r="B121" s="1056"/>
      <c r="C121" s="1056"/>
      <c r="D121" s="1056"/>
      <c r="E121" s="148"/>
      <c r="F121" s="148"/>
      <c r="G121" s="148"/>
      <c r="H121" s="148"/>
      <c r="I121" s="89">
        <f>I47+I54+I57+I68+I113</f>
        <v>13904000</v>
      </c>
      <c r="J121" s="89">
        <f>J47+J54+J57+J68+J113</f>
        <v>13904000</v>
      </c>
      <c r="K121" s="148"/>
      <c r="L121" s="148"/>
      <c r="M121" s="140"/>
      <c r="N121" s="79"/>
      <c r="O121" s="79"/>
    </row>
    <row r="122" spans="1:15" ht="23.25" customHeight="1" x14ac:dyDescent="0.2">
      <c r="A122" s="153"/>
      <c r="B122" s="153"/>
      <c r="C122" s="153"/>
      <c r="D122" s="153"/>
      <c r="E122" s="137"/>
      <c r="F122" s="137"/>
      <c r="G122" s="137"/>
      <c r="H122" s="137"/>
      <c r="I122" s="154"/>
      <c r="J122" s="154"/>
      <c r="K122" s="137"/>
      <c r="L122" s="137"/>
      <c r="M122" s="137"/>
      <c r="N122" s="79"/>
      <c r="O122" s="79"/>
    </row>
    <row r="123" spans="1:15" s="156" customFormat="1" ht="30" customHeight="1" x14ac:dyDescent="0.25">
      <c r="A123" s="1044" t="s">
        <v>265</v>
      </c>
      <c r="B123" s="1044"/>
      <c r="C123" s="1044"/>
      <c r="D123" s="1044"/>
      <c r="E123" s="1044"/>
      <c r="F123" s="1044"/>
      <c r="G123" s="1044"/>
      <c r="H123" s="1044"/>
      <c r="I123" s="1044"/>
      <c r="J123" s="1044"/>
      <c r="K123" s="1044"/>
      <c r="L123" s="1044"/>
      <c r="M123" s="1044"/>
      <c r="N123" s="155"/>
      <c r="O123" s="155"/>
    </row>
    <row r="124" spans="1:15" ht="95.25" customHeight="1" x14ac:dyDescent="0.2">
      <c r="A124" s="84" t="s">
        <v>120</v>
      </c>
      <c r="B124" s="85" t="s">
        <v>121</v>
      </c>
      <c r="C124" s="85" t="s">
        <v>155</v>
      </c>
      <c r="D124" s="86" t="s">
        <v>123</v>
      </c>
      <c r="E124" s="1045" t="s">
        <v>156</v>
      </c>
      <c r="F124" s="1046"/>
      <c r="G124" s="1047"/>
      <c r="H124" s="1045" t="s">
        <v>157</v>
      </c>
      <c r="I124" s="1046"/>
      <c r="J124" s="1047"/>
      <c r="K124" s="1045" t="s">
        <v>114</v>
      </c>
      <c r="L124" s="1047"/>
      <c r="M124" s="157" t="s">
        <v>5</v>
      </c>
    </row>
    <row r="125" spans="1:15" ht="20.25" customHeight="1" x14ac:dyDescent="0.2">
      <c r="A125" s="1052" t="s">
        <v>122</v>
      </c>
      <c r="B125" s="1053"/>
      <c r="C125" s="1053"/>
      <c r="D125" s="1053"/>
      <c r="E125" s="1035" t="s">
        <v>158</v>
      </c>
      <c r="F125" s="1036"/>
      <c r="G125" s="1037"/>
      <c r="H125" s="1035" t="s">
        <v>159</v>
      </c>
      <c r="I125" s="1036"/>
      <c r="J125" s="1037"/>
      <c r="K125" s="158"/>
      <c r="L125" s="158"/>
      <c r="M125" s="159"/>
      <c r="N125" s="79"/>
      <c r="O125" s="79"/>
    </row>
    <row r="126" spans="1:15" s="42" customFormat="1" ht="23.25" customHeight="1" x14ac:dyDescent="0.2">
      <c r="A126" s="1050" t="s">
        <v>266</v>
      </c>
      <c r="B126" s="1051"/>
      <c r="C126" s="1051"/>
      <c r="D126" s="725" t="s">
        <v>267</v>
      </c>
      <c r="E126" s="160">
        <f t="shared" ref="E126:L126" si="4">SUM(E127:E128)</f>
        <v>0</v>
      </c>
      <c r="F126" s="160">
        <f t="shared" si="4"/>
        <v>0</v>
      </c>
      <c r="G126" s="160"/>
      <c r="H126" s="160">
        <f t="shared" si="4"/>
        <v>5656409</v>
      </c>
      <c r="I126" s="160">
        <f t="shared" si="4"/>
        <v>8656409</v>
      </c>
      <c r="J126" s="160">
        <f>SUM(J127:J128)</f>
        <v>4082511</v>
      </c>
      <c r="K126" s="160">
        <f t="shared" si="4"/>
        <v>3000000</v>
      </c>
      <c r="L126" s="160">
        <f t="shared" si="4"/>
        <v>0</v>
      </c>
      <c r="M126" s="161"/>
      <c r="N126" s="91"/>
      <c r="O126" s="91"/>
    </row>
    <row r="127" spans="1:15" ht="34.15" customHeight="1" x14ac:dyDescent="0.2">
      <c r="A127" s="43" t="s">
        <v>15</v>
      </c>
      <c r="B127" s="162" t="s">
        <v>268</v>
      </c>
      <c r="C127" s="163"/>
      <c r="D127" s="164" t="s">
        <v>269</v>
      </c>
      <c r="E127" s="47">
        <v>0</v>
      </c>
      <c r="F127" s="47">
        <f>E127</f>
        <v>0</v>
      </c>
      <c r="G127" s="47"/>
      <c r="H127" s="165">
        <f>1000000</f>
        <v>1000000</v>
      </c>
      <c r="I127" s="166">
        <f>H127+1000000</f>
        <v>2000000</v>
      </c>
      <c r="J127" s="166">
        <v>645077</v>
      </c>
      <c r="K127" s="166">
        <v>1000000</v>
      </c>
      <c r="L127" s="166">
        <f>K127-1000000</f>
        <v>0</v>
      </c>
      <c r="M127" s="54" t="s">
        <v>164</v>
      </c>
      <c r="N127" s="79"/>
      <c r="O127" s="79"/>
    </row>
    <row r="128" spans="1:15" ht="27.75" customHeight="1" x14ac:dyDescent="0.2">
      <c r="A128" s="730" t="s">
        <v>16</v>
      </c>
      <c r="B128" s="167" t="s">
        <v>268</v>
      </c>
      <c r="C128" s="168"/>
      <c r="D128" s="64" t="s">
        <v>270</v>
      </c>
      <c r="E128" s="169">
        <v>0</v>
      </c>
      <c r="F128" s="47">
        <f>E128</f>
        <v>0</v>
      </c>
      <c r="G128" s="199"/>
      <c r="H128" s="170">
        <f>2000000+2656409</f>
        <v>4656409</v>
      </c>
      <c r="I128" s="166">
        <f>H128+2000000</f>
        <v>6656409</v>
      </c>
      <c r="J128" s="289">
        <v>3437434</v>
      </c>
      <c r="K128" s="171">
        <v>2000000</v>
      </c>
      <c r="L128" s="166">
        <f>K128-2000000</f>
        <v>0</v>
      </c>
      <c r="M128" s="172" t="s">
        <v>164</v>
      </c>
      <c r="N128" s="79"/>
      <c r="O128" s="79"/>
    </row>
    <row r="129" spans="1:15" s="42" customFormat="1" ht="23.25" customHeight="1" x14ac:dyDescent="0.2">
      <c r="A129" s="1050" t="s">
        <v>190</v>
      </c>
      <c r="B129" s="1051"/>
      <c r="C129" s="1051"/>
      <c r="D129" s="107" t="s">
        <v>271</v>
      </c>
      <c r="E129" s="40">
        <f t="shared" ref="E129:L129" si="5">SUM(E130:E134)</f>
        <v>0</v>
      </c>
      <c r="F129" s="40">
        <f t="shared" si="5"/>
        <v>0</v>
      </c>
      <c r="G129" s="40"/>
      <c r="H129" s="40">
        <f>SUM(H130:H134)</f>
        <v>36273412</v>
      </c>
      <c r="I129" s="40">
        <f>SUM(I130:I134)</f>
        <v>76323412</v>
      </c>
      <c r="J129" s="40">
        <f>SUM(J130:J134)</f>
        <v>60269750</v>
      </c>
      <c r="K129" s="40">
        <f>SUM(K130:K134)</f>
        <v>33050000</v>
      </c>
      <c r="L129" s="40">
        <f t="shared" si="5"/>
        <v>0</v>
      </c>
      <c r="M129" s="173"/>
      <c r="N129" s="91"/>
      <c r="O129" s="91"/>
    </row>
    <row r="130" spans="1:15" ht="23.25" customHeight="1" x14ac:dyDescent="0.2">
      <c r="A130" s="43" t="s">
        <v>15</v>
      </c>
      <c r="B130" s="162" t="s">
        <v>139</v>
      </c>
      <c r="C130" s="163"/>
      <c r="D130" s="164" t="s">
        <v>272</v>
      </c>
      <c r="E130" s="174">
        <v>0</v>
      </c>
      <c r="F130" s="174">
        <f>E130</f>
        <v>0</v>
      </c>
      <c r="G130" s="174"/>
      <c r="H130" s="47">
        <v>19275183</v>
      </c>
      <c r="I130" s="48">
        <v>45550367</v>
      </c>
      <c r="J130" s="48">
        <v>38550367</v>
      </c>
      <c r="K130" s="48">
        <v>19275184</v>
      </c>
      <c r="L130" s="48">
        <f>K130-19275184</f>
        <v>0</v>
      </c>
      <c r="M130" s="54" t="s">
        <v>164</v>
      </c>
      <c r="N130" s="79"/>
      <c r="O130" s="79"/>
    </row>
    <row r="131" spans="1:15" ht="33.75" customHeight="1" x14ac:dyDescent="0.2">
      <c r="A131" s="100" t="s">
        <v>16</v>
      </c>
      <c r="B131" s="175" t="s">
        <v>139</v>
      </c>
      <c r="C131" s="176"/>
      <c r="D131" s="51" t="s">
        <v>273</v>
      </c>
      <c r="E131" s="174">
        <v>0</v>
      </c>
      <c r="F131" s="174">
        <f>E131</f>
        <v>0</v>
      </c>
      <c r="G131" s="174"/>
      <c r="H131" s="52">
        <f>2500000+8223412</f>
        <v>10723412</v>
      </c>
      <c r="I131" s="48">
        <v>13223412</v>
      </c>
      <c r="J131" s="48">
        <v>4169750</v>
      </c>
      <c r="K131" s="53">
        <v>2500000</v>
      </c>
      <c r="L131" s="48">
        <f>K131-2500000</f>
        <v>0</v>
      </c>
      <c r="M131" s="62" t="s">
        <v>164</v>
      </c>
      <c r="N131" s="79"/>
      <c r="O131" s="79"/>
    </row>
    <row r="132" spans="1:15" ht="24" customHeight="1" x14ac:dyDescent="0.2">
      <c r="A132" s="100" t="s">
        <v>17</v>
      </c>
      <c r="B132" s="162" t="s">
        <v>139</v>
      </c>
      <c r="C132" s="176"/>
      <c r="D132" s="51" t="s">
        <v>274</v>
      </c>
      <c r="E132" s="174">
        <v>0</v>
      </c>
      <c r="F132" s="174">
        <f>E132</f>
        <v>0</v>
      </c>
      <c r="G132" s="174"/>
      <c r="H132" s="52">
        <v>6274817</v>
      </c>
      <c r="I132" s="48">
        <v>12549633</v>
      </c>
      <c r="J132" s="48">
        <v>12549633</v>
      </c>
      <c r="K132" s="53">
        <v>6274816</v>
      </c>
      <c r="L132" s="48">
        <f>K132-6274816</f>
        <v>0</v>
      </c>
      <c r="M132" s="62" t="s">
        <v>164</v>
      </c>
      <c r="N132" s="79"/>
      <c r="O132" s="79"/>
    </row>
    <row r="133" spans="1:15" ht="24" customHeight="1" x14ac:dyDescent="0.2">
      <c r="A133" s="100" t="s">
        <v>18</v>
      </c>
      <c r="B133" s="162" t="s">
        <v>139</v>
      </c>
      <c r="C133" s="176"/>
      <c r="D133" s="51" t="s">
        <v>275</v>
      </c>
      <c r="E133" s="174"/>
      <c r="F133" s="174">
        <f>E133</f>
        <v>0</v>
      </c>
      <c r="G133" s="200"/>
      <c r="H133" s="59"/>
      <c r="I133" s="48">
        <v>5000000</v>
      </c>
      <c r="J133" s="201">
        <v>5000000</v>
      </c>
      <c r="K133" s="60">
        <v>5000000</v>
      </c>
      <c r="L133" s="48">
        <f>K133-5000000</f>
        <v>0</v>
      </c>
      <c r="M133" s="62" t="s">
        <v>164</v>
      </c>
      <c r="N133" s="79"/>
      <c r="O133" s="79"/>
    </row>
    <row r="134" spans="1:15" ht="24" customHeight="1" x14ac:dyDescent="0.2">
      <c r="A134" s="100" t="s">
        <v>19</v>
      </c>
      <c r="B134" s="175" t="s">
        <v>139</v>
      </c>
      <c r="C134" s="176"/>
      <c r="D134" s="51" t="s">
        <v>276</v>
      </c>
      <c r="E134" s="177">
        <v>0</v>
      </c>
      <c r="F134" s="174">
        <f>E134</f>
        <v>0</v>
      </c>
      <c r="G134" s="254"/>
      <c r="H134" s="56" t="s">
        <v>277</v>
      </c>
      <c r="I134" s="166" t="str">
        <f>H134</f>
        <v>-</v>
      </c>
      <c r="J134" s="242"/>
      <c r="K134" s="56" t="s">
        <v>277</v>
      </c>
      <c r="L134" s="166" t="str">
        <f>K134</f>
        <v>-</v>
      </c>
      <c r="M134" s="178" t="s">
        <v>164</v>
      </c>
      <c r="N134" s="79"/>
      <c r="O134" s="79"/>
    </row>
    <row r="135" spans="1:15" ht="23.25" customHeight="1" x14ac:dyDescent="0.2">
      <c r="A135" s="179"/>
      <c r="B135" s="180"/>
      <c r="C135" s="181"/>
      <c r="D135" s="182" t="s">
        <v>278</v>
      </c>
      <c r="E135" s="40">
        <f t="shared" ref="E135:L135" si="6">+E126+E129</f>
        <v>0</v>
      </c>
      <c r="F135" s="40">
        <f t="shared" si="6"/>
        <v>0</v>
      </c>
      <c r="G135" s="40"/>
      <c r="H135" s="40">
        <f t="shared" si="6"/>
        <v>41929821</v>
      </c>
      <c r="I135" s="40">
        <f t="shared" si="6"/>
        <v>84979821</v>
      </c>
      <c r="J135" s="40">
        <f>J129+J126</f>
        <v>64352261</v>
      </c>
      <c r="K135" s="40">
        <f t="shared" si="6"/>
        <v>36050000</v>
      </c>
      <c r="L135" s="40">
        <f t="shared" si="6"/>
        <v>0</v>
      </c>
      <c r="M135" s="183"/>
      <c r="N135" s="79"/>
      <c r="O135" s="79"/>
    </row>
    <row r="136" spans="1:15" ht="18.75" customHeight="1" x14ac:dyDescent="0.2">
      <c r="B136" s="184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</row>
    <row r="137" spans="1:15" ht="15" x14ac:dyDescent="0.2">
      <c r="A137" s="1044" t="s">
        <v>279</v>
      </c>
      <c r="B137" s="1044"/>
      <c r="C137" s="1044"/>
      <c r="D137" s="1044"/>
      <c r="E137" s="1044"/>
      <c r="F137" s="1044"/>
      <c r="G137" s="1044"/>
      <c r="H137" s="1044"/>
      <c r="I137" s="1044"/>
      <c r="J137" s="1044"/>
      <c r="K137" s="1044"/>
      <c r="L137" s="1044"/>
      <c r="M137" s="1044"/>
      <c r="N137" s="79"/>
      <c r="O137" s="79"/>
    </row>
    <row r="138" spans="1:15" ht="87" x14ac:dyDescent="0.2">
      <c r="A138" s="84" t="s">
        <v>120</v>
      </c>
      <c r="B138" s="85" t="s">
        <v>121</v>
      </c>
      <c r="C138" s="85" t="s">
        <v>155</v>
      </c>
      <c r="D138" s="86" t="s">
        <v>123</v>
      </c>
      <c r="E138" s="1045" t="s">
        <v>156</v>
      </c>
      <c r="F138" s="1046"/>
      <c r="G138" s="1047"/>
      <c r="H138" s="1045" t="s">
        <v>157</v>
      </c>
      <c r="I138" s="1046"/>
      <c r="J138" s="1047"/>
      <c r="K138" s="1045" t="s">
        <v>114</v>
      </c>
      <c r="L138" s="1047"/>
      <c r="M138" s="157" t="s">
        <v>5</v>
      </c>
      <c r="N138" s="79"/>
      <c r="O138" s="79"/>
    </row>
    <row r="139" spans="1:15" ht="15" customHeight="1" x14ac:dyDescent="0.2">
      <c r="A139" s="1052" t="s">
        <v>122</v>
      </c>
      <c r="B139" s="1053"/>
      <c r="C139" s="1053"/>
      <c r="D139" s="1053"/>
      <c r="E139" s="1035" t="s">
        <v>158</v>
      </c>
      <c r="F139" s="1036"/>
      <c r="G139" s="1037"/>
      <c r="H139" s="1035" t="s">
        <v>159</v>
      </c>
      <c r="I139" s="1036"/>
      <c r="J139" s="1037"/>
      <c r="K139" s="158"/>
      <c r="L139" s="158"/>
      <c r="M139" s="159"/>
      <c r="N139" s="79"/>
      <c r="O139" s="79"/>
    </row>
    <row r="140" spans="1:15" ht="17.25" customHeight="1" x14ac:dyDescent="0.2">
      <c r="A140" s="1050" t="s">
        <v>190</v>
      </c>
      <c r="B140" s="1051"/>
      <c r="C140" s="1051"/>
      <c r="D140" s="107" t="s">
        <v>280</v>
      </c>
      <c r="E140" s="160">
        <f t="shared" ref="E140:L140" si="7">SUM(E141:E142)</f>
        <v>0</v>
      </c>
      <c r="F140" s="160">
        <f t="shared" si="7"/>
        <v>0</v>
      </c>
      <c r="G140" s="160"/>
      <c r="H140" s="160">
        <f t="shared" si="7"/>
        <v>6000000</v>
      </c>
      <c r="I140" s="160">
        <f>I141</f>
        <v>18000000</v>
      </c>
      <c r="J140" s="160">
        <f>J141</f>
        <v>18000000</v>
      </c>
      <c r="K140" s="160">
        <f t="shared" si="7"/>
        <v>6000000</v>
      </c>
      <c r="L140" s="160">
        <f t="shared" si="7"/>
        <v>0</v>
      </c>
      <c r="M140" s="161"/>
      <c r="N140" s="79"/>
      <c r="O140" s="79"/>
    </row>
    <row r="141" spans="1:15" ht="20.25" customHeight="1" x14ac:dyDescent="0.2">
      <c r="A141" s="121" t="s">
        <v>15</v>
      </c>
      <c r="B141" s="185" t="s">
        <v>281</v>
      </c>
      <c r="C141" s="186"/>
      <c r="D141" s="187" t="s">
        <v>282</v>
      </c>
      <c r="E141" s="188">
        <v>0</v>
      </c>
      <c r="F141" s="188">
        <f>E141</f>
        <v>0</v>
      </c>
      <c r="G141" s="188"/>
      <c r="H141" s="189">
        <v>6000000</v>
      </c>
      <c r="I141" s="190">
        <v>18000000</v>
      </c>
      <c r="J141" s="190">
        <v>18000000</v>
      </c>
      <c r="K141" s="190">
        <v>6000000</v>
      </c>
      <c r="L141" s="190">
        <f>K141-6000000</f>
        <v>0</v>
      </c>
      <c r="M141" s="191" t="s">
        <v>164</v>
      </c>
      <c r="N141" s="79"/>
      <c r="O141" s="79"/>
    </row>
    <row r="142" spans="1:15" x14ac:dyDescent="0.2">
      <c r="B142" s="184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</row>
    <row r="143" spans="1:15" x14ac:dyDescent="0.2">
      <c r="B143" s="184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</row>
    <row r="144" spans="1:15" ht="15" x14ac:dyDescent="0.2">
      <c r="A144" s="1044" t="s">
        <v>1405</v>
      </c>
      <c r="B144" s="1044"/>
      <c r="C144" s="1044"/>
      <c r="D144" s="1044"/>
      <c r="E144" s="1044"/>
      <c r="F144" s="1044"/>
      <c r="G144" s="1044"/>
      <c r="H144" s="1044"/>
      <c r="I144" s="1044"/>
      <c r="J144" s="1044"/>
      <c r="K144" s="1044"/>
      <c r="L144" s="1044"/>
      <c r="M144" s="1044"/>
      <c r="N144" s="79"/>
      <c r="O144" s="79"/>
    </row>
    <row r="145" spans="1:15" ht="87" x14ac:dyDescent="0.2">
      <c r="A145" s="84" t="s">
        <v>120</v>
      </c>
      <c r="B145" s="85" t="s">
        <v>121</v>
      </c>
      <c r="C145" s="85" t="s">
        <v>155</v>
      </c>
      <c r="D145" s="86" t="s">
        <v>123</v>
      </c>
      <c r="E145" s="1045" t="s">
        <v>156</v>
      </c>
      <c r="F145" s="1046"/>
      <c r="G145" s="1047"/>
      <c r="H145" s="1045" t="s">
        <v>157</v>
      </c>
      <c r="I145" s="1046"/>
      <c r="J145" s="1047"/>
      <c r="K145" s="1045" t="s">
        <v>114</v>
      </c>
      <c r="L145" s="1047"/>
      <c r="M145" s="157" t="s">
        <v>5</v>
      </c>
      <c r="N145" s="79"/>
      <c r="O145" s="79"/>
    </row>
    <row r="146" spans="1:15" ht="17.25" customHeight="1" x14ac:dyDescent="0.2">
      <c r="A146" s="1048" t="s">
        <v>122</v>
      </c>
      <c r="B146" s="1049"/>
      <c r="C146" s="1049"/>
      <c r="D146" s="1049"/>
      <c r="E146" s="1035" t="s">
        <v>158</v>
      </c>
      <c r="F146" s="1036"/>
      <c r="G146" s="1037"/>
      <c r="H146" s="1035" t="s">
        <v>159</v>
      </c>
      <c r="I146" s="1036"/>
      <c r="J146" s="1037"/>
      <c r="K146" s="158"/>
      <c r="L146" s="158"/>
      <c r="M146" s="159"/>
      <c r="N146" s="79"/>
      <c r="O146" s="79"/>
    </row>
    <row r="147" spans="1:15" s="747" customFormat="1" ht="31.5" customHeight="1" x14ac:dyDescent="0.2">
      <c r="A147" s="1041" t="s">
        <v>283</v>
      </c>
      <c r="B147" s="1042"/>
      <c r="C147" s="1043"/>
      <c r="D147" s="742" t="s">
        <v>284</v>
      </c>
      <c r="E147" s="743">
        <f>SUM(E148:E150)</f>
        <v>0</v>
      </c>
      <c r="F147" s="743"/>
      <c r="G147" s="743"/>
      <c r="H147" s="743">
        <f>SUM(H148:H150)</f>
        <v>0</v>
      </c>
      <c r="I147" s="743">
        <f>SUM(I148:I150)</f>
        <v>0</v>
      </c>
      <c r="J147" s="743"/>
      <c r="K147" s="743"/>
      <c r="L147" s="744"/>
      <c r="M147" s="745"/>
      <c r="N147" s="746"/>
      <c r="O147" s="746"/>
    </row>
    <row r="148" spans="1:15" s="747" customFormat="1" ht="18" customHeight="1" x14ac:dyDescent="0.2">
      <c r="A148" s="748" t="s">
        <v>15</v>
      </c>
      <c r="B148" s="749" t="s">
        <v>285</v>
      </c>
      <c r="C148" s="750"/>
      <c r="D148" s="751" t="s">
        <v>286</v>
      </c>
      <c r="E148" s="752"/>
      <c r="F148" s="753"/>
      <c r="G148" s="753"/>
      <c r="H148" s="752"/>
      <c r="I148" s="753">
        <v>0</v>
      </c>
      <c r="J148" s="753"/>
      <c r="K148" s="752"/>
      <c r="L148" s="752"/>
      <c r="M148" s="754" t="s">
        <v>11</v>
      </c>
      <c r="N148" s="746"/>
      <c r="O148" s="746"/>
    </row>
    <row r="149" spans="1:15" s="747" customFormat="1" ht="18" customHeight="1" x14ac:dyDescent="0.2">
      <c r="A149" s="755" t="s">
        <v>16</v>
      </c>
      <c r="B149" s="756" t="s">
        <v>287</v>
      </c>
      <c r="C149" s="757"/>
      <c r="D149" s="758" t="s">
        <v>288</v>
      </c>
      <c r="E149" s="759"/>
      <c r="F149" s="760"/>
      <c r="G149" s="760"/>
      <c r="H149" s="759"/>
      <c r="I149" s="753">
        <v>0</v>
      </c>
      <c r="J149" s="753"/>
      <c r="K149" s="759"/>
      <c r="L149" s="759"/>
      <c r="M149" s="761" t="s">
        <v>11</v>
      </c>
      <c r="N149" s="746"/>
      <c r="O149" s="746"/>
    </row>
    <row r="150" spans="1:15" s="747" customFormat="1" ht="18" customHeight="1" x14ac:dyDescent="0.2">
      <c r="A150" s="762" t="s">
        <v>17</v>
      </c>
      <c r="B150" s="763" t="s">
        <v>289</v>
      </c>
      <c r="C150" s="764"/>
      <c r="D150" s="765" t="s">
        <v>290</v>
      </c>
      <c r="E150" s="766"/>
      <c r="F150" s="767"/>
      <c r="G150" s="767"/>
      <c r="H150" s="766"/>
      <c r="I150" s="753">
        <v>0</v>
      </c>
      <c r="J150" s="768"/>
      <c r="K150" s="766"/>
      <c r="L150" s="766"/>
      <c r="M150" s="769" t="s">
        <v>11</v>
      </c>
      <c r="N150" s="746"/>
      <c r="O150" s="746"/>
    </row>
    <row r="151" spans="1:15" s="747" customFormat="1" ht="32.25" customHeight="1" x14ac:dyDescent="0.2">
      <c r="A151" s="1041" t="s">
        <v>291</v>
      </c>
      <c r="B151" s="1042"/>
      <c r="C151" s="1043"/>
      <c r="D151" s="742" t="s">
        <v>292</v>
      </c>
      <c r="E151" s="743">
        <f>SUM(E152:E154)</f>
        <v>0</v>
      </c>
      <c r="F151" s="743"/>
      <c r="G151" s="743"/>
      <c r="H151" s="743">
        <f>SUM(H152:H154)</f>
        <v>0</v>
      </c>
      <c r="I151" s="743">
        <f>SUM(I152:I154)</f>
        <v>0</v>
      </c>
      <c r="J151" s="743"/>
      <c r="K151" s="743"/>
      <c r="L151" s="743"/>
      <c r="M151" s="770"/>
      <c r="N151" s="746"/>
      <c r="O151" s="746"/>
    </row>
    <row r="152" spans="1:15" s="747" customFormat="1" ht="18" customHeight="1" x14ac:dyDescent="0.2">
      <c r="A152" s="748" t="s">
        <v>15</v>
      </c>
      <c r="B152" s="749" t="s">
        <v>293</v>
      </c>
      <c r="C152" s="750"/>
      <c r="D152" s="751" t="s">
        <v>286</v>
      </c>
      <c r="E152" s="752"/>
      <c r="F152" s="753"/>
      <c r="G152" s="753"/>
      <c r="H152" s="752"/>
      <c r="I152" s="752"/>
      <c r="J152" s="752"/>
      <c r="K152" s="752"/>
      <c r="L152" s="752"/>
      <c r="M152" s="754" t="s">
        <v>11</v>
      </c>
      <c r="N152" s="746"/>
      <c r="O152" s="746"/>
    </row>
    <row r="153" spans="1:15" s="747" customFormat="1" ht="18" customHeight="1" x14ac:dyDescent="0.2">
      <c r="A153" s="748" t="s">
        <v>16</v>
      </c>
      <c r="B153" s="749" t="s">
        <v>294</v>
      </c>
      <c r="C153" s="757"/>
      <c r="D153" s="758" t="s">
        <v>288</v>
      </c>
      <c r="E153" s="759"/>
      <c r="F153" s="760"/>
      <c r="G153" s="760"/>
      <c r="H153" s="759"/>
      <c r="I153" s="759"/>
      <c r="J153" s="759"/>
      <c r="K153" s="759"/>
      <c r="L153" s="759"/>
      <c r="M153" s="761" t="s">
        <v>11</v>
      </c>
      <c r="N153" s="746"/>
      <c r="O153" s="746"/>
    </row>
    <row r="154" spans="1:15" s="747" customFormat="1" ht="18" customHeight="1" x14ac:dyDescent="0.2">
      <c r="A154" s="771" t="s">
        <v>17</v>
      </c>
      <c r="B154" s="772" t="s">
        <v>295</v>
      </c>
      <c r="C154" s="764"/>
      <c r="D154" s="765" t="s">
        <v>290</v>
      </c>
      <c r="E154" s="766"/>
      <c r="F154" s="767"/>
      <c r="G154" s="767"/>
      <c r="H154" s="766"/>
      <c r="I154" s="766"/>
      <c r="J154" s="766"/>
      <c r="K154" s="766"/>
      <c r="L154" s="766"/>
      <c r="M154" s="769" t="s">
        <v>11</v>
      </c>
      <c r="N154" s="746"/>
      <c r="O154" s="746"/>
    </row>
    <row r="155" spans="1:15" s="747" customFormat="1" ht="24" customHeight="1" x14ac:dyDescent="0.2">
      <c r="A155" s="1041" t="s">
        <v>296</v>
      </c>
      <c r="B155" s="1042"/>
      <c r="C155" s="1043"/>
      <c r="D155" s="773" t="s">
        <v>297</v>
      </c>
      <c r="E155" s="743">
        <f>E156</f>
        <v>0</v>
      </c>
      <c r="F155" s="743"/>
      <c r="G155" s="743"/>
      <c r="H155" s="743">
        <f>H156</f>
        <v>0</v>
      </c>
      <c r="I155" s="743">
        <f>I156</f>
        <v>0</v>
      </c>
      <c r="J155" s="743"/>
      <c r="K155" s="743"/>
      <c r="L155" s="743"/>
      <c r="M155" s="774"/>
      <c r="N155" s="746"/>
      <c r="O155" s="746"/>
    </row>
    <row r="156" spans="1:15" s="747" customFormat="1" ht="18" customHeight="1" x14ac:dyDescent="0.2">
      <c r="A156" s="775" t="s">
        <v>15</v>
      </c>
      <c r="B156" s="776" t="s">
        <v>298</v>
      </c>
      <c r="C156" s="777"/>
      <c r="D156" s="778" t="s">
        <v>299</v>
      </c>
      <c r="E156" s="779"/>
      <c r="F156" s="780"/>
      <c r="G156" s="780"/>
      <c r="H156" s="779"/>
      <c r="I156" s="779"/>
      <c r="J156" s="779"/>
      <c r="K156" s="779"/>
      <c r="L156" s="779"/>
      <c r="M156" s="781" t="s">
        <v>11</v>
      </c>
      <c r="N156" s="746"/>
      <c r="O156" s="746"/>
    </row>
    <row r="157" spans="1:15" s="747" customFormat="1" x14ac:dyDescent="0.2">
      <c r="B157" s="782"/>
      <c r="E157" s="746"/>
      <c r="F157" s="746"/>
      <c r="G157" s="746"/>
      <c r="H157" s="746"/>
      <c r="I157" s="746"/>
      <c r="J157" s="746"/>
      <c r="K157" s="746"/>
      <c r="L157" s="746"/>
      <c r="M157" s="746"/>
      <c r="N157" s="746"/>
      <c r="O157" s="746"/>
    </row>
    <row r="158" spans="1:15" x14ac:dyDescent="0.2">
      <c r="B158" s="184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</row>
    <row r="159" spans="1:15" s="156" customFormat="1" ht="22.5" customHeight="1" x14ac:dyDescent="0.25">
      <c r="A159" s="1044" t="s">
        <v>300</v>
      </c>
      <c r="B159" s="1044"/>
      <c r="C159" s="1044"/>
      <c r="D159" s="1044"/>
      <c r="E159" s="1044"/>
      <c r="F159" s="1044"/>
      <c r="G159" s="1044"/>
      <c r="H159" s="1044"/>
      <c r="I159" s="1044"/>
      <c r="J159" s="1044"/>
      <c r="K159" s="1044"/>
      <c r="L159" s="1044"/>
      <c r="M159" s="1044"/>
      <c r="N159" s="155"/>
      <c r="O159" s="155"/>
    </row>
    <row r="160" spans="1:15" ht="92.25" customHeight="1" x14ac:dyDescent="0.2">
      <c r="A160" s="84" t="s">
        <v>120</v>
      </c>
      <c r="B160" s="85" t="s">
        <v>121</v>
      </c>
      <c r="C160" s="85" t="s">
        <v>155</v>
      </c>
      <c r="D160" s="86" t="s">
        <v>123</v>
      </c>
      <c r="E160" s="1045" t="s">
        <v>156</v>
      </c>
      <c r="F160" s="1046"/>
      <c r="G160" s="1047"/>
      <c r="H160" s="1045" t="s">
        <v>157</v>
      </c>
      <c r="I160" s="1046"/>
      <c r="J160" s="1047"/>
      <c r="K160" s="1045" t="s">
        <v>129</v>
      </c>
      <c r="L160" s="1047"/>
      <c r="M160" s="157" t="s">
        <v>5</v>
      </c>
    </row>
    <row r="161" spans="1:15" ht="18" customHeight="1" x14ac:dyDescent="0.2">
      <c r="A161" s="1033" t="s">
        <v>122</v>
      </c>
      <c r="B161" s="1034"/>
      <c r="C161" s="1034"/>
      <c r="D161" s="1034"/>
      <c r="E161" s="1035" t="s">
        <v>158</v>
      </c>
      <c r="F161" s="1036"/>
      <c r="G161" s="1037"/>
      <c r="H161" s="1035" t="s">
        <v>159</v>
      </c>
      <c r="I161" s="1036"/>
      <c r="J161" s="1037"/>
      <c r="K161" s="729"/>
      <c r="L161" s="729"/>
      <c r="M161" s="88"/>
      <c r="N161" s="79"/>
      <c r="O161" s="79"/>
    </row>
    <row r="162" spans="1:15" ht="19.5" customHeight="1" x14ac:dyDescent="0.2">
      <c r="A162" s="43" t="s">
        <v>15</v>
      </c>
      <c r="B162" s="193" t="s">
        <v>301</v>
      </c>
      <c r="C162" s="163"/>
      <c r="D162" s="45" t="s">
        <v>302</v>
      </c>
      <c r="E162" s="47">
        <f>2000000-1000000</f>
        <v>1000000</v>
      </c>
      <c r="F162" s="47">
        <f>E162+1000000</f>
        <v>2000000</v>
      </c>
      <c r="G162" s="47">
        <v>2000000</v>
      </c>
      <c r="H162" s="174">
        <v>0</v>
      </c>
      <c r="I162" s="174">
        <f>H162</f>
        <v>0</v>
      </c>
      <c r="J162" s="174"/>
      <c r="K162" s="47">
        <v>1000000</v>
      </c>
      <c r="L162" s="48">
        <f>K162-1000000</f>
        <v>0</v>
      </c>
      <c r="M162" s="54" t="s">
        <v>164</v>
      </c>
      <c r="N162" s="79"/>
      <c r="O162" s="79"/>
    </row>
    <row r="163" spans="1:15" ht="19.5" customHeight="1" x14ac:dyDescent="0.2">
      <c r="A163" s="100" t="s">
        <v>16</v>
      </c>
      <c r="B163" s="194" t="s">
        <v>301</v>
      </c>
      <c r="C163" s="176"/>
      <c r="D163" s="50" t="s">
        <v>303</v>
      </c>
      <c r="E163" s="52">
        <f>(15650000+700000)-8175000</f>
        <v>8175000</v>
      </c>
      <c r="F163" s="47">
        <f>E163+4375000</f>
        <v>12550000</v>
      </c>
      <c r="G163" s="47">
        <f>10367500+2182500</f>
        <v>12550000</v>
      </c>
      <c r="H163" s="174">
        <v>0</v>
      </c>
      <c r="I163" s="174">
        <f>H163</f>
        <v>0</v>
      </c>
      <c r="J163" s="174"/>
      <c r="K163" s="47">
        <v>8175000</v>
      </c>
      <c r="L163" s="48">
        <f>K163-4375000-2400000-1400000</f>
        <v>0</v>
      </c>
      <c r="M163" s="62" t="s">
        <v>164</v>
      </c>
      <c r="N163" s="79"/>
      <c r="O163" s="79"/>
    </row>
    <row r="164" spans="1:15" ht="19.5" customHeight="1" x14ac:dyDescent="0.2">
      <c r="A164" s="195" t="s">
        <v>17</v>
      </c>
      <c r="B164" s="196" t="s">
        <v>301</v>
      </c>
      <c r="C164" s="197"/>
      <c r="D164" s="198" t="s">
        <v>304</v>
      </c>
      <c r="E164" s="65">
        <f>2000000-1000000+1000000</f>
        <v>2000000</v>
      </c>
      <c r="F164" s="199">
        <f>E164+1000000</f>
        <v>3000000</v>
      </c>
      <c r="G164" s="199">
        <f>2500000+500000</f>
        <v>3000000</v>
      </c>
      <c r="H164" s="200">
        <v>0</v>
      </c>
      <c r="I164" s="200">
        <f>H164</f>
        <v>0</v>
      </c>
      <c r="J164" s="200"/>
      <c r="K164" s="199">
        <v>1000000</v>
      </c>
      <c r="L164" s="201">
        <f>K164-1000000</f>
        <v>0</v>
      </c>
      <c r="M164" s="202" t="s">
        <v>164</v>
      </c>
      <c r="N164" s="79"/>
      <c r="O164" s="79"/>
    </row>
    <row r="165" spans="1:15" s="42" customFormat="1" ht="22.5" customHeight="1" x14ac:dyDescent="0.2">
      <c r="A165" s="1038" t="s">
        <v>305</v>
      </c>
      <c r="B165" s="1039"/>
      <c r="C165" s="1039"/>
      <c r="D165" s="1039"/>
      <c r="E165" s="203">
        <f>SUM(E162:E164)</f>
        <v>11175000</v>
      </c>
      <c r="F165" s="204">
        <f t="shared" ref="F165:L165" si="8">SUM(F162:F164)</f>
        <v>17550000</v>
      </c>
      <c r="G165" s="204">
        <f>SUM(G162:G164)</f>
        <v>17550000</v>
      </c>
      <c r="H165" s="204">
        <f t="shared" si="8"/>
        <v>0</v>
      </c>
      <c r="I165" s="204">
        <f t="shared" si="8"/>
        <v>0</v>
      </c>
      <c r="J165" s="204"/>
      <c r="K165" s="204">
        <f t="shared" si="8"/>
        <v>10175000</v>
      </c>
      <c r="L165" s="204">
        <f t="shared" si="8"/>
        <v>0</v>
      </c>
      <c r="M165" s="205"/>
    </row>
    <row r="167" spans="1:15" ht="39.75" customHeight="1" x14ac:dyDescent="0.2">
      <c r="A167" s="1040" t="s">
        <v>306</v>
      </c>
      <c r="B167" s="1040"/>
      <c r="C167" s="1040"/>
      <c r="D167" s="1040"/>
      <c r="E167" s="206">
        <f>+E165+E135+E6+E17+E19+E22+E24+E140+E26+E155+E151+E147+E121+E31</f>
        <v>14245000</v>
      </c>
      <c r="F167" s="206">
        <f t="shared" ref="F167:H167" si="9">+F165+F135+F6+F17+F19+F22+F24+F140+F26+F155+F151+F147+F121+F31</f>
        <v>21790000</v>
      </c>
      <c r="G167" s="206">
        <f t="shared" si="9"/>
        <v>21730000</v>
      </c>
      <c r="H167" s="206">
        <f t="shared" si="9"/>
        <v>97088821</v>
      </c>
      <c r="I167" s="821">
        <f>+I165+I135+I6+I17+I19+I22+I24+I140+I26+I155+I151+I147+I121+I31+I38</f>
        <v>194912821</v>
      </c>
      <c r="J167" s="206">
        <f>+J165+J135+J6+J17+J19+J22+J24+J140+J26+J155+J151+J147+J121+J31+J38</f>
        <v>174023261</v>
      </c>
      <c r="K167" s="206">
        <f>+K165+K135+K6+K17+K19+K22+K24+K140+K26</f>
        <v>74700000</v>
      </c>
      <c r="L167" s="206">
        <f>+L165+L135+L6+L17+L19+L22+L24+L140+L26</f>
        <v>0</v>
      </c>
      <c r="M167" s="206">
        <f>+M165+M135+M6+M17+M19+M22+M24+M140</f>
        <v>0</v>
      </c>
      <c r="N167" s="207">
        <f>E167+H167</f>
        <v>111333821</v>
      </c>
      <c r="O167" s="207">
        <f>F167+I167</f>
        <v>216702821</v>
      </c>
    </row>
    <row r="168" spans="1:15" x14ac:dyDescent="0.2">
      <c r="J168" s="207">
        <f>+J167+G167</f>
        <v>195753261</v>
      </c>
    </row>
    <row r="169" spans="1:15" ht="33.75" customHeight="1" x14ac:dyDescent="0.2">
      <c r="G169" s="33">
        <f>14867500+4180000</f>
        <v>19047500</v>
      </c>
      <c r="J169" s="33">
        <f>+'1.3 sz.Önkormányzat 2017.B'!BW13</f>
        <v>195753261</v>
      </c>
    </row>
    <row r="170" spans="1:15" ht="18.75" customHeight="1" x14ac:dyDescent="0.2">
      <c r="J170" s="207">
        <f>+J168-J169</f>
        <v>0</v>
      </c>
    </row>
    <row r="171" spans="1:15" x14ac:dyDescent="0.2">
      <c r="M171" s="207">
        <f>174023261-J167</f>
        <v>0</v>
      </c>
    </row>
    <row r="173" spans="1:15" ht="18.75" customHeight="1" x14ac:dyDescent="0.2">
      <c r="L173" s="207">
        <f>+J167+G167</f>
        <v>195753261</v>
      </c>
    </row>
    <row r="174" spans="1:15" ht="18.75" customHeight="1" x14ac:dyDescent="0.2">
      <c r="J174" s="33">
        <v>1420</v>
      </c>
    </row>
    <row r="175" spans="1:15" ht="18.75" customHeight="1" x14ac:dyDescent="0.2"/>
    <row r="176" spans="1:15" ht="18.75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4" ht="21.75" customHeight="1" x14ac:dyDescent="0.2"/>
  </sheetData>
  <mergeCells count="66">
    <mergeCell ref="A26:C26"/>
    <mergeCell ref="A1:M1"/>
    <mergeCell ref="A3:D3"/>
    <mergeCell ref="M3:M4"/>
    <mergeCell ref="E4:G4"/>
    <mergeCell ref="H4:J4"/>
    <mergeCell ref="A5:D5"/>
    <mergeCell ref="E5:G5"/>
    <mergeCell ref="H5:J5"/>
    <mergeCell ref="A6:C6"/>
    <mergeCell ref="A17:C17"/>
    <mergeCell ref="A19:C19"/>
    <mergeCell ref="A22:C22"/>
    <mergeCell ref="A24:C24"/>
    <mergeCell ref="A57:C57"/>
    <mergeCell ref="A31:C31"/>
    <mergeCell ref="A42:M42"/>
    <mergeCell ref="A44:D44"/>
    <mergeCell ref="M44:M45"/>
    <mergeCell ref="E45:G45"/>
    <mergeCell ref="H45:J45"/>
    <mergeCell ref="A46:D46"/>
    <mergeCell ref="E46:G46"/>
    <mergeCell ref="H46:J46"/>
    <mergeCell ref="A47:C47"/>
    <mergeCell ref="A54:C54"/>
    <mergeCell ref="A38:C38"/>
    <mergeCell ref="A137:M137"/>
    <mergeCell ref="A68:C68"/>
    <mergeCell ref="A113:C113"/>
    <mergeCell ref="A121:D121"/>
    <mergeCell ref="A123:M123"/>
    <mergeCell ref="E124:G124"/>
    <mergeCell ref="H124:J124"/>
    <mergeCell ref="K124:L124"/>
    <mergeCell ref="A125:D125"/>
    <mergeCell ref="E125:G125"/>
    <mergeCell ref="H125:J125"/>
    <mergeCell ref="A126:C126"/>
    <mergeCell ref="A129:C129"/>
    <mergeCell ref="A146:D146"/>
    <mergeCell ref="E146:G146"/>
    <mergeCell ref="H146:J146"/>
    <mergeCell ref="E138:G138"/>
    <mergeCell ref="H138:J138"/>
    <mergeCell ref="A140:C140"/>
    <mergeCell ref="A144:M144"/>
    <mergeCell ref="E145:G145"/>
    <mergeCell ref="H145:J145"/>
    <mergeCell ref="K145:L145"/>
    <mergeCell ref="K138:L138"/>
    <mergeCell ref="A139:D139"/>
    <mergeCell ref="E139:G139"/>
    <mergeCell ref="H139:J139"/>
    <mergeCell ref="A147:C147"/>
    <mergeCell ref="A151:C151"/>
    <mergeCell ref="A155:C155"/>
    <mergeCell ref="A159:M159"/>
    <mergeCell ref="E160:G160"/>
    <mergeCell ref="H160:J160"/>
    <mergeCell ref="K160:L160"/>
    <mergeCell ref="A161:D161"/>
    <mergeCell ref="E161:G161"/>
    <mergeCell ref="H161:J161"/>
    <mergeCell ref="A165:D165"/>
    <mergeCell ref="A167:D167"/>
  </mergeCell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35" orientation="portrait" r:id="rId1"/>
  <headerFooter>
    <oddHeader>&amp;CDunaharaszti Város Önkormányzat 2017. évi zárszámadás&amp;R&amp;A</oddHeader>
    <oddFooter>&amp;C&amp;P/&amp;N</oddFooter>
  </headerFooter>
  <rowBreaks count="2" manualBreakCount="2">
    <brk id="94" max="10" man="1"/>
    <brk id="167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137"/>
  <sheetViews>
    <sheetView view="pageBreakPreview" zoomScale="50" zoomScaleNormal="90" zoomScaleSheetLayoutView="50" workbookViewId="0">
      <selection activeCell="O60" sqref="O60"/>
    </sheetView>
  </sheetViews>
  <sheetFormatPr defaultRowHeight="12.75" x14ac:dyDescent="0.2"/>
  <cols>
    <col min="1" max="1" width="5.7109375" style="120" customWidth="1"/>
    <col min="2" max="2" width="11.7109375" style="120" customWidth="1"/>
    <col min="3" max="3" width="53.28515625" style="120" customWidth="1"/>
    <col min="4" max="4" width="6.5703125" style="1207" customWidth="1"/>
    <col min="5" max="6" width="16.42578125" style="120" customWidth="1"/>
    <col min="7" max="7" width="17.28515625" style="120" customWidth="1"/>
    <col min="8" max="10" width="17.5703125" style="120" customWidth="1"/>
    <col min="11" max="13" width="17.7109375" style="120" customWidth="1"/>
    <col min="14" max="16" width="14.7109375" style="120" customWidth="1"/>
    <col min="17" max="19" width="15.28515625" style="120" customWidth="1"/>
    <col min="20" max="22" width="17.5703125" style="120" customWidth="1"/>
    <col min="23" max="23" width="16.42578125" style="1208" customWidth="1"/>
    <col min="24" max="24" width="16.85546875" style="120" customWidth="1"/>
    <col min="25" max="25" width="14.85546875" style="120" customWidth="1"/>
    <col min="26" max="26" width="13.5703125" style="120" customWidth="1"/>
    <col min="27" max="28" width="16.140625" style="120" customWidth="1"/>
    <col min="29" max="29" width="14.85546875" style="120" customWidth="1"/>
    <col min="30" max="31" width="9.28515625" style="120" bestFit="1" customWidth="1"/>
    <col min="32" max="32" width="13" style="120" customWidth="1"/>
    <col min="33" max="33" width="9.28515625" style="120" bestFit="1" customWidth="1"/>
    <col min="34" max="35" width="13.140625" style="120" bestFit="1" customWidth="1"/>
    <col min="36" max="36" width="11.85546875" style="120" bestFit="1" customWidth="1"/>
    <col min="37" max="16384" width="9.140625" style="120"/>
  </cols>
  <sheetData>
    <row r="1" spans="1:36" ht="31.5" customHeight="1" x14ac:dyDescent="0.2">
      <c r="A1" s="1205" t="s">
        <v>307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  <c r="P1" s="1205"/>
      <c r="Q1" s="1205"/>
      <c r="R1" s="1205"/>
      <c r="S1" s="1205"/>
      <c r="T1" s="1205"/>
      <c r="U1" s="1205"/>
      <c r="V1" s="1206"/>
      <c r="W1" s="1205" t="s">
        <v>307</v>
      </c>
      <c r="X1" s="1205"/>
      <c r="Y1" s="1205"/>
      <c r="Z1" s="1205"/>
      <c r="AA1" s="1205"/>
      <c r="AB1" s="1205"/>
      <c r="AC1" s="1205"/>
    </row>
    <row r="2" spans="1:36" ht="30.75" customHeight="1" x14ac:dyDescent="0.2">
      <c r="U2" s="210" t="s">
        <v>0</v>
      </c>
      <c r="V2" s="210"/>
      <c r="AC2" s="210" t="s">
        <v>0</v>
      </c>
    </row>
    <row r="3" spans="1:36" ht="30.75" customHeight="1" x14ac:dyDescent="0.2">
      <c r="A3" s="1209"/>
      <c r="B3" s="1209"/>
      <c r="C3" s="1209"/>
      <c r="D3" s="1209"/>
      <c r="E3" s="1210" t="s">
        <v>154</v>
      </c>
      <c r="F3" s="1210" t="s">
        <v>7</v>
      </c>
      <c r="G3" s="1210" t="s">
        <v>788</v>
      </c>
      <c r="H3" s="1210" t="s">
        <v>154</v>
      </c>
      <c r="I3" s="1210" t="s">
        <v>7</v>
      </c>
      <c r="J3" s="1210" t="s">
        <v>788</v>
      </c>
      <c r="K3" s="1210" t="s">
        <v>154</v>
      </c>
      <c r="L3" s="1210" t="s">
        <v>7</v>
      </c>
      <c r="M3" s="1210" t="s">
        <v>788</v>
      </c>
      <c r="N3" s="1210" t="s">
        <v>154</v>
      </c>
      <c r="O3" s="1210" t="s">
        <v>7</v>
      </c>
      <c r="P3" s="1210" t="s">
        <v>788</v>
      </c>
      <c r="Q3" s="1210" t="s">
        <v>154</v>
      </c>
      <c r="R3" s="1210" t="s">
        <v>7</v>
      </c>
      <c r="S3" s="1210" t="s">
        <v>788</v>
      </c>
      <c r="T3" s="1210" t="s">
        <v>154</v>
      </c>
      <c r="U3" s="1210" t="s">
        <v>7</v>
      </c>
      <c r="V3" s="1211" t="s">
        <v>788</v>
      </c>
      <c r="W3" s="1212" t="s">
        <v>308</v>
      </c>
      <c r="X3" s="1213"/>
      <c r="Y3" s="1213"/>
      <c r="Z3" s="1213"/>
      <c r="AA3" s="1214" t="s">
        <v>154</v>
      </c>
      <c r="AB3" s="1214" t="s">
        <v>7</v>
      </c>
      <c r="AC3" s="1094" t="s">
        <v>5</v>
      </c>
    </row>
    <row r="4" spans="1:36" ht="23.25" customHeight="1" x14ac:dyDescent="0.2">
      <c r="A4" s="1215" t="s">
        <v>309</v>
      </c>
      <c r="B4" s="1215" t="s">
        <v>155</v>
      </c>
      <c r="C4" s="1215" t="s">
        <v>123</v>
      </c>
      <c r="D4" s="1215" t="s">
        <v>310</v>
      </c>
      <c r="E4" s="1216" t="s">
        <v>794</v>
      </c>
      <c r="F4" s="1217"/>
      <c r="G4" s="1112"/>
      <c r="H4" s="1216" t="s">
        <v>312</v>
      </c>
      <c r="I4" s="1217" t="s">
        <v>312</v>
      </c>
      <c r="J4" s="1112"/>
      <c r="K4" s="1216" t="s">
        <v>313</v>
      </c>
      <c r="L4" s="1217" t="s">
        <v>313</v>
      </c>
      <c r="M4" s="1112"/>
      <c r="N4" s="1216" t="s">
        <v>314</v>
      </c>
      <c r="O4" s="1217" t="s">
        <v>314</v>
      </c>
      <c r="P4" s="1112"/>
      <c r="Q4" s="1216" t="s">
        <v>315</v>
      </c>
      <c r="R4" s="1217" t="s">
        <v>315</v>
      </c>
      <c r="S4" s="1112"/>
      <c r="T4" s="1216" t="s">
        <v>316</v>
      </c>
      <c r="U4" s="1217" t="s">
        <v>316</v>
      </c>
      <c r="V4" s="1112"/>
      <c r="W4" s="1218"/>
      <c r="X4" s="1219"/>
      <c r="Y4" s="1219"/>
      <c r="Z4" s="1219"/>
      <c r="AA4" s="1220" t="s">
        <v>317</v>
      </c>
      <c r="AB4" s="1221"/>
      <c r="AC4" s="1095"/>
    </row>
    <row r="5" spans="1:36" ht="78.75" customHeight="1" x14ac:dyDescent="0.2">
      <c r="A5" s="1215"/>
      <c r="B5" s="1215"/>
      <c r="C5" s="1215"/>
      <c r="D5" s="1215"/>
      <c r="E5" s="1222"/>
      <c r="F5" s="1223"/>
      <c r="G5" s="1114"/>
      <c r="H5" s="1222"/>
      <c r="I5" s="1223"/>
      <c r="J5" s="1114"/>
      <c r="K5" s="1222"/>
      <c r="L5" s="1223"/>
      <c r="M5" s="1114"/>
      <c r="N5" s="1222"/>
      <c r="O5" s="1223"/>
      <c r="P5" s="1114"/>
      <c r="Q5" s="1222"/>
      <c r="R5" s="1223"/>
      <c r="S5" s="1114"/>
      <c r="T5" s="1222"/>
      <c r="U5" s="1223"/>
      <c r="V5" s="1114"/>
      <c r="W5" s="1224" t="s">
        <v>318</v>
      </c>
      <c r="X5" s="1225" t="s">
        <v>319</v>
      </c>
      <c r="Y5" s="1226" t="s">
        <v>320</v>
      </c>
      <c r="Z5" s="1225" t="s">
        <v>321</v>
      </c>
      <c r="AA5" s="1226" t="s">
        <v>114</v>
      </c>
      <c r="AB5" s="1226" t="s">
        <v>114</v>
      </c>
      <c r="AC5" s="1095"/>
    </row>
    <row r="6" spans="1:36" ht="19.5" customHeight="1" x14ac:dyDescent="0.2">
      <c r="A6" s="1227" t="s">
        <v>10</v>
      </c>
      <c r="B6" s="1227"/>
      <c r="C6" s="1227"/>
      <c r="D6" s="1227"/>
      <c r="E6" s="1227"/>
      <c r="F6" s="1228"/>
      <c r="G6" s="1228"/>
      <c r="H6" s="1229" t="s">
        <v>322</v>
      </c>
      <c r="I6" s="1229"/>
      <c r="J6" s="1230"/>
      <c r="K6" s="1231" t="s">
        <v>323</v>
      </c>
      <c r="L6" s="1229"/>
      <c r="M6" s="1230"/>
      <c r="N6" s="1231" t="s">
        <v>324</v>
      </c>
      <c r="O6" s="1229"/>
      <c r="P6" s="1230"/>
      <c r="Q6" s="1231" t="s">
        <v>325</v>
      </c>
      <c r="R6" s="1229"/>
      <c r="S6" s="1230"/>
      <c r="T6" s="1231" t="s">
        <v>326</v>
      </c>
      <c r="U6" s="1229"/>
      <c r="V6" s="1232"/>
      <c r="W6" s="1233"/>
      <c r="X6" s="1234"/>
      <c r="Y6" s="1235"/>
      <c r="Z6" s="1234"/>
      <c r="AA6" s="1235"/>
      <c r="AB6" s="1235"/>
      <c r="AC6" s="1096"/>
    </row>
    <row r="7" spans="1:36" s="118" customFormat="1" ht="21" customHeight="1" x14ac:dyDescent="0.2">
      <c r="A7" s="1236" t="s">
        <v>327</v>
      </c>
      <c r="B7" s="107"/>
      <c r="C7" s="107"/>
      <c r="D7" s="107"/>
      <c r="E7" s="1237">
        <f>SUM(E8:E9)</f>
        <v>400050</v>
      </c>
      <c r="F7" s="1237">
        <f t="shared" ref="F7:V7" si="0">SUM(F8:F9)</f>
        <v>304029281</v>
      </c>
      <c r="G7" s="1237">
        <f t="shared" si="0"/>
        <v>12155706</v>
      </c>
      <c r="H7" s="1237">
        <f t="shared" si="0"/>
        <v>0</v>
      </c>
      <c r="I7" s="1237">
        <f t="shared" si="0"/>
        <v>0</v>
      </c>
      <c r="J7" s="1237">
        <f t="shared" si="0"/>
        <v>0</v>
      </c>
      <c r="K7" s="1237">
        <f t="shared" si="0"/>
        <v>315354</v>
      </c>
      <c r="L7" s="1237">
        <f t="shared" si="0"/>
        <v>238392948</v>
      </c>
      <c r="M7" s="1237">
        <f t="shared" si="0"/>
        <v>9577800</v>
      </c>
      <c r="N7" s="1237">
        <f t="shared" si="0"/>
        <v>0</v>
      </c>
      <c r="O7" s="1237">
        <f t="shared" si="0"/>
        <v>1700787</v>
      </c>
      <c r="P7" s="1237">
        <f t="shared" si="0"/>
        <v>0</v>
      </c>
      <c r="Q7" s="1237">
        <f t="shared" si="0"/>
        <v>0</v>
      </c>
      <c r="R7" s="1237">
        <f t="shared" si="0"/>
        <v>45669291</v>
      </c>
      <c r="S7" s="1237">
        <f t="shared" si="0"/>
        <v>0</v>
      </c>
      <c r="T7" s="1237">
        <f t="shared" si="0"/>
        <v>84696</v>
      </c>
      <c r="U7" s="1237">
        <f t="shared" si="0"/>
        <v>18266255</v>
      </c>
      <c r="V7" s="1237">
        <f t="shared" si="0"/>
        <v>2577906</v>
      </c>
      <c r="W7" s="1238">
        <f>SUM(W8:W9)</f>
        <v>400050</v>
      </c>
      <c r="X7" s="1238">
        <f t="shared" ref="X7:AB7" si="1">SUM(X8:X9)</f>
        <v>304029281</v>
      </c>
      <c r="Y7" s="1239">
        <f t="shared" si="1"/>
        <v>0</v>
      </c>
      <c r="Z7" s="1239">
        <f t="shared" si="1"/>
        <v>0</v>
      </c>
      <c r="AA7" s="1239">
        <f t="shared" si="1"/>
        <v>0</v>
      </c>
      <c r="AB7" s="1239">
        <f t="shared" si="1"/>
        <v>0</v>
      </c>
      <c r="AC7" s="221"/>
      <c r="AD7" s="118">
        <f>+W7+X7+Z7+AA7</f>
        <v>304429331</v>
      </c>
      <c r="AE7" s="118">
        <f>+E7-AD7</f>
        <v>-304029281</v>
      </c>
      <c r="AF7" s="825" t="e">
        <f>+#REF!+#REF!+#REF!+#REF!+#REF!</f>
        <v>#REF!</v>
      </c>
      <c r="AG7" s="825" t="e">
        <f>+AF7-#REF!</f>
        <v>#REF!</v>
      </c>
      <c r="AH7" s="825"/>
      <c r="AI7" s="825"/>
      <c r="AJ7" s="825"/>
    </row>
    <row r="8" spans="1:36" s="118" customFormat="1" ht="16.5" customHeight="1" x14ac:dyDescent="0.2">
      <c r="A8" s="1240">
        <v>108</v>
      </c>
      <c r="B8" s="1241" t="s">
        <v>408</v>
      </c>
      <c r="C8" s="1242" t="s">
        <v>1299</v>
      </c>
      <c r="D8" s="1243">
        <v>7040</v>
      </c>
      <c r="E8" s="1244"/>
      <c r="F8" s="1244">
        <v>2160000</v>
      </c>
      <c r="G8" s="1244"/>
      <c r="H8" s="1244"/>
      <c r="I8" s="1244"/>
      <c r="J8" s="1244"/>
      <c r="K8" s="1244"/>
      <c r="L8" s="1244"/>
      <c r="M8" s="1244"/>
      <c r="N8" s="1244"/>
      <c r="O8" s="1244">
        <v>1700787</v>
      </c>
      <c r="P8" s="1244"/>
      <c r="Q8" s="1244"/>
      <c r="R8" s="1245">
        <v>0</v>
      </c>
      <c r="S8" s="1245"/>
      <c r="T8" s="1244"/>
      <c r="U8" s="1244">
        <v>459213</v>
      </c>
      <c r="V8" s="1244"/>
      <c r="W8" s="1246"/>
      <c r="X8" s="1247">
        <v>2160000</v>
      </c>
      <c r="Y8" s="1248"/>
      <c r="Z8" s="1248"/>
      <c r="AA8" s="1248"/>
      <c r="AB8" s="1249"/>
      <c r="AC8" s="260" t="s">
        <v>11</v>
      </c>
      <c r="AF8" s="825"/>
      <c r="AG8" s="825"/>
      <c r="AH8" s="825"/>
      <c r="AI8" s="825"/>
      <c r="AJ8" s="825"/>
    </row>
    <row r="9" spans="1:36" s="118" customFormat="1" ht="31.5" customHeight="1" x14ac:dyDescent="0.2">
      <c r="A9" s="802" t="s">
        <v>383</v>
      </c>
      <c r="B9" s="741" t="s">
        <v>384</v>
      </c>
      <c r="C9" s="251" t="s">
        <v>385</v>
      </c>
      <c r="D9" s="152">
        <v>6033</v>
      </c>
      <c r="E9" s="242">
        <v>400050</v>
      </c>
      <c r="F9" s="242">
        <v>301869281</v>
      </c>
      <c r="G9" s="242">
        <f t="shared" ref="G9" si="2">+J9+M9+P9+S9+V9</f>
        <v>12155706</v>
      </c>
      <c r="H9" s="242"/>
      <c r="I9" s="242">
        <f t="shared" ref="I9" si="3">H9</f>
        <v>0</v>
      </c>
      <c r="J9" s="242"/>
      <c r="K9" s="242">
        <v>315354</v>
      </c>
      <c r="L9" s="242">
        <v>238392948</v>
      </c>
      <c r="M9" s="242">
        <v>9577800</v>
      </c>
      <c r="N9" s="242"/>
      <c r="O9" s="242">
        <f t="shared" ref="O9" si="4">N9</f>
        <v>0</v>
      </c>
      <c r="P9" s="242"/>
      <c r="Q9" s="242"/>
      <c r="R9" s="252">
        <v>45669291</v>
      </c>
      <c r="S9" s="252"/>
      <c r="T9" s="252">
        <v>84696</v>
      </c>
      <c r="U9" s="243">
        <v>17807042</v>
      </c>
      <c r="V9" s="568">
        <v>2577906</v>
      </c>
      <c r="W9" s="253">
        <f>E9</f>
        <v>400050</v>
      </c>
      <c r="X9" s="65">
        <v>301869281</v>
      </c>
      <c r="Y9" s="254"/>
      <c r="Z9" s="254"/>
      <c r="AA9" s="65"/>
      <c r="AB9" s="864">
        <f>AA9</f>
        <v>0</v>
      </c>
      <c r="AC9" s="243" t="s">
        <v>11</v>
      </c>
      <c r="AF9" s="825"/>
      <c r="AG9" s="825"/>
      <c r="AH9" s="825"/>
      <c r="AI9" s="825"/>
      <c r="AJ9" s="825"/>
    </row>
    <row r="10" spans="1:36" s="118" customFormat="1" ht="21.75" customHeight="1" x14ac:dyDescent="0.2">
      <c r="A10" s="1236" t="s">
        <v>328</v>
      </c>
      <c r="B10" s="107"/>
      <c r="C10" s="107"/>
      <c r="D10" s="107"/>
      <c r="E10" s="1250">
        <f>SUM(E11:E25)</f>
        <v>4770000</v>
      </c>
      <c r="F10" s="1250">
        <f>SUM(F11:F25)</f>
        <v>326786553</v>
      </c>
      <c r="G10" s="1250">
        <f t="shared" ref="G10:V10" si="5">SUM(G11:G25)</f>
        <v>164744012</v>
      </c>
      <c r="H10" s="1250">
        <f t="shared" si="5"/>
        <v>0</v>
      </c>
      <c r="I10" s="1250">
        <f t="shared" si="5"/>
        <v>0</v>
      </c>
      <c r="J10" s="1250">
        <f t="shared" si="5"/>
        <v>0</v>
      </c>
      <c r="K10" s="1250">
        <f t="shared" si="5"/>
        <v>3755905</v>
      </c>
      <c r="L10" s="1250">
        <f t="shared" si="5"/>
        <v>257312245</v>
      </c>
      <c r="M10" s="1250">
        <f t="shared" si="5"/>
        <v>129719694</v>
      </c>
      <c r="N10" s="1250">
        <f t="shared" si="5"/>
        <v>0</v>
      </c>
      <c r="O10" s="1250">
        <f t="shared" si="5"/>
        <v>0</v>
      </c>
      <c r="P10" s="1250">
        <f t="shared" si="5"/>
        <v>0</v>
      </c>
      <c r="Q10" s="1250">
        <f t="shared" si="5"/>
        <v>0</v>
      </c>
      <c r="R10" s="1250">
        <f t="shared" si="5"/>
        <v>0</v>
      </c>
      <c r="S10" s="1250">
        <f t="shared" si="5"/>
        <v>0</v>
      </c>
      <c r="T10" s="1250">
        <f t="shared" si="5"/>
        <v>1014095</v>
      </c>
      <c r="U10" s="1250">
        <f t="shared" si="5"/>
        <v>69474308</v>
      </c>
      <c r="V10" s="1250">
        <f t="shared" si="5"/>
        <v>35024318</v>
      </c>
      <c r="W10" s="1251">
        <f t="shared" ref="W10:AB10" si="6">SUM(W11:W24)</f>
        <v>178532804</v>
      </c>
      <c r="X10" s="1250">
        <f t="shared" si="6"/>
        <v>0</v>
      </c>
      <c r="Y10" s="1250">
        <f t="shared" si="6"/>
        <v>0</v>
      </c>
      <c r="Z10" s="1250">
        <f t="shared" si="6"/>
        <v>0</v>
      </c>
      <c r="AA10" s="1250">
        <f t="shared" si="6"/>
        <v>129000000</v>
      </c>
      <c r="AB10" s="1250">
        <f t="shared" si="6"/>
        <v>0</v>
      </c>
      <c r="AC10" s="224"/>
      <c r="AD10" s="118">
        <f>+W10+X10+Z10+AA10</f>
        <v>307532804</v>
      </c>
      <c r="AE10" s="118">
        <f>+E10-AD10</f>
        <v>-302762804</v>
      </c>
      <c r="AF10" s="825" t="e">
        <f>+#REF!+#REF!+#REF!+#REF!+#REF!</f>
        <v>#REF!</v>
      </c>
      <c r="AG10" s="825" t="e">
        <f>+AF10-#REF!</f>
        <v>#REF!</v>
      </c>
      <c r="AH10" s="825"/>
      <c r="AI10" s="825"/>
      <c r="AJ10" s="825"/>
    </row>
    <row r="11" spans="1:36" ht="18.75" customHeight="1" x14ac:dyDescent="0.2">
      <c r="A11" s="1252" t="s">
        <v>329</v>
      </c>
      <c r="B11" s="1253" t="s">
        <v>330</v>
      </c>
      <c r="C11" s="852" t="s">
        <v>331</v>
      </c>
      <c r="D11" s="785">
        <v>7024</v>
      </c>
      <c r="E11" s="225">
        <f t="shared" ref="E11:E14" si="7">H11+K11+N11+Q11+T11</f>
        <v>0</v>
      </c>
      <c r="F11" s="225">
        <v>35661784</v>
      </c>
      <c r="G11" s="225">
        <f>+J11+M11+P11+S11+V11</f>
        <v>35626743</v>
      </c>
      <c r="H11" s="225"/>
      <c r="I11" s="225">
        <f>H11</f>
        <v>0</v>
      </c>
      <c r="J11" s="225"/>
      <c r="K11" s="225"/>
      <c r="L11" s="225">
        <v>28080145</v>
      </c>
      <c r="M11" s="225">
        <v>28052554</v>
      </c>
      <c r="N11" s="225"/>
      <c r="O11" s="225">
        <f t="shared" ref="O11:O24" si="8">N11</f>
        <v>0</v>
      </c>
      <c r="P11" s="225"/>
      <c r="Q11" s="225"/>
      <c r="R11" s="225">
        <f>Q11</f>
        <v>0</v>
      </c>
      <c r="S11" s="225"/>
      <c r="T11" s="225"/>
      <c r="U11" s="225">
        <v>7581639</v>
      </c>
      <c r="V11" s="228">
        <v>7574189</v>
      </c>
      <c r="W11" s="229">
        <v>35661785</v>
      </c>
      <c r="X11" s="230"/>
      <c r="Y11" s="230"/>
      <c r="Z11" s="230"/>
      <c r="AA11" s="230">
        <v>35000000</v>
      </c>
      <c r="AB11" s="231">
        <f>AA11-35000000</f>
        <v>0</v>
      </c>
      <c r="AC11" s="232" t="s">
        <v>11</v>
      </c>
      <c r="AF11" s="740"/>
      <c r="AG11" s="740"/>
      <c r="AH11" s="825"/>
      <c r="AI11" s="825"/>
      <c r="AJ11" s="825"/>
    </row>
    <row r="12" spans="1:36" ht="18.75" customHeight="1" x14ac:dyDescent="0.2">
      <c r="A12" s="1254"/>
      <c r="B12" s="1255"/>
      <c r="C12" s="247" t="s">
        <v>332</v>
      </c>
      <c r="D12" s="97">
        <v>7025</v>
      </c>
      <c r="E12" s="234">
        <f t="shared" si="7"/>
        <v>0</v>
      </c>
      <c r="F12" s="234">
        <v>27602147</v>
      </c>
      <c r="G12" s="234">
        <f>+J12+M12+P12+S12+V12</f>
        <v>27602147</v>
      </c>
      <c r="H12" s="234"/>
      <c r="I12" s="234">
        <f t="shared" ref="I12:I24" si="9">H12</f>
        <v>0</v>
      </c>
      <c r="J12" s="234"/>
      <c r="K12" s="234"/>
      <c r="L12" s="234">
        <v>21733974</v>
      </c>
      <c r="M12" s="234">
        <v>21733974</v>
      </c>
      <c r="N12" s="234"/>
      <c r="O12" s="234">
        <f t="shared" si="8"/>
        <v>0</v>
      </c>
      <c r="P12" s="234"/>
      <c r="Q12" s="234"/>
      <c r="R12" s="234">
        <f t="shared" ref="R12:R24" si="10">Q12</f>
        <v>0</v>
      </c>
      <c r="S12" s="234"/>
      <c r="T12" s="234"/>
      <c r="U12" s="234">
        <v>5868173</v>
      </c>
      <c r="V12" s="235">
        <v>5868173</v>
      </c>
      <c r="W12" s="229">
        <f>F12</f>
        <v>27602147</v>
      </c>
      <c r="X12" s="230"/>
      <c r="Y12" s="230"/>
      <c r="Z12" s="230"/>
      <c r="AA12" s="230">
        <v>27000000</v>
      </c>
      <c r="AB12" s="177">
        <f>AA12-27000000</f>
        <v>0</v>
      </c>
      <c r="AC12" s="232" t="s">
        <v>11</v>
      </c>
      <c r="AF12" s="740"/>
      <c r="AG12" s="740"/>
      <c r="AH12" s="825"/>
      <c r="AI12" s="825"/>
      <c r="AJ12" s="825"/>
    </row>
    <row r="13" spans="1:36" ht="18.75" customHeight="1" x14ac:dyDescent="0.2">
      <c r="A13" s="1254"/>
      <c r="B13" s="1255"/>
      <c r="C13" s="247" t="s">
        <v>333</v>
      </c>
      <c r="D13" s="97">
        <v>7026</v>
      </c>
      <c r="E13" s="234">
        <f t="shared" si="7"/>
        <v>0</v>
      </c>
      <c r="F13" s="234">
        <v>27626864</v>
      </c>
      <c r="G13" s="234">
        <f t="shared" ref="G13:G25" si="11">+J13+M13+P13+S13+V13</f>
        <v>27626864</v>
      </c>
      <c r="H13" s="234"/>
      <c r="I13" s="234">
        <f t="shared" si="9"/>
        <v>0</v>
      </c>
      <c r="J13" s="234"/>
      <c r="K13" s="234"/>
      <c r="L13" s="234">
        <v>21753436</v>
      </c>
      <c r="M13" s="234">
        <v>21753436</v>
      </c>
      <c r="N13" s="234"/>
      <c r="O13" s="234">
        <f t="shared" si="8"/>
        <v>0</v>
      </c>
      <c r="P13" s="234"/>
      <c r="Q13" s="234"/>
      <c r="R13" s="234">
        <f t="shared" si="10"/>
        <v>0</v>
      </c>
      <c r="S13" s="234"/>
      <c r="T13" s="234"/>
      <c r="U13" s="234">
        <v>5873428</v>
      </c>
      <c r="V13" s="235">
        <v>5873428</v>
      </c>
      <c r="W13" s="229">
        <f>F13</f>
        <v>27626864</v>
      </c>
      <c r="X13" s="230"/>
      <c r="Y13" s="230"/>
      <c r="Z13" s="230"/>
      <c r="AA13" s="230">
        <v>27000000</v>
      </c>
      <c r="AB13" s="177">
        <f>AA13-27000000</f>
        <v>0</v>
      </c>
      <c r="AC13" s="232" t="s">
        <v>11</v>
      </c>
      <c r="AF13" s="740"/>
      <c r="AG13" s="740"/>
      <c r="AH13" s="825"/>
      <c r="AI13" s="825"/>
      <c r="AJ13" s="825"/>
    </row>
    <row r="14" spans="1:36" ht="18.75" customHeight="1" x14ac:dyDescent="0.2">
      <c r="A14" s="1254"/>
      <c r="B14" s="1255"/>
      <c r="C14" s="247" t="s">
        <v>334</v>
      </c>
      <c r="D14" s="97">
        <v>7027</v>
      </c>
      <c r="E14" s="234">
        <f t="shared" si="7"/>
        <v>0</v>
      </c>
      <c r="F14" s="234">
        <v>30628885</v>
      </c>
      <c r="G14" s="234">
        <f t="shared" si="11"/>
        <v>30628885</v>
      </c>
      <c r="H14" s="234"/>
      <c r="I14" s="234">
        <f t="shared" si="9"/>
        <v>0</v>
      </c>
      <c r="J14" s="234"/>
      <c r="K14" s="234">
        <v>0</v>
      </c>
      <c r="L14" s="234">
        <v>24117232</v>
      </c>
      <c r="M14" s="234">
        <v>24117232</v>
      </c>
      <c r="N14" s="234"/>
      <c r="O14" s="234">
        <f t="shared" si="8"/>
        <v>0</v>
      </c>
      <c r="P14" s="234"/>
      <c r="Q14" s="234"/>
      <c r="R14" s="234">
        <f t="shared" si="10"/>
        <v>0</v>
      </c>
      <c r="S14" s="234"/>
      <c r="T14" s="234">
        <v>0</v>
      </c>
      <c r="U14" s="234">
        <v>6511653</v>
      </c>
      <c r="V14" s="235">
        <v>6511653</v>
      </c>
      <c r="W14" s="229">
        <f>F14</f>
        <v>30628885</v>
      </c>
      <c r="X14" s="230"/>
      <c r="Y14" s="230"/>
      <c r="Z14" s="230"/>
      <c r="AA14" s="230">
        <v>30000000</v>
      </c>
      <c r="AB14" s="177">
        <f>AA14-30000000</f>
        <v>0</v>
      </c>
      <c r="AC14" s="232" t="s">
        <v>11</v>
      </c>
      <c r="AF14" s="740"/>
      <c r="AG14" s="740"/>
      <c r="AH14" s="825"/>
      <c r="AI14" s="825"/>
      <c r="AJ14" s="825"/>
    </row>
    <row r="15" spans="1:36" ht="18.75" customHeight="1" x14ac:dyDescent="0.2">
      <c r="A15" s="1254"/>
      <c r="B15" s="1255"/>
      <c r="C15" s="1256" t="s">
        <v>1298</v>
      </c>
      <c r="D15" s="97">
        <v>7048</v>
      </c>
      <c r="E15" s="234"/>
      <c r="F15" s="234">
        <v>8000001</v>
      </c>
      <c r="G15" s="234">
        <f t="shared" si="11"/>
        <v>8000001</v>
      </c>
      <c r="H15" s="234"/>
      <c r="I15" s="234"/>
      <c r="J15" s="234"/>
      <c r="K15" s="234"/>
      <c r="L15" s="234">
        <v>6299213</v>
      </c>
      <c r="M15" s="234">
        <v>6299213</v>
      </c>
      <c r="N15" s="234"/>
      <c r="O15" s="234"/>
      <c r="P15" s="234"/>
      <c r="Q15" s="234"/>
      <c r="R15" s="234"/>
      <c r="S15" s="234"/>
      <c r="T15" s="234"/>
      <c r="U15" s="234">
        <v>1700788</v>
      </c>
      <c r="V15" s="235">
        <v>1700788</v>
      </c>
      <c r="W15" s="229">
        <f>F15</f>
        <v>8000001</v>
      </c>
      <c r="X15" s="230"/>
      <c r="Y15" s="230"/>
      <c r="Z15" s="230"/>
      <c r="AA15" s="230"/>
      <c r="AB15" s="177"/>
      <c r="AC15" s="232" t="s">
        <v>11</v>
      </c>
      <c r="AF15" s="740"/>
      <c r="AG15" s="740"/>
      <c r="AH15" s="825"/>
      <c r="AI15" s="825"/>
      <c r="AJ15" s="825"/>
    </row>
    <row r="16" spans="1:36" ht="18.75" customHeight="1" x14ac:dyDescent="0.2">
      <c r="A16" s="1254"/>
      <c r="B16" s="1255"/>
      <c r="C16" s="247" t="s">
        <v>335</v>
      </c>
      <c r="D16" s="97">
        <v>7001</v>
      </c>
      <c r="E16" s="234">
        <v>3500000</v>
      </c>
      <c r="F16" s="234">
        <v>1753750</v>
      </c>
      <c r="G16" s="234">
        <f t="shared" si="11"/>
        <v>1746250</v>
      </c>
      <c r="H16" s="234"/>
      <c r="I16" s="234">
        <f t="shared" si="9"/>
        <v>0</v>
      </c>
      <c r="J16" s="234"/>
      <c r="K16" s="234">
        <v>2755905</v>
      </c>
      <c r="L16" s="234">
        <v>1380905</v>
      </c>
      <c r="M16" s="234">
        <v>1375000</v>
      </c>
      <c r="N16" s="234"/>
      <c r="O16" s="234">
        <f t="shared" si="8"/>
        <v>0</v>
      </c>
      <c r="P16" s="234"/>
      <c r="Q16" s="234"/>
      <c r="R16" s="234">
        <f t="shared" si="10"/>
        <v>0</v>
      </c>
      <c r="S16" s="234"/>
      <c r="T16" s="234">
        <v>744095</v>
      </c>
      <c r="U16" s="234">
        <v>372845</v>
      </c>
      <c r="V16" s="235">
        <v>371250</v>
      </c>
      <c r="W16" s="229">
        <f>E16</f>
        <v>3500000</v>
      </c>
      <c r="X16" s="230"/>
      <c r="Y16" s="230"/>
      <c r="Z16" s="230"/>
      <c r="AA16" s="230"/>
      <c r="AB16" s="177">
        <f>AA16</f>
        <v>0</v>
      </c>
      <c r="AC16" s="232" t="s">
        <v>11</v>
      </c>
      <c r="AF16" s="740"/>
      <c r="AG16" s="740"/>
      <c r="AH16" s="825"/>
      <c r="AI16" s="825"/>
      <c r="AJ16" s="825"/>
    </row>
    <row r="17" spans="1:36" ht="48" customHeight="1" x14ac:dyDescent="0.2">
      <c r="A17" s="1254"/>
      <c r="B17" s="1255"/>
      <c r="C17" s="247" t="s">
        <v>336</v>
      </c>
      <c r="D17" s="97">
        <v>6067</v>
      </c>
      <c r="E17" s="234">
        <v>1270000</v>
      </c>
      <c r="F17" s="234">
        <v>1270000</v>
      </c>
      <c r="G17" s="234">
        <f t="shared" si="11"/>
        <v>1270000</v>
      </c>
      <c r="H17" s="234"/>
      <c r="I17" s="234">
        <f t="shared" si="9"/>
        <v>0</v>
      </c>
      <c r="J17" s="234"/>
      <c r="K17" s="234">
        <v>1000000</v>
      </c>
      <c r="L17" s="234">
        <v>1000000</v>
      </c>
      <c r="M17" s="234">
        <v>1000000</v>
      </c>
      <c r="N17" s="234"/>
      <c r="O17" s="234">
        <f t="shared" si="8"/>
        <v>0</v>
      </c>
      <c r="P17" s="234"/>
      <c r="Q17" s="234"/>
      <c r="R17" s="234">
        <f t="shared" si="10"/>
        <v>0</v>
      </c>
      <c r="S17" s="234"/>
      <c r="T17" s="234">
        <v>270000</v>
      </c>
      <c r="U17" s="234">
        <v>270000</v>
      </c>
      <c r="V17" s="235">
        <v>270000</v>
      </c>
      <c r="W17" s="229">
        <f>E17</f>
        <v>1270000</v>
      </c>
      <c r="X17" s="230"/>
      <c r="Y17" s="230"/>
      <c r="Z17" s="230"/>
      <c r="AA17" s="59"/>
      <c r="AB17" s="177">
        <f>AA17</f>
        <v>0</v>
      </c>
      <c r="AC17" s="232" t="s">
        <v>11</v>
      </c>
      <c r="AF17" s="740"/>
      <c r="AG17" s="740"/>
      <c r="AH17" s="825"/>
      <c r="AI17" s="825"/>
      <c r="AJ17" s="825"/>
    </row>
    <row r="18" spans="1:36" ht="33" customHeight="1" x14ac:dyDescent="0.2">
      <c r="A18" s="1254"/>
      <c r="B18" s="1255"/>
      <c r="C18" s="247" t="s">
        <v>337</v>
      </c>
      <c r="D18" s="97">
        <v>7018</v>
      </c>
      <c r="E18" s="234"/>
      <c r="F18" s="234">
        <v>1841500</v>
      </c>
      <c r="G18" s="234">
        <f t="shared" si="11"/>
        <v>1841500</v>
      </c>
      <c r="H18" s="234"/>
      <c r="I18" s="234"/>
      <c r="J18" s="234"/>
      <c r="K18" s="234"/>
      <c r="L18" s="234">
        <v>1450000</v>
      </c>
      <c r="M18" s="234">
        <v>1450000</v>
      </c>
      <c r="N18" s="234"/>
      <c r="O18" s="234"/>
      <c r="P18" s="234"/>
      <c r="Q18" s="234"/>
      <c r="R18" s="234"/>
      <c r="S18" s="234"/>
      <c r="T18" s="234"/>
      <c r="U18" s="234">
        <v>391500</v>
      </c>
      <c r="V18" s="235">
        <v>391500</v>
      </c>
      <c r="W18" s="229">
        <f t="shared" ref="W18:W25" si="12">F18</f>
        <v>1841500</v>
      </c>
      <c r="X18" s="230"/>
      <c r="Y18" s="230"/>
      <c r="Z18" s="230"/>
      <c r="AA18" s="59"/>
      <c r="AB18" s="230"/>
      <c r="AC18" s="232" t="s">
        <v>11</v>
      </c>
      <c r="AF18" s="740"/>
      <c r="AG18" s="740"/>
      <c r="AH18" s="825"/>
      <c r="AI18" s="825"/>
      <c r="AJ18" s="825"/>
    </row>
    <row r="19" spans="1:36" ht="39.75" customHeight="1" x14ac:dyDescent="0.2">
      <c r="A19" s="1254"/>
      <c r="B19" s="1255"/>
      <c r="C19" s="1256" t="s">
        <v>338</v>
      </c>
      <c r="D19" s="97">
        <v>7031</v>
      </c>
      <c r="E19" s="234"/>
      <c r="F19" s="234">
        <v>22033000</v>
      </c>
      <c r="G19" s="234">
        <f t="shared" si="11"/>
        <v>10033000</v>
      </c>
      <c r="H19" s="234"/>
      <c r="I19" s="234"/>
      <c r="J19" s="234"/>
      <c r="K19" s="234"/>
      <c r="L19" s="234">
        <v>17348819</v>
      </c>
      <c r="M19" s="234">
        <v>7900000</v>
      </c>
      <c r="N19" s="234"/>
      <c r="O19" s="234"/>
      <c r="P19" s="234"/>
      <c r="Q19" s="234"/>
      <c r="R19" s="234"/>
      <c r="S19" s="234"/>
      <c r="T19" s="234"/>
      <c r="U19" s="234">
        <v>4684181</v>
      </c>
      <c r="V19" s="235">
        <v>2133000</v>
      </c>
      <c r="W19" s="229">
        <f t="shared" si="12"/>
        <v>22033000</v>
      </c>
      <c r="X19" s="230"/>
      <c r="Y19" s="230"/>
      <c r="Z19" s="230"/>
      <c r="AA19" s="59"/>
      <c r="AB19" s="230"/>
      <c r="AC19" s="232" t="s">
        <v>11</v>
      </c>
      <c r="AF19" s="740"/>
      <c r="AG19" s="740"/>
      <c r="AH19" s="825"/>
      <c r="AI19" s="825"/>
      <c r="AJ19" s="825"/>
    </row>
    <row r="20" spans="1:36" ht="24.75" customHeight="1" x14ac:dyDescent="0.2">
      <c r="A20" s="1254"/>
      <c r="B20" s="1255"/>
      <c r="C20" s="1256" t="s">
        <v>339</v>
      </c>
      <c r="D20" s="97">
        <v>7032</v>
      </c>
      <c r="E20" s="234"/>
      <c r="F20" s="234">
        <v>6629919</v>
      </c>
      <c r="G20" s="234">
        <f t="shared" si="11"/>
        <v>6629919</v>
      </c>
      <c r="H20" s="234"/>
      <c r="I20" s="234"/>
      <c r="J20" s="234"/>
      <c r="K20" s="234"/>
      <c r="L20" s="234">
        <v>5220409</v>
      </c>
      <c r="M20" s="234">
        <v>5220409</v>
      </c>
      <c r="N20" s="234"/>
      <c r="O20" s="234"/>
      <c r="P20" s="234"/>
      <c r="Q20" s="234"/>
      <c r="R20" s="234"/>
      <c r="S20" s="234"/>
      <c r="T20" s="234"/>
      <c r="U20" s="234">
        <v>1409510</v>
      </c>
      <c r="V20" s="235">
        <v>1409510</v>
      </c>
      <c r="W20" s="229">
        <f t="shared" si="12"/>
        <v>6629919</v>
      </c>
      <c r="X20" s="230"/>
      <c r="Y20" s="230"/>
      <c r="Z20" s="230"/>
      <c r="AA20" s="59"/>
      <c r="AB20" s="230"/>
      <c r="AC20" s="232" t="s">
        <v>11</v>
      </c>
      <c r="AF20" s="740"/>
      <c r="AG20" s="740"/>
      <c r="AH20" s="825"/>
      <c r="AI20" s="825"/>
      <c r="AJ20" s="825"/>
    </row>
    <row r="21" spans="1:36" ht="24.75" customHeight="1" x14ac:dyDescent="0.2">
      <c r="A21" s="1254"/>
      <c r="B21" s="1255"/>
      <c r="C21" s="1256" t="s">
        <v>340</v>
      </c>
      <c r="D21" s="97">
        <v>7033</v>
      </c>
      <c r="E21" s="234"/>
      <c r="F21" s="234">
        <v>2730500</v>
      </c>
      <c r="G21" s="234">
        <f t="shared" si="11"/>
        <v>2730500</v>
      </c>
      <c r="H21" s="234"/>
      <c r="I21" s="234"/>
      <c r="J21" s="234"/>
      <c r="K21" s="234"/>
      <c r="L21" s="234">
        <v>2150000</v>
      </c>
      <c r="M21" s="234">
        <v>2150000</v>
      </c>
      <c r="N21" s="234"/>
      <c r="O21" s="234"/>
      <c r="P21" s="234"/>
      <c r="Q21" s="234"/>
      <c r="R21" s="234"/>
      <c r="S21" s="234"/>
      <c r="T21" s="234"/>
      <c r="U21" s="234">
        <v>580500</v>
      </c>
      <c r="V21" s="235">
        <v>580500</v>
      </c>
      <c r="W21" s="229">
        <f t="shared" si="12"/>
        <v>2730500</v>
      </c>
      <c r="X21" s="230"/>
      <c r="Y21" s="230"/>
      <c r="Z21" s="230"/>
      <c r="AA21" s="59"/>
      <c r="AB21" s="230"/>
      <c r="AC21" s="232" t="s">
        <v>11</v>
      </c>
      <c r="AF21" s="740"/>
      <c r="AG21" s="740"/>
      <c r="AH21" s="825"/>
      <c r="AI21" s="825"/>
      <c r="AJ21" s="825"/>
    </row>
    <row r="22" spans="1:36" ht="24.75" customHeight="1" x14ac:dyDescent="0.2">
      <c r="A22" s="1254"/>
      <c r="B22" s="1255"/>
      <c r="C22" s="1256" t="s">
        <v>1503</v>
      </c>
      <c r="D22" s="97">
        <v>7065</v>
      </c>
      <c r="E22" s="234"/>
      <c r="F22" s="234">
        <v>6910642</v>
      </c>
      <c r="G22" s="234">
        <f t="shared" si="11"/>
        <v>6910642</v>
      </c>
      <c r="H22" s="234"/>
      <c r="I22" s="234"/>
      <c r="J22" s="234"/>
      <c r="K22" s="234"/>
      <c r="L22" s="234">
        <v>5441450</v>
      </c>
      <c r="M22" s="234">
        <v>5441450</v>
      </c>
      <c r="N22" s="234"/>
      <c r="O22" s="234"/>
      <c r="P22" s="234"/>
      <c r="Q22" s="234"/>
      <c r="R22" s="234"/>
      <c r="S22" s="234"/>
      <c r="T22" s="234"/>
      <c r="U22" s="234">
        <v>1469192</v>
      </c>
      <c r="V22" s="235">
        <v>1469192</v>
      </c>
      <c r="W22" s="229">
        <f t="shared" si="12"/>
        <v>6910642</v>
      </c>
      <c r="X22" s="230"/>
      <c r="Y22" s="230"/>
      <c r="Z22" s="230"/>
      <c r="AA22" s="59"/>
      <c r="AB22" s="230"/>
      <c r="AC22" s="232" t="s">
        <v>11</v>
      </c>
      <c r="AF22" s="740"/>
      <c r="AG22" s="740"/>
      <c r="AH22" s="825"/>
      <c r="AI22" s="825"/>
      <c r="AJ22" s="825"/>
    </row>
    <row r="23" spans="1:36" ht="24.75" customHeight="1" x14ac:dyDescent="0.2">
      <c r="A23" s="1254"/>
      <c r="B23" s="1255"/>
      <c r="C23" s="1256" t="s">
        <v>1504</v>
      </c>
      <c r="D23" s="97">
        <v>7066</v>
      </c>
      <c r="E23" s="234"/>
      <c r="F23" s="234">
        <v>4097561</v>
      </c>
      <c r="G23" s="234">
        <f t="shared" si="11"/>
        <v>4097561</v>
      </c>
      <c r="H23" s="234"/>
      <c r="I23" s="234"/>
      <c r="J23" s="234"/>
      <c r="K23" s="234"/>
      <c r="L23" s="234">
        <v>3226426</v>
      </c>
      <c r="M23" s="234">
        <v>3226426</v>
      </c>
      <c r="N23" s="234"/>
      <c r="O23" s="234"/>
      <c r="P23" s="234"/>
      <c r="Q23" s="234"/>
      <c r="R23" s="234"/>
      <c r="S23" s="234"/>
      <c r="T23" s="234"/>
      <c r="U23" s="234">
        <v>871135</v>
      </c>
      <c r="V23" s="235">
        <v>871135</v>
      </c>
      <c r="W23" s="229">
        <f t="shared" si="12"/>
        <v>4097561</v>
      </c>
      <c r="X23" s="230"/>
      <c r="Y23" s="230"/>
      <c r="Z23" s="230"/>
      <c r="AA23" s="59"/>
      <c r="AB23" s="230"/>
      <c r="AC23" s="232" t="s">
        <v>11</v>
      </c>
      <c r="AF23" s="740"/>
      <c r="AG23" s="740"/>
      <c r="AH23" s="825"/>
      <c r="AI23" s="825"/>
      <c r="AJ23" s="825"/>
    </row>
    <row r="24" spans="1:36" ht="18.75" customHeight="1" x14ac:dyDescent="0.2">
      <c r="A24" s="1254"/>
      <c r="B24" s="1255"/>
      <c r="C24" s="247" t="s">
        <v>341</v>
      </c>
      <c r="D24" s="97">
        <v>7028</v>
      </c>
      <c r="E24" s="234">
        <f>H24+K24+N24+Q24+T24</f>
        <v>0</v>
      </c>
      <c r="F24" s="234">
        <v>0</v>
      </c>
      <c r="G24" s="234">
        <f t="shared" si="11"/>
        <v>0</v>
      </c>
      <c r="H24" s="234"/>
      <c r="I24" s="234">
        <f t="shared" si="9"/>
        <v>0</v>
      </c>
      <c r="J24" s="234"/>
      <c r="K24" s="234">
        <v>0</v>
      </c>
      <c r="L24" s="234">
        <v>0</v>
      </c>
      <c r="M24" s="234"/>
      <c r="N24" s="234"/>
      <c r="O24" s="234">
        <f t="shared" si="8"/>
        <v>0</v>
      </c>
      <c r="P24" s="234"/>
      <c r="Q24" s="234"/>
      <c r="R24" s="234">
        <f t="shared" si="10"/>
        <v>0</v>
      </c>
      <c r="S24" s="234"/>
      <c r="T24" s="234">
        <v>0</v>
      </c>
      <c r="U24" s="234">
        <v>0</v>
      </c>
      <c r="V24" s="235"/>
      <c r="W24" s="229">
        <f t="shared" si="12"/>
        <v>0</v>
      </c>
      <c r="X24" s="230"/>
      <c r="Y24" s="230"/>
      <c r="Z24" s="230"/>
      <c r="AA24" s="59">
        <v>10000000</v>
      </c>
      <c r="AB24" s="65">
        <f>AA24-10000000</f>
        <v>0</v>
      </c>
      <c r="AC24" s="232" t="s">
        <v>11</v>
      </c>
      <c r="AF24" s="740"/>
      <c r="AG24" s="740"/>
      <c r="AH24" s="825"/>
      <c r="AI24" s="825"/>
      <c r="AJ24" s="825"/>
    </row>
    <row r="25" spans="1:36" ht="18.75" customHeight="1" x14ac:dyDescent="0.2">
      <c r="A25" s="249" t="s">
        <v>1505</v>
      </c>
      <c r="B25" s="741" t="s">
        <v>1506</v>
      </c>
      <c r="C25" s="251" t="s">
        <v>1507</v>
      </c>
      <c r="D25" s="152">
        <v>7070</v>
      </c>
      <c r="E25" s="242"/>
      <c r="F25" s="242">
        <v>150000000</v>
      </c>
      <c r="G25" s="242">
        <f t="shared" si="11"/>
        <v>0</v>
      </c>
      <c r="H25" s="242"/>
      <c r="I25" s="242"/>
      <c r="J25" s="242"/>
      <c r="K25" s="242"/>
      <c r="L25" s="242">
        <v>118110236</v>
      </c>
      <c r="M25" s="242"/>
      <c r="N25" s="242"/>
      <c r="O25" s="242"/>
      <c r="P25" s="242"/>
      <c r="Q25" s="242"/>
      <c r="R25" s="242"/>
      <c r="S25" s="242"/>
      <c r="T25" s="242"/>
      <c r="U25" s="242">
        <v>31889764</v>
      </c>
      <c r="V25" s="243"/>
      <c r="W25" s="713">
        <f t="shared" si="12"/>
        <v>150000000</v>
      </c>
      <c r="X25" s="1257"/>
      <c r="Y25" s="1257"/>
      <c r="Z25" s="1257"/>
      <c r="AA25" s="199"/>
      <c r="AB25" s="346"/>
      <c r="AC25" s="232" t="s">
        <v>11</v>
      </c>
      <c r="AF25" s="740"/>
      <c r="AG25" s="740"/>
      <c r="AH25" s="825"/>
      <c r="AI25" s="825"/>
      <c r="AJ25" s="825"/>
    </row>
    <row r="26" spans="1:36" s="118" customFormat="1" ht="21" customHeight="1" x14ac:dyDescent="0.2">
      <c r="A26" s="1236" t="s">
        <v>342</v>
      </c>
      <c r="B26" s="107"/>
      <c r="C26" s="107"/>
      <c r="D26" s="107"/>
      <c r="E26" s="1250">
        <f t="shared" ref="E26:AB26" si="13">SUM(E27:E44)</f>
        <v>140500000</v>
      </c>
      <c r="F26" s="1250">
        <f>SUM(F27:F44)</f>
        <v>94590745</v>
      </c>
      <c r="G26" s="1250">
        <f>SUM(G27:G44)</f>
        <v>82428112</v>
      </c>
      <c r="H26" s="1250">
        <f t="shared" ref="H26:N26" si="14">SUM(H27:H44)</f>
        <v>0</v>
      </c>
      <c r="I26" s="1250">
        <f t="shared" si="14"/>
        <v>0</v>
      </c>
      <c r="J26" s="1250">
        <f t="shared" si="14"/>
        <v>0</v>
      </c>
      <c r="K26" s="1250">
        <f t="shared" si="14"/>
        <v>110629921</v>
      </c>
      <c r="L26" s="1250">
        <f t="shared" si="14"/>
        <v>74480902</v>
      </c>
      <c r="M26" s="1250">
        <f t="shared" si="14"/>
        <v>64904025</v>
      </c>
      <c r="N26" s="1250">
        <f t="shared" si="14"/>
        <v>0</v>
      </c>
      <c r="O26" s="1250">
        <f t="shared" ref="O26" si="15">SUM(O27:O44)</f>
        <v>0</v>
      </c>
      <c r="P26" s="1250">
        <f t="shared" ref="P26" si="16">SUM(P27:P44)</f>
        <v>0</v>
      </c>
      <c r="Q26" s="1250">
        <f t="shared" ref="Q26" si="17">SUM(Q27:Q44)</f>
        <v>0</v>
      </c>
      <c r="R26" s="1250">
        <f t="shared" ref="R26" si="18">SUM(R27:R44)</f>
        <v>0</v>
      </c>
      <c r="S26" s="1250">
        <f t="shared" ref="S26" si="19">SUM(S27:S44)</f>
        <v>0</v>
      </c>
      <c r="T26" s="1250">
        <f t="shared" ref="T26:U26" si="20">SUM(T27:T44)</f>
        <v>29870079</v>
      </c>
      <c r="U26" s="1250">
        <f t="shared" si="20"/>
        <v>20109843</v>
      </c>
      <c r="V26" s="1250">
        <f t="shared" ref="V26" si="21">SUM(V27:V44)</f>
        <v>17524087</v>
      </c>
      <c r="W26" s="1258">
        <f t="shared" si="13"/>
        <v>224590745</v>
      </c>
      <c r="X26" s="1258">
        <f t="shared" si="13"/>
        <v>0</v>
      </c>
      <c r="Y26" s="1258">
        <f t="shared" si="13"/>
        <v>0</v>
      </c>
      <c r="Z26" s="1258">
        <f t="shared" si="13"/>
        <v>0</v>
      </c>
      <c r="AA26" s="1259">
        <f t="shared" si="13"/>
        <v>0</v>
      </c>
      <c r="AB26" s="1259">
        <f t="shared" si="13"/>
        <v>0</v>
      </c>
      <c r="AC26" s="224"/>
      <c r="AD26" s="118">
        <f>+W26+X26+Z26+AA26</f>
        <v>224590745</v>
      </c>
      <c r="AE26" s="118">
        <f>+E26-AD26</f>
        <v>-84090745</v>
      </c>
      <c r="AF26" s="825" t="e">
        <f>+#REF!+#REF!+#REF!+#REF!+#REF!</f>
        <v>#REF!</v>
      </c>
      <c r="AG26" s="825" t="e">
        <f>+AF26-#REF!</f>
        <v>#REF!</v>
      </c>
      <c r="AH26" s="825"/>
      <c r="AI26" s="825"/>
      <c r="AJ26" s="825"/>
    </row>
    <row r="27" spans="1:36" ht="38.25" customHeight="1" x14ac:dyDescent="0.2">
      <c r="A27" s="1260" t="s">
        <v>149</v>
      </c>
      <c r="B27" s="244" t="s">
        <v>343</v>
      </c>
      <c r="C27" s="245" t="s">
        <v>344</v>
      </c>
      <c r="D27" s="102">
        <v>7002</v>
      </c>
      <c r="E27" s="165">
        <v>3000000</v>
      </c>
      <c r="F27" s="225">
        <v>3000000</v>
      </c>
      <c r="G27" s="255">
        <f>+J27+M27+P27+S27+V27</f>
        <v>0</v>
      </c>
      <c r="H27" s="226"/>
      <c r="I27" s="226">
        <f>H27</f>
        <v>0</v>
      </c>
      <c r="J27" s="226"/>
      <c r="K27" s="226">
        <v>2362205</v>
      </c>
      <c r="L27" s="226">
        <v>2362205</v>
      </c>
      <c r="M27" s="226"/>
      <c r="N27" s="226"/>
      <c r="O27" s="226">
        <f>N27</f>
        <v>0</v>
      </c>
      <c r="P27" s="226"/>
      <c r="Q27" s="226"/>
      <c r="R27" s="227">
        <f>Q27</f>
        <v>0</v>
      </c>
      <c r="S27" s="227"/>
      <c r="T27" s="227">
        <v>637795</v>
      </c>
      <c r="U27" s="228">
        <v>637795</v>
      </c>
      <c r="V27" s="566"/>
      <c r="W27" s="246">
        <f>E27</f>
        <v>3000000</v>
      </c>
      <c r="X27" s="230"/>
      <c r="Y27" s="230"/>
      <c r="Z27" s="230"/>
      <c r="AA27" s="230"/>
      <c r="AB27" s="231">
        <f>AA27</f>
        <v>0</v>
      </c>
      <c r="AC27" s="232" t="s">
        <v>11</v>
      </c>
      <c r="AF27" s="740"/>
      <c r="AG27" s="740"/>
      <c r="AH27" s="825"/>
      <c r="AI27" s="825"/>
      <c r="AJ27" s="825"/>
    </row>
    <row r="28" spans="1:36" ht="38.25" customHeight="1" x14ac:dyDescent="0.2">
      <c r="A28" s="1261" t="s">
        <v>149</v>
      </c>
      <c r="B28" s="244" t="s">
        <v>345</v>
      </c>
      <c r="C28" s="245" t="s">
        <v>346</v>
      </c>
      <c r="D28" s="102">
        <v>7003</v>
      </c>
      <c r="E28" s="165">
        <v>7500000</v>
      </c>
      <c r="F28" s="234">
        <v>7500000</v>
      </c>
      <c r="G28" s="226">
        <f>+J28+M28+P28+S28+V28</f>
        <v>7405619</v>
      </c>
      <c r="H28" s="226"/>
      <c r="I28" s="226">
        <f>H28</f>
        <v>0</v>
      </c>
      <c r="J28" s="226"/>
      <c r="K28" s="226">
        <v>5905512</v>
      </c>
      <c r="L28" s="226">
        <v>5905512</v>
      </c>
      <c r="M28" s="226">
        <v>5831196</v>
      </c>
      <c r="N28" s="226"/>
      <c r="O28" s="226">
        <f>N28</f>
        <v>0</v>
      </c>
      <c r="P28" s="226"/>
      <c r="Q28" s="226"/>
      <c r="R28" s="227">
        <f>Q28</f>
        <v>0</v>
      </c>
      <c r="S28" s="227"/>
      <c r="T28" s="227">
        <v>1594488</v>
      </c>
      <c r="U28" s="235">
        <v>1594488</v>
      </c>
      <c r="V28" s="567">
        <v>1574423</v>
      </c>
      <c r="W28" s="246">
        <f>E28</f>
        <v>7500000</v>
      </c>
      <c r="X28" s="230"/>
      <c r="Y28" s="230"/>
      <c r="Z28" s="230"/>
      <c r="AA28" s="230"/>
      <c r="AB28" s="177">
        <f>AA28</f>
        <v>0</v>
      </c>
      <c r="AC28" s="232" t="s">
        <v>11</v>
      </c>
      <c r="AF28" s="740"/>
      <c r="AG28" s="740"/>
      <c r="AH28" s="825"/>
      <c r="AI28" s="825"/>
      <c r="AJ28" s="825"/>
    </row>
    <row r="29" spans="1:36" ht="42.75" customHeight="1" x14ac:dyDescent="0.2">
      <c r="A29" s="703" t="s">
        <v>149</v>
      </c>
      <c r="B29" s="244" t="s">
        <v>347</v>
      </c>
      <c r="C29" s="245" t="s">
        <v>348</v>
      </c>
      <c r="D29" s="102">
        <v>7017</v>
      </c>
      <c r="E29" s="165"/>
      <c r="F29" s="234">
        <v>2349500</v>
      </c>
      <c r="G29" s="226">
        <f t="shared" ref="G29:G44" si="22">+J29+M29+P29+S29+V29</f>
        <v>2349500</v>
      </c>
      <c r="H29" s="226"/>
      <c r="I29" s="226"/>
      <c r="J29" s="226"/>
      <c r="K29" s="226"/>
      <c r="L29" s="226">
        <v>1850000</v>
      </c>
      <c r="M29" s="226">
        <v>1850000</v>
      </c>
      <c r="N29" s="226"/>
      <c r="O29" s="226"/>
      <c r="P29" s="226"/>
      <c r="Q29" s="226"/>
      <c r="R29" s="227"/>
      <c r="S29" s="227"/>
      <c r="T29" s="227"/>
      <c r="U29" s="235">
        <v>499500</v>
      </c>
      <c r="V29" s="567">
        <v>499500</v>
      </c>
      <c r="W29" s="246">
        <f t="shared" ref="W29:W42" si="23">F29</f>
        <v>2349500</v>
      </c>
      <c r="X29" s="230"/>
      <c r="Y29" s="230"/>
      <c r="Z29" s="230"/>
      <c r="AA29" s="230"/>
      <c r="AB29" s="177"/>
      <c r="AC29" s="232" t="s">
        <v>11</v>
      </c>
      <c r="AF29" s="740"/>
      <c r="AG29" s="740"/>
      <c r="AH29" s="825"/>
      <c r="AI29" s="825"/>
      <c r="AJ29" s="825"/>
    </row>
    <row r="30" spans="1:36" ht="42.75" customHeight="1" x14ac:dyDescent="0.2">
      <c r="A30" s="703" t="s">
        <v>149</v>
      </c>
      <c r="B30" s="244" t="s">
        <v>347</v>
      </c>
      <c r="C30" s="245" t="s">
        <v>349</v>
      </c>
      <c r="D30" s="102">
        <v>7019</v>
      </c>
      <c r="E30" s="165"/>
      <c r="F30" s="234">
        <v>1193800</v>
      </c>
      <c r="G30" s="226">
        <f t="shared" si="22"/>
        <v>1193800</v>
      </c>
      <c r="H30" s="226"/>
      <c r="I30" s="226"/>
      <c r="J30" s="226"/>
      <c r="K30" s="226"/>
      <c r="L30" s="226">
        <v>940000</v>
      </c>
      <c r="M30" s="226">
        <v>940000</v>
      </c>
      <c r="N30" s="226"/>
      <c r="O30" s="226"/>
      <c r="P30" s="226"/>
      <c r="Q30" s="226"/>
      <c r="R30" s="227"/>
      <c r="S30" s="227"/>
      <c r="T30" s="227"/>
      <c r="U30" s="235">
        <v>253800</v>
      </c>
      <c r="V30" s="567">
        <v>253800</v>
      </c>
      <c r="W30" s="246">
        <f t="shared" si="23"/>
        <v>1193800</v>
      </c>
      <c r="X30" s="230"/>
      <c r="Y30" s="230"/>
      <c r="Z30" s="230"/>
      <c r="AA30" s="230"/>
      <c r="AB30" s="177"/>
      <c r="AC30" s="232" t="s">
        <v>11</v>
      </c>
      <c r="AF30" s="740"/>
      <c r="AG30" s="740"/>
      <c r="AH30" s="825"/>
      <c r="AI30" s="825"/>
      <c r="AJ30" s="825"/>
    </row>
    <row r="31" spans="1:36" ht="42.75" customHeight="1" x14ac:dyDescent="0.2">
      <c r="A31" s="703" t="s">
        <v>149</v>
      </c>
      <c r="B31" s="244" t="s">
        <v>347</v>
      </c>
      <c r="C31" s="245" t="s">
        <v>350</v>
      </c>
      <c r="D31" s="102">
        <v>7020</v>
      </c>
      <c r="E31" s="165"/>
      <c r="F31" s="234">
        <v>1746250</v>
      </c>
      <c r="G31" s="226">
        <f t="shared" si="22"/>
        <v>1746250</v>
      </c>
      <c r="H31" s="226"/>
      <c r="I31" s="226"/>
      <c r="J31" s="226"/>
      <c r="K31" s="226"/>
      <c r="L31" s="226">
        <v>1375000</v>
      </c>
      <c r="M31" s="226">
        <v>1375000</v>
      </c>
      <c r="N31" s="226"/>
      <c r="O31" s="226"/>
      <c r="P31" s="226"/>
      <c r="Q31" s="226"/>
      <c r="R31" s="227"/>
      <c r="S31" s="227"/>
      <c r="T31" s="227"/>
      <c r="U31" s="235">
        <v>371250</v>
      </c>
      <c r="V31" s="567">
        <v>371250</v>
      </c>
      <c r="W31" s="246">
        <f t="shared" si="23"/>
        <v>1746250</v>
      </c>
      <c r="X31" s="230"/>
      <c r="Y31" s="230"/>
      <c r="Z31" s="230"/>
      <c r="AA31" s="230"/>
      <c r="AB31" s="177"/>
      <c r="AC31" s="232" t="s">
        <v>11</v>
      </c>
      <c r="AF31" s="740"/>
      <c r="AG31" s="740"/>
      <c r="AH31" s="825"/>
      <c r="AI31" s="825"/>
      <c r="AJ31" s="825"/>
    </row>
    <row r="32" spans="1:36" ht="32.25" customHeight="1" x14ac:dyDescent="0.2">
      <c r="A32" s="1261" t="s">
        <v>149</v>
      </c>
      <c r="B32" s="244" t="s">
        <v>347</v>
      </c>
      <c r="C32" s="247" t="s">
        <v>351</v>
      </c>
      <c r="D32" s="102">
        <v>6032</v>
      </c>
      <c r="E32" s="165"/>
      <c r="F32" s="234">
        <v>8785733</v>
      </c>
      <c r="G32" s="226">
        <f t="shared" si="22"/>
        <v>8785733</v>
      </c>
      <c r="H32" s="226"/>
      <c r="I32" s="226"/>
      <c r="J32" s="226"/>
      <c r="K32" s="226"/>
      <c r="L32" s="226">
        <v>6917900</v>
      </c>
      <c r="M32" s="226">
        <v>6917900</v>
      </c>
      <c r="N32" s="226"/>
      <c r="O32" s="226"/>
      <c r="P32" s="226"/>
      <c r="Q32" s="226"/>
      <c r="R32" s="227"/>
      <c r="S32" s="227"/>
      <c r="T32" s="227"/>
      <c r="U32" s="235">
        <v>1867833</v>
      </c>
      <c r="V32" s="567">
        <v>1867833</v>
      </c>
      <c r="W32" s="246">
        <f t="shared" si="23"/>
        <v>8785733</v>
      </c>
      <c r="X32" s="230"/>
      <c r="Y32" s="230"/>
      <c r="Z32" s="230"/>
      <c r="AA32" s="230"/>
      <c r="AB32" s="177"/>
      <c r="AC32" s="232" t="s">
        <v>11</v>
      </c>
      <c r="AF32" s="740"/>
      <c r="AG32" s="740"/>
      <c r="AH32" s="825"/>
      <c r="AI32" s="825"/>
      <c r="AJ32" s="825"/>
    </row>
    <row r="33" spans="1:36" ht="32.25" customHeight="1" x14ac:dyDescent="0.2">
      <c r="A33" s="1261" t="s">
        <v>149</v>
      </c>
      <c r="B33" s="244" t="s">
        <v>347</v>
      </c>
      <c r="C33" s="46" t="s">
        <v>1300</v>
      </c>
      <c r="D33" s="102">
        <v>7037</v>
      </c>
      <c r="E33" s="165"/>
      <c r="F33" s="234">
        <v>30462939</v>
      </c>
      <c r="G33" s="226">
        <f t="shared" si="22"/>
        <v>30462939</v>
      </c>
      <c r="H33" s="226"/>
      <c r="I33" s="226"/>
      <c r="J33" s="226"/>
      <c r="K33" s="226"/>
      <c r="L33" s="226">
        <v>23986566</v>
      </c>
      <c r="M33" s="226">
        <v>23986566</v>
      </c>
      <c r="N33" s="226"/>
      <c r="O33" s="226"/>
      <c r="P33" s="226"/>
      <c r="Q33" s="226"/>
      <c r="R33" s="227"/>
      <c r="S33" s="227"/>
      <c r="T33" s="227"/>
      <c r="U33" s="235">
        <v>6476373</v>
      </c>
      <c r="V33" s="567">
        <v>6476373</v>
      </c>
      <c r="W33" s="246">
        <f t="shared" si="23"/>
        <v>30462939</v>
      </c>
      <c r="X33" s="230"/>
      <c r="Y33" s="230"/>
      <c r="Z33" s="230"/>
      <c r="AA33" s="230"/>
      <c r="AB33" s="177"/>
      <c r="AC33" s="232" t="s">
        <v>11</v>
      </c>
      <c r="AF33" s="740"/>
      <c r="AG33" s="740"/>
      <c r="AH33" s="825"/>
      <c r="AI33" s="825"/>
      <c r="AJ33" s="825"/>
    </row>
    <row r="34" spans="1:36" ht="32.25" customHeight="1" x14ac:dyDescent="0.2">
      <c r="A34" s="1261" t="s">
        <v>149</v>
      </c>
      <c r="B34" s="244" t="s">
        <v>347</v>
      </c>
      <c r="C34" s="46" t="s">
        <v>1454</v>
      </c>
      <c r="D34" s="102">
        <v>7052</v>
      </c>
      <c r="E34" s="165"/>
      <c r="F34" s="234">
        <v>6240780</v>
      </c>
      <c r="G34" s="226">
        <f t="shared" si="22"/>
        <v>6240780</v>
      </c>
      <c r="H34" s="226"/>
      <c r="I34" s="226"/>
      <c r="J34" s="226"/>
      <c r="K34" s="226"/>
      <c r="L34" s="226">
        <v>4914000</v>
      </c>
      <c r="M34" s="226">
        <v>4914000</v>
      </c>
      <c r="N34" s="226"/>
      <c r="O34" s="226"/>
      <c r="P34" s="226"/>
      <c r="Q34" s="226"/>
      <c r="R34" s="227"/>
      <c r="S34" s="227"/>
      <c r="T34" s="227"/>
      <c r="U34" s="235">
        <v>1326780</v>
      </c>
      <c r="V34" s="567">
        <v>1326780</v>
      </c>
      <c r="W34" s="246">
        <f t="shared" si="23"/>
        <v>6240780</v>
      </c>
      <c r="X34" s="230"/>
      <c r="Y34" s="230"/>
      <c r="Z34" s="230"/>
      <c r="AA34" s="230"/>
      <c r="AB34" s="177"/>
      <c r="AC34" s="232" t="s">
        <v>11</v>
      </c>
      <c r="AF34" s="740"/>
      <c r="AG34" s="740"/>
      <c r="AH34" s="825"/>
      <c r="AI34" s="825"/>
      <c r="AJ34" s="825"/>
    </row>
    <row r="35" spans="1:36" ht="32.25" customHeight="1" x14ac:dyDescent="0.2">
      <c r="A35" s="703" t="s">
        <v>149</v>
      </c>
      <c r="B35" s="244" t="s">
        <v>347</v>
      </c>
      <c r="C35" s="46" t="s">
        <v>1455</v>
      </c>
      <c r="D35" s="102">
        <v>7053</v>
      </c>
      <c r="E35" s="165"/>
      <c r="F35" s="234">
        <v>3175000</v>
      </c>
      <c r="G35" s="226">
        <f t="shared" si="22"/>
        <v>3175000</v>
      </c>
      <c r="H35" s="226"/>
      <c r="I35" s="226"/>
      <c r="J35" s="226"/>
      <c r="K35" s="226"/>
      <c r="L35" s="226">
        <v>2500000</v>
      </c>
      <c r="M35" s="226">
        <v>2500000</v>
      </c>
      <c r="N35" s="226"/>
      <c r="O35" s="226"/>
      <c r="P35" s="226"/>
      <c r="Q35" s="226"/>
      <c r="R35" s="227"/>
      <c r="S35" s="227"/>
      <c r="T35" s="227"/>
      <c r="U35" s="235">
        <v>675000</v>
      </c>
      <c r="V35" s="567">
        <v>675000</v>
      </c>
      <c r="W35" s="246">
        <f t="shared" si="23"/>
        <v>3175000</v>
      </c>
      <c r="X35" s="230"/>
      <c r="Y35" s="230"/>
      <c r="Z35" s="230"/>
      <c r="AA35" s="230"/>
      <c r="AB35" s="177"/>
      <c r="AC35" s="232" t="s">
        <v>11</v>
      </c>
      <c r="AF35" s="740"/>
      <c r="AG35" s="740"/>
      <c r="AH35" s="825"/>
      <c r="AI35" s="825"/>
      <c r="AJ35" s="825"/>
    </row>
    <row r="36" spans="1:36" ht="32.25" customHeight="1" x14ac:dyDescent="0.2">
      <c r="A36" s="703" t="s">
        <v>149</v>
      </c>
      <c r="B36" s="244" t="s">
        <v>347</v>
      </c>
      <c r="C36" s="46" t="s">
        <v>1456</v>
      </c>
      <c r="D36" s="102">
        <v>7061</v>
      </c>
      <c r="E36" s="165"/>
      <c r="F36" s="234">
        <v>1016000</v>
      </c>
      <c r="G36" s="226">
        <f t="shared" si="22"/>
        <v>1016000</v>
      </c>
      <c r="H36" s="226"/>
      <c r="I36" s="226"/>
      <c r="J36" s="226"/>
      <c r="K36" s="226"/>
      <c r="L36" s="226">
        <v>800000</v>
      </c>
      <c r="M36" s="226">
        <v>800000</v>
      </c>
      <c r="N36" s="226"/>
      <c r="O36" s="226"/>
      <c r="P36" s="226"/>
      <c r="Q36" s="226"/>
      <c r="R36" s="227"/>
      <c r="S36" s="227"/>
      <c r="T36" s="227"/>
      <c r="U36" s="235">
        <v>216000</v>
      </c>
      <c r="V36" s="567">
        <v>216000</v>
      </c>
      <c r="W36" s="246">
        <f t="shared" si="23"/>
        <v>1016000</v>
      </c>
      <c r="X36" s="230"/>
      <c r="Y36" s="230"/>
      <c r="Z36" s="230"/>
      <c r="AA36" s="230"/>
      <c r="AB36" s="177"/>
      <c r="AC36" s="232" t="s">
        <v>11</v>
      </c>
      <c r="AF36" s="740"/>
      <c r="AG36" s="740"/>
      <c r="AH36" s="825"/>
      <c r="AI36" s="825"/>
      <c r="AJ36" s="825"/>
    </row>
    <row r="37" spans="1:36" ht="32.25" customHeight="1" x14ac:dyDescent="0.2">
      <c r="A37" s="703" t="s">
        <v>149</v>
      </c>
      <c r="B37" s="244" t="s">
        <v>347</v>
      </c>
      <c r="C37" s="46" t="s">
        <v>1457</v>
      </c>
      <c r="D37" s="102">
        <v>7063</v>
      </c>
      <c r="E37" s="165"/>
      <c r="F37" s="234">
        <v>6096000</v>
      </c>
      <c r="G37" s="226">
        <f t="shared" si="22"/>
        <v>6096000</v>
      </c>
      <c r="H37" s="226"/>
      <c r="I37" s="226"/>
      <c r="J37" s="226"/>
      <c r="K37" s="226"/>
      <c r="L37" s="226">
        <v>4800000</v>
      </c>
      <c r="M37" s="226">
        <v>4800000</v>
      </c>
      <c r="N37" s="226"/>
      <c r="O37" s="226"/>
      <c r="P37" s="226"/>
      <c r="Q37" s="226"/>
      <c r="R37" s="227"/>
      <c r="S37" s="227"/>
      <c r="T37" s="227"/>
      <c r="U37" s="235">
        <v>1296000</v>
      </c>
      <c r="V37" s="567">
        <v>1296000</v>
      </c>
      <c r="W37" s="246">
        <f t="shared" si="23"/>
        <v>6096000</v>
      </c>
      <c r="X37" s="230"/>
      <c r="Y37" s="230"/>
      <c r="Z37" s="230"/>
      <c r="AA37" s="230"/>
      <c r="AB37" s="177"/>
      <c r="AC37" s="232" t="s">
        <v>11</v>
      </c>
      <c r="AF37" s="740"/>
      <c r="AG37" s="740"/>
      <c r="AH37" s="825"/>
      <c r="AI37" s="825"/>
      <c r="AJ37" s="825"/>
    </row>
    <row r="38" spans="1:36" ht="32.25" customHeight="1" x14ac:dyDescent="0.2">
      <c r="A38" s="703" t="s">
        <v>149</v>
      </c>
      <c r="B38" s="244" t="s">
        <v>347</v>
      </c>
      <c r="C38" s="46" t="s">
        <v>1509</v>
      </c>
      <c r="D38" s="102">
        <v>7069</v>
      </c>
      <c r="E38" s="165"/>
      <c r="F38" s="234">
        <v>3048000</v>
      </c>
      <c r="G38" s="226">
        <f t="shared" si="22"/>
        <v>0</v>
      </c>
      <c r="H38" s="226"/>
      <c r="I38" s="226"/>
      <c r="J38" s="226"/>
      <c r="K38" s="226"/>
      <c r="L38" s="226">
        <v>2400000</v>
      </c>
      <c r="M38" s="226"/>
      <c r="N38" s="226"/>
      <c r="O38" s="226"/>
      <c r="P38" s="226"/>
      <c r="Q38" s="226"/>
      <c r="R38" s="227"/>
      <c r="S38" s="227"/>
      <c r="T38" s="227"/>
      <c r="U38" s="235">
        <v>648000</v>
      </c>
      <c r="V38" s="567"/>
      <c r="W38" s="246">
        <f t="shared" si="23"/>
        <v>3048000</v>
      </c>
      <c r="X38" s="230"/>
      <c r="Y38" s="230"/>
      <c r="Z38" s="230"/>
      <c r="AA38" s="230"/>
      <c r="AB38" s="177"/>
      <c r="AC38" s="232" t="s">
        <v>11</v>
      </c>
      <c r="AF38" s="740"/>
      <c r="AG38" s="740"/>
      <c r="AH38" s="825"/>
      <c r="AI38" s="825"/>
      <c r="AJ38" s="825"/>
    </row>
    <row r="39" spans="1:36" ht="32.25" customHeight="1" x14ac:dyDescent="0.2">
      <c r="A39" s="262" t="s">
        <v>149</v>
      </c>
      <c r="B39" s="263" t="s">
        <v>347</v>
      </c>
      <c r="C39" s="247" t="s">
        <v>470</v>
      </c>
      <c r="D39" s="102">
        <v>7074</v>
      </c>
      <c r="E39" s="165"/>
      <c r="F39" s="234">
        <v>9488170</v>
      </c>
      <c r="G39" s="226">
        <f t="shared" si="22"/>
        <v>9488170</v>
      </c>
      <c r="H39" s="226"/>
      <c r="I39" s="226"/>
      <c r="J39" s="226"/>
      <c r="K39" s="226"/>
      <c r="L39" s="226">
        <v>7471000</v>
      </c>
      <c r="M39" s="226">
        <v>7471000</v>
      </c>
      <c r="N39" s="226"/>
      <c r="O39" s="226"/>
      <c r="P39" s="226"/>
      <c r="Q39" s="226"/>
      <c r="R39" s="227"/>
      <c r="S39" s="227"/>
      <c r="T39" s="227"/>
      <c r="U39" s="235">
        <v>2017170</v>
      </c>
      <c r="V39" s="567">
        <v>2017170</v>
      </c>
      <c r="W39" s="246">
        <f t="shared" si="23"/>
        <v>9488170</v>
      </c>
      <c r="X39" s="230"/>
      <c r="Y39" s="230"/>
      <c r="Z39" s="230"/>
      <c r="AA39" s="230"/>
      <c r="AB39" s="177"/>
      <c r="AC39" s="232" t="s">
        <v>11</v>
      </c>
      <c r="AF39" s="740"/>
      <c r="AG39" s="740"/>
      <c r="AH39" s="825"/>
      <c r="AI39" s="825"/>
      <c r="AJ39" s="825"/>
    </row>
    <row r="40" spans="1:36" ht="32.25" customHeight="1" x14ac:dyDescent="0.2">
      <c r="A40" s="262" t="s">
        <v>352</v>
      </c>
      <c r="B40" s="878" t="s">
        <v>347</v>
      </c>
      <c r="C40" s="46" t="s">
        <v>353</v>
      </c>
      <c r="D40" s="102">
        <v>6071</v>
      </c>
      <c r="E40" s="165"/>
      <c r="F40" s="234">
        <v>3112366</v>
      </c>
      <c r="G40" s="226">
        <f t="shared" si="22"/>
        <v>1694736</v>
      </c>
      <c r="H40" s="226"/>
      <c r="I40" s="226"/>
      <c r="J40" s="226"/>
      <c r="K40" s="226"/>
      <c r="L40" s="226">
        <v>2450682</v>
      </c>
      <c r="M40" s="226">
        <v>1334437</v>
      </c>
      <c r="N40" s="226"/>
      <c r="O40" s="226"/>
      <c r="P40" s="226"/>
      <c r="Q40" s="226"/>
      <c r="R40" s="227"/>
      <c r="S40" s="227"/>
      <c r="T40" s="227"/>
      <c r="U40" s="235">
        <v>661684</v>
      </c>
      <c r="V40" s="567">
        <v>360299</v>
      </c>
      <c r="W40" s="246">
        <f t="shared" si="23"/>
        <v>3112366</v>
      </c>
      <c r="X40" s="230"/>
      <c r="Y40" s="230"/>
      <c r="Z40" s="230"/>
      <c r="AA40" s="230"/>
      <c r="AB40" s="177"/>
      <c r="AC40" s="232" t="s">
        <v>11</v>
      </c>
      <c r="AF40" s="740"/>
      <c r="AG40" s="740"/>
      <c r="AH40" s="825"/>
      <c r="AI40" s="825"/>
      <c r="AJ40" s="825"/>
    </row>
    <row r="41" spans="1:36" ht="32.25" customHeight="1" x14ac:dyDescent="0.2">
      <c r="A41" s="262" t="s">
        <v>352</v>
      </c>
      <c r="B41" s="878" t="s">
        <v>354</v>
      </c>
      <c r="C41" s="46" t="s">
        <v>355</v>
      </c>
      <c r="D41" s="102">
        <v>6072</v>
      </c>
      <c r="E41" s="165"/>
      <c r="F41" s="234">
        <v>6336274</v>
      </c>
      <c r="G41" s="226">
        <f t="shared" si="22"/>
        <v>1733652</v>
      </c>
      <c r="H41" s="226"/>
      <c r="I41" s="226"/>
      <c r="J41" s="226"/>
      <c r="K41" s="226"/>
      <c r="L41" s="226">
        <v>4989192</v>
      </c>
      <c r="M41" s="226">
        <v>1365081</v>
      </c>
      <c r="N41" s="226"/>
      <c r="O41" s="226"/>
      <c r="P41" s="226"/>
      <c r="Q41" s="226"/>
      <c r="R41" s="227"/>
      <c r="S41" s="227"/>
      <c r="T41" s="227"/>
      <c r="U41" s="235">
        <v>1347082</v>
      </c>
      <c r="V41" s="567">
        <v>368571</v>
      </c>
      <c r="W41" s="246">
        <f t="shared" si="23"/>
        <v>6336274</v>
      </c>
      <c r="X41" s="230"/>
      <c r="Y41" s="230"/>
      <c r="Z41" s="230"/>
      <c r="AA41" s="230"/>
      <c r="AB41" s="177"/>
      <c r="AC41" s="232" t="s">
        <v>11</v>
      </c>
      <c r="AF41" s="740"/>
      <c r="AG41" s="740"/>
      <c r="AH41" s="825"/>
      <c r="AI41" s="825"/>
      <c r="AJ41" s="825"/>
    </row>
    <row r="42" spans="1:36" ht="32.25" customHeight="1" x14ac:dyDescent="0.2">
      <c r="A42" s="261" t="s">
        <v>352</v>
      </c>
      <c r="B42" s="879" t="s">
        <v>354</v>
      </c>
      <c r="C42" s="46" t="s">
        <v>356</v>
      </c>
      <c r="D42" s="102">
        <v>6075</v>
      </c>
      <c r="E42" s="165"/>
      <c r="F42" s="234">
        <v>1039933</v>
      </c>
      <c r="G42" s="226">
        <f t="shared" si="22"/>
        <v>1039933</v>
      </c>
      <c r="H42" s="226"/>
      <c r="I42" s="226"/>
      <c r="J42" s="226"/>
      <c r="K42" s="226"/>
      <c r="L42" s="226">
        <v>818845</v>
      </c>
      <c r="M42" s="226">
        <v>818845</v>
      </c>
      <c r="N42" s="226"/>
      <c r="O42" s="226"/>
      <c r="P42" s="226"/>
      <c r="Q42" s="226"/>
      <c r="R42" s="227"/>
      <c r="S42" s="227"/>
      <c r="T42" s="227"/>
      <c r="U42" s="235">
        <v>221088</v>
      </c>
      <c r="V42" s="567">
        <v>221088</v>
      </c>
      <c r="W42" s="246">
        <f t="shared" si="23"/>
        <v>1039933</v>
      </c>
      <c r="X42" s="230"/>
      <c r="Y42" s="230"/>
      <c r="Z42" s="230"/>
      <c r="AA42" s="230"/>
      <c r="AB42" s="177"/>
      <c r="AC42" s="232" t="s">
        <v>11</v>
      </c>
      <c r="AF42" s="740"/>
      <c r="AG42" s="740"/>
      <c r="AH42" s="825"/>
      <c r="AI42" s="825"/>
      <c r="AJ42" s="825"/>
    </row>
    <row r="43" spans="1:36" ht="38.25" customHeight="1" x14ac:dyDescent="0.2">
      <c r="A43" s="880" t="s">
        <v>357</v>
      </c>
      <c r="B43" s="244" t="s">
        <v>347</v>
      </c>
      <c r="C43" s="247" t="s">
        <v>358</v>
      </c>
      <c r="D43" s="97">
        <v>7004</v>
      </c>
      <c r="E43" s="165">
        <v>65000000</v>
      </c>
      <c r="F43" s="234">
        <v>0</v>
      </c>
      <c r="G43" s="226">
        <f t="shared" si="22"/>
        <v>0</v>
      </c>
      <c r="H43" s="234"/>
      <c r="I43" s="226">
        <f>H43</f>
        <v>0</v>
      </c>
      <c r="J43" s="226"/>
      <c r="K43" s="234">
        <v>51181102</v>
      </c>
      <c r="L43" s="234">
        <v>0</v>
      </c>
      <c r="M43" s="226"/>
      <c r="N43" s="234"/>
      <c r="O43" s="226">
        <f>N43</f>
        <v>0</v>
      </c>
      <c r="P43" s="226"/>
      <c r="Q43" s="234"/>
      <c r="R43" s="227">
        <f>Q43</f>
        <v>0</v>
      </c>
      <c r="S43" s="227"/>
      <c r="T43" s="248">
        <v>13818898</v>
      </c>
      <c r="U43" s="248">
        <v>0</v>
      </c>
      <c r="V43" s="567"/>
      <c r="W43" s="246">
        <f>E43</f>
        <v>65000000</v>
      </c>
      <c r="X43" s="230"/>
      <c r="Y43" s="230"/>
      <c r="Z43" s="230"/>
      <c r="AA43" s="230"/>
      <c r="AB43" s="177">
        <f>AA43</f>
        <v>0</v>
      </c>
      <c r="AC43" s="232" t="s">
        <v>11</v>
      </c>
      <c r="AF43" s="740"/>
      <c r="AG43" s="740"/>
      <c r="AH43" s="825"/>
      <c r="AI43" s="825"/>
      <c r="AJ43" s="825"/>
    </row>
    <row r="44" spans="1:36" ht="31.5" customHeight="1" x14ac:dyDescent="0.2">
      <c r="A44" s="249" t="s">
        <v>359</v>
      </c>
      <c r="B44" s="250" t="s">
        <v>354</v>
      </c>
      <c r="C44" s="251" t="s">
        <v>360</v>
      </c>
      <c r="D44" s="152">
        <v>7005</v>
      </c>
      <c r="E44" s="242">
        <v>65000000</v>
      </c>
      <c r="F44" s="242">
        <v>0</v>
      </c>
      <c r="G44" s="226">
        <f t="shared" si="22"/>
        <v>0</v>
      </c>
      <c r="H44" s="242"/>
      <c r="I44" s="242">
        <f>H44</f>
        <v>0</v>
      </c>
      <c r="J44" s="242"/>
      <c r="K44" s="242">
        <v>51181102</v>
      </c>
      <c r="L44" s="242">
        <v>0</v>
      </c>
      <c r="M44" s="242"/>
      <c r="N44" s="242"/>
      <c r="O44" s="242">
        <f>N44</f>
        <v>0</v>
      </c>
      <c r="P44" s="242"/>
      <c r="Q44" s="242"/>
      <c r="R44" s="252">
        <f>Q44</f>
        <v>0</v>
      </c>
      <c r="S44" s="252"/>
      <c r="T44" s="252">
        <v>13818898</v>
      </c>
      <c r="U44" s="252">
        <v>0</v>
      </c>
      <c r="V44" s="568"/>
      <c r="W44" s="253">
        <f>E44</f>
        <v>65000000</v>
      </c>
      <c r="X44" s="254"/>
      <c r="Y44" s="254"/>
      <c r="Z44" s="254"/>
      <c r="AA44" s="254"/>
      <c r="AB44" s="254">
        <f>AA44</f>
        <v>0</v>
      </c>
      <c r="AC44" s="243" t="s">
        <v>11</v>
      </c>
      <c r="AE44" s="120">
        <f>+E44-AD44</f>
        <v>65000000</v>
      </c>
      <c r="AF44" s="740"/>
      <c r="AG44" s="740"/>
      <c r="AH44" s="825"/>
      <c r="AI44" s="825"/>
      <c r="AJ44" s="825"/>
    </row>
    <row r="45" spans="1:36" s="118" customFormat="1" ht="21.75" customHeight="1" x14ac:dyDescent="0.2">
      <c r="A45" s="1236" t="s">
        <v>361</v>
      </c>
      <c r="B45" s="107"/>
      <c r="C45" s="107"/>
      <c r="D45" s="107"/>
      <c r="E45" s="1250">
        <f t="shared" ref="E45:AB45" si="24">SUM(E46:E46)</f>
        <v>6134100</v>
      </c>
      <c r="F45" s="1250">
        <f t="shared" si="24"/>
        <v>6134100</v>
      </c>
      <c r="G45" s="1250">
        <f>+G46</f>
        <v>6134100</v>
      </c>
      <c r="H45" s="1250">
        <f t="shared" si="24"/>
        <v>4830000</v>
      </c>
      <c r="I45" s="1250">
        <f t="shared" si="24"/>
        <v>4830000</v>
      </c>
      <c r="J45" s="1250">
        <f>+J46</f>
        <v>4830000</v>
      </c>
      <c r="K45" s="1250">
        <f t="shared" si="24"/>
        <v>0</v>
      </c>
      <c r="L45" s="1250">
        <f t="shared" si="24"/>
        <v>0</v>
      </c>
      <c r="M45" s="1250">
        <f>+M46</f>
        <v>0</v>
      </c>
      <c r="N45" s="1250">
        <f t="shared" si="24"/>
        <v>0</v>
      </c>
      <c r="O45" s="1250">
        <f t="shared" si="24"/>
        <v>0</v>
      </c>
      <c r="P45" s="1250">
        <f>+P46</f>
        <v>0</v>
      </c>
      <c r="Q45" s="1250">
        <f t="shared" si="24"/>
        <v>0</v>
      </c>
      <c r="R45" s="1250">
        <f t="shared" si="24"/>
        <v>0</v>
      </c>
      <c r="S45" s="1250">
        <f>+S46</f>
        <v>0</v>
      </c>
      <c r="T45" s="1250">
        <f t="shared" si="24"/>
        <v>1304100</v>
      </c>
      <c r="U45" s="1250">
        <f t="shared" si="24"/>
        <v>1304100</v>
      </c>
      <c r="V45" s="1251">
        <f>+V46</f>
        <v>1304100</v>
      </c>
      <c r="W45" s="1251">
        <f t="shared" si="24"/>
        <v>6134100</v>
      </c>
      <c r="X45" s="1250">
        <f t="shared" si="24"/>
        <v>0</v>
      </c>
      <c r="Y45" s="1250">
        <f t="shared" si="24"/>
        <v>0</v>
      </c>
      <c r="Z45" s="1250">
        <f t="shared" si="24"/>
        <v>0</v>
      </c>
      <c r="AA45" s="1262">
        <f t="shared" si="24"/>
        <v>0</v>
      </c>
      <c r="AB45" s="1262">
        <f t="shared" si="24"/>
        <v>0</v>
      </c>
      <c r="AC45" s="224"/>
      <c r="AD45" s="118">
        <f>+W45+X45+Z45+AA45</f>
        <v>6134100</v>
      </c>
      <c r="AE45" s="118">
        <f>+E45-AD45</f>
        <v>0</v>
      </c>
      <c r="AF45" s="825" t="e">
        <f>+#REF!+#REF!+#REF!+#REF!+#REF!</f>
        <v>#REF!</v>
      </c>
      <c r="AG45" s="825" t="e">
        <f>+AF45-#REF!</f>
        <v>#REF!</v>
      </c>
      <c r="AH45" s="825"/>
      <c r="AI45" s="825"/>
      <c r="AJ45" s="825"/>
    </row>
    <row r="46" spans="1:36" ht="45.75" customHeight="1" x14ac:dyDescent="0.2">
      <c r="A46" s="880" t="s">
        <v>362</v>
      </c>
      <c r="B46" s="175" t="s">
        <v>178</v>
      </c>
      <c r="C46" s="245" t="s">
        <v>363</v>
      </c>
      <c r="D46" s="102">
        <v>5031</v>
      </c>
      <c r="E46" s="165">
        <v>6134100</v>
      </c>
      <c r="F46" s="255">
        <v>6134100</v>
      </c>
      <c r="G46" s="255">
        <f>+J46+M46+P46+S46+V46</f>
        <v>6134100</v>
      </c>
      <c r="H46" s="226">
        <v>4830000</v>
      </c>
      <c r="I46" s="226">
        <v>4830000</v>
      </c>
      <c r="J46" s="226">
        <v>4830000</v>
      </c>
      <c r="K46" s="226"/>
      <c r="L46" s="226"/>
      <c r="M46" s="226"/>
      <c r="N46" s="226"/>
      <c r="O46" s="226">
        <f>N46</f>
        <v>0</v>
      </c>
      <c r="P46" s="226"/>
      <c r="Q46" s="226"/>
      <c r="R46" s="227">
        <f>Q46</f>
        <v>0</v>
      </c>
      <c r="S46" s="227"/>
      <c r="T46" s="227">
        <v>1304100</v>
      </c>
      <c r="U46" s="256">
        <v>1304100</v>
      </c>
      <c r="V46" s="566">
        <v>1304100</v>
      </c>
      <c r="W46" s="229">
        <f>E46</f>
        <v>6134100</v>
      </c>
      <c r="X46" s="230"/>
      <c r="Y46" s="230"/>
      <c r="Z46" s="230"/>
      <c r="AA46" s="230"/>
      <c r="AB46" s="257"/>
      <c r="AC46" s="240" t="s">
        <v>164</v>
      </c>
      <c r="AF46" s="740"/>
      <c r="AG46" s="740"/>
      <c r="AH46" s="825"/>
      <c r="AI46" s="825"/>
      <c r="AJ46" s="825"/>
    </row>
    <row r="47" spans="1:36" s="118" customFormat="1" ht="23.25" customHeight="1" x14ac:dyDescent="0.2">
      <c r="A47" s="1236" t="s">
        <v>364</v>
      </c>
      <c r="B47" s="107"/>
      <c r="C47" s="107"/>
      <c r="D47" s="107"/>
      <c r="E47" s="1250">
        <f>SUM(E48:E50)</f>
        <v>18000000</v>
      </c>
      <c r="F47" s="1250">
        <f t="shared" ref="F47:V47" si="25">SUM(F48:F50)</f>
        <v>21535253</v>
      </c>
      <c r="G47" s="1250">
        <f t="shared" si="25"/>
        <v>21505033</v>
      </c>
      <c r="H47" s="1250">
        <f t="shared" si="25"/>
        <v>0</v>
      </c>
      <c r="I47" s="1250">
        <f t="shared" si="25"/>
        <v>0</v>
      </c>
      <c r="J47" s="1250">
        <f t="shared" si="25"/>
        <v>0</v>
      </c>
      <c r="K47" s="1250">
        <f t="shared" si="25"/>
        <v>14173228</v>
      </c>
      <c r="L47" s="1250">
        <f t="shared" si="25"/>
        <v>21043900</v>
      </c>
      <c r="M47" s="1250">
        <f t="shared" si="25"/>
        <v>21043900</v>
      </c>
      <c r="N47" s="1250">
        <f t="shared" si="25"/>
        <v>0</v>
      </c>
      <c r="O47" s="1250">
        <f t="shared" si="25"/>
        <v>0</v>
      </c>
      <c r="P47" s="1250">
        <f t="shared" si="25"/>
        <v>0</v>
      </c>
      <c r="Q47" s="1250">
        <f t="shared" si="25"/>
        <v>0</v>
      </c>
      <c r="R47" s="1250">
        <f t="shared" si="25"/>
        <v>0</v>
      </c>
      <c r="S47" s="1250">
        <f t="shared" si="25"/>
        <v>0</v>
      </c>
      <c r="T47" s="1250">
        <f t="shared" si="25"/>
        <v>3826772</v>
      </c>
      <c r="U47" s="1250">
        <f t="shared" si="25"/>
        <v>491353</v>
      </c>
      <c r="V47" s="1250">
        <f t="shared" si="25"/>
        <v>461133</v>
      </c>
      <c r="W47" s="1258">
        <f>SUM(W48:W50)</f>
        <v>21285253</v>
      </c>
      <c r="X47" s="1258">
        <f t="shared" ref="X47:AB47" si="26">SUM(X48:X48)</f>
        <v>0</v>
      </c>
      <c r="Y47" s="1258">
        <f t="shared" si="26"/>
        <v>0</v>
      </c>
      <c r="Z47" s="1258">
        <f t="shared" si="26"/>
        <v>0</v>
      </c>
      <c r="AA47" s="1258">
        <f t="shared" si="26"/>
        <v>0</v>
      </c>
      <c r="AB47" s="1258">
        <f t="shared" si="26"/>
        <v>0</v>
      </c>
      <c r="AC47" s="224"/>
      <c r="AD47" s="118">
        <f>+W47+X47+Z47+AA47</f>
        <v>21285253</v>
      </c>
      <c r="AE47" s="118">
        <f>+E47-AD47</f>
        <v>-3285253</v>
      </c>
      <c r="AF47" s="825">
        <f>+H48+K48+N48+Q48+T48</f>
        <v>18000000</v>
      </c>
      <c r="AG47" s="825">
        <f>+AF47-E48</f>
        <v>0</v>
      </c>
      <c r="AH47" s="825"/>
      <c r="AI47" s="825"/>
      <c r="AJ47" s="825"/>
    </row>
    <row r="48" spans="1:36" ht="30" customHeight="1" x14ac:dyDescent="0.2">
      <c r="A48" s="881" t="s">
        <v>365</v>
      </c>
      <c r="B48" s="878" t="s">
        <v>366</v>
      </c>
      <c r="C48" s="46" t="s">
        <v>367</v>
      </c>
      <c r="D48" s="92">
        <v>7006</v>
      </c>
      <c r="E48" s="255">
        <v>18000000</v>
      </c>
      <c r="F48" s="255">
        <v>18000000</v>
      </c>
      <c r="G48" s="255">
        <f>+J48+M48+P48+S48+V48</f>
        <v>18000000</v>
      </c>
      <c r="H48" s="255"/>
      <c r="I48" s="255">
        <f>H48</f>
        <v>0</v>
      </c>
      <c r="J48" s="255"/>
      <c r="K48" s="255">
        <v>14173228</v>
      </c>
      <c r="L48" s="255">
        <v>18000000</v>
      </c>
      <c r="M48" s="255">
        <v>18000000</v>
      </c>
      <c r="N48" s="255"/>
      <c r="O48" s="255">
        <f>N48</f>
        <v>0</v>
      </c>
      <c r="P48" s="255"/>
      <c r="Q48" s="255"/>
      <c r="R48" s="289">
        <f>Q48</f>
        <v>0</v>
      </c>
      <c r="S48" s="289"/>
      <c r="T48" s="289">
        <v>3826772</v>
      </c>
      <c r="U48" s="260">
        <v>0</v>
      </c>
      <c r="V48" s="566"/>
      <c r="W48" s="713">
        <f>E48</f>
        <v>18000000</v>
      </c>
      <c r="X48" s="200"/>
      <c r="Y48" s="200"/>
      <c r="Z48" s="200"/>
      <c r="AA48" s="200"/>
      <c r="AB48" s="258"/>
      <c r="AC48" s="240" t="s">
        <v>11</v>
      </c>
      <c r="AD48" s="120">
        <f>+W48+X48+Z48+AA48</f>
        <v>18000000</v>
      </c>
      <c r="AE48" s="120">
        <f>+E48-AD48</f>
        <v>0</v>
      </c>
      <c r="AF48" s="740" t="e">
        <f>+#REF!+#REF!+#REF!+#REF!+#REF!</f>
        <v>#REF!</v>
      </c>
      <c r="AG48" s="740" t="e">
        <f>+AF48-#REF!</f>
        <v>#REF!</v>
      </c>
      <c r="AH48" s="825"/>
      <c r="AI48" s="825"/>
      <c r="AJ48" s="825"/>
    </row>
    <row r="49" spans="1:36" ht="30" customHeight="1" x14ac:dyDescent="0.2">
      <c r="A49" s="881" t="s">
        <v>365</v>
      </c>
      <c r="B49" s="878" t="s">
        <v>366</v>
      </c>
      <c r="C49" s="46" t="s">
        <v>1301</v>
      </c>
      <c r="D49" s="97">
        <v>7044</v>
      </c>
      <c r="E49" s="234"/>
      <c r="F49" s="234">
        <v>2400000</v>
      </c>
      <c r="G49" s="234">
        <f>+J49+M49+P49+S49+V49</f>
        <v>2369780</v>
      </c>
      <c r="H49" s="234"/>
      <c r="I49" s="234"/>
      <c r="J49" s="234"/>
      <c r="K49" s="234"/>
      <c r="L49" s="234">
        <v>2150000</v>
      </c>
      <c r="M49" s="234">
        <v>2150000</v>
      </c>
      <c r="N49" s="234"/>
      <c r="O49" s="234"/>
      <c r="P49" s="234"/>
      <c r="Q49" s="234"/>
      <c r="R49" s="234"/>
      <c r="S49" s="234"/>
      <c r="T49" s="234"/>
      <c r="U49" s="234">
        <v>250000</v>
      </c>
      <c r="V49" s="234">
        <v>219780</v>
      </c>
      <c r="W49" s="52">
        <v>2150000</v>
      </c>
      <c r="X49" s="177"/>
      <c r="Y49" s="177"/>
      <c r="Z49" s="177"/>
      <c r="AA49" s="177"/>
      <c r="AB49" s="177"/>
      <c r="AC49" s="240" t="s">
        <v>11</v>
      </c>
      <c r="AF49" s="740"/>
      <c r="AG49" s="740"/>
      <c r="AH49" s="825"/>
      <c r="AI49" s="825"/>
      <c r="AJ49" s="825"/>
    </row>
    <row r="50" spans="1:36" ht="30" customHeight="1" x14ac:dyDescent="0.2">
      <c r="A50" s="881" t="s">
        <v>365</v>
      </c>
      <c r="B50" s="878" t="s">
        <v>366</v>
      </c>
      <c r="C50" s="46" t="s">
        <v>1302</v>
      </c>
      <c r="D50" s="112">
        <v>7041</v>
      </c>
      <c r="E50" s="242"/>
      <c r="F50" s="242">
        <v>1135253</v>
      </c>
      <c r="G50" s="242">
        <f>+J50+M50+P50+S50+V50</f>
        <v>1135253</v>
      </c>
      <c r="H50" s="242"/>
      <c r="I50" s="242"/>
      <c r="J50" s="242"/>
      <c r="K50" s="242"/>
      <c r="L50" s="242">
        <v>893900</v>
      </c>
      <c r="M50" s="242">
        <v>893900</v>
      </c>
      <c r="N50" s="242"/>
      <c r="O50" s="242"/>
      <c r="P50" s="242"/>
      <c r="Q50" s="242"/>
      <c r="R50" s="242"/>
      <c r="S50" s="242"/>
      <c r="T50" s="242"/>
      <c r="U50" s="242">
        <v>241353</v>
      </c>
      <c r="V50" s="242">
        <v>241353</v>
      </c>
      <c r="W50" s="65">
        <v>1135253</v>
      </c>
      <c r="X50" s="254"/>
      <c r="Y50" s="254"/>
      <c r="Z50" s="254"/>
      <c r="AA50" s="254"/>
      <c r="AB50" s="254"/>
      <c r="AC50" s="240" t="s">
        <v>11</v>
      </c>
      <c r="AF50" s="740"/>
      <c r="AG50" s="740"/>
      <c r="AH50" s="825"/>
      <c r="AI50" s="825"/>
      <c r="AJ50" s="825"/>
    </row>
    <row r="51" spans="1:36" s="118" customFormat="1" ht="24.75" customHeight="1" x14ac:dyDescent="0.2">
      <c r="A51" s="1236" t="s">
        <v>368</v>
      </c>
      <c r="B51" s="107"/>
      <c r="C51" s="107"/>
      <c r="D51" s="107"/>
      <c r="E51" s="1250">
        <f>SUM(E52:E86)</f>
        <v>34850000</v>
      </c>
      <c r="F51" s="1250">
        <f>SUM(F52:F86)</f>
        <v>103501529</v>
      </c>
      <c r="G51" s="1250">
        <f t="shared" ref="G51:V51" si="27">SUM(G52:G86)</f>
        <v>80625834</v>
      </c>
      <c r="H51" s="1250">
        <f t="shared" si="27"/>
        <v>0</v>
      </c>
      <c r="I51" s="1250">
        <f t="shared" si="27"/>
        <v>900000</v>
      </c>
      <c r="J51" s="1250">
        <f t="shared" si="27"/>
        <v>700000</v>
      </c>
      <c r="K51" s="1250">
        <f t="shared" si="27"/>
        <v>25866141</v>
      </c>
      <c r="L51" s="1250">
        <f t="shared" si="27"/>
        <v>67966491</v>
      </c>
      <c r="M51" s="1250">
        <f t="shared" si="27"/>
        <v>53957555</v>
      </c>
      <c r="N51" s="1250">
        <f t="shared" si="27"/>
        <v>0</v>
      </c>
      <c r="O51" s="1250">
        <f t="shared" si="27"/>
        <v>43425</v>
      </c>
      <c r="P51" s="1250">
        <f t="shared" si="27"/>
        <v>43425</v>
      </c>
      <c r="Q51" s="1250">
        <f t="shared" si="27"/>
        <v>1574803</v>
      </c>
      <c r="R51" s="1250">
        <f t="shared" si="27"/>
        <v>14466367</v>
      </c>
      <c r="S51" s="1250">
        <f t="shared" si="27"/>
        <v>10915468</v>
      </c>
      <c r="T51" s="1250">
        <f t="shared" si="27"/>
        <v>7409056</v>
      </c>
      <c r="U51" s="1250">
        <f t="shared" si="27"/>
        <v>20125246</v>
      </c>
      <c r="V51" s="1250">
        <f t="shared" si="27"/>
        <v>15009386</v>
      </c>
      <c r="W51" s="1258">
        <f t="shared" ref="W51:AB51" si="28">SUM(W52:W86)</f>
        <v>109001529</v>
      </c>
      <c r="X51" s="1258">
        <f t="shared" si="28"/>
        <v>0</v>
      </c>
      <c r="Y51" s="1258">
        <f t="shared" si="28"/>
        <v>0</v>
      </c>
      <c r="Z51" s="1258">
        <f t="shared" si="28"/>
        <v>0</v>
      </c>
      <c r="AA51" s="1259">
        <f t="shared" si="28"/>
        <v>17500000</v>
      </c>
      <c r="AB51" s="1259">
        <f t="shared" si="28"/>
        <v>0</v>
      </c>
      <c r="AC51" s="224"/>
      <c r="AD51" s="118">
        <f>+W51+X51+Z51+AA51</f>
        <v>126501529</v>
      </c>
      <c r="AE51" s="118">
        <f>+E51-AD51</f>
        <v>-91651529</v>
      </c>
      <c r="AF51" s="825" t="e">
        <f>+#REF!+#REF!+#REF!+#REF!+#REF!</f>
        <v>#REF!</v>
      </c>
      <c r="AG51" s="825" t="e">
        <f>+AF51-#REF!</f>
        <v>#REF!</v>
      </c>
      <c r="AH51" s="825"/>
      <c r="AI51" s="825"/>
      <c r="AJ51" s="825"/>
    </row>
    <row r="52" spans="1:36" ht="23.25" customHeight="1" x14ac:dyDescent="0.2">
      <c r="A52" s="880" t="s">
        <v>369</v>
      </c>
      <c r="B52" s="259" t="s">
        <v>370</v>
      </c>
      <c r="C52" s="245" t="s">
        <v>371</v>
      </c>
      <c r="D52" s="102">
        <v>7007</v>
      </c>
      <c r="E52" s="165">
        <v>2000000</v>
      </c>
      <c r="F52" s="225">
        <v>3000000</v>
      </c>
      <c r="G52" s="255">
        <f>+J52+M52+P52+S52+V52</f>
        <v>2771140</v>
      </c>
      <c r="H52" s="226"/>
      <c r="I52" s="226">
        <f>H52</f>
        <v>0</v>
      </c>
      <c r="J52" s="226"/>
      <c r="K52" s="226"/>
      <c r="L52" s="226">
        <v>0</v>
      </c>
      <c r="M52" s="226"/>
      <c r="N52" s="226"/>
      <c r="O52" s="226">
        <f>N52</f>
        <v>0</v>
      </c>
      <c r="P52" s="226"/>
      <c r="Q52" s="226">
        <v>1574803</v>
      </c>
      <c r="R52" s="227">
        <v>2362203</v>
      </c>
      <c r="S52" s="227">
        <v>2182000</v>
      </c>
      <c r="T52" s="227">
        <v>425197</v>
      </c>
      <c r="U52" s="260">
        <v>637797</v>
      </c>
      <c r="V52" s="566">
        <v>589140</v>
      </c>
      <c r="W52" s="246">
        <f>E52</f>
        <v>2000000</v>
      </c>
      <c r="X52" s="230"/>
      <c r="Y52" s="230"/>
      <c r="Z52" s="230"/>
      <c r="AA52" s="230"/>
      <c r="AB52" s="257">
        <f>AA52</f>
        <v>0</v>
      </c>
      <c r="AC52" s="240" t="s">
        <v>11</v>
      </c>
      <c r="AF52" s="740"/>
      <c r="AG52" s="740"/>
      <c r="AH52" s="825"/>
      <c r="AI52" s="825"/>
      <c r="AJ52" s="825"/>
    </row>
    <row r="53" spans="1:36" ht="23.25" customHeight="1" x14ac:dyDescent="0.2">
      <c r="A53" s="880" t="s">
        <v>372</v>
      </c>
      <c r="B53" s="259" t="s">
        <v>266</v>
      </c>
      <c r="C53" s="245" t="s">
        <v>373</v>
      </c>
      <c r="D53" s="102">
        <v>7008</v>
      </c>
      <c r="E53" s="165">
        <v>5000000</v>
      </c>
      <c r="F53" s="234">
        <v>14000000</v>
      </c>
      <c r="G53" s="226">
        <f>+J53+M53+P53+S53+V53</f>
        <v>9005256</v>
      </c>
      <c r="H53" s="226"/>
      <c r="I53" s="226">
        <f t="shared" ref="I53:I86" si="29">H53</f>
        <v>0</v>
      </c>
      <c r="J53" s="226"/>
      <c r="K53" s="226">
        <v>3937008</v>
      </c>
      <c r="L53" s="226">
        <v>11023622</v>
      </c>
      <c r="M53" s="226">
        <v>7293913</v>
      </c>
      <c r="N53" s="226"/>
      <c r="O53" s="226">
        <f t="shared" ref="O53:O86" si="30">N53</f>
        <v>0</v>
      </c>
      <c r="P53" s="226"/>
      <c r="Q53" s="226"/>
      <c r="R53" s="227">
        <v>0</v>
      </c>
      <c r="S53" s="227"/>
      <c r="T53" s="227">
        <v>1062992</v>
      </c>
      <c r="U53" s="240">
        <v>2976378</v>
      </c>
      <c r="V53" s="567">
        <v>1711343</v>
      </c>
      <c r="W53" s="246">
        <f>F53</f>
        <v>14000000</v>
      </c>
      <c r="X53" s="230"/>
      <c r="Y53" s="230"/>
      <c r="Z53" s="230"/>
      <c r="AA53" s="59">
        <v>2500000</v>
      </c>
      <c r="AB53" s="60">
        <f>AA53-2500000</f>
        <v>0</v>
      </c>
      <c r="AC53" s="99" t="s">
        <v>164</v>
      </c>
      <c r="AF53" s="740"/>
      <c r="AG53" s="740"/>
      <c r="AH53" s="825"/>
      <c r="AI53" s="825"/>
      <c r="AJ53" s="825"/>
    </row>
    <row r="54" spans="1:36" ht="33" customHeight="1" x14ac:dyDescent="0.2">
      <c r="A54" s="880" t="s">
        <v>372</v>
      </c>
      <c r="B54" s="259" t="s">
        <v>266</v>
      </c>
      <c r="C54" s="245" t="s">
        <v>374</v>
      </c>
      <c r="D54" s="102">
        <v>7009</v>
      </c>
      <c r="E54" s="165">
        <v>6500000</v>
      </c>
      <c r="F54" s="234">
        <v>0</v>
      </c>
      <c r="G54" s="226">
        <f t="shared" ref="G54:G86" si="31">+J54+M54+P54+S54+V54</f>
        <v>0</v>
      </c>
      <c r="H54" s="226"/>
      <c r="I54" s="226">
        <f t="shared" si="29"/>
        <v>0</v>
      </c>
      <c r="J54" s="226"/>
      <c r="K54" s="226">
        <v>5118110</v>
      </c>
      <c r="L54" s="226">
        <v>0</v>
      </c>
      <c r="M54" s="226"/>
      <c r="N54" s="226"/>
      <c r="O54" s="226">
        <f t="shared" si="30"/>
        <v>0</v>
      </c>
      <c r="P54" s="226"/>
      <c r="Q54" s="226"/>
      <c r="R54" s="227">
        <v>0</v>
      </c>
      <c r="S54" s="227"/>
      <c r="T54" s="227">
        <v>1381890</v>
      </c>
      <c r="U54" s="240">
        <v>0</v>
      </c>
      <c r="V54" s="567"/>
      <c r="W54" s="246">
        <f>E54</f>
        <v>6500000</v>
      </c>
      <c r="X54" s="230"/>
      <c r="Y54" s="230"/>
      <c r="Z54" s="230"/>
      <c r="AA54" s="59"/>
      <c r="AB54" s="257">
        <f>AA54</f>
        <v>0</v>
      </c>
      <c r="AC54" s="99" t="s">
        <v>164</v>
      </c>
      <c r="AF54" s="740"/>
      <c r="AG54" s="740"/>
      <c r="AH54" s="825"/>
      <c r="AI54" s="825"/>
      <c r="AJ54" s="825"/>
    </row>
    <row r="55" spans="1:36" ht="33" customHeight="1" x14ac:dyDescent="0.2">
      <c r="A55" s="880" t="s">
        <v>375</v>
      </c>
      <c r="B55" s="877" t="s">
        <v>266</v>
      </c>
      <c r="C55" s="245" t="s">
        <v>376</v>
      </c>
      <c r="D55" s="102">
        <v>7010</v>
      </c>
      <c r="E55" s="165">
        <v>19000000</v>
      </c>
      <c r="F55" s="234">
        <v>19000000</v>
      </c>
      <c r="G55" s="226">
        <f t="shared" si="31"/>
        <v>18975227</v>
      </c>
      <c r="H55" s="226"/>
      <c r="I55" s="226">
        <f t="shared" si="29"/>
        <v>0</v>
      </c>
      <c r="J55" s="226"/>
      <c r="K55" s="226">
        <v>14960630</v>
      </c>
      <c r="L55" s="226">
        <v>14960630</v>
      </c>
      <c r="M55" s="226">
        <v>14952227</v>
      </c>
      <c r="N55" s="226"/>
      <c r="O55" s="226">
        <f t="shared" si="30"/>
        <v>0</v>
      </c>
      <c r="P55" s="226"/>
      <c r="Q55" s="226"/>
      <c r="R55" s="227">
        <v>0</v>
      </c>
      <c r="S55" s="227"/>
      <c r="T55" s="227">
        <v>4039370</v>
      </c>
      <c r="U55" s="240">
        <v>4039370</v>
      </c>
      <c r="V55" s="567">
        <v>4023000</v>
      </c>
      <c r="W55" s="246">
        <f>E55</f>
        <v>19000000</v>
      </c>
      <c r="X55" s="230"/>
      <c r="Y55" s="230"/>
      <c r="Z55" s="230"/>
      <c r="AA55" s="230"/>
      <c r="AB55" s="257">
        <f>AA55</f>
        <v>0</v>
      </c>
      <c r="AC55" s="99" t="s">
        <v>164</v>
      </c>
      <c r="AF55" s="740"/>
      <c r="AG55" s="740"/>
      <c r="AH55" s="825"/>
      <c r="AI55" s="825"/>
      <c r="AJ55" s="825"/>
    </row>
    <row r="56" spans="1:36" ht="28.5" customHeight="1" x14ac:dyDescent="0.2">
      <c r="A56" s="880" t="s">
        <v>377</v>
      </c>
      <c r="B56" s="877" t="s">
        <v>378</v>
      </c>
      <c r="C56" s="245" t="s">
        <v>379</v>
      </c>
      <c r="D56" s="102">
        <v>7029</v>
      </c>
      <c r="E56" s="165">
        <f t="shared" ref="E56" si="32">H56+K56+N56+Q56+T56</f>
        <v>0</v>
      </c>
      <c r="F56" s="234">
        <v>5000000</v>
      </c>
      <c r="G56" s="226">
        <f t="shared" si="31"/>
        <v>3652768</v>
      </c>
      <c r="H56" s="226"/>
      <c r="I56" s="226">
        <f t="shared" si="29"/>
        <v>0</v>
      </c>
      <c r="J56" s="226"/>
      <c r="K56" s="226"/>
      <c r="L56" s="226">
        <v>0</v>
      </c>
      <c r="M56" s="226"/>
      <c r="N56" s="226"/>
      <c r="O56" s="226">
        <f t="shared" si="30"/>
        <v>0</v>
      </c>
      <c r="P56" s="226"/>
      <c r="Q56" s="226"/>
      <c r="R56" s="227">
        <v>3937008</v>
      </c>
      <c r="S56" s="227">
        <v>2876196</v>
      </c>
      <c r="T56" s="227"/>
      <c r="U56" s="240">
        <v>1062992</v>
      </c>
      <c r="V56" s="567">
        <v>776572</v>
      </c>
      <c r="W56" s="246">
        <f>F56</f>
        <v>5000000</v>
      </c>
      <c r="X56" s="230"/>
      <c r="Y56" s="230"/>
      <c r="Z56" s="230"/>
      <c r="AA56" s="59">
        <v>5000000</v>
      </c>
      <c r="AB56" s="60">
        <f>AA56-5000000</f>
        <v>0</v>
      </c>
      <c r="AC56" s="240" t="s">
        <v>11</v>
      </c>
      <c r="AF56" s="740"/>
      <c r="AG56" s="740"/>
      <c r="AH56" s="825"/>
      <c r="AI56" s="825"/>
      <c r="AJ56" s="825"/>
    </row>
    <row r="57" spans="1:36" ht="29.25" customHeight="1" x14ac:dyDescent="0.2">
      <c r="A57" s="880" t="s">
        <v>380</v>
      </c>
      <c r="B57" s="259" t="s">
        <v>381</v>
      </c>
      <c r="C57" s="245" t="s">
        <v>382</v>
      </c>
      <c r="D57" s="102">
        <v>6059</v>
      </c>
      <c r="E57" s="165">
        <v>2350000</v>
      </c>
      <c r="F57" s="234">
        <v>2350000</v>
      </c>
      <c r="G57" s="226">
        <f t="shared" si="31"/>
        <v>2310612</v>
      </c>
      <c r="H57" s="226"/>
      <c r="I57" s="226">
        <f t="shared" si="29"/>
        <v>0</v>
      </c>
      <c r="J57" s="226"/>
      <c r="K57" s="226">
        <v>1850393</v>
      </c>
      <c r="L57" s="226">
        <v>1850393</v>
      </c>
      <c r="M57" s="226">
        <v>1819380</v>
      </c>
      <c r="N57" s="226"/>
      <c r="O57" s="226">
        <f t="shared" si="30"/>
        <v>0</v>
      </c>
      <c r="P57" s="226"/>
      <c r="Q57" s="226"/>
      <c r="R57" s="227">
        <v>0</v>
      </c>
      <c r="S57" s="227"/>
      <c r="T57" s="227">
        <v>499607</v>
      </c>
      <c r="U57" s="240">
        <v>499607</v>
      </c>
      <c r="V57" s="567">
        <v>491232</v>
      </c>
      <c r="W57" s="246">
        <f>E57</f>
        <v>2350000</v>
      </c>
      <c r="X57" s="230"/>
      <c r="Y57" s="230"/>
      <c r="Z57" s="230"/>
      <c r="AA57" s="59"/>
      <c r="AB57" s="257">
        <f>AA57</f>
        <v>0</v>
      </c>
      <c r="AC57" s="240" t="s">
        <v>11</v>
      </c>
      <c r="AF57" s="740"/>
      <c r="AG57" s="740"/>
      <c r="AH57" s="825"/>
      <c r="AI57" s="825"/>
      <c r="AJ57" s="825"/>
    </row>
    <row r="58" spans="1:36" ht="29.25" customHeight="1" x14ac:dyDescent="0.2">
      <c r="A58" s="261" t="s">
        <v>386</v>
      </c>
      <c r="B58" s="259" t="s">
        <v>387</v>
      </c>
      <c r="C58" s="247" t="s">
        <v>388</v>
      </c>
      <c r="D58" s="97">
        <v>7014</v>
      </c>
      <c r="E58" s="165"/>
      <c r="F58" s="234">
        <v>1000000</v>
      </c>
      <c r="G58" s="226">
        <f t="shared" si="31"/>
        <v>988360</v>
      </c>
      <c r="H58" s="226"/>
      <c r="I58" s="226"/>
      <c r="J58" s="226"/>
      <c r="K58" s="226"/>
      <c r="L58" s="226">
        <v>0</v>
      </c>
      <c r="M58" s="226"/>
      <c r="N58" s="226"/>
      <c r="O58" s="226"/>
      <c r="P58" s="226"/>
      <c r="Q58" s="226"/>
      <c r="R58" s="227">
        <v>787402</v>
      </c>
      <c r="S58" s="227">
        <v>778236</v>
      </c>
      <c r="T58" s="227"/>
      <c r="U58" s="240">
        <v>212598</v>
      </c>
      <c r="V58" s="567">
        <v>210124</v>
      </c>
      <c r="W58" s="246">
        <f t="shared" ref="W58:W86" si="33">F58</f>
        <v>1000000</v>
      </c>
      <c r="X58" s="230"/>
      <c r="Y58" s="230"/>
      <c r="Z58" s="230"/>
      <c r="AA58" s="59"/>
      <c r="AB58" s="257"/>
      <c r="AC58" s="240" t="s">
        <v>11</v>
      </c>
      <c r="AF58" s="740"/>
      <c r="AG58" s="740"/>
      <c r="AH58" s="825"/>
      <c r="AI58" s="825"/>
      <c r="AJ58" s="825"/>
    </row>
    <row r="59" spans="1:36" ht="29.25" customHeight="1" x14ac:dyDescent="0.2">
      <c r="A59" s="261" t="s">
        <v>389</v>
      </c>
      <c r="B59" s="259" t="s">
        <v>178</v>
      </c>
      <c r="C59" s="247" t="s">
        <v>390</v>
      </c>
      <c r="D59" s="97">
        <v>7021</v>
      </c>
      <c r="E59" s="165"/>
      <c r="F59" s="234">
        <v>0</v>
      </c>
      <c r="G59" s="226">
        <f t="shared" si="31"/>
        <v>0</v>
      </c>
      <c r="H59" s="226"/>
      <c r="I59" s="226"/>
      <c r="J59" s="226"/>
      <c r="K59" s="226"/>
      <c r="L59" s="226">
        <v>0</v>
      </c>
      <c r="M59" s="226"/>
      <c r="N59" s="226"/>
      <c r="O59" s="226"/>
      <c r="P59" s="226"/>
      <c r="Q59" s="226"/>
      <c r="R59" s="227">
        <v>0</v>
      </c>
      <c r="S59" s="227"/>
      <c r="T59" s="227"/>
      <c r="U59" s="240">
        <v>0</v>
      </c>
      <c r="V59" s="567"/>
      <c r="W59" s="246">
        <f t="shared" si="33"/>
        <v>0</v>
      </c>
      <c r="X59" s="230"/>
      <c r="Y59" s="230"/>
      <c r="Z59" s="230"/>
      <c r="AA59" s="59"/>
      <c r="AB59" s="257"/>
      <c r="AC59" s="240" t="s">
        <v>11</v>
      </c>
      <c r="AF59" s="740"/>
      <c r="AG59" s="740"/>
      <c r="AH59" s="825"/>
      <c r="AI59" s="825"/>
      <c r="AJ59" s="825"/>
    </row>
    <row r="60" spans="1:36" ht="29.25" customHeight="1" x14ac:dyDescent="0.2">
      <c r="A60" s="261" t="s">
        <v>391</v>
      </c>
      <c r="B60" s="259" t="s">
        <v>392</v>
      </c>
      <c r="C60" s="247" t="s">
        <v>393</v>
      </c>
      <c r="D60" s="97">
        <v>7023</v>
      </c>
      <c r="E60" s="165"/>
      <c r="F60" s="234">
        <v>6306000</v>
      </c>
      <c r="G60" s="226">
        <f t="shared" si="31"/>
        <v>6306000</v>
      </c>
      <c r="H60" s="226"/>
      <c r="I60" s="226"/>
      <c r="J60" s="226"/>
      <c r="K60" s="226"/>
      <c r="L60" s="226">
        <v>4965354</v>
      </c>
      <c r="M60" s="226">
        <v>4965354</v>
      </c>
      <c r="N60" s="226"/>
      <c r="O60" s="226"/>
      <c r="P60" s="226"/>
      <c r="Q60" s="226"/>
      <c r="R60" s="227">
        <v>0</v>
      </c>
      <c r="S60" s="227"/>
      <c r="T60" s="227"/>
      <c r="U60" s="240">
        <v>1340646</v>
      </c>
      <c r="V60" s="567">
        <v>1340646</v>
      </c>
      <c r="W60" s="246">
        <f t="shared" si="33"/>
        <v>6306000</v>
      </c>
      <c r="X60" s="230"/>
      <c r="Y60" s="230"/>
      <c r="Z60" s="230"/>
      <c r="AA60" s="59"/>
      <c r="AB60" s="257"/>
      <c r="AC60" s="240" t="s">
        <v>11</v>
      </c>
      <c r="AF60" s="740"/>
      <c r="AG60" s="740"/>
      <c r="AH60" s="825"/>
      <c r="AI60" s="825"/>
      <c r="AJ60" s="825"/>
    </row>
    <row r="61" spans="1:36" ht="29.25" customHeight="1" x14ac:dyDescent="0.2">
      <c r="A61" s="261" t="s">
        <v>394</v>
      </c>
      <c r="B61" s="259" t="s">
        <v>366</v>
      </c>
      <c r="C61" s="247" t="s">
        <v>395</v>
      </c>
      <c r="D61" s="97">
        <v>7015</v>
      </c>
      <c r="E61" s="165"/>
      <c r="F61" s="234">
        <v>95250</v>
      </c>
      <c r="G61" s="226">
        <f t="shared" si="31"/>
        <v>95250</v>
      </c>
      <c r="H61" s="226"/>
      <c r="I61" s="226"/>
      <c r="J61" s="226"/>
      <c r="K61" s="226"/>
      <c r="L61" s="226">
        <v>0</v>
      </c>
      <c r="M61" s="226"/>
      <c r="N61" s="226"/>
      <c r="O61" s="226"/>
      <c r="P61" s="226"/>
      <c r="Q61" s="226"/>
      <c r="R61" s="227">
        <v>75000</v>
      </c>
      <c r="S61" s="227">
        <v>75000</v>
      </c>
      <c r="T61" s="227"/>
      <c r="U61" s="240">
        <v>20250</v>
      </c>
      <c r="V61" s="567">
        <v>20250</v>
      </c>
      <c r="W61" s="246">
        <f t="shared" si="33"/>
        <v>95250</v>
      </c>
      <c r="X61" s="230"/>
      <c r="Y61" s="230"/>
      <c r="Z61" s="230"/>
      <c r="AA61" s="59"/>
      <c r="AB61" s="257"/>
      <c r="AC61" s="240" t="s">
        <v>11</v>
      </c>
      <c r="AF61" s="740"/>
      <c r="AG61" s="740"/>
      <c r="AH61" s="825"/>
      <c r="AI61" s="825"/>
      <c r="AJ61" s="825"/>
    </row>
    <row r="62" spans="1:36" ht="29.25" customHeight="1" x14ac:dyDescent="0.2">
      <c r="A62" s="261" t="s">
        <v>396</v>
      </c>
      <c r="B62" s="259" t="s">
        <v>397</v>
      </c>
      <c r="C62" s="247" t="s">
        <v>398</v>
      </c>
      <c r="D62" s="97">
        <v>7034</v>
      </c>
      <c r="E62" s="165"/>
      <c r="F62" s="234">
        <v>4431210</v>
      </c>
      <c r="G62" s="226">
        <f t="shared" si="31"/>
        <v>4229085</v>
      </c>
      <c r="H62" s="226"/>
      <c r="I62" s="226"/>
      <c r="J62" s="226"/>
      <c r="K62" s="226"/>
      <c r="L62" s="226">
        <v>0</v>
      </c>
      <c r="M62" s="226"/>
      <c r="N62" s="226"/>
      <c r="O62" s="226"/>
      <c r="P62" s="226"/>
      <c r="Q62" s="226"/>
      <c r="R62" s="227">
        <v>3474516</v>
      </c>
      <c r="S62" s="227">
        <v>3358816</v>
      </c>
      <c r="T62" s="227"/>
      <c r="U62" s="240">
        <v>956694</v>
      </c>
      <c r="V62" s="567">
        <v>870269</v>
      </c>
      <c r="W62" s="246">
        <f t="shared" si="33"/>
        <v>4431210</v>
      </c>
      <c r="X62" s="230"/>
      <c r="Y62" s="230"/>
      <c r="Z62" s="230"/>
      <c r="AA62" s="59"/>
      <c r="AB62" s="257"/>
      <c r="AC62" s="240" t="s">
        <v>11</v>
      </c>
      <c r="AF62" s="740"/>
      <c r="AG62" s="740"/>
      <c r="AH62" s="825"/>
      <c r="AI62" s="825"/>
      <c r="AJ62" s="825"/>
    </row>
    <row r="63" spans="1:36" ht="29.25" customHeight="1" x14ac:dyDescent="0.2">
      <c r="A63" s="261" t="s">
        <v>399</v>
      </c>
      <c r="B63" s="259" t="s">
        <v>400</v>
      </c>
      <c r="C63" s="247" t="s">
        <v>401</v>
      </c>
      <c r="D63" s="97">
        <v>4041</v>
      </c>
      <c r="E63" s="165"/>
      <c r="F63" s="234">
        <v>280805</v>
      </c>
      <c r="G63" s="226">
        <f t="shared" si="31"/>
        <v>280805</v>
      </c>
      <c r="H63" s="226"/>
      <c r="I63" s="226"/>
      <c r="J63" s="226"/>
      <c r="K63" s="226"/>
      <c r="L63" s="226"/>
      <c r="M63" s="226"/>
      <c r="N63" s="226"/>
      <c r="O63" s="226">
        <v>6299</v>
      </c>
      <c r="P63" s="226">
        <v>6299</v>
      </c>
      <c r="Q63" s="226"/>
      <c r="R63" s="227">
        <v>214806</v>
      </c>
      <c r="S63" s="227">
        <v>214806</v>
      </c>
      <c r="T63" s="227"/>
      <c r="U63" s="240">
        <v>59700</v>
      </c>
      <c r="V63" s="567">
        <v>59700</v>
      </c>
      <c r="W63" s="246">
        <f t="shared" si="33"/>
        <v>280805</v>
      </c>
      <c r="X63" s="230"/>
      <c r="Y63" s="230"/>
      <c r="Z63" s="230"/>
      <c r="AA63" s="59"/>
      <c r="AB63" s="257"/>
      <c r="AC63" s="240" t="s">
        <v>11</v>
      </c>
      <c r="AF63" s="740"/>
      <c r="AG63" s="740"/>
      <c r="AH63" s="825"/>
      <c r="AI63" s="825"/>
      <c r="AJ63" s="825"/>
    </row>
    <row r="64" spans="1:36" ht="29.25" customHeight="1" x14ac:dyDescent="0.2">
      <c r="A64" s="261" t="s">
        <v>391</v>
      </c>
      <c r="B64" s="259" t="s">
        <v>392</v>
      </c>
      <c r="C64" s="247" t="s">
        <v>402</v>
      </c>
      <c r="D64" s="97">
        <v>6073</v>
      </c>
      <c r="E64" s="165"/>
      <c r="F64" s="226">
        <v>368095</v>
      </c>
      <c r="G64" s="226">
        <f t="shared" si="31"/>
        <v>353122</v>
      </c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7">
        <v>357690</v>
      </c>
      <c r="S64" s="227">
        <v>345900</v>
      </c>
      <c r="T64" s="227"/>
      <c r="U64" s="240">
        <v>10405</v>
      </c>
      <c r="V64" s="567">
        <v>7222</v>
      </c>
      <c r="W64" s="246">
        <f t="shared" si="33"/>
        <v>368095</v>
      </c>
      <c r="X64" s="230"/>
      <c r="Y64" s="230"/>
      <c r="Z64" s="230"/>
      <c r="AA64" s="59"/>
      <c r="AB64" s="257"/>
      <c r="AC64" s="240" t="s">
        <v>11</v>
      </c>
      <c r="AF64" s="740"/>
      <c r="AG64" s="740"/>
      <c r="AH64" s="825"/>
      <c r="AI64" s="825"/>
      <c r="AJ64" s="825"/>
    </row>
    <row r="65" spans="1:36" ht="29.25" customHeight="1" x14ac:dyDescent="0.2">
      <c r="A65" s="261" t="s">
        <v>1303</v>
      </c>
      <c r="B65" s="259" t="s">
        <v>1304</v>
      </c>
      <c r="C65" s="247" t="s">
        <v>1305</v>
      </c>
      <c r="D65" s="97">
        <v>7039</v>
      </c>
      <c r="E65" s="165"/>
      <c r="F65" s="234">
        <v>60000</v>
      </c>
      <c r="G65" s="226">
        <f t="shared" si="31"/>
        <v>60000</v>
      </c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7">
        <v>60000</v>
      </c>
      <c r="S65" s="227">
        <v>60000</v>
      </c>
      <c r="T65" s="227"/>
      <c r="U65" s="240"/>
      <c r="V65" s="567"/>
      <c r="W65" s="246">
        <f t="shared" si="33"/>
        <v>60000</v>
      </c>
      <c r="X65" s="230"/>
      <c r="Y65" s="230"/>
      <c r="Z65" s="230"/>
      <c r="AA65" s="59"/>
      <c r="AB65" s="257"/>
      <c r="AC65" s="240" t="s">
        <v>164</v>
      </c>
      <c r="AF65" s="740"/>
      <c r="AG65" s="740"/>
      <c r="AH65" s="825"/>
      <c r="AI65" s="825"/>
      <c r="AJ65" s="825"/>
    </row>
    <row r="66" spans="1:36" ht="29.25" customHeight="1" x14ac:dyDescent="0.2">
      <c r="A66" s="261" t="s">
        <v>287</v>
      </c>
      <c r="B66" s="259" t="s">
        <v>283</v>
      </c>
      <c r="C66" s="247" t="s">
        <v>1306</v>
      </c>
      <c r="D66" s="97">
        <v>7043</v>
      </c>
      <c r="E66" s="165"/>
      <c r="F66" s="234">
        <v>1620000</v>
      </c>
      <c r="G66" s="226">
        <f t="shared" si="31"/>
        <v>1615440</v>
      </c>
      <c r="H66" s="226"/>
      <c r="I66" s="226"/>
      <c r="J66" s="226"/>
      <c r="K66" s="226"/>
      <c r="L66" s="226">
        <v>1275590</v>
      </c>
      <c r="M66" s="226">
        <v>1272000</v>
      </c>
      <c r="N66" s="226"/>
      <c r="O66" s="226"/>
      <c r="P66" s="226"/>
      <c r="Q66" s="226"/>
      <c r="R66" s="227"/>
      <c r="S66" s="227"/>
      <c r="T66" s="227"/>
      <c r="U66" s="240">
        <v>344410</v>
      </c>
      <c r="V66" s="567">
        <v>343440</v>
      </c>
      <c r="W66" s="246">
        <f t="shared" si="33"/>
        <v>1620000</v>
      </c>
      <c r="X66" s="230"/>
      <c r="Y66" s="230"/>
      <c r="Z66" s="230"/>
      <c r="AA66" s="59"/>
      <c r="AB66" s="257"/>
      <c r="AC66" s="240" t="s">
        <v>11</v>
      </c>
      <c r="AF66" s="740"/>
      <c r="AG66" s="740"/>
      <c r="AH66" s="825"/>
      <c r="AI66" s="825"/>
      <c r="AJ66" s="825"/>
    </row>
    <row r="67" spans="1:36" ht="42" customHeight="1" x14ac:dyDescent="0.2">
      <c r="A67" s="261" t="s">
        <v>287</v>
      </c>
      <c r="B67" s="259" t="s">
        <v>283</v>
      </c>
      <c r="C67" s="247" t="s">
        <v>1436</v>
      </c>
      <c r="D67" s="97">
        <v>7055</v>
      </c>
      <c r="E67" s="165"/>
      <c r="F67" s="234">
        <v>14335699</v>
      </c>
      <c r="G67" s="226">
        <f t="shared" si="31"/>
        <v>14335699</v>
      </c>
      <c r="H67" s="226"/>
      <c r="I67" s="226"/>
      <c r="J67" s="226"/>
      <c r="K67" s="226"/>
      <c r="L67" s="226">
        <v>11398760</v>
      </c>
      <c r="M67" s="226">
        <v>11398760</v>
      </c>
      <c r="N67" s="226"/>
      <c r="O67" s="226"/>
      <c r="P67" s="226"/>
      <c r="Q67" s="226"/>
      <c r="R67" s="227"/>
      <c r="S67" s="227"/>
      <c r="T67" s="227"/>
      <c r="U67" s="240">
        <v>2936939</v>
      </c>
      <c r="V67" s="567">
        <v>2936939</v>
      </c>
      <c r="W67" s="246">
        <f t="shared" si="33"/>
        <v>14335699</v>
      </c>
      <c r="X67" s="230"/>
      <c r="Y67" s="230"/>
      <c r="Z67" s="230"/>
      <c r="AA67" s="59"/>
      <c r="AB67" s="257"/>
      <c r="AC67" s="240" t="s">
        <v>11</v>
      </c>
      <c r="AF67" s="740"/>
      <c r="AG67" s="740"/>
      <c r="AH67" s="825"/>
      <c r="AI67" s="825"/>
      <c r="AJ67" s="825"/>
    </row>
    <row r="68" spans="1:36" ht="41.25" customHeight="1" x14ac:dyDescent="0.2">
      <c r="A68" s="261" t="s">
        <v>294</v>
      </c>
      <c r="B68" s="259" t="s">
        <v>291</v>
      </c>
      <c r="C68" s="247" t="s">
        <v>1437</v>
      </c>
      <c r="D68" s="97">
        <v>7062</v>
      </c>
      <c r="E68" s="165"/>
      <c r="F68" s="234">
        <v>5965211</v>
      </c>
      <c r="G68" s="226">
        <f t="shared" si="31"/>
        <v>5965211</v>
      </c>
      <c r="H68" s="226"/>
      <c r="I68" s="226"/>
      <c r="J68" s="226"/>
      <c r="K68" s="226"/>
      <c r="L68" s="226">
        <v>5942661</v>
      </c>
      <c r="M68" s="226">
        <v>5942661</v>
      </c>
      <c r="N68" s="226"/>
      <c r="O68" s="226"/>
      <c r="P68" s="226"/>
      <c r="Q68" s="226"/>
      <c r="R68" s="227"/>
      <c r="S68" s="227"/>
      <c r="T68" s="227"/>
      <c r="U68" s="240">
        <v>22550</v>
      </c>
      <c r="V68" s="567">
        <v>22550</v>
      </c>
      <c r="W68" s="246">
        <f t="shared" si="33"/>
        <v>5965211</v>
      </c>
      <c r="X68" s="230"/>
      <c r="Y68" s="230"/>
      <c r="Z68" s="230"/>
      <c r="AA68" s="59"/>
      <c r="AB68" s="257"/>
      <c r="AC68" s="240" t="s">
        <v>11</v>
      </c>
      <c r="AF68" s="740"/>
      <c r="AG68" s="740"/>
      <c r="AH68" s="825"/>
      <c r="AI68" s="825"/>
      <c r="AJ68" s="825"/>
    </row>
    <row r="69" spans="1:36" ht="29.25" customHeight="1" x14ac:dyDescent="0.2">
      <c r="A69" s="261" t="s">
        <v>1293</v>
      </c>
      <c r="B69" s="259" t="s">
        <v>1294</v>
      </c>
      <c r="C69" s="247" t="s">
        <v>1438</v>
      </c>
      <c r="D69" s="97">
        <v>7042</v>
      </c>
      <c r="E69" s="165"/>
      <c r="F69" s="234">
        <v>1115568</v>
      </c>
      <c r="G69" s="226">
        <f t="shared" si="31"/>
        <v>1115568</v>
      </c>
      <c r="H69" s="226"/>
      <c r="I69" s="226"/>
      <c r="J69" s="226"/>
      <c r="K69" s="226"/>
      <c r="L69" s="226">
        <v>878400</v>
      </c>
      <c r="M69" s="226">
        <v>878400</v>
      </c>
      <c r="N69" s="226"/>
      <c r="O69" s="226"/>
      <c r="P69" s="226"/>
      <c r="Q69" s="226"/>
      <c r="R69" s="227"/>
      <c r="S69" s="227"/>
      <c r="T69" s="227"/>
      <c r="U69" s="240">
        <v>237168</v>
      </c>
      <c r="V69" s="567">
        <v>237168</v>
      </c>
      <c r="W69" s="246">
        <f t="shared" si="33"/>
        <v>1115568</v>
      </c>
      <c r="X69" s="230"/>
      <c r="Y69" s="230"/>
      <c r="Z69" s="230"/>
      <c r="AA69" s="59"/>
      <c r="AB69" s="257"/>
      <c r="AC69" s="240" t="s">
        <v>11</v>
      </c>
      <c r="AF69" s="740"/>
      <c r="AG69" s="740"/>
      <c r="AH69" s="825"/>
      <c r="AI69" s="825"/>
      <c r="AJ69" s="825"/>
    </row>
    <row r="70" spans="1:36" ht="29.25" customHeight="1" x14ac:dyDescent="0.2">
      <c r="A70" s="261" t="s">
        <v>1293</v>
      </c>
      <c r="B70" s="259" t="s">
        <v>1294</v>
      </c>
      <c r="C70" s="247" t="s">
        <v>1439</v>
      </c>
      <c r="D70" s="97">
        <v>7046</v>
      </c>
      <c r="E70" s="165"/>
      <c r="F70" s="234">
        <v>2984500</v>
      </c>
      <c r="G70" s="226">
        <f t="shared" si="31"/>
        <v>2984500</v>
      </c>
      <c r="H70" s="226"/>
      <c r="I70" s="226"/>
      <c r="J70" s="226"/>
      <c r="K70" s="226"/>
      <c r="L70" s="226">
        <v>2350000</v>
      </c>
      <c r="M70" s="226">
        <v>2350000</v>
      </c>
      <c r="N70" s="226"/>
      <c r="O70" s="226"/>
      <c r="P70" s="226"/>
      <c r="Q70" s="226"/>
      <c r="R70" s="227"/>
      <c r="S70" s="227"/>
      <c r="T70" s="227"/>
      <c r="U70" s="240">
        <v>634500</v>
      </c>
      <c r="V70" s="567">
        <v>634500</v>
      </c>
      <c r="W70" s="246">
        <f t="shared" si="33"/>
        <v>2984500</v>
      </c>
      <c r="X70" s="230"/>
      <c r="Y70" s="230"/>
      <c r="Z70" s="230"/>
      <c r="AA70" s="59"/>
      <c r="AB70" s="257"/>
      <c r="AC70" s="240" t="s">
        <v>11</v>
      </c>
      <c r="AF70" s="740"/>
      <c r="AG70" s="740"/>
      <c r="AH70" s="825"/>
      <c r="AI70" s="825"/>
      <c r="AJ70" s="825"/>
    </row>
    <row r="71" spans="1:36" ht="29.25" customHeight="1" x14ac:dyDescent="0.2">
      <c r="A71" s="261" t="s">
        <v>1293</v>
      </c>
      <c r="B71" s="259" t="s">
        <v>1294</v>
      </c>
      <c r="C71" s="247" t="s">
        <v>1440</v>
      </c>
      <c r="D71" s="97">
        <v>7056</v>
      </c>
      <c r="E71" s="165"/>
      <c r="F71" s="234">
        <v>165100</v>
      </c>
      <c r="G71" s="226">
        <f t="shared" si="31"/>
        <v>165100</v>
      </c>
      <c r="H71" s="226"/>
      <c r="I71" s="226"/>
      <c r="J71" s="226"/>
      <c r="K71" s="226"/>
      <c r="L71" s="226">
        <v>165100</v>
      </c>
      <c r="M71" s="226">
        <v>165100</v>
      </c>
      <c r="N71" s="226"/>
      <c r="O71" s="226"/>
      <c r="P71" s="226"/>
      <c r="Q71" s="226"/>
      <c r="R71" s="227"/>
      <c r="S71" s="227"/>
      <c r="T71" s="227"/>
      <c r="U71" s="240"/>
      <c r="V71" s="567"/>
      <c r="W71" s="246">
        <f t="shared" si="33"/>
        <v>165100</v>
      </c>
      <c r="X71" s="230"/>
      <c r="Y71" s="230"/>
      <c r="Z71" s="230"/>
      <c r="AA71" s="59"/>
      <c r="AB71" s="257"/>
      <c r="AC71" s="240" t="s">
        <v>11</v>
      </c>
      <c r="AF71" s="740"/>
      <c r="AG71" s="740"/>
      <c r="AH71" s="825"/>
      <c r="AI71" s="825"/>
      <c r="AJ71" s="825"/>
    </row>
    <row r="72" spans="1:36" ht="29.25" customHeight="1" x14ac:dyDescent="0.2">
      <c r="A72" s="261" t="s">
        <v>1293</v>
      </c>
      <c r="B72" s="259" t="s">
        <v>1294</v>
      </c>
      <c r="C72" s="247" t="s">
        <v>1508</v>
      </c>
      <c r="D72" s="97">
        <v>7068</v>
      </c>
      <c r="E72" s="165"/>
      <c r="F72" s="234">
        <v>361950</v>
      </c>
      <c r="G72" s="226">
        <f t="shared" si="31"/>
        <v>361950</v>
      </c>
      <c r="H72" s="226"/>
      <c r="I72" s="226"/>
      <c r="J72" s="226"/>
      <c r="K72" s="226"/>
      <c r="L72" s="226">
        <v>285000</v>
      </c>
      <c r="M72" s="226">
        <v>285000</v>
      </c>
      <c r="N72" s="226"/>
      <c r="O72" s="226"/>
      <c r="P72" s="226"/>
      <c r="Q72" s="226"/>
      <c r="R72" s="227"/>
      <c r="S72" s="227"/>
      <c r="T72" s="227"/>
      <c r="U72" s="240">
        <v>76950</v>
      </c>
      <c r="V72" s="567">
        <v>76950</v>
      </c>
      <c r="W72" s="246">
        <f t="shared" si="33"/>
        <v>361950</v>
      </c>
      <c r="X72" s="230"/>
      <c r="Y72" s="230"/>
      <c r="Z72" s="230"/>
      <c r="AA72" s="59"/>
      <c r="AB72" s="257"/>
      <c r="AC72" s="240" t="s">
        <v>11</v>
      </c>
      <c r="AF72" s="740"/>
      <c r="AG72" s="740"/>
      <c r="AH72" s="825"/>
      <c r="AI72" s="825"/>
      <c r="AJ72" s="825"/>
    </row>
    <row r="73" spans="1:36" ht="29.25" customHeight="1" x14ac:dyDescent="0.2">
      <c r="A73" s="261" t="s">
        <v>1441</v>
      </c>
      <c r="B73" s="259" t="s">
        <v>178</v>
      </c>
      <c r="C73" s="247" t="s">
        <v>1442</v>
      </c>
      <c r="D73" s="97">
        <v>7050</v>
      </c>
      <c r="E73" s="165"/>
      <c r="F73" s="234">
        <v>131174</v>
      </c>
      <c r="G73" s="226">
        <f t="shared" si="31"/>
        <v>131174</v>
      </c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7">
        <v>103287</v>
      </c>
      <c r="S73" s="227">
        <v>103287</v>
      </c>
      <c r="T73" s="227"/>
      <c r="U73" s="240">
        <v>27887</v>
      </c>
      <c r="V73" s="567">
        <v>27887</v>
      </c>
      <c r="W73" s="246">
        <f t="shared" si="33"/>
        <v>131174</v>
      </c>
      <c r="X73" s="230"/>
      <c r="Y73" s="230"/>
      <c r="Z73" s="230"/>
      <c r="AA73" s="59"/>
      <c r="AB73" s="257"/>
      <c r="AC73" s="240" t="s">
        <v>11</v>
      </c>
      <c r="AF73" s="740"/>
      <c r="AG73" s="740"/>
      <c r="AH73" s="825"/>
      <c r="AI73" s="825"/>
      <c r="AJ73" s="825"/>
    </row>
    <row r="74" spans="1:36" ht="29.25" customHeight="1" x14ac:dyDescent="0.2">
      <c r="A74" s="261" t="s">
        <v>396</v>
      </c>
      <c r="B74" s="259" t="s">
        <v>397</v>
      </c>
      <c r="C74" s="247" t="s">
        <v>1443</v>
      </c>
      <c r="D74" s="97">
        <v>5063</v>
      </c>
      <c r="E74" s="165"/>
      <c r="F74" s="234">
        <v>56270</v>
      </c>
      <c r="G74" s="226">
        <f t="shared" si="31"/>
        <v>56270</v>
      </c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7">
        <v>44307</v>
      </c>
      <c r="S74" s="227">
        <v>44307</v>
      </c>
      <c r="T74" s="227"/>
      <c r="U74" s="240">
        <v>11963</v>
      </c>
      <c r="V74" s="567">
        <v>11963</v>
      </c>
      <c r="W74" s="246">
        <f t="shared" si="33"/>
        <v>56270</v>
      </c>
      <c r="X74" s="230"/>
      <c r="Y74" s="230"/>
      <c r="Z74" s="230"/>
      <c r="AA74" s="59"/>
      <c r="AB74" s="257"/>
      <c r="AC74" s="240" t="s">
        <v>11</v>
      </c>
      <c r="AF74" s="740"/>
      <c r="AG74" s="740"/>
      <c r="AH74" s="825"/>
      <c r="AI74" s="825"/>
      <c r="AJ74" s="825"/>
    </row>
    <row r="75" spans="1:36" ht="29.25" customHeight="1" x14ac:dyDescent="0.2">
      <c r="A75" s="261" t="s">
        <v>1444</v>
      </c>
      <c r="B75" s="259" t="s">
        <v>434</v>
      </c>
      <c r="C75" s="247" t="s">
        <v>1445</v>
      </c>
      <c r="D75" s="97">
        <v>7057</v>
      </c>
      <c r="E75" s="165"/>
      <c r="F75" s="234">
        <v>2471700</v>
      </c>
      <c r="G75" s="226">
        <f t="shared" si="31"/>
        <v>2424300</v>
      </c>
      <c r="H75" s="226"/>
      <c r="I75" s="226"/>
      <c r="J75" s="226"/>
      <c r="K75" s="226"/>
      <c r="L75" s="226">
        <v>2164760</v>
      </c>
      <c r="M75" s="226">
        <v>2164760</v>
      </c>
      <c r="N75" s="226"/>
      <c r="O75" s="226"/>
      <c r="P75" s="226"/>
      <c r="Q75" s="226"/>
      <c r="R75" s="227"/>
      <c r="S75" s="227"/>
      <c r="T75" s="227"/>
      <c r="U75" s="240">
        <v>306940</v>
      </c>
      <c r="V75" s="567">
        <v>259540</v>
      </c>
      <c r="W75" s="246">
        <f t="shared" si="33"/>
        <v>2471700</v>
      </c>
      <c r="X75" s="230"/>
      <c r="Y75" s="230"/>
      <c r="Z75" s="230"/>
      <c r="AA75" s="59"/>
      <c r="AB75" s="257"/>
      <c r="AC75" s="240" t="s">
        <v>11</v>
      </c>
      <c r="AF75" s="740"/>
      <c r="AG75" s="740"/>
      <c r="AH75" s="825"/>
      <c r="AI75" s="825"/>
      <c r="AJ75" s="825"/>
    </row>
    <row r="76" spans="1:36" ht="29.25" customHeight="1" x14ac:dyDescent="0.2">
      <c r="A76" s="261" t="s">
        <v>745</v>
      </c>
      <c r="B76" s="259" t="s">
        <v>408</v>
      </c>
      <c r="C76" s="247" t="s">
        <v>1446</v>
      </c>
      <c r="D76" s="97">
        <v>6050</v>
      </c>
      <c r="E76" s="165"/>
      <c r="F76" s="234">
        <v>97491</v>
      </c>
      <c r="G76" s="226">
        <f t="shared" si="31"/>
        <v>97491</v>
      </c>
      <c r="H76" s="226"/>
      <c r="I76" s="226"/>
      <c r="J76" s="226"/>
      <c r="K76" s="226"/>
      <c r="L76" s="226"/>
      <c r="M76" s="226"/>
      <c r="N76" s="226"/>
      <c r="O76" s="226">
        <v>25591</v>
      </c>
      <c r="P76" s="226">
        <v>25591</v>
      </c>
      <c r="Q76" s="226"/>
      <c r="R76" s="227">
        <v>51173</v>
      </c>
      <c r="S76" s="227">
        <v>51173</v>
      </c>
      <c r="T76" s="227"/>
      <c r="U76" s="240">
        <v>20727</v>
      </c>
      <c r="V76" s="567">
        <v>20727</v>
      </c>
      <c r="W76" s="246">
        <f t="shared" si="33"/>
        <v>97491</v>
      </c>
      <c r="X76" s="230"/>
      <c r="Y76" s="230"/>
      <c r="Z76" s="230"/>
      <c r="AA76" s="59"/>
      <c r="AB76" s="257"/>
      <c r="AC76" s="240" t="s">
        <v>11</v>
      </c>
      <c r="AF76" s="740"/>
      <c r="AG76" s="740"/>
      <c r="AH76" s="825"/>
      <c r="AI76" s="825"/>
      <c r="AJ76" s="825"/>
    </row>
    <row r="77" spans="1:36" ht="29.25" customHeight="1" x14ac:dyDescent="0.2">
      <c r="A77" s="261" t="s">
        <v>1433</v>
      </c>
      <c r="B77" s="259" t="s">
        <v>1434</v>
      </c>
      <c r="C77" s="247" t="s">
        <v>1435</v>
      </c>
      <c r="D77" s="97">
        <v>7058</v>
      </c>
      <c r="E77" s="165"/>
      <c r="F77" s="234">
        <v>2760000</v>
      </c>
      <c r="G77" s="226">
        <f t="shared" si="31"/>
        <v>0</v>
      </c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7">
        <v>2173228</v>
      </c>
      <c r="S77" s="227"/>
      <c r="T77" s="227"/>
      <c r="U77" s="240">
        <v>586772</v>
      </c>
      <c r="V77" s="567"/>
      <c r="W77" s="246">
        <f t="shared" si="33"/>
        <v>2760000</v>
      </c>
      <c r="X77" s="230"/>
      <c r="Y77" s="230"/>
      <c r="Z77" s="230"/>
      <c r="AA77" s="59"/>
      <c r="AB77" s="257"/>
      <c r="AC77" s="240" t="s">
        <v>11</v>
      </c>
      <c r="AF77" s="740"/>
      <c r="AG77" s="740"/>
      <c r="AH77" s="825"/>
      <c r="AI77" s="825"/>
      <c r="AJ77" s="825"/>
    </row>
    <row r="78" spans="1:36" ht="29.25" customHeight="1" x14ac:dyDescent="0.2">
      <c r="A78" s="261" t="s">
        <v>377</v>
      </c>
      <c r="B78" s="259" t="s">
        <v>397</v>
      </c>
      <c r="C78" s="247" t="s">
        <v>1432</v>
      </c>
      <c r="D78" s="97">
        <v>5035</v>
      </c>
      <c r="E78" s="165"/>
      <c r="F78" s="234">
        <v>54600</v>
      </c>
      <c r="G78" s="226">
        <f t="shared" si="31"/>
        <v>54600</v>
      </c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7">
        <v>54600</v>
      </c>
      <c r="S78" s="227">
        <v>54600</v>
      </c>
      <c r="T78" s="227"/>
      <c r="U78" s="240"/>
      <c r="V78" s="567"/>
      <c r="W78" s="246">
        <f t="shared" si="33"/>
        <v>54600</v>
      </c>
      <c r="X78" s="230"/>
      <c r="Y78" s="230"/>
      <c r="Z78" s="230"/>
      <c r="AA78" s="59"/>
      <c r="AB78" s="257"/>
      <c r="AC78" s="240" t="s">
        <v>11</v>
      </c>
      <c r="AF78" s="740"/>
      <c r="AG78" s="740"/>
      <c r="AH78" s="825"/>
      <c r="AI78" s="825"/>
      <c r="AJ78" s="825"/>
    </row>
    <row r="79" spans="1:36" ht="29.25" customHeight="1" x14ac:dyDescent="0.2">
      <c r="A79" s="261" t="s">
        <v>1490</v>
      </c>
      <c r="B79" s="259" t="s">
        <v>1491</v>
      </c>
      <c r="C79" s="247" t="s">
        <v>1492</v>
      </c>
      <c r="D79" s="97">
        <v>7064</v>
      </c>
      <c r="E79" s="165"/>
      <c r="F79" s="234">
        <v>182880</v>
      </c>
      <c r="G79" s="226">
        <f t="shared" si="31"/>
        <v>182880</v>
      </c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7">
        <v>144000</v>
      </c>
      <c r="S79" s="227">
        <v>144000</v>
      </c>
      <c r="T79" s="227"/>
      <c r="U79" s="240">
        <v>38880</v>
      </c>
      <c r="V79" s="567">
        <v>38880</v>
      </c>
      <c r="W79" s="246">
        <f t="shared" si="33"/>
        <v>182880</v>
      </c>
      <c r="X79" s="230"/>
      <c r="Y79" s="230"/>
      <c r="Z79" s="230"/>
      <c r="AA79" s="59"/>
      <c r="AB79" s="257"/>
      <c r="AC79" s="240" t="s">
        <v>11</v>
      </c>
      <c r="AF79" s="740"/>
      <c r="AG79" s="740"/>
      <c r="AH79" s="825"/>
      <c r="AI79" s="825"/>
      <c r="AJ79" s="825"/>
    </row>
    <row r="80" spans="1:36" ht="29.25" customHeight="1" x14ac:dyDescent="0.2">
      <c r="A80" s="261" t="s">
        <v>1493</v>
      </c>
      <c r="B80" s="259" t="s">
        <v>266</v>
      </c>
      <c r="C80" s="247" t="s">
        <v>1494</v>
      </c>
      <c r="D80" s="97">
        <v>7071</v>
      </c>
      <c r="E80" s="165"/>
      <c r="F80" s="234">
        <v>12963000</v>
      </c>
      <c r="G80" s="226">
        <f t="shared" si="31"/>
        <v>0</v>
      </c>
      <c r="H80" s="226"/>
      <c r="I80" s="226"/>
      <c r="J80" s="226"/>
      <c r="K80" s="226"/>
      <c r="L80" s="226">
        <v>10207087</v>
      </c>
      <c r="M80" s="226"/>
      <c r="N80" s="226"/>
      <c r="O80" s="226"/>
      <c r="P80" s="226"/>
      <c r="Q80" s="226"/>
      <c r="R80" s="227"/>
      <c r="S80" s="227"/>
      <c r="T80" s="227"/>
      <c r="U80" s="240">
        <v>2755913</v>
      </c>
      <c r="V80" s="567"/>
      <c r="W80" s="246">
        <f t="shared" si="33"/>
        <v>12963000</v>
      </c>
      <c r="X80" s="230"/>
      <c r="Y80" s="230"/>
      <c r="Z80" s="230"/>
      <c r="AA80" s="59"/>
      <c r="AB80" s="257"/>
      <c r="AC80" s="240" t="s">
        <v>164</v>
      </c>
      <c r="AF80" s="740"/>
      <c r="AG80" s="740"/>
      <c r="AH80" s="825"/>
      <c r="AI80" s="825"/>
      <c r="AJ80" s="825"/>
    </row>
    <row r="81" spans="1:36" ht="29.25" customHeight="1" x14ac:dyDescent="0.2">
      <c r="A81" s="261" t="s">
        <v>1495</v>
      </c>
      <c r="B81" s="259" t="s">
        <v>366</v>
      </c>
      <c r="C81" s="247" t="s">
        <v>1496</v>
      </c>
      <c r="D81" s="97">
        <v>7078</v>
      </c>
      <c r="E81" s="165"/>
      <c r="F81" s="234">
        <v>596900</v>
      </c>
      <c r="G81" s="226">
        <f t="shared" si="31"/>
        <v>596900</v>
      </c>
      <c r="H81" s="226"/>
      <c r="I81" s="226"/>
      <c r="J81" s="226"/>
      <c r="K81" s="226"/>
      <c r="L81" s="226">
        <v>470000</v>
      </c>
      <c r="M81" s="226">
        <v>470000</v>
      </c>
      <c r="N81" s="226"/>
      <c r="O81" s="226"/>
      <c r="P81" s="226"/>
      <c r="Q81" s="226"/>
      <c r="R81" s="227"/>
      <c r="S81" s="227"/>
      <c r="T81" s="227"/>
      <c r="U81" s="240">
        <v>126900</v>
      </c>
      <c r="V81" s="567">
        <v>126900</v>
      </c>
      <c r="W81" s="246">
        <f t="shared" si="33"/>
        <v>596900</v>
      </c>
      <c r="X81" s="230"/>
      <c r="Y81" s="230"/>
      <c r="Z81" s="230"/>
      <c r="AA81" s="59"/>
      <c r="AB81" s="257"/>
      <c r="AC81" s="240" t="s">
        <v>164</v>
      </c>
      <c r="AF81" s="740"/>
      <c r="AG81" s="740"/>
      <c r="AH81" s="825"/>
      <c r="AI81" s="825"/>
      <c r="AJ81" s="825"/>
    </row>
    <row r="82" spans="1:36" ht="29.25" customHeight="1" x14ac:dyDescent="0.2">
      <c r="A82" s="261" t="s">
        <v>1497</v>
      </c>
      <c r="B82" s="259" t="s">
        <v>1498</v>
      </c>
      <c r="C82" s="247" t="s">
        <v>1499</v>
      </c>
      <c r="D82" s="97">
        <v>7073</v>
      </c>
      <c r="E82" s="165"/>
      <c r="F82" s="234">
        <v>7000</v>
      </c>
      <c r="G82" s="226">
        <f t="shared" si="31"/>
        <v>7000</v>
      </c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7">
        <v>5512</v>
      </c>
      <c r="S82" s="227">
        <v>5512</v>
      </c>
      <c r="T82" s="227"/>
      <c r="U82" s="240">
        <v>1488</v>
      </c>
      <c r="V82" s="567">
        <v>1488</v>
      </c>
      <c r="W82" s="246">
        <f t="shared" si="33"/>
        <v>7000</v>
      </c>
      <c r="X82" s="230"/>
      <c r="Y82" s="230"/>
      <c r="Z82" s="230"/>
      <c r="AA82" s="59"/>
      <c r="AB82" s="257"/>
      <c r="AC82" s="240" t="s">
        <v>11</v>
      </c>
      <c r="AF82" s="740"/>
      <c r="AG82" s="740"/>
      <c r="AH82" s="825"/>
      <c r="AI82" s="825"/>
      <c r="AJ82" s="825"/>
    </row>
    <row r="83" spans="1:36" ht="29.25" customHeight="1" x14ac:dyDescent="0.2">
      <c r="A83" s="261" t="s">
        <v>1500</v>
      </c>
      <c r="B83" s="259" t="s">
        <v>1501</v>
      </c>
      <c r="C83" s="247" t="s">
        <v>1502</v>
      </c>
      <c r="D83" s="97">
        <v>7072</v>
      </c>
      <c r="E83" s="165"/>
      <c r="F83" s="234">
        <v>900000</v>
      </c>
      <c r="G83" s="226">
        <f t="shared" si="31"/>
        <v>700000</v>
      </c>
      <c r="H83" s="226"/>
      <c r="I83" s="226">
        <v>900000</v>
      </c>
      <c r="J83" s="226">
        <v>700000</v>
      </c>
      <c r="K83" s="226"/>
      <c r="L83" s="226"/>
      <c r="M83" s="226"/>
      <c r="N83" s="226"/>
      <c r="O83" s="226"/>
      <c r="P83" s="226"/>
      <c r="Q83" s="226"/>
      <c r="R83" s="227"/>
      <c r="S83" s="227"/>
      <c r="T83" s="227"/>
      <c r="U83" s="240"/>
      <c r="V83" s="567"/>
      <c r="W83" s="246">
        <f t="shared" si="33"/>
        <v>900000</v>
      </c>
      <c r="X83" s="230"/>
      <c r="Y83" s="230"/>
      <c r="Z83" s="230"/>
      <c r="AA83" s="59"/>
      <c r="AB83" s="257"/>
      <c r="AC83" s="240" t="s">
        <v>11</v>
      </c>
      <c r="AF83" s="740"/>
      <c r="AG83" s="740"/>
      <c r="AH83" s="825"/>
      <c r="AI83" s="825"/>
      <c r="AJ83" s="825"/>
    </row>
    <row r="84" spans="1:36" ht="29.25" customHeight="1" x14ac:dyDescent="0.2">
      <c r="A84" s="261" t="s">
        <v>755</v>
      </c>
      <c r="B84" s="259" t="s">
        <v>404</v>
      </c>
      <c r="C84" s="247" t="s">
        <v>1307</v>
      </c>
      <c r="D84" s="97">
        <v>6069</v>
      </c>
      <c r="E84" s="165"/>
      <c r="F84" s="234">
        <v>650801</v>
      </c>
      <c r="G84" s="226">
        <f t="shared" si="31"/>
        <v>650801</v>
      </c>
      <c r="H84" s="226"/>
      <c r="I84" s="226"/>
      <c r="J84" s="226"/>
      <c r="K84" s="226"/>
      <c r="L84" s="226"/>
      <c r="M84" s="226"/>
      <c r="N84" s="226"/>
      <c r="O84" s="226">
        <v>11535</v>
      </c>
      <c r="P84" s="226">
        <v>11535</v>
      </c>
      <c r="Q84" s="226"/>
      <c r="R84" s="227">
        <v>500907</v>
      </c>
      <c r="S84" s="227">
        <v>500907</v>
      </c>
      <c r="T84" s="227"/>
      <c r="U84" s="240">
        <v>138359</v>
      </c>
      <c r="V84" s="567">
        <v>138359</v>
      </c>
      <c r="W84" s="246">
        <f t="shared" si="33"/>
        <v>650801</v>
      </c>
      <c r="X84" s="230"/>
      <c r="Y84" s="230"/>
      <c r="Z84" s="230"/>
      <c r="AA84" s="59"/>
      <c r="AB84" s="257"/>
      <c r="AC84" s="240" t="s">
        <v>11</v>
      </c>
      <c r="AF84" s="740"/>
      <c r="AG84" s="740"/>
      <c r="AH84" s="825"/>
      <c r="AI84" s="825"/>
      <c r="AJ84" s="825"/>
    </row>
    <row r="85" spans="1:36" ht="29.25" customHeight="1" x14ac:dyDescent="0.2">
      <c r="A85" s="262" t="s">
        <v>403</v>
      </c>
      <c r="B85" s="263" t="s">
        <v>404</v>
      </c>
      <c r="C85" s="247" t="s">
        <v>1447</v>
      </c>
      <c r="D85" s="97">
        <v>6060</v>
      </c>
      <c r="E85" s="165"/>
      <c r="F85" s="234">
        <v>153325</v>
      </c>
      <c r="G85" s="226">
        <f t="shared" si="31"/>
        <v>153325</v>
      </c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7">
        <v>120728</v>
      </c>
      <c r="S85" s="227">
        <v>120728</v>
      </c>
      <c r="T85" s="227"/>
      <c r="U85" s="240">
        <v>32597</v>
      </c>
      <c r="V85" s="567">
        <v>32597</v>
      </c>
      <c r="W85" s="246">
        <f t="shared" si="33"/>
        <v>153325</v>
      </c>
      <c r="X85" s="230"/>
      <c r="Y85" s="230"/>
      <c r="Z85" s="230"/>
      <c r="AA85" s="59"/>
      <c r="AB85" s="257"/>
      <c r="AC85" s="240" t="s">
        <v>11</v>
      </c>
      <c r="AF85" s="740"/>
      <c r="AG85" s="740"/>
      <c r="AH85" s="825"/>
      <c r="AI85" s="825"/>
      <c r="AJ85" s="825"/>
    </row>
    <row r="86" spans="1:36" ht="23.25" customHeight="1" x14ac:dyDescent="0.2">
      <c r="A86" s="262" t="s">
        <v>403</v>
      </c>
      <c r="B86" s="263" t="s">
        <v>404</v>
      </c>
      <c r="C86" s="264" t="s">
        <v>405</v>
      </c>
      <c r="D86" s="97">
        <v>7030</v>
      </c>
      <c r="E86" s="165">
        <f>H86+K86+N86+Q86+T86</f>
        <v>0</v>
      </c>
      <c r="F86" s="255">
        <v>37000</v>
      </c>
      <c r="G86" s="226">
        <f t="shared" si="31"/>
        <v>0</v>
      </c>
      <c r="H86" s="226"/>
      <c r="I86" s="226">
        <f t="shared" si="29"/>
        <v>0</v>
      </c>
      <c r="J86" s="226"/>
      <c r="K86" s="226"/>
      <c r="L86" s="226">
        <v>29134</v>
      </c>
      <c r="M86" s="226"/>
      <c r="N86" s="226"/>
      <c r="O86" s="226">
        <f t="shared" si="30"/>
        <v>0</v>
      </c>
      <c r="P86" s="226"/>
      <c r="Q86" s="226"/>
      <c r="R86" s="227">
        <f>Q86</f>
        <v>0</v>
      </c>
      <c r="S86" s="227"/>
      <c r="T86" s="227"/>
      <c r="U86" s="243">
        <v>7866</v>
      </c>
      <c r="V86" s="567"/>
      <c r="W86" s="246">
        <f t="shared" si="33"/>
        <v>37000</v>
      </c>
      <c r="X86" s="230"/>
      <c r="Y86" s="230"/>
      <c r="Z86" s="230"/>
      <c r="AA86" s="59">
        <v>10000000</v>
      </c>
      <c r="AB86" s="60">
        <f>AA86-10000000</f>
        <v>0</v>
      </c>
      <c r="AC86" s="240" t="s">
        <v>11</v>
      </c>
      <c r="AF86" s="740"/>
      <c r="AG86" s="740"/>
      <c r="AH86" s="825"/>
      <c r="AI86" s="825"/>
      <c r="AJ86" s="825"/>
    </row>
    <row r="87" spans="1:36" ht="22.15" customHeight="1" x14ac:dyDescent="0.2">
      <c r="A87" s="1263" t="s">
        <v>406</v>
      </c>
      <c r="B87" s="1264"/>
      <c r="C87" s="1264"/>
      <c r="D87" s="1265"/>
      <c r="E87" s="1259">
        <f t="shared" ref="E87:AC87" si="34">+E51+E47+E45+E26+E10+E7</f>
        <v>204654150</v>
      </c>
      <c r="F87" s="1259">
        <f t="shared" si="34"/>
        <v>856577461</v>
      </c>
      <c r="G87" s="1259">
        <f t="shared" si="34"/>
        <v>367592797</v>
      </c>
      <c r="H87" s="1259">
        <f t="shared" si="34"/>
        <v>4830000</v>
      </c>
      <c r="I87" s="1259">
        <f t="shared" si="34"/>
        <v>5730000</v>
      </c>
      <c r="J87" s="1259">
        <f t="shared" si="34"/>
        <v>5530000</v>
      </c>
      <c r="K87" s="1259">
        <f t="shared" si="34"/>
        <v>154740549</v>
      </c>
      <c r="L87" s="1259">
        <f t="shared" si="34"/>
        <v>659196486</v>
      </c>
      <c r="M87" s="1259">
        <f t="shared" si="34"/>
        <v>279202974</v>
      </c>
      <c r="N87" s="1259">
        <f t="shared" si="34"/>
        <v>0</v>
      </c>
      <c r="O87" s="1259">
        <f t="shared" si="34"/>
        <v>1744212</v>
      </c>
      <c r="P87" s="1259">
        <f t="shared" si="34"/>
        <v>43425</v>
      </c>
      <c r="Q87" s="1259">
        <f t="shared" si="34"/>
        <v>1574803</v>
      </c>
      <c r="R87" s="1259">
        <f t="shared" si="34"/>
        <v>60135658</v>
      </c>
      <c r="S87" s="1259">
        <f t="shared" si="34"/>
        <v>10915468</v>
      </c>
      <c r="T87" s="1259">
        <f t="shared" si="34"/>
        <v>43508798</v>
      </c>
      <c r="U87" s="1259">
        <f t="shared" si="34"/>
        <v>129771105</v>
      </c>
      <c r="V87" s="1259">
        <f t="shared" si="34"/>
        <v>71900930</v>
      </c>
      <c r="W87" s="1266">
        <f t="shared" si="34"/>
        <v>539944481</v>
      </c>
      <c r="X87" s="1259">
        <f t="shared" si="34"/>
        <v>304029281</v>
      </c>
      <c r="Y87" s="1259">
        <f t="shared" si="34"/>
        <v>0</v>
      </c>
      <c r="Z87" s="1259">
        <f t="shared" si="34"/>
        <v>0</v>
      </c>
      <c r="AA87" s="1259">
        <f t="shared" si="34"/>
        <v>146500000</v>
      </c>
      <c r="AB87" s="1259">
        <f t="shared" si="34"/>
        <v>0</v>
      </c>
      <c r="AC87" s="224">
        <f t="shared" si="34"/>
        <v>0</v>
      </c>
      <c r="AD87" s="120">
        <f>+W87+X87+Z87+AA87</f>
        <v>990473762</v>
      </c>
      <c r="AE87" s="120">
        <f>+E87-AD87</f>
        <v>-785819612</v>
      </c>
      <c r="AF87" s="740">
        <f>+H88+K88+N88+Q88+T88</f>
        <v>11637320</v>
      </c>
      <c r="AG87" s="740">
        <f>+AF87-E88</f>
        <v>0</v>
      </c>
      <c r="AH87" s="825"/>
      <c r="AI87" s="825"/>
      <c r="AJ87" s="825"/>
    </row>
    <row r="88" spans="1:36" s="118" customFormat="1" ht="19.899999999999999" customHeight="1" x14ac:dyDescent="0.2">
      <c r="A88" s="1267" t="s">
        <v>407</v>
      </c>
      <c r="B88" s="1268"/>
      <c r="C88" s="1268"/>
      <c r="D88" s="1269"/>
      <c r="E88" s="1270">
        <f>SUM(E89:E122)</f>
        <v>11637320</v>
      </c>
      <c r="F88" s="1270">
        <f>SUM(F89:F122)</f>
        <v>28276324</v>
      </c>
      <c r="G88" s="1270">
        <f>SUM(G89:G122)</f>
        <v>25231882</v>
      </c>
      <c r="H88" s="1270">
        <f t="shared" ref="H88:Z88" si="35">SUM(H89:H122)</f>
        <v>1260882</v>
      </c>
      <c r="I88" s="1270">
        <f t="shared" si="35"/>
        <v>2486588</v>
      </c>
      <c r="J88" s="1270">
        <f t="shared" si="35"/>
        <v>384797</v>
      </c>
      <c r="K88" s="1270">
        <f t="shared" si="35"/>
        <v>0</v>
      </c>
      <c r="L88" s="1270">
        <f t="shared" si="35"/>
        <v>0</v>
      </c>
      <c r="M88" s="1270">
        <f t="shared" si="35"/>
        <v>0</v>
      </c>
      <c r="N88" s="1270">
        <f t="shared" si="35"/>
        <v>5202362</v>
      </c>
      <c r="O88" s="1270">
        <f t="shared" si="35"/>
        <v>5136079</v>
      </c>
      <c r="P88" s="1270">
        <f t="shared" si="35"/>
        <v>5124154</v>
      </c>
      <c r="Q88" s="1270">
        <f t="shared" si="35"/>
        <v>2700000</v>
      </c>
      <c r="R88" s="1270">
        <f t="shared" si="35"/>
        <v>15239316</v>
      </c>
      <c r="S88" s="1270">
        <f t="shared" si="35"/>
        <v>14419978</v>
      </c>
      <c r="T88" s="1270">
        <f t="shared" si="35"/>
        <v>2474076</v>
      </c>
      <c r="U88" s="1270">
        <f t="shared" si="35"/>
        <v>5414341</v>
      </c>
      <c r="V88" s="1270">
        <f t="shared" si="35"/>
        <v>5302953</v>
      </c>
      <c r="W88" s="1270">
        <f t="shared" si="35"/>
        <v>28629099</v>
      </c>
      <c r="X88" s="1270">
        <f t="shared" si="35"/>
        <v>0</v>
      </c>
      <c r="Y88" s="1270">
        <f t="shared" si="35"/>
        <v>0</v>
      </c>
      <c r="Z88" s="1270">
        <f t="shared" si="35"/>
        <v>0</v>
      </c>
      <c r="AA88" s="1271"/>
      <c r="AB88" s="1272">
        <f>AA88</f>
        <v>0</v>
      </c>
      <c r="AC88" s="265"/>
      <c r="AD88" s="118">
        <f>+W88+X88+Z88+AA88</f>
        <v>28629099</v>
      </c>
      <c r="AE88" s="118">
        <f>+E88-AD88</f>
        <v>-16991779</v>
      </c>
      <c r="AF88" s="825">
        <f>+H89+K89+N89+Q89+T89</f>
        <v>11637320</v>
      </c>
      <c r="AH88" s="825"/>
      <c r="AI88" s="825"/>
      <c r="AJ88" s="825"/>
    </row>
    <row r="89" spans="1:36" ht="21.75" customHeight="1" x14ac:dyDescent="0.2">
      <c r="A89" s="262" t="s">
        <v>149</v>
      </c>
      <c r="B89" s="175" t="s">
        <v>408</v>
      </c>
      <c r="C89" s="50" t="s">
        <v>409</v>
      </c>
      <c r="D89" s="97">
        <v>7001</v>
      </c>
      <c r="E89" s="52">
        <v>11637320</v>
      </c>
      <c r="F89" s="52">
        <v>11284545</v>
      </c>
      <c r="G89" s="52">
        <f>J89+M89+P89+S89+V89</f>
        <v>11122188</v>
      </c>
      <c r="H89" s="52">
        <v>1260882</v>
      </c>
      <c r="I89" s="52">
        <v>94985</v>
      </c>
      <c r="J89" s="52"/>
      <c r="K89" s="52"/>
      <c r="L89" s="52">
        <f>K89</f>
        <v>0</v>
      </c>
      <c r="M89" s="52"/>
      <c r="N89" s="52">
        <v>5202362</v>
      </c>
      <c r="O89" s="52">
        <v>2522238</v>
      </c>
      <c r="P89" s="52">
        <v>2510995</v>
      </c>
      <c r="Q89" s="52">
        <v>2700000</v>
      </c>
      <c r="R89" s="53">
        <v>6275329</v>
      </c>
      <c r="S89" s="53">
        <v>6265338</v>
      </c>
      <c r="T89" s="53">
        <v>2474076</v>
      </c>
      <c r="U89" s="62">
        <v>2391993</v>
      </c>
      <c r="V89" s="823">
        <v>2345855</v>
      </c>
      <c r="W89" s="286">
        <f>E89</f>
        <v>11637320</v>
      </c>
      <c r="X89" s="177"/>
      <c r="Y89" s="177"/>
      <c r="Z89" s="177"/>
      <c r="AA89" s="177"/>
      <c r="AB89" s="824">
        <f t="shared" ref="AB89:AB123" si="36">AA89</f>
        <v>0</v>
      </c>
      <c r="AC89" s="235" t="s">
        <v>11</v>
      </c>
      <c r="AD89" s="120">
        <f>+W89+X89+Z89+AA89</f>
        <v>11637320</v>
      </c>
      <c r="AE89" s="120">
        <f>+E89-AD89</f>
        <v>0</v>
      </c>
      <c r="AF89" s="740">
        <f>+H92+K92+N92+Q92+T92</f>
        <v>0</v>
      </c>
      <c r="AH89" s="825"/>
      <c r="AI89" s="825"/>
      <c r="AJ89" s="825"/>
    </row>
    <row r="90" spans="1:36" ht="21.75" customHeight="1" x14ac:dyDescent="0.2">
      <c r="A90" s="262" t="s">
        <v>410</v>
      </c>
      <c r="B90" s="175" t="s">
        <v>411</v>
      </c>
      <c r="C90" s="50" t="s">
        <v>412</v>
      </c>
      <c r="D90" s="97">
        <v>7002</v>
      </c>
      <c r="E90" s="52">
        <f t="shared" ref="E90:E120" si="37">H90+K90+N90+Q90+T90</f>
        <v>0</v>
      </c>
      <c r="F90" s="52">
        <v>404565</v>
      </c>
      <c r="G90" s="52">
        <f t="shared" ref="G90:G91" si="38">J90+M90+P90+S90+V90</f>
        <v>403883</v>
      </c>
      <c r="H90" s="52"/>
      <c r="I90" s="52">
        <v>30000</v>
      </c>
      <c r="J90" s="52">
        <v>30000</v>
      </c>
      <c r="K90" s="52"/>
      <c r="L90" s="52">
        <f t="shared" ref="L90:L120" si="39">K90</f>
        <v>0</v>
      </c>
      <c r="M90" s="52"/>
      <c r="N90" s="52"/>
      <c r="O90" s="52">
        <v>86351</v>
      </c>
      <c r="P90" s="52">
        <v>85669</v>
      </c>
      <c r="Q90" s="52"/>
      <c r="R90" s="53">
        <v>202349</v>
      </c>
      <c r="S90" s="53">
        <v>202349</v>
      </c>
      <c r="T90" s="53"/>
      <c r="U90" s="62">
        <v>85865</v>
      </c>
      <c r="V90" s="823">
        <v>85865</v>
      </c>
      <c r="W90" s="286">
        <v>404565</v>
      </c>
      <c r="X90" s="177"/>
      <c r="Y90" s="177"/>
      <c r="Z90" s="177"/>
      <c r="AA90" s="177"/>
      <c r="AB90" s="824">
        <f t="shared" si="36"/>
        <v>0</v>
      </c>
      <c r="AC90" s="99" t="s">
        <v>13</v>
      </c>
      <c r="AD90" s="120">
        <f>+W90+X90+Z90+AA90</f>
        <v>404565</v>
      </c>
      <c r="AE90" s="120">
        <f>+E90-AD90</f>
        <v>-404565</v>
      </c>
      <c r="AF90" s="740"/>
      <c r="AH90" s="825"/>
      <c r="AI90" s="825"/>
      <c r="AJ90" s="825"/>
    </row>
    <row r="91" spans="1:36" ht="21.75" customHeight="1" x14ac:dyDescent="0.2">
      <c r="A91" s="262" t="s">
        <v>413</v>
      </c>
      <c r="B91" s="175" t="s">
        <v>414</v>
      </c>
      <c r="C91" s="50" t="s">
        <v>415</v>
      </c>
      <c r="D91" s="97">
        <v>7003</v>
      </c>
      <c r="E91" s="52">
        <f t="shared" si="37"/>
        <v>0</v>
      </c>
      <c r="F91" s="52">
        <v>126000</v>
      </c>
      <c r="G91" s="52">
        <f t="shared" si="38"/>
        <v>125420</v>
      </c>
      <c r="H91" s="52"/>
      <c r="I91" s="52">
        <f t="shared" ref="I91:I120" si="40">H91</f>
        <v>0</v>
      </c>
      <c r="J91" s="52"/>
      <c r="K91" s="52"/>
      <c r="L91" s="52">
        <f t="shared" si="39"/>
        <v>0</v>
      </c>
      <c r="M91" s="52"/>
      <c r="N91" s="52"/>
      <c r="O91" s="52">
        <v>22835</v>
      </c>
      <c r="P91" s="52">
        <v>22835</v>
      </c>
      <c r="Q91" s="52"/>
      <c r="R91" s="53">
        <v>76378</v>
      </c>
      <c r="S91" s="53">
        <v>75921</v>
      </c>
      <c r="T91" s="53"/>
      <c r="U91" s="62">
        <v>26787</v>
      </c>
      <c r="V91" s="823">
        <v>26664</v>
      </c>
      <c r="W91" s="286">
        <v>126000</v>
      </c>
      <c r="X91" s="177"/>
      <c r="Y91" s="177"/>
      <c r="Z91" s="177"/>
      <c r="AA91" s="177"/>
      <c r="AB91" s="824">
        <f t="shared" si="36"/>
        <v>0</v>
      </c>
      <c r="AC91" s="99" t="s">
        <v>13</v>
      </c>
      <c r="AF91" s="740"/>
      <c r="AH91" s="825"/>
      <c r="AI91" s="825"/>
      <c r="AJ91" s="825"/>
    </row>
    <row r="92" spans="1:36" ht="21.75" customHeight="1" x14ac:dyDescent="0.2">
      <c r="A92" s="262" t="s">
        <v>149</v>
      </c>
      <c r="B92" s="175" t="s">
        <v>416</v>
      </c>
      <c r="C92" s="50" t="s">
        <v>417</v>
      </c>
      <c r="D92" s="97">
        <v>7001</v>
      </c>
      <c r="E92" s="52">
        <f t="shared" si="37"/>
        <v>0</v>
      </c>
      <c r="F92" s="52">
        <f t="shared" ref="F92:F114" si="41">I92+L92+O92+R92+U92</f>
        <v>0</v>
      </c>
      <c r="G92" s="52">
        <f t="shared" ref="G92:G93" si="42">J92+P92+P92+S92+V92</f>
        <v>0</v>
      </c>
      <c r="H92" s="52"/>
      <c r="I92" s="52">
        <f t="shared" si="40"/>
        <v>0</v>
      </c>
      <c r="J92" s="52"/>
      <c r="K92" s="52"/>
      <c r="L92" s="52">
        <f t="shared" si="39"/>
        <v>0</v>
      </c>
      <c r="M92" s="52"/>
      <c r="N92" s="52"/>
      <c r="O92" s="52">
        <f t="shared" ref="O92:O120" si="43">N92</f>
        <v>0</v>
      </c>
      <c r="P92" s="52"/>
      <c r="Q92" s="52"/>
      <c r="R92" s="53">
        <f t="shared" ref="R92:R114" si="44">Q92</f>
        <v>0</v>
      </c>
      <c r="S92" s="53"/>
      <c r="T92" s="53"/>
      <c r="U92" s="62">
        <f t="shared" ref="U92:U114" si="45">T92</f>
        <v>0</v>
      </c>
      <c r="V92" s="823"/>
      <c r="W92" s="286">
        <f t="shared" ref="W92:W123" si="46">E92</f>
        <v>0</v>
      </c>
      <c r="X92" s="177"/>
      <c r="Y92" s="177"/>
      <c r="Z92" s="177"/>
      <c r="AA92" s="177"/>
      <c r="AB92" s="824">
        <f t="shared" si="36"/>
        <v>0</v>
      </c>
      <c r="AC92" s="235" t="s">
        <v>11</v>
      </c>
      <c r="AD92" s="120">
        <f t="shared" ref="AD92:AD101" si="47">+W92+X92+Z92+AA92</f>
        <v>0</v>
      </c>
      <c r="AE92" s="120">
        <f t="shared" ref="AE92:AE101" si="48">+E92-AD92</f>
        <v>0</v>
      </c>
      <c r="AF92" s="740">
        <f>+H94+K94+N94+Q94+T94</f>
        <v>0</v>
      </c>
      <c r="AH92" s="825"/>
      <c r="AI92" s="825"/>
      <c r="AJ92" s="825"/>
    </row>
    <row r="93" spans="1:36" ht="21.75" customHeight="1" x14ac:dyDescent="0.2">
      <c r="A93" s="880" t="s">
        <v>410</v>
      </c>
      <c r="B93" s="877" t="s">
        <v>384</v>
      </c>
      <c r="C93" s="50" t="s">
        <v>417</v>
      </c>
      <c r="D93" s="97">
        <v>7002</v>
      </c>
      <c r="E93" s="52">
        <f t="shared" si="37"/>
        <v>0</v>
      </c>
      <c r="F93" s="52">
        <v>519359</v>
      </c>
      <c r="G93" s="52">
        <f t="shared" si="42"/>
        <v>85925</v>
      </c>
      <c r="H93" s="52"/>
      <c r="I93" s="52">
        <v>7874</v>
      </c>
      <c r="J93" s="52">
        <v>7874</v>
      </c>
      <c r="K93" s="52"/>
      <c r="L93" s="52">
        <f t="shared" si="39"/>
        <v>0</v>
      </c>
      <c r="M93" s="52"/>
      <c r="N93" s="52"/>
      <c r="O93" s="52">
        <f t="shared" si="43"/>
        <v>0</v>
      </c>
      <c r="P93" s="52"/>
      <c r="Q93" s="52"/>
      <c r="R93" s="53">
        <v>443590</v>
      </c>
      <c r="S93" s="53">
        <v>59784</v>
      </c>
      <c r="T93" s="53"/>
      <c r="U93" s="62">
        <v>67895</v>
      </c>
      <c r="V93" s="823">
        <v>18267</v>
      </c>
      <c r="W93" s="286">
        <v>519359</v>
      </c>
      <c r="X93" s="177"/>
      <c r="Y93" s="177"/>
      <c r="Z93" s="177"/>
      <c r="AA93" s="177"/>
      <c r="AB93" s="824">
        <f t="shared" si="36"/>
        <v>0</v>
      </c>
      <c r="AC93" s="235" t="s">
        <v>11</v>
      </c>
      <c r="AD93" s="120">
        <f t="shared" si="47"/>
        <v>519359</v>
      </c>
      <c r="AE93" s="120">
        <f t="shared" si="48"/>
        <v>-519359</v>
      </c>
      <c r="AF93" s="740"/>
      <c r="AH93" s="825"/>
      <c r="AI93" s="825"/>
      <c r="AJ93" s="825"/>
    </row>
    <row r="94" spans="1:36" ht="21.75" customHeight="1" x14ac:dyDescent="0.2">
      <c r="A94" s="262" t="s">
        <v>149</v>
      </c>
      <c r="B94" s="1085" t="s">
        <v>418</v>
      </c>
      <c r="C94" s="50" t="s">
        <v>419</v>
      </c>
      <c r="D94" s="97">
        <v>7001</v>
      </c>
      <c r="E94" s="52">
        <f t="shared" si="37"/>
        <v>0</v>
      </c>
      <c r="F94" s="52">
        <v>2139861</v>
      </c>
      <c r="G94" s="52">
        <f>J94+P94+S94+V94</f>
        <v>2135181</v>
      </c>
      <c r="H94" s="52"/>
      <c r="I94" s="52">
        <v>117002</v>
      </c>
      <c r="J94" s="52">
        <v>117002</v>
      </c>
      <c r="K94" s="52"/>
      <c r="L94" s="52">
        <f t="shared" si="39"/>
        <v>0</v>
      </c>
      <c r="M94" s="52"/>
      <c r="N94" s="52"/>
      <c r="O94" s="52">
        <v>355000</v>
      </c>
      <c r="P94" s="52">
        <v>355000</v>
      </c>
      <c r="Q94" s="52">
        <v>0</v>
      </c>
      <c r="R94" s="53">
        <v>1226248</v>
      </c>
      <c r="S94" s="53">
        <v>1226248</v>
      </c>
      <c r="T94" s="53">
        <v>0</v>
      </c>
      <c r="U94" s="62">
        <v>441611</v>
      </c>
      <c r="V94" s="823">
        <v>436931</v>
      </c>
      <c r="W94" s="286">
        <v>2139861</v>
      </c>
      <c r="X94" s="177"/>
      <c r="Y94" s="177"/>
      <c r="Z94" s="177"/>
      <c r="AA94" s="177"/>
      <c r="AB94" s="824">
        <f t="shared" si="36"/>
        <v>0</v>
      </c>
      <c r="AC94" s="235" t="s">
        <v>11</v>
      </c>
      <c r="AD94" s="120">
        <f t="shared" si="47"/>
        <v>2139861</v>
      </c>
      <c r="AE94" s="120">
        <f t="shared" si="48"/>
        <v>-2139861</v>
      </c>
      <c r="AF94" s="740">
        <f>+H99+K99+N99+Q99+T99</f>
        <v>0</v>
      </c>
      <c r="AH94" s="825"/>
      <c r="AI94" s="825"/>
      <c r="AJ94" s="825"/>
    </row>
    <row r="95" spans="1:36" ht="21.75" customHeight="1" x14ac:dyDescent="0.2">
      <c r="A95" s="262" t="s">
        <v>410</v>
      </c>
      <c r="B95" s="1087"/>
      <c r="C95" s="50" t="s">
        <v>420</v>
      </c>
      <c r="D95" s="97">
        <v>7002</v>
      </c>
      <c r="E95" s="52">
        <f t="shared" si="37"/>
        <v>0</v>
      </c>
      <c r="F95" s="52">
        <v>212924</v>
      </c>
      <c r="G95" s="52">
        <f t="shared" ref="G95:G98" si="49">J95+P95+S95+V95</f>
        <v>212924</v>
      </c>
      <c r="H95" s="52"/>
      <c r="I95" s="52">
        <f t="shared" si="40"/>
        <v>0</v>
      </c>
      <c r="J95" s="52"/>
      <c r="K95" s="52"/>
      <c r="L95" s="52">
        <f t="shared" si="39"/>
        <v>0</v>
      </c>
      <c r="M95" s="52"/>
      <c r="N95" s="52"/>
      <c r="O95" s="52">
        <f t="shared" si="43"/>
        <v>0</v>
      </c>
      <c r="P95" s="52"/>
      <c r="Q95" s="52">
        <v>0</v>
      </c>
      <c r="R95" s="53">
        <v>167657</v>
      </c>
      <c r="S95" s="53">
        <v>167657</v>
      </c>
      <c r="T95" s="53">
        <v>0</v>
      </c>
      <c r="U95" s="62">
        <v>45267</v>
      </c>
      <c r="V95" s="823">
        <v>45267</v>
      </c>
      <c r="W95" s="286">
        <v>212924</v>
      </c>
      <c r="X95" s="177"/>
      <c r="Y95" s="177"/>
      <c r="Z95" s="177"/>
      <c r="AA95" s="177"/>
      <c r="AB95" s="824">
        <f t="shared" si="36"/>
        <v>0</v>
      </c>
      <c r="AC95" s="235" t="s">
        <v>11</v>
      </c>
      <c r="AD95" s="120">
        <f t="shared" si="47"/>
        <v>212924</v>
      </c>
      <c r="AE95" s="120">
        <f t="shared" si="48"/>
        <v>-212924</v>
      </c>
      <c r="AF95" s="740"/>
      <c r="AH95" s="825"/>
      <c r="AI95" s="825"/>
      <c r="AJ95" s="825"/>
    </row>
    <row r="96" spans="1:36" ht="21.75" customHeight="1" x14ac:dyDescent="0.2">
      <c r="A96" s="262" t="s">
        <v>413</v>
      </c>
      <c r="B96" s="1086"/>
      <c r="C96" s="50" t="s">
        <v>421</v>
      </c>
      <c r="D96" s="97">
        <v>7003</v>
      </c>
      <c r="E96" s="52">
        <f t="shared" si="37"/>
        <v>0</v>
      </c>
      <c r="F96" s="52">
        <v>294189</v>
      </c>
      <c r="G96" s="52">
        <f t="shared" si="49"/>
        <v>294189</v>
      </c>
      <c r="H96" s="52"/>
      <c r="I96" s="52">
        <f t="shared" si="40"/>
        <v>0</v>
      </c>
      <c r="J96" s="52"/>
      <c r="K96" s="52"/>
      <c r="L96" s="52">
        <f t="shared" si="39"/>
        <v>0</v>
      </c>
      <c r="M96" s="52"/>
      <c r="N96" s="52"/>
      <c r="O96" s="52">
        <v>173228</v>
      </c>
      <c r="P96" s="52">
        <v>173228</v>
      </c>
      <c r="Q96" s="52">
        <v>0</v>
      </c>
      <c r="R96" s="53">
        <v>58416</v>
      </c>
      <c r="S96" s="53">
        <v>58416</v>
      </c>
      <c r="T96" s="53">
        <v>0</v>
      </c>
      <c r="U96" s="62">
        <v>62545</v>
      </c>
      <c r="V96" s="823">
        <v>62545</v>
      </c>
      <c r="W96" s="286">
        <v>294189</v>
      </c>
      <c r="X96" s="177"/>
      <c r="Y96" s="177"/>
      <c r="Z96" s="177"/>
      <c r="AA96" s="177"/>
      <c r="AB96" s="824">
        <f t="shared" si="36"/>
        <v>0</v>
      </c>
      <c r="AC96" s="235" t="s">
        <v>11</v>
      </c>
      <c r="AD96" s="120">
        <f t="shared" si="47"/>
        <v>294189</v>
      </c>
      <c r="AE96" s="120">
        <f t="shared" si="48"/>
        <v>-294189</v>
      </c>
      <c r="AF96" s="740"/>
      <c r="AH96" s="825"/>
      <c r="AI96" s="825"/>
      <c r="AJ96" s="825"/>
    </row>
    <row r="97" spans="1:36" ht="21.75" customHeight="1" x14ac:dyDescent="0.2">
      <c r="A97" s="262" t="s">
        <v>149</v>
      </c>
      <c r="B97" s="1085" t="s">
        <v>418</v>
      </c>
      <c r="C97" s="50" t="s">
        <v>1473</v>
      </c>
      <c r="D97" s="49" t="s">
        <v>1474</v>
      </c>
      <c r="E97" s="52">
        <v>0</v>
      </c>
      <c r="F97" s="52">
        <v>762790</v>
      </c>
      <c r="G97" s="52">
        <f t="shared" si="49"/>
        <v>700514</v>
      </c>
      <c r="H97" s="52">
        <v>0</v>
      </c>
      <c r="I97" s="52"/>
      <c r="J97" s="52">
        <f t="shared" ref="J97:J98" si="50">I97</f>
        <v>0</v>
      </c>
      <c r="K97" s="52"/>
      <c r="L97" s="52"/>
      <c r="M97" s="52"/>
      <c r="N97" s="53"/>
      <c r="O97" s="53">
        <v>325000</v>
      </c>
      <c r="P97" s="62">
        <v>325000</v>
      </c>
      <c r="Q97" s="286"/>
      <c r="R97" s="177">
        <v>286252</v>
      </c>
      <c r="S97" s="177">
        <v>226586</v>
      </c>
      <c r="T97" s="177"/>
      <c r="U97" s="826">
        <v>151538</v>
      </c>
      <c r="V97" s="826">
        <v>148928</v>
      </c>
      <c r="W97" s="235">
        <v>762790</v>
      </c>
      <c r="Z97" s="740"/>
      <c r="AC97" s="235" t="s">
        <v>11</v>
      </c>
      <c r="AD97" s="120">
        <f t="shared" si="47"/>
        <v>762790</v>
      </c>
    </row>
    <row r="98" spans="1:36" ht="21.75" customHeight="1" x14ac:dyDescent="0.2">
      <c r="A98" s="262" t="s">
        <v>410</v>
      </c>
      <c r="B98" s="1086"/>
      <c r="C98" s="50" t="s">
        <v>1475</v>
      </c>
      <c r="D98" s="49" t="s">
        <v>1476</v>
      </c>
      <c r="E98" s="52">
        <v>0</v>
      </c>
      <c r="F98" s="52">
        <v>636500</v>
      </c>
      <c r="G98" s="52">
        <f t="shared" si="49"/>
        <v>371550</v>
      </c>
      <c r="H98" s="52">
        <v>0</v>
      </c>
      <c r="I98" s="52"/>
      <c r="J98" s="52">
        <f t="shared" si="50"/>
        <v>0</v>
      </c>
      <c r="K98" s="52"/>
      <c r="L98" s="52"/>
      <c r="M98" s="52"/>
      <c r="N98" s="53"/>
      <c r="O98" s="53">
        <v>192126</v>
      </c>
      <c r="P98" s="62">
        <v>192126</v>
      </c>
      <c r="Q98" s="286"/>
      <c r="R98" s="177">
        <v>365383</v>
      </c>
      <c r="S98" s="177">
        <v>100433</v>
      </c>
      <c r="T98" s="177"/>
      <c r="U98" s="826">
        <v>78991</v>
      </c>
      <c r="V98" s="826">
        <v>78991</v>
      </c>
      <c r="W98" s="235">
        <v>636500</v>
      </c>
      <c r="Z98" s="740"/>
      <c r="AC98" s="235" t="s">
        <v>11</v>
      </c>
      <c r="AD98" s="120">
        <f t="shared" si="47"/>
        <v>636500</v>
      </c>
    </row>
    <row r="99" spans="1:36" ht="21.75" customHeight="1" x14ac:dyDescent="0.2">
      <c r="A99" s="262" t="s">
        <v>149</v>
      </c>
      <c r="B99" s="1085" t="s">
        <v>418</v>
      </c>
      <c r="C99" s="50" t="s">
        <v>422</v>
      </c>
      <c r="D99" s="97">
        <v>7001</v>
      </c>
      <c r="E99" s="52">
        <f t="shared" si="37"/>
        <v>0</v>
      </c>
      <c r="F99" s="52">
        <v>1634449</v>
      </c>
      <c r="G99" s="52">
        <f>J99+P99+S99+V99</f>
        <v>1634449</v>
      </c>
      <c r="H99" s="52"/>
      <c r="I99" s="52">
        <f t="shared" si="40"/>
        <v>0</v>
      </c>
      <c r="J99" s="52"/>
      <c r="K99" s="52"/>
      <c r="L99" s="52">
        <f t="shared" si="39"/>
        <v>0</v>
      </c>
      <c r="M99" s="52"/>
      <c r="N99" s="52">
        <v>0</v>
      </c>
      <c r="O99" s="52">
        <f t="shared" si="43"/>
        <v>0</v>
      </c>
      <c r="P99" s="52"/>
      <c r="Q99" s="52">
        <v>0</v>
      </c>
      <c r="R99" s="53">
        <v>1286968</v>
      </c>
      <c r="S99" s="53">
        <v>1286968</v>
      </c>
      <c r="T99" s="53">
        <v>0</v>
      </c>
      <c r="U99" s="62">
        <v>347481</v>
      </c>
      <c r="V99" s="823">
        <v>347481</v>
      </c>
      <c r="W99" s="286">
        <v>1634449</v>
      </c>
      <c r="X99" s="177"/>
      <c r="Y99" s="177"/>
      <c r="Z99" s="177"/>
      <c r="AA99" s="177"/>
      <c r="AB99" s="824">
        <f t="shared" si="36"/>
        <v>0</v>
      </c>
      <c r="AC99" s="235" t="s">
        <v>11</v>
      </c>
      <c r="AD99" s="120">
        <f t="shared" si="47"/>
        <v>1634449</v>
      </c>
      <c r="AE99" s="120">
        <f t="shared" si="48"/>
        <v>-1634449</v>
      </c>
      <c r="AF99" s="740">
        <f>+H101+K101+N101+Q101+T101</f>
        <v>0</v>
      </c>
      <c r="AH99" s="825"/>
      <c r="AI99" s="825"/>
      <c r="AJ99" s="825"/>
    </row>
    <row r="100" spans="1:36" ht="21.75" customHeight="1" x14ac:dyDescent="0.2">
      <c r="A100" s="262" t="s">
        <v>410</v>
      </c>
      <c r="B100" s="1086"/>
      <c r="C100" s="50" t="s">
        <v>423</v>
      </c>
      <c r="D100" s="97">
        <v>7002</v>
      </c>
      <c r="E100" s="52">
        <f t="shared" si="37"/>
        <v>0</v>
      </c>
      <c r="F100" s="52">
        <v>952618</v>
      </c>
      <c r="G100" s="52">
        <f t="shared" ref="G100:G122" si="51">J100+P100+S100+V100</f>
        <v>952618</v>
      </c>
      <c r="H100" s="52"/>
      <c r="I100" s="52">
        <f t="shared" si="40"/>
        <v>0</v>
      </c>
      <c r="J100" s="52"/>
      <c r="K100" s="52"/>
      <c r="L100" s="52">
        <f t="shared" si="39"/>
        <v>0</v>
      </c>
      <c r="M100" s="52"/>
      <c r="N100" s="52">
        <v>0</v>
      </c>
      <c r="O100" s="52">
        <v>7480</v>
      </c>
      <c r="P100" s="52">
        <v>7480</v>
      </c>
      <c r="Q100" s="52">
        <v>0</v>
      </c>
      <c r="R100" s="53">
        <v>765997</v>
      </c>
      <c r="S100" s="53">
        <v>765997</v>
      </c>
      <c r="T100" s="53">
        <v>0</v>
      </c>
      <c r="U100" s="62">
        <v>179141</v>
      </c>
      <c r="V100" s="823">
        <v>179141</v>
      </c>
      <c r="W100" s="286">
        <v>952618</v>
      </c>
      <c r="X100" s="177"/>
      <c r="Y100" s="177"/>
      <c r="Z100" s="177"/>
      <c r="AA100" s="177"/>
      <c r="AB100" s="824">
        <f t="shared" si="36"/>
        <v>0</v>
      </c>
      <c r="AC100" s="235" t="s">
        <v>11</v>
      </c>
      <c r="AD100" s="120">
        <f t="shared" si="47"/>
        <v>952618</v>
      </c>
      <c r="AE100" s="120">
        <f t="shared" si="48"/>
        <v>-952618</v>
      </c>
      <c r="AF100" s="740"/>
      <c r="AH100" s="825"/>
      <c r="AI100" s="825"/>
      <c r="AJ100" s="825"/>
    </row>
    <row r="101" spans="1:36" ht="28.5" customHeight="1" x14ac:dyDescent="0.2">
      <c r="A101" s="262" t="s">
        <v>149</v>
      </c>
      <c r="B101" s="175" t="s">
        <v>424</v>
      </c>
      <c r="C101" s="51" t="s">
        <v>425</v>
      </c>
      <c r="D101" s="97">
        <v>7001</v>
      </c>
      <c r="E101" s="52">
        <f t="shared" si="37"/>
        <v>0</v>
      </c>
      <c r="F101" s="52">
        <v>285088</v>
      </c>
      <c r="G101" s="52">
        <f t="shared" si="51"/>
        <v>285088</v>
      </c>
      <c r="H101" s="52"/>
      <c r="I101" s="52">
        <f t="shared" si="40"/>
        <v>0</v>
      </c>
      <c r="J101" s="52"/>
      <c r="K101" s="52"/>
      <c r="L101" s="52">
        <f t="shared" si="39"/>
        <v>0</v>
      </c>
      <c r="M101" s="52"/>
      <c r="N101" s="52"/>
      <c r="O101" s="52">
        <f t="shared" si="43"/>
        <v>0</v>
      </c>
      <c r="P101" s="52"/>
      <c r="Q101" s="52"/>
      <c r="R101" s="53">
        <v>224479</v>
      </c>
      <c r="S101" s="53">
        <v>224479</v>
      </c>
      <c r="T101" s="53"/>
      <c r="U101" s="62">
        <v>60609</v>
      </c>
      <c r="V101" s="823">
        <v>60609</v>
      </c>
      <c r="W101" s="286">
        <v>285088</v>
      </c>
      <c r="X101" s="177"/>
      <c r="Y101" s="177"/>
      <c r="Z101" s="177"/>
      <c r="AA101" s="177"/>
      <c r="AB101" s="824">
        <f t="shared" si="36"/>
        <v>0</v>
      </c>
      <c r="AC101" s="235" t="s">
        <v>11</v>
      </c>
      <c r="AD101" s="120">
        <f t="shared" si="47"/>
        <v>285088</v>
      </c>
      <c r="AE101" s="120">
        <f t="shared" si="48"/>
        <v>-285088</v>
      </c>
      <c r="AF101" s="740">
        <f>+H116+K116+N116+Q116+T116</f>
        <v>0</v>
      </c>
      <c r="AH101" s="825"/>
      <c r="AI101" s="825"/>
      <c r="AJ101" s="825"/>
    </row>
    <row r="102" spans="1:36" ht="28.5" customHeight="1" x14ac:dyDescent="0.2">
      <c r="A102" s="262" t="s">
        <v>410</v>
      </c>
      <c r="B102" s="175" t="s">
        <v>426</v>
      </c>
      <c r="C102" s="51" t="s">
        <v>427</v>
      </c>
      <c r="D102" s="97">
        <v>7002</v>
      </c>
      <c r="E102" s="52">
        <f t="shared" si="37"/>
        <v>0</v>
      </c>
      <c r="F102" s="52">
        <f t="shared" si="41"/>
        <v>0</v>
      </c>
      <c r="G102" s="52">
        <f t="shared" si="51"/>
        <v>0</v>
      </c>
      <c r="H102" s="52"/>
      <c r="I102" s="52">
        <f t="shared" si="40"/>
        <v>0</v>
      </c>
      <c r="J102" s="52"/>
      <c r="K102" s="52"/>
      <c r="L102" s="52">
        <f t="shared" si="39"/>
        <v>0</v>
      </c>
      <c r="M102" s="52"/>
      <c r="N102" s="52"/>
      <c r="O102" s="52">
        <f t="shared" si="43"/>
        <v>0</v>
      </c>
      <c r="P102" s="52"/>
      <c r="Q102" s="52"/>
      <c r="R102" s="53">
        <f t="shared" si="44"/>
        <v>0</v>
      </c>
      <c r="S102" s="53"/>
      <c r="T102" s="53"/>
      <c r="U102" s="62">
        <f t="shared" si="45"/>
        <v>0</v>
      </c>
      <c r="V102" s="823"/>
      <c r="W102" s="286"/>
      <c r="X102" s="177"/>
      <c r="Y102" s="177"/>
      <c r="Z102" s="177"/>
      <c r="AA102" s="177"/>
      <c r="AB102" s="824">
        <f t="shared" si="36"/>
        <v>0</v>
      </c>
      <c r="AC102" s="235" t="s">
        <v>11</v>
      </c>
      <c r="AF102" s="740"/>
      <c r="AH102" s="825"/>
      <c r="AI102" s="825"/>
      <c r="AJ102" s="825"/>
    </row>
    <row r="103" spans="1:36" ht="21.75" customHeight="1" x14ac:dyDescent="0.2">
      <c r="A103" s="262" t="s">
        <v>413</v>
      </c>
      <c r="B103" s="175" t="s">
        <v>428</v>
      </c>
      <c r="C103" s="51" t="s">
        <v>429</v>
      </c>
      <c r="D103" s="97">
        <v>7003</v>
      </c>
      <c r="E103" s="52">
        <f t="shared" si="37"/>
        <v>0</v>
      </c>
      <c r="F103" s="52">
        <v>45999</v>
      </c>
      <c r="G103" s="52">
        <f t="shared" si="51"/>
        <v>45999</v>
      </c>
      <c r="H103" s="52"/>
      <c r="I103" s="52">
        <f t="shared" si="40"/>
        <v>0</v>
      </c>
      <c r="J103" s="52"/>
      <c r="K103" s="52"/>
      <c r="L103" s="52">
        <f t="shared" si="39"/>
        <v>0</v>
      </c>
      <c r="M103" s="52"/>
      <c r="N103" s="52"/>
      <c r="O103" s="52">
        <f t="shared" si="43"/>
        <v>0</v>
      </c>
      <c r="P103" s="52"/>
      <c r="Q103" s="52">
        <v>0</v>
      </c>
      <c r="R103" s="53">
        <v>36220</v>
      </c>
      <c r="S103" s="53">
        <v>36220</v>
      </c>
      <c r="T103" s="53">
        <v>0</v>
      </c>
      <c r="U103" s="62">
        <v>9779</v>
      </c>
      <c r="V103" s="823">
        <v>9779</v>
      </c>
      <c r="W103" s="286">
        <v>45999</v>
      </c>
      <c r="X103" s="177"/>
      <c r="Y103" s="177"/>
      <c r="Z103" s="177"/>
      <c r="AA103" s="177"/>
      <c r="AB103" s="824">
        <f t="shared" si="36"/>
        <v>0</v>
      </c>
      <c r="AC103" s="235" t="s">
        <v>164</v>
      </c>
      <c r="AF103" s="740"/>
      <c r="AH103" s="825"/>
      <c r="AI103" s="825"/>
      <c r="AJ103" s="825"/>
    </row>
    <row r="104" spans="1:36" ht="24" customHeight="1" x14ac:dyDescent="0.2">
      <c r="A104" s="262" t="s">
        <v>430</v>
      </c>
      <c r="B104" s="175" t="s">
        <v>431</v>
      </c>
      <c r="C104" s="51" t="s">
        <v>432</v>
      </c>
      <c r="D104" s="97">
        <v>7004</v>
      </c>
      <c r="E104" s="52">
        <f t="shared" si="37"/>
        <v>0</v>
      </c>
      <c r="F104" s="52">
        <v>34600</v>
      </c>
      <c r="G104" s="52">
        <f t="shared" si="51"/>
        <v>34600</v>
      </c>
      <c r="H104" s="52"/>
      <c r="I104" s="52">
        <f t="shared" si="40"/>
        <v>0</v>
      </c>
      <c r="J104" s="52"/>
      <c r="K104" s="52"/>
      <c r="L104" s="52">
        <f t="shared" si="39"/>
        <v>0</v>
      </c>
      <c r="M104" s="52"/>
      <c r="N104" s="52"/>
      <c r="O104" s="52">
        <f t="shared" si="43"/>
        <v>0</v>
      </c>
      <c r="P104" s="52"/>
      <c r="Q104" s="52">
        <v>0</v>
      </c>
      <c r="R104" s="53">
        <v>27244</v>
      </c>
      <c r="S104" s="53">
        <v>27244</v>
      </c>
      <c r="T104" s="53">
        <v>0</v>
      </c>
      <c r="U104" s="62">
        <v>7356</v>
      </c>
      <c r="V104" s="823">
        <v>7356</v>
      </c>
      <c r="W104" s="286">
        <v>34600</v>
      </c>
      <c r="X104" s="177"/>
      <c r="Y104" s="177"/>
      <c r="Z104" s="177"/>
      <c r="AA104" s="177"/>
      <c r="AB104" s="824">
        <f t="shared" si="36"/>
        <v>0</v>
      </c>
      <c r="AC104" s="235" t="s">
        <v>164</v>
      </c>
      <c r="AD104" s="120">
        <f>+W104+X104+Z104+AA104</f>
        <v>34600</v>
      </c>
      <c r="AE104" s="120">
        <f>+E104-AD104</f>
        <v>-34600</v>
      </c>
      <c r="AF104" s="740"/>
      <c r="AH104" s="825"/>
      <c r="AI104" s="825"/>
      <c r="AJ104" s="825"/>
    </row>
    <row r="105" spans="1:36" ht="24" customHeight="1" x14ac:dyDescent="0.2">
      <c r="A105" s="262" t="s">
        <v>433</v>
      </c>
      <c r="B105" s="175" t="s">
        <v>434</v>
      </c>
      <c r="C105" s="51" t="s">
        <v>435</v>
      </c>
      <c r="D105" s="97">
        <v>7005</v>
      </c>
      <c r="E105" s="52">
        <f t="shared" si="37"/>
        <v>0</v>
      </c>
      <c r="F105" s="52">
        <v>402159</v>
      </c>
      <c r="G105" s="52">
        <f t="shared" si="51"/>
        <v>402159</v>
      </c>
      <c r="H105" s="52"/>
      <c r="I105" s="52">
        <f t="shared" si="40"/>
        <v>0</v>
      </c>
      <c r="J105" s="52"/>
      <c r="K105" s="52"/>
      <c r="L105" s="52">
        <f t="shared" si="39"/>
        <v>0</v>
      </c>
      <c r="M105" s="52"/>
      <c r="N105" s="52"/>
      <c r="O105" s="52">
        <v>292000</v>
      </c>
      <c r="P105" s="52">
        <v>292000</v>
      </c>
      <c r="Q105" s="52"/>
      <c r="R105" s="53">
        <v>24661</v>
      </c>
      <c r="S105" s="53">
        <v>24661</v>
      </c>
      <c r="T105" s="53"/>
      <c r="U105" s="62">
        <v>85498</v>
      </c>
      <c r="V105" s="823">
        <v>85498</v>
      </c>
      <c r="W105" s="286">
        <v>402159</v>
      </c>
      <c r="X105" s="177"/>
      <c r="Y105" s="177"/>
      <c r="Z105" s="177"/>
      <c r="AA105" s="177"/>
      <c r="AB105" s="824">
        <f t="shared" si="36"/>
        <v>0</v>
      </c>
      <c r="AC105" s="235" t="s">
        <v>11</v>
      </c>
      <c r="AF105" s="740"/>
      <c r="AH105" s="825"/>
      <c r="AI105" s="825"/>
      <c r="AJ105" s="825"/>
    </row>
    <row r="106" spans="1:36" ht="32.25" customHeight="1" x14ac:dyDescent="0.2">
      <c r="A106" s="262" t="s">
        <v>365</v>
      </c>
      <c r="B106" s="175" t="s">
        <v>434</v>
      </c>
      <c r="C106" s="51" t="s">
        <v>436</v>
      </c>
      <c r="D106" s="97">
        <v>7006</v>
      </c>
      <c r="E106" s="52">
        <f t="shared" si="37"/>
        <v>0</v>
      </c>
      <c r="F106" s="52">
        <v>752012</v>
      </c>
      <c r="G106" s="52">
        <f t="shared" si="51"/>
        <v>750009</v>
      </c>
      <c r="H106" s="52"/>
      <c r="I106" s="52">
        <f t="shared" si="40"/>
        <v>0</v>
      </c>
      <c r="J106" s="52"/>
      <c r="K106" s="52"/>
      <c r="L106" s="52">
        <f t="shared" si="39"/>
        <v>0</v>
      </c>
      <c r="M106" s="52"/>
      <c r="N106" s="52"/>
      <c r="O106" s="52">
        <f t="shared" si="43"/>
        <v>0</v>
      </c>
      <c r="P106" s="52"/>
      <c r="Q106" s="52"/>
      <c r="R106" s="53">
        <v>592562</v>
      </c>
      <c r="S106" s="53">
        <v>590559</v>
      </c>
      <c r="T106" s="53"/>
      <c r="U106" s="62">
        <v>159450</v>
      </c>
      <c r="V106" s="823">
        <v>159450</v>
      </c>
      <c r="W106" s="286">
        <v>752012</v>
      </c>
      <c r="X106" s="177"/>
      <c r="Y106" s="177"/>
      <c r="Z106" s="177"/>
      <c r="AA106" s="177"/>
      <c r="AB106" s="824">
        <f t="shared" si="36"/>
        <v>0</v>
      </c>
      <c r="AC106" s="235" t="s">
        <v>11</v>
      </c>
      <c r="AD106" s="120">
        <f>+W106+X106+Z106+AA106</f>
        <v>752012</v>
      </c>
      <c r="AE106" s="120">
        <f>+E106-AD106</f>
        <v>-752012</v>
      </c>
      <c r="AF106" s="740"/>
      <c r="AH106" s="825"/>
      <c r="AI106" s="825"/>
      <c r="AJ106" s="825"/>
    </row>
    <row r="107" spans="1:36" ht="24" customHeight="1" x14ac:dyDescent="0.2">
      <c r="A107" s="262" t="s">
        <v>131</v>
      </c>
      <c r="B107" s="175" t="s">
        <v>437</v>
      </c>
      <c r="C107" s="51" t="s">
        <v>438</v>
      </c>
      <c r="D107" s="97">
        <v>7007</v>
      </c>
      <c r="E107" s="52">
        <f t="shared" si="37"/>
        <v>0</v>
      </c>
      <c r="F107" s="52">
        <f t="shared" si="41"/>
        <v>0</v>
      </c>
      <c r="G107" s="52">
        <f t="shared" si="51"/>
        <v>0</v>
      </c>
      <c r="H107" s="52"/>
      <c r="I107" s="52">
        <f t="shared" si="40"/>
        <v>0</v>
      </c>
      <c r="J107" s="52"/>
      <c r="K107" s="52"/>
      <c r="L107" s="52">
        <f t="shared" si="39"/>
        <v>0</v>
      </c>
      <c r="M107" s="52"/>
      <c r="N107" s="52"/>
      <c r="O107" s="52">
        <f t="shared" si="43"/>
        <v>0</v>
      </c>
      <c r="P107" s="52"/>
      <c r="Q107" s="52"/>
      <c r="R107" s="53">
        <f t="shared" si="44"/>
        <v>0</v>
      </c>
      <c r="S107" s="53"/>
      <c r="T107" s="53"/>
      <c r="U107" s="62">
        <f t="shared" si="45"/>
        <v>0</v>
      </c>
      <c r="V107" s="823"/>
      <c r="W107" s="286"/>
      <c r="X107" s="177"/>
      <c r="Y107" s="177"/>
      <c r="Z107" s="177"/>
      <c r="AA107" s="177"/>
      <c r="AB107" s="824">
        <f t="shared" si="36"/>
        <v>0</v>
      </c>
      <c r="AC107" s="235" t="s">
        <v>11</v>
      </c>
      <c r="AF107" s="740"/>
      <c r="AH107" s="825"/>
      <c r="AI107" s="825"/>
      <c r="AJ107" s="825"/>
    </row>
    <row r="108" spans="1:36" ht="24" customHeight="1" x14ac:dyDescent="0.2">
      <c r="A108" s="262" t="s">
        <v>134</v>
      </c>
      <c r="B108" s="175" t="s">
        <v>439</v>
      </c>
      <c r="C108" s="51" t="s">
        <v>440</v>
      </c>
      <c r="D108" s="97">
        <v>7008</v>
      </c>
      <c r="E108" s="52">
        <f t="shared" si="37"/>
        <v>0</v>
      </c>
      <c r="F108" s="52">
        <f t="shared" si="41"/>
        <v>0</v>
      </c>
      <c r="G108" s="52">
        <f t="shared" si="51"/>
        <v>0</v>
      </c>
      <c r="H108" s="52"/>
      <c r="I108" s="52">
        <f t="shared" si="40"/>
        <v>0</v>
      </c>
      <c r="J108" s="52"/>
      <c r="K108" s="52"/>
      <c r="L108" s="52">
        <f t="shared" si="39"/>
        <v>0</v>
      </c>
      <c r="M108" s="52"/>
      <c r="N108" s="52"/>
      <c r="O108" s="52">
        <f t="shared" si="43"/>
        <v>0</v>
      </c>
      <c r="P108" s="52"/>
      <c r="Q108" s="52"/>
      <c r="R108" s="53">
        <f t="shared" si="44"/>
        <v>0</v>
      </c>
      <c r="S108" s="53"/>
      <c r="T108" s="53"/>
      <c r="U108" s="62">
        <f t="shared" si="45"/>
        <v>0</v>
      </c>
      <c r="V108" s="823"/>
      <c r="W108" s="286"/>
      <c r="X108" s="177"/>
      <c r="Y108" s="177"/>
      <c r="Z108" s="177"/>
      <c r="AA108" s="177"/>
      <c r="AB108" s="824">
        <f t="shared" si="36"/>
        <v>0</v>
      </c>
      <c r="AC108" s="235" t="s">
        <v>11</v>
      </c>
      <c r="AF108" s="740"/>
      <c r="AH108" s="825"/>
      <c r="AI108" s="825"/>
      <c r="AJ108" s="825"/>
    </row>
    <row r="109" spans="1:36" ht="25.15" customHeight="1" x14ac:dyDescent="0.2">
      <c r="A109" s="262" t="s">
        <v>145</v>
      </c>
      <c r="B109" s="175" t="s">
        <v>441</v>
      </c>
      <c r="C109" s="51" t="s">
        <v>442</v>
      </c>
      <c r="D109" s="97">
        <v>7009</v>
      </c>
      <c r="E109" s="52">
        <f t="shared" si="37"/>
        <v>0</v>
      </c>
      <c r="F109" s="52">
        <v>749543</v>
      </c>
      <c r="G109" s="52">
        <f t="shared" si="51"/>
        <v>749543</v>
      </c>
      <c r="H109" s="52"/>
      <c r="I109" s="52">
        <f t="shared" si="40"/>
        <v>0</v>
      </c>
      <c r="J109" s="52"/>
      <c r="K109" s="52"/>
      <c r="L109" s="52">
        <f t="shared" si="39"/>
        <v>0</v>
      </c>
      <c r="M109" s="52"/>
      <c r="N109" s="52"/>
      <c r="O109" s="52">
        <v>138955</v>
      </c>
      <c r="P109" s="52">
        <v>138955</v>
      </c>
      <c r="Q109" s="52"/>
      <c r="R109" s="53">
        <v>451236</v>
      </c>
      <c r="S109" s="53">
        <v>451236</v>
      </c>
      <c r="T109" s="53"/>
      <c r="U109" s="62">
        <v>159352</v>
      </c>
      <c r="V109" s="823">
        <v>159352</v>
      </c>
      <c r="W109" s="286">
        <v>749543</v>
      </c>
      <c r="X109" s="177"/>
      <c r="Y109" s="177"/>
      <c r="Z109" s="177"/>
      <c r="AA109" s="177"/>
      <c r="AB109" s="824">
        <f t="shared" si="36"/>
        <v>0</v>
      </c>
      <c r="AC109" s="235" t="s">
        <v>11</v>
      </c>
      <c r="AD109" s="120">
        <f t="shared" ref="AD109:AD124" si="52">+W109+X109+Z109+AA109</f>
        <v>749543</v>
      </c>
      <c r="AE109" s="120">
        <f t="shared" ref="AE109:AE124" si="53">+E109-AD109</f>
        <v>-749543</v>
      </c>
      <c r="AF109" s="740"/>
      <c r="AH109" s="825"/>
      <c r="AI109" s="825"/>
      <c r="AJ109" s="825"/>
    </row>
    <row r="110" spans="1:36" ht="24.75" customHeight="1" x14ac:dyDescent="0.2">
      <c r="A110" s="262" t="s">
        <v>268</v>
      </c>
      <c r="B110" s="175" t="s">
        <v>443</v>
      </c>
      <c r="C110" s="51" t="s">
        <v>444</v>
      </c>
      <c r="D110" s="97">
        <v>7010</v>
      </c>
      <c r="E110" s="52">
        <f t="shared" si="37"/>
        <v>0</v>
      </c>
      <c r="F110" s="52">
        <v>674832</v>
      </c>
      <c r="G110" s="52">
        <f t="shared" si="51"/>
        <v>674832</v>
      </c>
      <c r="H110" s="52"/>
      <c r="I110" s="52">
        <f t="shared" si="40"/>
        <v>0</v>
      </c>
      <c r="J110" s="52"/>
      <c r="K110" s="52"/>
      <c r="L110" s="52">
        <f t="shared" si="39"/>
        <v>0</v>
      </c>
      <c r="M110" s="52"/>
      <c r="N110" s="52">
        <v>0</v>
      </c>
      <c r="O110" s="52">
        <f t="shared" si="43"/>
        <v>0</v>
      </c>
      <c r="P110" s="52"/>
      <c r="Q110" s="52">
        <v>0</v>
      </c>
      <c r="R110" s="53">
        <v>533575</v>
      </c>
      <c r="S110" s="53">
        <v>533575</v>
      </c>
      <c r="T110" s="53">
        <v>0</v>
      </c>
      <c r="U110" s="62">
        <v>141257</v>
      </c>
      <c r="V110" s="823">
        <v>141257</v>
      </c>
      <c r="W110" s="286">
        <v>674832</v>
      </c>
      <c r="X110" s="177"/>
      <c r="Y110" s="177"/>
      <c r="Z110" s="177"/>
      <c r="AA110" s="177"/>
      <c r="AB110" s="824">
        <f t="shared" si="36"/>
        <v>0</v>
      </c>
      <c r="AC110" s="235" t="s">
        <v>11</v>
      </c>
      <c r="AD110" s="120">
        <f t="shared" si="52"/>
        <v>674832</v>
      </c>
      <c r="AE110" s="120">
        <f t="shared" si="53"/>
        <v>-674832</v>
      </c>
      <c r="AF110" s="740"/>
      <c r="AH110" s="825"/>
      <c r="AI110" s="825"/>
      <c r="AJ110" s="825"/>
    </row>
    <row r="111" spans="1:36" ht="29.25" customHeight="1" x14ac:dyDescent="0.2">
      <c r="A111" s="262" t="s">
        <v>139</v>
      </c>
      <c r="B111" s="175" t="s">
        <v>445</v>
      </c>
      <c r="C111" s="51" t="s">
        <v>446</v>
      </c>
      <c r="D111" s="97">
        <v>7011</v>
      </c>
      <c r="E111" s="52">
        <f t="shared" si="37"/>
        <v>0</v>
      </c>
      <c r="F111" s="52">
        <f t="shared" si="41"/>
        <v>0</v>
      </c>
      <c r="G111" s="52">
        <f t="shared" si="51"/>
        <v>0</v>
      </c>
      <c r="H111" s="52"/>
      <c r="I111" s="52">
        <f t="shared" si="40"/>
        <v>0</v>
      </c>
      <c r="J111" s="52"/>
      <c r="K111" s="52"/>
      <c r="L111" s="52">
        <f t="shared" si="39"/>
        <v>0</v>
      </c>
      <c r="M111" s="52"/>
      <c r="N111" s="52"/>
      <c r="O111" s="52">
        <f t="shared" si="43"/>
        <v>0</v>
      </c>
      <c r="P111" s="52"/>
      <c r="Q111" s="52"/>
      <c r="R111" s="53">
        <f t="shared" si="44"/>
        <v>0</v>
      </c>
      <c r="S111" s="53"/>
      <c r="T111" s="53"/>
      <c r="U111" s="62">
        <f t="shared" si="45"/>
        <v>0</v>
      </c>
      <c r="V111" s="823"/>
      <c r="W111" s="286">
        <f t="shared" si="46"/>
        <v>0</v>
      </c>
      <c r="X111" s="177"/>
      <c r="Y111" s="177"/>
      <c r="Z111" s="177"/>
      <c r="AA111" s="177"/>
      <c r="AB111" s="824">
        <f t="shared" si="36"/>
        <v>0</v>
      </c>
      <c r="AC111" s="235" t="s">
        <v>11</v>
      </c>
      <c r="AD111" s="120">
        <f t="shared" si="52"/>
        <v>0</v>
      </c>
      <c r="AE111" s="120">
        <f t="shared" si="53"/>
        <v>0</v>
      </c>
      <c r="AF111" s="740"/>
      <c r="AH111" s="825"/>
      <c r="AI111" s="825"/>
      <c r="AJ111" s="825"/>
    </row>
    <row r="112" spans="1:36" ht="29.25" customHeight="1" x14ac:dyDescent="0.2">
      <c r="A112" s="262" t="s">
        <v>142</v>
      </c>
      <c r="B112" s="175" t="s">
        <v>445</v>
      </c>
      <c r="C112" s="51" t="s">
        <v>447</v>
      </c>
      <c r="D112" s="97">
        <v>7012</v>
      </c>
      <c r="E112" s="52">
        <f t="shared" si="37"/>
        <v>0</v>
      </c>
      <c r="F112" s="52">
        <v>2200813</v>
      </c>
      <c r="G112" s="52">
        <f t="shared" si="51"/>
        <v>194007</v>
      </c>
      <c r="H112" s="52"/>
      <c r="I112" s="52">
        <v>2006806</v>
      </c>
      <c r="J112" s="52"/>
      <c r="K112" s="52"/>
      <c r="L112" s="52">
        <f t="shared" si="39"/>
        <v>0</v>
      </c>
      <c r="M112" s="52"/>
      <c r="N112" s="52"/>
      <c r="O112" s="52">
        <f t="shared" si="43"/>
        <v>0</v>
      </c>
      <c r="P112" s="52"/>
      <c r="Q112" s="52"/>
      <c r="R112" s="53">
        <v>152760</v>
      </c>
      <c r="S112" s="53">
        <v>152760</v>
      </c>
      <c r="T112" s="53"/>
      <c r="U112" s="62">
        <v>41247</v>
      </c>
      <c r="V112" s="823">
        <v>41247</v>
      </c>
      <c r="W112" s="286">
        <v>2200813</v>
      </c>
      <c r="X112" s="177"/>
      <c r="Y112" s="177"/>
      <c r="Z112" s="177"/>
      <c r="AA112" s="177"/>
      <c r="AB112" s="824">
        <f t="shared" si="36"/>
        <v>0</v>
      </c>
      <c r="AC112" s="235" t="s">
        <v>11</v>
      </c>
      <c r="AD112" s="120">
        <f t="shared" si="52"/>
        <v>2200813</v>
      </c>
      <c r="AE112" s="120">
        <f t="shared" si="53"/>
        <v>-2200813</v>
      </c>
      <c r="AF112" s="740"/>
      <c r="AH112" s="825"/>
      <c r="AI112" s="825"/>
      <c r="AJ112" s="825"/>
    </row>
    <row r="113" spans="1:36" ht="29.25" customHeight="1" x14ac:dyDescent="0.2">
      <c r="A113" s="262" t="s">
        <v>176</v>
      </c>
      <c r="B113" s="175" t="s">
        <v>445</v>
      </c>
      <c r="C113" s="51" t="s">
        <v>448</v>
      </c>
      <c r="D113" s="97">
        <v>7013</v>
      </c>
      <c r="E113" s="52">
        <f t="shared" si="37"/>
        <v>0</v>
      </c>
      <c r="F113" s="52">
        <f t="shared" si="41"/>
        <v>0</v>
      </c>
      <c r="G113" s="52">
        <f t="shared" si="51"/>
        <v>0</v>
      </c>
      <c r="H113" s="52"/>
      <c r="I113" s="52">
        <f t="shared" si="40"/>
        <v>0</v>
      </c>
      <c r="J113" s="52"/>
      <c r="K113" s="52"/>
      <c r="L113" s="52">
        <f t="shared" si="39"/>
        <v>0</v>
      </c>
      <c r="M113" s="52"/>
      <c r="N113" s="52"/>
      <c r="O113" s="52">
        <f t="shared" si="43"/>
        <v>0</v>
      </c>
      <c r="P113" s="52"/>
      <c r="Q113" s="52"/>
      <c r="R113" s="53">
        <f t="shared" si="44"/>
        <v>0</v>
      </c>
      <c r="S113" s="53"/>
      <c r="T113" s="53"/>
      <c r="U113" s="62">
        <f t="shared" si="45"/>
        <v>0</v>
      </c>
      <c r="V113" s="823"/>
      <c r="W113" s="286">
        <f t="shared" si="46"/>
        <v>0</v>
      </c>
      <c r="X113" s="177"/>
      <c r="Y113" s="177"/>
      <c r="Z113" s="177"/>
      <c r="AA113" s="177"/>
      <c r="AB113" s="824">
        <f t="shared" si="36"/>
        <v>0</v>
      </c>
      <c r="AC113" s="235" t="s">
        <v>11</v>
      </c>
      <c r="AD113" s="120">
        <f t="shared" si="52"/>
        <v>0</v>
      </c>
      <c r="AE113" s="120">
        <f t="shared" si="53"/>
        <v>0</v>
      </c>
      <c r="AF113" s="740"/>
      <c r="AH113" s="825"/>
      <c r="AI113" s="825"/>
      <c r="AJ113" s="825"/>
    </row>
    <row r="114" spans="1:36" ht="31.5" customHeight="1" x14ac:dyDescent="0.2">
      <c r="A114" s="262" t="s">
        <v>180</v>
      </c>
      <c r="B114" s="263" t="s">
        <v>449</v>
      </c>
      <c r="C114" s="51" t="s">
        <v>450</v>
      </c>
      <c r="D114" s="97">
        <v>7014</v>
      </c>
      <c r="E114" s="52">
        <f t="shared" si="37"/>
        <v>0</v>
      </c>
      <c r="F114" s="52">
        <f t="shared" si="41"/>
        <v>0</v>
      </c>
      <c r="G114" s="52">
        <f t="shared" si="51"/>
        <v>0</v>
      </c>
      <c r="H114" s="52"/>
      <c r="I114" s="52">
        <f t="shared" si="40"/>
        <v>0</v>
      </c>
      <c r="J114" s="52"/>
      <c r="K114" s="52"/>
      <c r="L114" s="52">
        <f t="shared" si="39"/>
        <v>0</v>
      </c>
      <c r="M114" s="52"/>
      <c r="N114" s="52"/>
      <c r="O114" s="52">
        <f t="shared" si="43"/>
        <v>0</v>
      </c>
      <c r="P114" s="52"/>
      <c r="Q114" s="52"/>
      <c r="R114" s="53">
        <f t="shared" si="44"/>
        <v>0</v>
      </c>
      <c r="S114" s="53"/>
      <c r="T114" s="53"/>
      <c r="U114" s="62">
        <f t="shared" si="45"/>
        <v>0</v>
      </c>
      <c r="V114" s="823"/>
      <c r="W114" s="286">
        <f t="shared" si="46"/>
        <v>0</v>
      </c>
      <c r="X114" s="177"/>
      <c r="Y114" s="177"/>
      <c r="Z114" s="177"/>
      <c r="AA114" s="177"/>
      <c r="AB114" s="824">
        <f t="shared" si="36"/>
        <v>0</v>
      </c>
      <c r="AC114" s="235" t="s">
        <v>11</v>
      </c>
      <c r="AD114" s="120">
        <f t="shared" si="52"/>
        <v>0</v>
      </c>
      <c r="AE114" s="120">
        <f t="shared" si="53"/>
        <v>0</v>
      </c>
      <c r="AF114" s="740"/>
      <c r="AH114" s="825"/>
      <c r="AI114" s="825"/>
      <c r="AJ114" s="825"/>
    </row>
    <row r="115" spans="1:36" ht="33" customHeight="1" x14ac:dyDescent="0.2">
      <c r="A115" s="262" t="s">
        <v>413</v>
      </c>
      <c r="B115" s="175" t="s">
        <v>381</v>
      </c>
      <c r="C115" s="51" t="s">
        <v>451</v>
      </c>
      <c r="D115" s="97">
        <v>7001</v>
      </c>
      <c r="E115" s="52">
        <f t="shared" si="37"/>
        <v>0</v>
      </c>
      <c r="F115" s="52">
        <v>1374836</v>
      </c>
      <c r="G115" s="52">
        <f t="shared" si="51"/>
        <v>1359076</v>
      </c>
      <c r="H115" s="52"/>
      <c r="I115" s="52">
        <v>229921</v>
      </c>
      <c r="J115" s="52">
        <v>229921</v>
      </c>
      <c r="K115" s="52"/>
      <c r="L115" s="52">
        <f t="shared" si="39"/>
        <v>0</v>
      </c>
      <c r="M115" s="52"/>
      <c r="N115" s="52">
        <v>0</v>
      </c>
      <c r="O115" s="52">
        <v>365747</v>
      </c>
      <c r="P115" s="52">
        <v>365747</v>
      </c>
      <c r="Q115" s="52"/>
      <c r="R115" s="53">
        <v>486878</v>
      </c>
      <c r="S115" s="53">
        <v>474469</v>
      </c>
      <c r="T115" s="53"/>
      <c r="U115" s="62">
        <v>292290</v>
      </c>
      <c r="V115" s="823">
        <v>288939</v>
      </c>
      <c r="W115" s="286">
        <v>1374836</v>
      </c>
      <c r="X115" s="177"/>
      <c r="Y115" s="177"/>
      <c r="Z115" s="177"/>
      <c r="AA115" s="177"/>
      <c r="AB115" s="824">
        <f t="shared" si="36"/>
        <v>0</v>
      </c>
      <c r="AC115" s="235" t="s">
        <v>11</v>
      </c>
      <c r="AD115" s="120">
        <f t="shared" si="52"/>
        <v>1374836</v>
      </c>
      <c r="AE115" s="120">
        <f t="shared" si="53"/>
        <v>-1374836</v>
      </c>
      <c r="AF115" s="740"/>
      <c r="AH115" s="825"/>
      <c r="AI115" s="825"/>
      <c r="AJ115" s="825"/>
    </row>
    <row r="116" spans="1:36" ht="31.5" customHeight="1" x14ac:dyDescent="0.2">
      <c r="A116" s="262" t="s">
        <v>430</v>
      </c>
      <c r="B116" s="175" t="s">
        <v>452</v>
      </c>
      <c r="C116" s="51" t="s">
        <v>453</v>
      </c>
      <c r="D116" s="97">
        <v>7002</v>
      </c>
      <c r="E116" s="52">
        <f t="shared" si="37"/>
        <v>0</v>
      </c>
      <c r="F116" s="52">
        <v>226540</v>
      </c>
      <c r="G116" s="52">
        <f t="shared" si="51"/>
        <v>226540</v>
      </c>
      <c r="H116" s="52"/>
      <c r="I116" s="52">
        <f t="shared" si="40"/>
        <v>0</v>
      </c>
      <c r="J116" s="52"/>
      <c r="K116" s="52"/>
      <c r="L116" s="52">
        <f t="shared" si="39"/>
        <v>0</v>
      </c>
      <c r="M116" s="52"/>
      <c r="N116" s="52"/>
      <c r="O116" s="52">
        <f t="shared" si="43"/>
        <v>0</v>
      </c>
      <c r="P116" s="52"/>
      <c r="Q116" s="52"/>
      <c r="R116" s="53">
        <v>178379</v>
      </c>
      <c r="S116" s="53">
        <v>178379</v>
      </c>
      <c r="T116" s="53"/>
      <c r="U116" s="62">
        <v>48161</v>
      </c>
      <c r="V116" s="823">
        <v>48161</v>
      </c>
      <c r="W116" s="286">
        <v>226540</v>
      </c>
      <c r="X116" s="177"/>
      <c r="Y116" s="177"/>
      <c r="Z116" s="177"/>
      <c r="AA116" s="177"/>
      <c r="AB116" s="824">
        <f t="shared" si="36"/>
        <v>0</v>
      </c>
      <c r="AC116" s="235" t="s">
        <v>11</v>
      </c>
      <c r="AD116" s="120">
        <f t="shared" si="52"/>
        <v>226540</v>
      </c>
      <c r="AE116" s="120">
        <f t="shared" si="53"/>
        <v>-226540</v>
      </c>
      <c r="AF116" s="740">
        <f>+H120+K120+N120+Q120+T120</f>
        <v>0</v>
      </c>
      <c r="AH116" s="825"/>
      <c r="AI116" s="825"/>
      <c r="AJ116" s="825"/>
    </row>
    <row r="117" spans="1:36" ht="21" customHeight="1" x14ac:dyDescent="0.2">
      <c r="A117" s="262" t="s">
        <v>149</v>
      </c>
      <c r="B117" s="175" t="s">
        <v>454</v>
      </c>
      <c r="C117" s="51" t="s">
        <v>455</v>
      </c>
      <c r="D117" s="97">
        <v>7001</v>
      </c>
      <c r="E117" s="52">
        <f t="shared" si="37"/>
        <v>0</v>
      </c>
      <c r="F117" s="52">
        <v>321130</v>
      </c>
      <c r="G117" s="52">
        <f t="shared" si="51"/>
        <v>321130</v>
      </c>
      <c r="H117" s="52"/>
      <c r="I117" s="52">
        <f t="shared" si="40"/>
        <v>0</v>
      </c>
      <c r="J117" s="52"/>
      <c r="K117" s="52"/>
      <c r="L117" s="52">
        <f t="shared" si="39"/>
        <v>0</v>
      </c>
      <c r="M117" s="52"/>
      <c r="N117" s="52"/>
      <c r="O117" s="52">
        <f t="shared" si="43"/>
        <v>0</v>
      </c>
      <c r="P117" s="52"/>
      <c r="Q117" s="52"/>
      <c r="R117" s="53">
        <v>252859</v>
      </c>
      <c r="S117" s="53">
        <v>252859</v>
      </c>
      <c r="T117" s="53"/>
      <c r="U117" s="62">
        <v>68271</v>
      </c>
      <c r="V117" s="823">
        <v>68271</v>
      </c>
      <c r="W117" s="286">
        <v>321130</v>
      </c>
      <c r="X117" s="177"/>
      <c r="Y117" s="177"/>
      <c r="Z117" s="177"/>
      <c r="AA117" s="177"/>
      <c r="AB117" s="824">
        <f t="shared" si="36"/>
        <v>0</v>
      </c>
      <c r="AC117" s="235" t="s">
        <v>11</v>
      </c>
      <c r="AD117" s="120">
        <f t="shared" si="52"/>
        <v>321130</v>
      </c>
      <c r="AE117" s="120">
        <f t="shared" si="53"/>
        <v>-321130</v>
      </c>
      <c r="AF117" s="740"/>
      <c r="AH117" s="825"/>
      <c r="AI117" s="825"/>
      <c r="AJ117" s="825"/>
    </row>
    <row r="118" spans="1:36" ht="23.25" customHeight="1" x14ac:dyDescent="0.2">
      <c r="A118" s="262" t="s">
        <v>410</v>
      </c>
      <c r="B118" s="97">
        <v>104042</v>
      </c>
      <c r="C118" s="51" t="s">
        <v>456</v>
      </c>
      <c r="D118" s="97">
        <v>7002</v>
      </c>
      <c r="E118" s="52">
        <f t="shared" ref="E118" si="54">H118+K118+N118+Q118+T118</f>
        <v>0</v>
      </c>
      <c r="F118" s="52">
        <v>294979</v>
      </c>
      <c r="G118" s="52">
        <f t="shared" si="51"/>
        <v>294979</v>
      </c>
      <c r="H118" s="52"/>
      <c r="I118" s="52">
        <f t="shared" ref="I118" si="55">H118</f>
        <v>0</v>
      </c>
      <c r="J118" s="52"/>
      <c r="K118" s="52"/>
      <c r="L118" s="52">
        <f t="shared" ref="L118" si="56">K118</f>
        <v>0</v>
      </c>
      <c r="M118" s="52"/>
      <c r="N118" s="52">
        <v>0</v>
      </c>
      <c r="O118" s="52">
        <f t="shared" ref="O118" si="57">N118</f>
        <v>0</v>
      </c>
      <c r="P118" s="52"/>
      <c r="Q118" s="52">
        <v>0</v>
      </c>
      <c r="R118" s="53">
        <v>232267</v>
      </c>
      <c r="S118" s="53">
        <v>232267</v>
      </c>
      <c r="T118" s="53">
        <v>0</v>
      </c>
      <c r="U118" s="62">
        <v>62712</v>
      </c>
      <c r="V118" s="823">
        <v>62712</v>
      </c>
      <c r="W118" s="286">
        <v>294979</v>
      </c>
      <c r="X118" s="177"/>
      <c r="Y118" s="177"/>
      <c r="Z118" s="177"/>
      <c r="AA118" s="177"/>
      <c r="AB118" s="824">
        <f t="shared" ref="AB118" si="58">AA118</f>
        <v>0</v>
      </c>
      <c r="AC118" s="235" t="s">
        <v>11</v>
      </c>
      <c r="AD118" s="120">
        <f t="shared" ref="AD118:AD119" si="59">+W118+X118+Z118+AA118</f>
        <v>294979</v>
      </c>
      <c r="AE118" s="120">
        <f t="shared" ref="AE118" si="60">+E118-AD118</f>
        <v>-294979</v>
      </c>
      <c r="AF118" s="740">
        <f>+H120+K120+N120+Q120+T120</f>
        <v>0</v>
      </c>
      <c r="AH118" s="825"/>
      <c r="AI118" s="825"/>
      <c r="AJ118" s="825"/>
    </row>
    <row r="119" spans="1:36" ht="23.25" customHeight="1" x14ac:dyDescent="0.2">
      <c r="A119" s="262" t="s">
        <v>1471</v>
      </c>
      <c r="B119" s="97">
        <v>104060</v>
      </c>
      <c r="C119" s="51" t="s">
        <v>1472</v>
      </c>
      <c r="D119" s="97">
        <v>7004</v>
      </c>
      <c r="E119" s="52"/>
      <c r="F119" s="52">
        <v>93980</v>
      </c>
      <c r="G119" s="52">
        <f t="shared" si="51"/>
        <v>93980</v>
      </c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3">
        <v>74000</v>
      </c>
      <c r="S119" s="53">
        <v>74000</v>
      </c>
      <c r="T119" s="53"/>
      <c r="U119" s="62">
        <v>19980</v>
      </c>
      <c r="V119" s="823">
        <v>19980</v>
      </c>
      <c r="W119" s="286">
        <v>93980</v>
      </c>
      <c r="X119" s="177"/>
      <c r="Y119" s="177"/>
      <c r="Z119" s="177"/>
      <c r="AA119" s="177"/>
      <c r="AB119" s="824"/>
      <c r="AC119" s="235" t="s">
        <v>11</v>
      </c>
      <c r="AD119" s="120">
        <f t="shared" si="59"/>
        <v>93980</v>
      </c>
      <c r="AF119" s="740"/>
      <c r="AH119" s="825"/>
      <c r="AI119" s="825"/>
      <c r="AJ119" s="825"/>
    </row>
    <row r="120" spans="1:36" ht="23.25" customHeight="1" x14ac:dyDescent="0.2">
      <c r="A120" s="262" t="s">
        <v>433</v>
      </c>
      <c r="B120" s="97">
        <v>104042</v>
      </c>
      <c r="C120" s="51" t="s">
        <v>1310</v>
      </c>
      <c r="D120" s="49" t="s">
        <v>1311</v>
      </c>
      <c r="E120" s="52">
        <f t="shared" si="37"/>
        <v>0</v>
      </c>
      <c r="F120" s="52">
        <v>105000</v>
      </c>
      <c r="G120" s="52">
        <f t="shared" si="51"/>
        <v>82148</v>
      </c>
      <c r="H120" s="52"/>
      <c r="I120" s="52">
        <f t="shared" si="40"/>
        <v>0</v>
      </c>
      <c r="J120" s="52"/>
      <c r="K120" s="52"/>
      <c r="L120" s="52">
        <f t="shared" si="39"/>
        <v>0</v>
      </c>
      <c r="M120" s="52"/>
      <c r="N120" s="52">
        <v>0</v>
      </c>
      <c r="O120" s="52">
        <f t="shared" si="43"/>
        <v>0</v>
      </c>
      <c r="P120" s="52"/>
      <c r="Q120" s="52">
        <v>0</v>
      </c>
      <c r="R120" s="53">
        <v>82677</v>
      </c>
      <c r="S120" s="53">
        <v>64683</v>
      </c>
      <c r="T120" s="53">
        <v>0</v>
      </c>
      <c r="U120" s="62">
        <v>22323</v>
      </c>
      <c r="V120" s="823">
        <v>17465</v>
      </c>
      <c r="W120" s="286">
        <v>105000</v>
      </c>
      <c r="X120" s="177"/>
      <c r="Y120" s="177"/>
      <c r="Z120" s="177"/>
      <c r="AA120" s="177"/>
      <c r="AB120" s="824">
        <f t="shared" si="36"/>
        <v>0</v>
      </c>
      <c r="AC120" s="235" t="s">
        <v>11</v>
      </c>
      <c r="AD120" s="120">
        <f t="shared" si="52"/>
        <v>105000</v>
      </c>
      <c r="AE120" s="120">
        <f t="shared" si="53"/>
        <v>-105000</v>
      </c>
      <c r="AF120" s="740">
        <f>+H123+K123+N123+Q123+T123</f>
        <v>11637320</v>
      </c>
      <c r="AH120" s="825"/>
      <c r="AI120" s="825"/>
      <c r="AJ120" s="825"/>
    </row>
    <row r="121" spans="1:36" ht="23.25" customHeight="1" x14ac:dyDescent="0.2">
      <c r="A121" s="880" t="s">
        <v>149</v>
      </c>
      <c r="B121" s="877" t="s">
        <v>400</v>
      </c>
      <c r="C121" s="58" t="s">
        <v>1417</v>
      </c>
      <c r="D121" s="56">
        <v>7001</v>
      </c>
      <c r="E121" s="59"/>
      <c r="F121" s="59">
        <v>1019300</v>
      </c>
      <c r="G121" s="52">
        <f t="shared" si="51"/>
        <v>1019300</v>
      </c>
      <c r="H121" s="59"/>
      <c r="I121" s="59"/>
      <c r="J121" s="59"/>
      <c r="K121" s="59"/>
      <c r="L121" s="59"/>
      <c r="M121" s="59"/>
      <c r="N121" s="59"/>
      <c r="O121" s="59">
        <v>211418</v>
      </c>
      <c r="P121" s="59">
        <v>211418</v>
      </c>
      <c r="Q121" s="59"/>
      <c r="R121" s="60">
        <v>591180</v>
      </c>
      <c r="S121" s="60">
        <v>591180</v>
      </c>
      <c r="T121" s="60"/>
      <c r="U121" s="60">
        <v>216702</v>
      </c>
      <c r="V121" s="1273">
        <v>216702</v>
      </c>
      <c r="W121" s="286">
        <v>1019300</v>
      </c>
      <c r="X121" s="230"/>
      <c r="Y121" s="230"/>
      <c r="Z121" s="230"/>
      <c r="AA121" s="230"/>
      <c r="AB121" s="827"/>
      <c r="AC121" s="235" t="s">
        <v>11</v>
      </c>
      <c r="AD121" s="120">
        <f t="shared" si="52"/>
        <v>1019300</v>
      </c>
      <c r="AF121" s="740"/>
      <c r="AH121" s="825"/>
      <c r="AI121" s="825"/>
      <c r="AJ121" s="825"/>
    </row>
    <row r="122" spans="1:36" ht="23.25" customHeight="1" x14ac:dyDescent="0.2">
      <c r="A122" s="880" t="s">
        <v>410</v>
      </c>
      <c r="B122" s="877" t="s">
        <v>452</v>
      </c>
      <c r="C122" s="58" t="s">
        <v>1418</v>
      </c>
      <c r="D122" s="56">
        <v>7002</v>
      </c>
      <c r="E122" s="59"/>
      <c r="F122" s="59">
        <v>727713</v>
      </c>
      <c r="G122" s="52">
        <f t="shared" si="51"/>
        <v>659651</v>
      </c>
      <c r="H122" s="59"/>
      <c r="I122" s="59"/>
      <c r="J122" s="59"/>
      <c r="K122" s="59"/>
      <c r="L122" s="59"/>
      <c r="M122" s="59"/>
      <c r="N122" s="59"/>
      <c r="O122" s="59">
        <v>443701</v>
      </c>
      <c r="P122" s="59">
        <v>443701</v>
      </c>
      <c r="Q122" s="59"/>
      <c r="R122" s="60">
        <v>143772</v>
      </c>
      <c r="S122" s="60">
        <v>75710</v>
      </c>
      <c r="T122" s="60"/>
      <c r="U122" s="60">
        <v>140240</v>
      </c>
      <c r="V122" s="1273">
        <v>140240</v>
      </c>
      <c r="W122" s="286">
        <v>727713</v>
      </c>
      <c r="X122" s="230"/>
      <c r="Y122" s="230"/>
      <c r="Z122" s="230"/>
      <c r="AA122" s="230"/>
      <c r="AB122" s="827"/>
      <c r="AC122" s="235" t="s">
        <v>11</v>
      </c>
      <c r="AD122" s="120">
        <f t="shared" si="52"/>
        <v>727713</v>
      </c>
      <c r="AF122" s="740"/>
      <c r="AH122" s="825"/>
      <c r="AI122" s="825"/>
      <c r="AJ122" s="825"/>
    </row>
    <row r="123" spans="1:36" ht="19.149999999999999" customHeight="1" x14ac:dyDescent="0.2">
      <c r="A123" s="828" t="s">
        <v>457</v>
      </c>
      <c r="B123" s="829"/>
      <c r="C123" s="829"/>
      <c r="D123" s="830"/>
      <c r="E123" s="831">
        <f t="shared" ref="E123:AA123" si="61">+E88</f>
        <v>11637320</v>
      </c>
      <c r="F123" s="831">
        <f>+F88</f>
        <v>28276324</v>
      </c>
      <c r="G123" s="831">
        <f>+G88</f>
        <v>25231882</v>
      </c>
      <c r="H123" s="831">
        <f t="shared" si="61"/>
        <v>1260882</v>
      </c>
      <c r="I123" s="831">
        <f t="shared" si="61"/>
        <v>2486588</v>
      </c>
      <c r="J123" s="831">
        <f t="shared" si="61"/>
        <v>384797</v>
      </c>
      <c r="K123" s="831">
        <f t="shared" si="61"/>
        <v>0</v>
      </c>
      <c r="L123" s="831">
        <f t="shared" si="61"/>
        <v>0</v>
      </c>
      <c r="M123" s="831">
        <f t="shared" si="61"/>
        <v>0</v>
      </c>
      <c r="N123" s="831">
        <f t="shared" si="61"/>
        <v>5202362</v>
      </c>
      <c r="O123" s="831">
        <f t="shared" si="61"/>
        <v>5136079</v>
      </c>
      <c r="P123" s="831">
        <f t="shared" si="61"/>
        <v>5124154</v>
      </c>
      <c r="Q123" s="831">
        <f t="shared" si="61"/>
        <v>2700000</v>
      </c>
      <c r="R123" s="831">
        <f t="shared" si="61"/>
        <v>15239316</v>
      </c>
      <c r="S123" s="831">
        <f t="shared" si="61"/>
        <v>14419978</v>
      </c>
      <c r="T123" s="831">
        <f t="shared" si="61"/>
        <v>2474076</v>
      </c>
      <c r="U123" s="831">
        <f t="shared" si="61"/>
        <v>5414341</v>
      </c>
      <c r="V123" s="831">
        <f t="shared" si="61"/>
        <v>5302953</v>
      </c>
      <c r="W123" s="832">
        <f t="shared" si="46"/>
        <v>11637320</v>
      </c>
      <c r="X123" s="833">
        <f t="shared" si="61"/>
        <v>0</v>
      </c>
      <c r="Y123" s="833">
        <f t="shared" si="61"/>
        <v>0</v>
      </c>
      <c r="Z123" s="833">
        <f t="shared" si="61"/>
        <v>0</v>
      </c>
      <c r="AA123" s="833">
        <f t="shared" si="61"/>
        <v>0</v>
      </c>
      <c r="AB123" s="827">
        <f t="shared" si="36"/>
        <v>0</v>
      </c>
      <c r="AC123" s="235"/>
      <c r="AD123" s="120">
        <f t="shared" si="52"/>
        <v>11637320</v>
      </c>
      <c r="AE123" s="120">
        <f t="shared" si="53"/>
        <v>0</v>
      </c>
      <c r="AF123" s="740">
        <f>+H124+K124+N124+Q124+T124</f>
        <v>216291470</v>
      </c>
      <c r="AG123" s="118"/>
      <c r="AH123" s="825"/>
      <c r="AI123" s="825"/>
      <c r="AJ123" s="825"/>
    </row>
    <row r="124" spans="1:36" ht="21.6" customHeight="1" x14ac:dyDescent="0.25">
      <c r="A124" s="1263" t="s">
        <v>152</v>
      </c>
      <c r="B124" s="1274"/>
      <c r="C124" s="1274"/>
      <c r="D124" s="1275"/>
      <c r="E124" s="1276">
        <f>+E123+E87</f>
        <v>216291470</v>
      </c>
      <c r="F124" s="1276">
        <f>+F123+F87</f>
        <v>884853785</v>
      </c>
      <c r="G124" s="1276">
        <f>+G123+G87</f>
        <v>392824679</v>
      </c>
      <c r="H124" s="1276">
        <f t="shared" ref="H124:AB124" si="62">+H123+H87</f>
        <v>6090882</v>
      </c>
      <c r="I124" s="1276">
        <f t="shared" si="62"/>
        <v>8216588</v>
      </c>
      <c r="J124" s="1276">
        <f t="shared" si="62"/>
        <v>5914797</v>
      </c>
      <c r="K124" s="1276">
        <f t="shared" si="62"/>
        <v>154740549</v>
      </c>
      <c r="L124" s="1276">
        <f t="shared" si="62"/>
        <v>659196486</v>
      </c>
      <c r="M124" s="1276">
        <f t="shared" si="62"/>
        <v>279202974</v>
      </c>
      <c r="N124" s="1276">
        <f t="shared" si="62"/>
        <v>5202362</v>
      </c>
      <c r="O124" s="1276">
        <f t="shared" si="62"/>
        <v>6880291</v>
      </c>
      <c r="P124" s="1276">
        <f t="shared" si="62"/>
        <v>5167579</v>
      </c>
      <c r="Q124" s="1276">
        <f t="shared" si="62"/>
        <v>4274803</v>
      </c>
      <c r="R124" s="1276">
        <f t="shared" si="62"/>
        <v>75374974</v>
      </c>
      <c r="S124" s="1276">
        <f t="shared" si="62"/>
        <v>25335446</v>
      </c>
      <c r="T124" s="1276">
        <f t="shared" si="62"/>
        <v>45982874</v>
      </c>
      <c r="U124" s="1276">
        <f t="shared" si="62"/>
        <v>135185446</v>
      </c>
      <c r="V124" s="1276">
        <f t="shared" si="62"/>
        <v>77203883</v>
      </c>
      <c r="W124" s="1277">
        <f t="shared" si="62"/>
        <v>551581801</v>
      </c>
      <c r="X124" s="1278">
        <f t="shared" si="62"/>
        <v>304029281</v>
      </c>
      <c r="Y124" s="1278">
        <f t="shared" si="62"/>
        <v>0</v>
      </c>
      <c r="Z124" s="1278">
        <f t="shared" si="62"/>
        <v>0</v>
      </c>
      <c r="AA124" s="1279">
        <f t="shared" si="62"/>
        <v>146500000</v>
      </c>
      <c r="AB124" s="1279">
        <f t="shared" si="62"/>
        <v>0</v>
      </c>
      <c r="AC124" s="271"/>
      <c r="AD124" s="120">
        <f t="shared" si="52"/>
        <v>1002111082</v>
      </c>
      <c r="AE124" s="120">
        <f t="shared" si="53"/>
        <v>-785819612</v>
      </c>
      <c r="AF124" s="740">
        <f>+H125+K125+N125+Q125+T125</f>
        <v>0</v>
      </c>
      <c r="AG124" s="1280"/>
      <c r="AH124" s="825"/>
      <c r="AI124" s="825"/>
      <c r="AJ124" s="825"/>
    </row>
    <row r="125" spans="1:36" x14ac:dyDescent="0.2">
      <c r="G125" s="120">
        <v>392824679</v>
      </c>
    </row>
    <row r="126" spans="1:36" x14ac:dyDescent="0.2">
      <c r="G126" s="740">
        <f>+G125-G124</f>
        <v>0</v>
      </c>
      <c r="AA126" s="740">
        <f>+W124+X124+Y124+Z124</f>
        <v>855611082</v>
      </c>
      <c r="AB126" s="740"/>
    </row>
    <row r="127" spans="1:36" x14ac:dyDescent="0.2">
      <c r="E127" s="740">
        <f>+K124+Q124+T124</f>
        <v>204998226</v>
      </c>
      <c r="F127" s="740"/>
      <c r="G127" s="740"/>
    </row>
    <row r="128" spans="1:36" x14ac:dyDescent="0.2">
      <c r="Y128" s="740">
        <f>SUM(W124:Z124)</f>
        <v>855611082</v>
      </c>
    </row>
    <row r="130" spans="5:9" x14ac:dyDescent="0.2">
      <c r="E130" s="740">
        <f>+H124+K124+N124+Q124+T124</f>
        <v>216291470</v>
      </c>
      <c r="F130" s="740">
        <f t="shared" ref="F130:G130" si="63">+I124+L124+O124+R124+U124</f>
        <v>884853785</v>
      </c>
      <c r="G130" s="740">
        <f t="shared" si="63"/>
        <v>392824679</v>
      </c>
    </row>
    <row r="132" spans="5:9" x14ac:dyDescent="0.2">
      <c r="G132" s="740">
        <f>+G124-G130</f>
        <v>0</v>
      </c>
    </row>
    <row r="135" spans="5:9" x14ac:dyDescent="0.2">
      <c r="G135" s="120">
        <f>+'1.3 sz.Önkormányzat 2017.B'!BW16</f>
        <v>367592797</v>
      </c>
    </row>
    <row r="136" spans="5:9" x14ac:dyDescent="0.2">
      <c r="G136" s="740">
        <f>+G87</f>
        <v>367592797</v>
      </c>
    </row>
    <row r="137" spans="5:9" x14ac:dyDescent="0.2">
      <c r="G137" s="740">
        <f>+G135-G136</f>
        <v>0</v>
      </c>
      <c r="I137" s="120">
        <f>+'3. sz.Városi szintű összesen'!O16</f>
        <v>392824679</v>
      </c>
    </row>
  </sheetData>
  <mergeCells count="33">
    <mergeCell ref="B97:B98"/>
    <mergeCell ref="B99:B100"/>
    <mergeCell ref="B94:B96"/>
    <mergeCell ref="A1:U1"/>
    <mergeCell ref="W1:AC1"/>
    <mergeCell ref="A3:D3"/>
    <mergeCell ref="W3:Z4"/>
    <mergeCell ref="AC3:AC6"/>
    <mergeCell ref="A4:A5"/>
    <mergeCell ref="B4:B5"/>
    <mergeCell ref="C4:C5"/>
    <mergeCell ref="D4:D5"/>
    <mergeCell ref="E4:G5"/>
    <mergeCell ref="H4:J5"/>
    <mergeCell ref="K4:M5"/>
    <mergeCell ref="A11:A24"/>
    <mergeCell ref="B11:B24"/>
    <mergeCell ref="H6:J6"/>
    <mergeCell ref="K6:M6"/>
    <mergeCell ref="N6:P6"/>
    <mergeCell ref="T4:V5"/>
    <mergeCell ref="N4:P5"/>
    <mergeCell ref="AA5:AA6"/>
    <mergeCell ref="AB5:AB6"/>
    <mergeCell ref="A6:E6"/>
    <mergeCell ref="Q6:S6"/>
    <mergeCell ref="T6:V6"/>
    <mergeCell ref="Z5:Z6"/>
    <mergeCell ref="W5:W6"/>
    <mergeCell ref="X5:X6"/>
    <mergeCell ref="Y5:Y6"/>
    <mergeCell ref="Q4:S5"/>
    <mergeCell ref="AA4:AB4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50" orientation="landscape" r:id="rId1"/>
  <headerFooter>
    <oddHeader>&amp;CDunaharaszti Város Önkormányzat 2017. évi zárszámadás&amp;R&amp;A</oddHeader>
    <oddFooter>&amp;C&amp;P/&amp;N</oddFooter>
  </headerFooter>
  <rowBreaks count="3" manualBreakCount="3">
    <brk id="37" max="28" man="1"/>
    <brk id="61" max="28" man="1"/>
    <brk id="87" max="22" man="1"/>
  </rowBreaks>
  <colBreaks count="1" manualBreakCount="1">
    <brk id="16" max="90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00"/>
  <sheetViews>
    <sheetView view="pageBreakPreview" zoomScale="50" zoomScaleNormal="90" zoomScaleSheetLayoutView="50" workbookViewId="0">
      <selection activeCell="Z20" sqref="Z20:Z27"/>
    </sheetView>
  </sheetViews>
  <sheetFormatPr defaultRowHeight="12.75" x14ac:dyDescent="0.2"/>
  <cols>
    <col min="1" max="1" width="5.7109375" style="209" customWidth="1"/>
    <col min="2" max="2" width="12" style="209" customWidth="1"/>
    <col min="3" max="3" width="60.7109375" style="209" customWidth="1"/>
    <col min="4" max="4" width="7.140625" style="209" customWidth="1"/>
    <col min="5" max="5" width="15.85546875" style="209" customWidth="1"/>
    <col min="6" max="6" width="17" style="209" customWidth="1"/>
    <col min="7" max="7" width="16.85546875" style="209" customWidth="1"/>
    <col min="8" max="8" width="15.85546875" style="209" customWidth="1"/>
    <col min="9" max="9" width="16.7109375" style="209" bestFit="1" customWidth="1"/>
    <col min="10" max="10" width="16.85546875" style="209" bestFit="1" customWidth="1"/>
    <col min="11" max="13" width="14.85546875" style="209" customWidth="1"/>
    <col min="14" max="14" width="14.5703125" style="209" customWidth="1"/>
    <col min="15" max="15" width="16.42578125" style="209" customWidth="1"/>
    <col min="16" max="16" width="14.5703125" style="209" customWidth="1"/>
    <col min="17" max="19" width="15.42578125" style="209" customWidth="1"/>
    <col min="20" max="20" width="16.28515625" style="211" customWidth="1"/>
    <col min="21" max="21" width="12.5703125" style="209" bestFit="1" customWidth="1"/>
    <col min="22" max="22" width="11.28515625" style="209" bestFit="1" customWidth="1"/>
    <col min="23" max="23" width="12.140625" style="209" bestFit="1" customWidth="1"/>
    <col min="24" max="24" width="16.42578125" style="209" customWidth="1"/>
    <col min="25" max="25" width="17.140625" style="209" customWidth="1"/>
    <col min="26" max="26" width="12.7109375" style="209" bestFit="1" customWidth="1"/>
    <col min="27" max="27" width="11.140625" style="120" customWidth="1"/>
    <col min="28" max="29" width="9.140625" style="209"/>
    <col min="30" max="31" width="13.7109375" style="209" bestFit="1" customWidth="1"/>
    <col min="32" max="16384" width="9.140625" style="209"/>
  </cols>
  <sheetData>
    <row r="1" spans="1:28" ht="27.75" customHeight="1" x14ac:dyDescent="0.2">
      <c r="A1" s="1088" t="s">
        <v>458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  <c r="M1" s="1088"/>
      <c r="N1" s="1088"/>
      <c r="O1" s="1088"/>
      <c r="P1" s="1088"/>
      <c r="Q1" s="1088"/>
      <c r="R1" s="1088"/>
      <c r="S1" s="208"/>
      <c r="T1" s="1088" t="s">
        <v>458</v>
      </c>
      <c r="U1" s="1088"/>
      <c r="V1" s="1088"/>
      <c r="W1" s="1088"/>
      <c r="X1" s="1088"/>
      <c r="Y1" s="1088"/>
      <c r="Z1" s="1088"/>
      <c r="AA1" s="209"/>
    </row>
    <row r="2" spans="1:28" ht="26.25" customHeight="1" x14ac:dyDescent="0.2">
      <c r="R2" s="210" t="s">
        <v>0</v>
      </c>
      <c r="S2" s="210"/>
      <c r="Z2" s="210" t="s">
        <v>0</v>
      </c>
      <c r="AA2" s="209"/>
    </row>
    <row r="3" spans="1:28" ht="37.5" customHeight="1" x14ac:dyDescent="0.2">
      <c r="A3" s="1089"/>
      <c r="B3" s="1089"/>
      <c r="C3" s="1089"/>
      <c r="D3" s="1089"/>
      <c r="E3" s="212" t="s">
        <v>154</v>
      </c>
      <c r="F3" s="212" t="s">
        <v>7</v>
      </c>
      <c r="G3" s="212" t="s">
        <v>788</v>
      </c>
      <c r="H3" s="212" t="s">
        <v>154</v>
      </c>
      <c r="I3" s="212" t="s">
        <v>7</v>
      </c>
      <c r="J3" s="212" t="s">
        <v>788</v>
      </c>
      <c r="K3" s="212" t="s">
        <v>154</v>
      </c>
      <c r="L3" s="212" t="s">
        <v>7</v>
      </c>
      <c r="M3" s="212" t="s">
        <v>788</v>
      </c>
      <c r="N3" s="212" t="s">
        <v>154</v>
      </c>
      <c r="O3" s="212" t="s">
        <v>7</v>
      </c>
      <c r="P3" s="212" t="s">
        <v>788</v>
      </c>
      <c r="Q3" s="212" t="s">
        <v>154</v>
      </c>
      <c r="R3" s="212" t="s">
        <v>7</v>
      </c>
      <c r="S3" s="212" t="s">
        <v>788</v>
      </c>
      <c r="T3" s="1090" t="s">
        <v>308</v>
      </c>
      <c r="U3" s="1091"/>
      <c r="V3" s="1091"/>
      <c r="W3" s="1110"/>
      <c r="X3" s="213" t="s">
        <v>154</v>
      </c>
      <c r="Y3" s="213" t="s">
        <v>7</v>
      </c>
      <c r="Z3" s="1112" t="s">
        <v>5</v>
      </c>
      <c r="AA3" s="209"/>
    </row>
    <row r="4" spans="1:28" ht="40.5" customHeight="1" x14ac:dyDescent="0.2">
      <c r="A4" s="1115" t="s">
        <v>309</v>
      </c>
      <c r="B4" s="1115" t="s">
        <v>155</v>
      </c>
      <c r="C4" s="1115" t="s">
        <v>123</v>
      </c>
      <c r="D4" s="1115" t="s">
        <v>310</v>
      </c>
      <c r="E4" s="1077" t="s">
        <v>311</v>
      </c>
      <c r="F4" s="1078"/>
      <c r="G4" s="1079"/>
      <c r="H4" s="1077" t="s">
        <v>459</v>
      </c>
      <c r="I4" s="1078" t="s">
        <v>459</v>
      </c>
      <c r="J4" s="1079"/>
      <c r="K4" s="1077" t="s">
        <v>460</v>
      </c>
      <c r="L4" s="1078" t="s">
        <v>460</v>
      </c>
      <c r="M4" s="1079"/>
      <c r="N4" s="1077" t="s">
        <v>315</v>
      </c>
      <c r="O4" s="1078" t="s">
        <v>315</v>
      </c>
      <c r="P4" s="1079"/>
      <c r="Q4" s="1077" t="s">
        <v>316</v>
      </c>
      <c r="R4" s="1078" t="s">
        <v>316</v>
      </c>
      <c r="S4" s="1079"/>
      <c r="T4" s="1092"/>
      <c r="U4" s="1093"/>
      <c r="V4" s="1093"/>
      <c r="W4" s="1111"/>
      <c r="X4" s="1083" t="s">
        <v>317</v>
      </c>
      <c r="Y4" s="1084"/>
      <c r="Z4" s="1113"/>
      <c r="AA4" s="209"/>
    </row>
    <row r="5" spans="1:28" ht="68.25" customHeight="1" x14ac:dyDescent="0.2">
      <c r="A5" s="1116"/>
      <c r="B5" s="1116"/>
      <c r="C5" s="1116"/>
      <c r="D5" s="1116"/>
      <c r="E5" s="1080"/>
      <c r="F5" s="1081"/>
      <c r="G5" s="1082"/>
      <c r="H5" s="1080"/>
      <c r="I5" s="1081"/>
      <c r="J5" s="1082"/>
      <c r="K5" s="1080"/>
      <c r="L5" s="1081"/>
      <c r="M5" s="1082"/>
      <c r="N5" s="1080"/>
      <c r="O5" s="1081"/>
      <c r="P5" s="1082"/>
      <c r="Q5" s="1080"/>
      <c r="R5" s="1081"/>
      <c r="S5" s="1082"/>
      <c r="T5" s="1075" t="s">
        <v>318</v>
      </c>
      <c r="U5" s="1073" t="s">
        <v>319</v>
      </c>
      <c r="V5" s="1069" t="s">
        <v>320</v>
      </c>
      <c r="W5" s="1073" t="s">
        <v>321</v>
      </c>
      <c r="X5" s="1069" t="s">
        <v>114</v>
      </c>
      <c r="Y5" s="1069" t="s">
        <v>114</v>
      </c>
      <c r="Z5" s="1113"/>
      <c r="AA5" s="209"/>
    </row>
    <row r="6" spans="1:28" ht="19.5" customHeight="1" x14ac:dyDescent="0.2">
      <c r="A6" s="1101" t="s">
        <v>10</v>
      </c>
      <c r="B6" s="1102"/>
      <c r="C6" s="1102"/>
      <c r="D6" s="1102"/>
      <c r="E6" s="1103"/>
      <c r="F6" s="214"/>
      <c r="G6" s="214"/>
      <c r="H6" s="1071" t="s">
        <v>461</v>
      </c>
      <c r="I6" s="1071"/>
      <c r="J6" s="1072"/>
      <c r="K6" s="1071" t="s">
        <v>462</v>
      </c>
      <c r="L6" s="1071" t="s">
        <v>462</v>
      </c>
      <c r="M6" s="1072"/>
      <c r="N6" s="1071" t="s">
        <v>463</v>
      </c>
      <c r="O6" s="1071" t="s">
        <v>463</v>
      </c>
      <c r="P6" s="1072"/>
      <c r="Q6" s="1071" t="s">
        <v>464</v>
      </c>
      <c r="R6" s="1071" t="s">
        <v>464</v>
      </c>
      <c r="S6" s="1072"/>
      <c r="T6" s="1076"/>
      <c r="U6" s="1074"/>
      <c r="V6" s="1070"/>
      <c r="W6" s="1074"/>
      <c r="X6" s="1070"/>
      <c r="Y6" s="1070"/>
      <c r="Z6" s="1114"/>
      <c r="AA6" s="209"/>
    </row>
    <row r="7" spans="1:28" ht="15.75" customHeight="1" x14ac:dyDescent="0.2">
      <c r="A7" s="273" t="s">
        <v>465</v>
      </c>
      <c r="B7" s="274"/>
      <c r="C7" s="274"/>
      <c r="D7" s="274"/>
      <c r="E7" s="275">
        <f t="shared" ref="E7:X7" si="0">SUM(E8:E8)</f>
        <v>0</v>
      </c>
      <c r="F7" s="275"/>
      <c r="G7" s="275"/>
      <c r="H7" s="275">
        <f t="shared" si="0"/>
        <v>0</v>
      </c>
      <c r="I7" s="275"/>
      <c r="J7" s="275"/>
      <c r="K7" s="275">
        <f t="shared" si="0"/>
        <v>0</v>
      </c>
      <c r="L7" s="275"/>
      <c r="M7" s="275"/>
      <c r="N7" s="275">
        <f t="shared" si="0"/>
        <v>0</v>
      </c>
      <c r="O7" s="275"/>
      <c r="P7" s="275"/>
      <c r="Q7" s="275">
        <f t="shared" si="0"/>
        <v>0</v>
      </c>
      <c r="R7" s="276"/>
      <c r="S7" s="569"/>
      <c r="T7" s="277">
        <f t="shared" si="0"/>
        <v>0</v>
      </c>
      <c r="U7" s="275">
        <f t="shared" si="0"/>
        <v>0</v>
      </c>
      <c r="V7" s="275">
        <f t="shared" si="0"/>
        <v>0</v>
      </c>
      <c r="W7" s="275">
        <f t="shared" si="0"/>
        <v>0</v>
      </c>
      <c r="X7" s="275">
        <f t="shared" si="0"/>
        <v>0</v>
      </c>
      <c r="Y7" s="278"/>
      <c r="Z7" s="279"/>
      <c r="AA7" s="209">
        <f>+T7+U7+W7+X7</f>
        <v>0</v>
      </c>
      <c r="AB7" s="209">
        <f>+E7-AA7</f>
        <v>0</v>
      </c>
    </row>
    <row r="8" spans="1:28" ht="28.5" customHeight="1" x14ac:dyDescent="0.2">
      <c r="A8" s="280"/>
      <c r="B8" s="281"/>
      <c r="C8" s="241"/>
      <c r="D8" s="281"/>
      <c r="E8" s="218">
        <f>SUM(H8:Q8)</f>
        <v>0</v>
      </c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219"/>
      <c r="Q8" s="219"/>
      <c r="R8" s="282"/>
      <c r="S8" s="220"/>
      <c r="T8" s="238">
        <f>E8</f>
        <v>0</v>
      </c>
      <c r="U8" s="283"/>
      <c r="V8" s="283"/>
      <c r="W8" s="283"/>
      <c r="X8" s="283"/>
      <c r="Y8" s="284"/>
      <c r="Z8" s="285"/>
      <c r="AA8" s="209">
        <f>+T8+U8+W8+X8</f>
        <v>0</v>
      </c>
      <c r="AB8" s="209">
        <f>+E8-AA8</f>
        <v>0</v>
      </c>
    </row>
    <row r="9" spans="1:28" s="222" customFormat="1" ht="15.75" customHeight="1" x14ac:dyDescent="0.2">
      <c r="A9" s="216" t="s">
        <v>466</v>
      </c>
      <c r="B9" s="217"/>
      <c r="C9" s="217"/>
      <c r="D9" s="217"/>
      <c r="E9" s="223">
        <v>86919478</v>
      </c>
      <c r="F9" s="223">
        <f>SUM(F10:F28)</f>
        <v>411522809</v>
      </c>
      <c r="G9" s="223">
        <f>SUM(G10:G28)</f>
        <v>262655211</v>
      </c>
      <c r="H9" s="223">
        <f t="shared" ref="H9:S9" si="1">SUM(H10:H28)</f>
        <v>68440534</v>
      </c>
      <c r="I9" s="223">
        <f t="shared" si="1"/>
        <v>208587219</v>
      </c>
      <c r="J9" s="223">
        <f t="shared" si="1"/>
        <v>207497568</v>
      </c>
      <c r="K9" s="223">
        <f t="shared" si="1"/>
        <v>0</v>
      </c>
      <c r="L9" s="223">
        <f t="shared" si="1"/>
        <v>0</v>
      </c>
      <c r="M9" s="223">
        <f t="shared" si="1"/>
        <v>0</v>
      </c>
      <c r="N9" s="223">
        <f t="shared" si="1"/>
        <v>0</v>
      </c>
      <c r="O9" s="223">
        <f t="shared" si="1"/>
        <v>115506882</v>
      </c>
      <c r="P9" s="223">
        <f t="shared" si="1"/>
        <v>0</v>
      </c>
      <c r="Q9" s="223">
        <f t="shared" si="1"/>
        <v>18478944</v>
      </c>
      <c r="R9" s="223">
        <f t="shared" si="1"/>
        <v>87428708</v>
      </c>
      <c r="S9" s="223">
        <f t="shared" si="1"/>
        <v>55157643</v>
      </c>
      <c r="T9" s="735">
        <f t="shared" ref="T9:Y9" si="2">SUM(T10:T28)</f>
        <v>305879743</v>
      </c>
      <c r="U9" s="223">
        <f t="shared" si="2"/>
        <v>0</v>
      </c>
      <c r="V9" s="223">
        <f t="shared" si="2"/>
        <v>0</v>
      </c>
      <c r="W9" s="223">
        <f t="shared" si="2"/>
        <v>0</v>
      </c>
      <c r="X9" s="223">
        <f t="shared" si="2"/>
        <v>61000000</v>
      </c>
      <c r="Y9" s="223">
        <f t="shared" si="2"/>
        <v>0</v>
      </c>
      <c r="Z9" s="221"/>
      <c r="AA9" s="222">
        <f>+T9+U9+W9+X9</f>
        <v>366879743</v>
      </c>
      <c r="AB9" s="222">
        <f>+E9-AA9</f>
        <v>-279960265</v>
      </c>
    </row>
    <row r="10" spans="1:28" ht="69.75" customHeight="1" x14ac:dyDescent="0.2">
      <c r="A10" s="808" t="s">
        <v>1477</v>
      </c>
      <c r="B10" s="1104" t="s">
        <v>330</v>
      </c>
      <c r="C10" s="247" t="s">
        <v>467</v>
      </c>
      <c r="D10" s="97">
        <v>7011</v>
      </c>
      <c r="E10" s="234">
        <v>23000000</v>
      </c>
      <c r="F10" s="234">
        <v>126001908</v>
      </c>
      <c r="G10" s="234">
        <f>+J10+M10+P10+S10</f>
        <v>125246130</v>
      </c>
      <c r="H10" s="234">
        <v>18110236</v>
      </c>
      <c r="I10" s="234">
        <v>99214101</v>
      </c>
      <c r="J10" s="234">
        <v>98619000</v>
      </c>
      <c r="K10" s="234"/>
      <c r="L10" s="234">
        <f>K10</f>
        <v>0</v>
      </c>
      <c r="M10" s="234"/>
      <c r="N10" s="234"/>
      <c r="O10" s="234">
        <f>N10</f>
        <v>0</v>
      </c>
      <c r="P10" s="234"/>
      <c r="Q10" s="234">
        <v>4889764</v>
      </c>
      <c r="R10" s="234">
        <v>26787807</v>
      </c>
      <c r="S10" s="570">
        <v>26627130</v>
      </c>
      <c r="T10" s="286">
        <v>23000000</v>
      </c>
      <c r="U10" s="177"/>
      <c r="V10" s="177"/>
      <c r="W10" s="177"/>
      <c r="X10" s="52"/>
      <c r="Y10" s="53">
        <f>X10</f>
        <v>0</v>
      </c>
      <c r="Z10" s="235" t="s">
        <v>11</v>
      </c>
      <c r="AA10" s="209"/>
    </row>
    <row r="11" spans="1:28" ht="36" customHeight="1" x14ac:dyDescent="0.2">
      <c r="A11" s="1107" t="s">
        <v>329</v>
      </c>
      <c r="B11" s="1105"/>
      <c r="C11" s="247" t="s">
        <v>468</v>
      </c>
      <c r="D11" s="102">
        <v>7012</v>
      </c>
      <c r="E11" s="234">
        <v>12000000</v>
      </c>
      <c r="F11" s="234">
        <v>19641158</v>
      </c>
      <c r="G11" s="226">
        <f>+J11+M11+P11+S11</f>
        <v>19641158</v>
      </c>
      <c r="H11" s="226">
        <v>9448819</v>
      </c>
      <c r="I11" s="234">
        <v>15465479</v>
      </c>
      <c r="J11" s="226">
        <v>15465479</v>
      </c>
      <c r="K11" s="226"/>
      <c r="L11" s="234">
        <f>K11</f>
        <v>0</v>
      </c>
      <c r="M11" s="226"/>
      <c r="N11" s="226"/>
      <c r="O11" s="234">
        <f>N11</f>
        <v>0</v>
      </c>
      <c r="P11" s="227"/>
      <c r="Q11" s="227">
        <v>2551181</v>
      </c>
      <c r="R11" s="234">
        <v>4175679</v>
      </c>
      <c r="S11" s="567">
        <v>4175679</v>
      </c>
      <c r="T11" s="246">
        <v>12000000</v>
      </c>
      <c r="U11" s="230"/>
      <c r="V11" s="230"/>
      <c r="W11" s="230"/>
      <c r="X11" s="59"/>
      <c r="Y11" s="53">
        <f>X11</f>
        <v>0</v>
      </c>
      <c r="Z11" s="240" t="s">
        <v>11</v>
      </c>
      <c r="AA11" s="209"/>
    </row>
    <row r="12" spans="1:28" ht="24.75" customHeight="1" x14ac:dyDescent="0.2">
      <c r="A12" s="1108"/>
      <c r="B12" s="1105"/>
      <c r="C12" s="46" t="s">
        <v>469</v>
      </c>
      <c r="D12" s="102"/>
      <c r="E12" s="234">
        <v>0</v>
      </c>
      <c r="F12" s="234">
        <f t="shared" ref="F12" si="3">I12+L12+O12+R12</f>
        <v>0</v>
      </c>
      <c r="G12" s="226">
        <f t="shared" ref="G12:G28" si="4">+J12+M12+P12+S12</f>
        <v>0</v>
      </c>
      <c r="H12" s="234"/>
      <c r="I12" s="234">
        <f>H12</f>
        <v>0</v>
      </c>
      <c r="J12" s="234"/>
      <c r="K12" s="234"/>
      <c r="L12" s="234">
        <f>K12</f>
        <v>0</v>
      </c>
      <c r="M12" s="234"/>
      <c r="N12" s="234"/>
      <c r="O12" s="234">
        <f>N12</f>
        <v>0</v>
      </c>
      <c r="P12" s="248"/>
      <c r="Q12" s="248"/>
      <c r="R12" s="234">
        <f>Q12</f>
        <v>0</v>
      </c>
      <c r="S12" s="570"/>
      <c r="T12" s="246">
        <v>0</v>
      </c>
      <c r="U12" s="177"/>
      <c r="V12" s="177"/>
      <c r="W12" s="177"/>
      <c r="X12" s="52">
        <v>30500000</v>
      </c>
      <c r="Y12" s="53">
        <f>X12-30500000</f>
        <v>0</v>
      </c>
      <c r="Z12" s="235" t="s">
        <v>11</v>
      </c>
      <c r="AA12" s="209"/>
    </row>
    <row r="13" spans="1:28" ht="28.5" customHeight="1" x14ac:dyDescent="0.2">
      <c r="A13" s="1108"/>
      <c r="B13" s="1105"/>
      <c r="C13" s="46" t="s">
        <v>1478</v>
      </c>
      <c r="D13" s="102">
        <v>7060</v>
      </c>
      <c r="E13" s="234"/>
      <c r="F13" s="234">
        <v>5473971</v>
      </c>
      <c r="G13" s="226">
        <f t="shared" si="4"/>
        <v>5473971</v>
      </c>
      <c r="H13" s="234"/>
      <c r="I13" s="234">
        <v>4310212</v>
      </c>
      <c r="J13" s="234">
        <v>4310213</v>
      </c>
      <c r="K13" s="234"/>
      <c r="L13" s="234"/>
      <c r="M13" s="234"/>
      <c r="N13" s="234"/>
      <c r="O13" s="234"/>
      <c r="P13" s="248"/>
      <c r="Q13" s="248"/>
      <c r="R13" s="234">
        <v>1163759</v>
      </c>
      <c r="S13" s="570">
        <v>1163758</v>
      </c>
      <c r="T13" s="704">
        <v>5473971</v>
      </c>
      <c r="U13" s="177"/>
      <c r="V13" s="177"/>
      <c r="W13" s="177"/>
      <c r="X13" s="52"/>
      <c r="Y13" s="53"/>
      <c r="Z13" s="235"/>
      <c r="AA13" s="209"/>
    </row>
    <row r="14" spans="1:28" ht="24.75" customHeight="1" x14ac:dyDescent="0.2">
      <c r="A14" s="1109"/>
      <c r="B14" s="1106"/>
      <c r="C14" s="46" t="s">
        <v>1297</v>
      </c>
      <c r="D14" s="102">
        <v>7038</v>
      </c>
      <c r="E14" s="234">
        <v>0</v>
      </c>
      <c r="F14" s="234">
        <v>10000000</v>
      </c>
      <c r="G14" s="226">
        <f t="shared" si="4"/>
        <v>10000000</v>
      </c>
      <c r="H14" s="234"/>
      <c r="I14" s="234">
        <v>7874016</v>
      </c>
      <c r="J14" s="234">
        <v>7874016</v>
      </c>
      <c r="K14" s="234"/>
      <c r="L14" s="234"/>
      <c r="M14" s="234"/>
      <c r="N14" s="234"/>
      <c r="O14" s="234"/>
      <c r="P14" s="248"/>
      <c r="Q14" s="248"/>
      <c r="R14" s="234">
        <v>2125984</v>
      </c>
      <c r="S14" s="570">
        <v>2125984</v>
      </c>
      <c r="T14" s="704">
        <v>10000000</v>
      </c>
      <c r="U14" s="177"/>
      <c r="V14" s="177"/>
      <c r="W14" s="177"/>
      <c r="X14" s="52">
        <v>30500000</v>
      </c>
      <c r="Y14" s="53"/>
      <c r="Z14" s="235"/>
      <c r="AA14" s="209"/>
    </row>
    <row r="15" spans="1:28" ht="30" customHeight="1" x14ac:dyDescent="0.2">
      <c r="A15" s="262" t="s">
        <v>149</v>
      </c>
      <c r="B15" s="263" t="s">
        <v>347</v>
      </c>
      <c r="C15" s="247" t="s">
        <v>470</v>
      </c>
      <c r="D15" s="97">
        <v>7013</v>
      </c>
      <c r="E15" s="234">
        <v>5000000</v>
      </c>
      <c r="F15" s="234">
        <v>0</v>
      </c>
      <c r="G15" s="226">
        <f t="shared" si="4"/>
        <v>0</v>
      </c>
      <c r="H15" s="234">
        <v>3937008</v>
      </c>
      <c r="I15" s="234">
        <v>0</v>
      </c>
      <c r="J15" s="234"/>
      <c r="K15" s="234"/>
      <c r="L15" s="234">
        <f>K15</f>
        <v>0</v>
      </c>
      <c r="M15" s="234"/>
      <c r="N15" s="234"/>
      <c r="O15" s="234">
        <f>N15</f>
        <v>0</v>
      </c>
      <c r="P15" s="234"/>
      <c r="Q15" s="234">
        <v>1062992</v>
      </c>
      <c r="R15" s="234">
        <v>0</v>
      </c>
      <c r="S15" s="234"/>
      <c r="T15" s="52">
        <v>5000000</v>
      </c>
      <c r="U15" s="177"/>
      <c r="V15" s="177"/>
      <c r="W15" s="177"/>
      <c r="X15" s="52"/>
      <c r="Y15" s="52">
        <f>X15</f>
        <v>0</v>
      </c>
      <c r="Z15" s="235" t="s">
        <v>11</v>
      </c>
      <c r="AA15" s="209"/>
    </row>
    <row r="16" spans="1:28" ht="40.5" customHeight="1" x14ac:dyDescent="0.2">
      <c r="A16" s="262" t="s">
        <v>149</v>
      </c>
      <c r="B16" s="263" t="s">
        <v>347</v>
      </c>
      <c r="C16" s="247" t="s">
        <v>471</v>
      </c>
      <c r="D16" s="97">
        <v>7016</v>
      </c>
      <c r="E16" s="234"/>
      <c r="F16" s="234">
        <v>3492500</v>
      </c>
      <c r="G16" s="226">
        <f t="shared" si="4"/>
        <v>3492500</v>
      </c>
      <c r="H16" s="234"/>
      <c r="I16" s="234">
        <v>2750000</v>
      </c>
      <c r="J16" s="234">
        <v>2750000</v>
      </c>
      <c r="K16" s="234"/>
      <c r="L16" s="234"/>
      <c r="M16" s="234"/>
      <c r="N16" s="234"/>
      <c r="O16" s="234"/>
      <c r="P16" s="234"/>
      <c r="Q16" s="234"/>
      <c r="R16" s="234">
        <v>742500</v>
      </c>
      <c r="S16" s="234">
        <v>742500</v>
      </c>
      <c r="T16" s="52">
        <v>3492500</v>
      </c>
      <c r="U16" s="177"/>
      <c r="V16" s="177"/>
      <c r="W16" s="177"/>
      <c r="X16" s="52"/>
      <c r="Y16" s="52"/>
      <c r="Z16" s="235" t="s">
        <v>11</v>
      </c>
      <c r="AA16" s="209"/>
    </row>
    <row r="17" spans="1:28" ht="40.5" customHeight="1" x14ac:dyDescent="0.2">
      <c r="A17" s="287" t="s">
        <v>391</v>
      </c>
      <c r="B17" s="288" t="s">
        <v>392</v>
      </c>
      <c r="C17" s="46" t="s">
        <v>472</v>
      </c>
      <c r="D17" s="112">
        <v>7022</v>
      </c>
      <c r="E17" s="255"/>
      <c r="F17" s="255">
        <v>30500000</v>
      </c>
      <c r="G17" s="226">
        <f t="shared" si="4"/>
        <v>30497967</v>
      </c>
      <c r="H17" s="255"/>
      <c r="I17" s="255">
        <v>24015748</v>
      </c>
      <c r="J17" s="255">
        <v>24014147</v>
      </c>
      <c r="K17" s="255"/>
      <c r="L17" s="255"/>
      <c r="M17" s="255"/>
      <c r="N17" s="255"/>
      <c r="O17" s="255"/>
      <c r="P17" s="289"/>
      <c r="Q17" s="289"/>
      <c r="R17" s="234">
        <v>6484252</v>
      </c>
      <c r="S17" s="289">
        <v>6483820</v>
      </c>
      <c r="T17" s="52">
        <v>30500000</v>
      </c>
      <c r="U17" s="200"/>
      <c r="V17" s="200"/>
      <c r="W17" s="200"/>
      <c r="X17" s="199"/>
      <c r="Y17" s="201"/>
      <c r="Z17" s="235" t="s">
        <v>11</v>
      </c>
      <c r="AA17" s="209"/>
    </row>
    <row r="18" spans="1:28" ht="40.5" customHeight="1" x14ac:dyDescent="0.2">
      <c r="A18" s="703" t="s">
        <v>357</v>
      </c>
      <c r="B18" s="263" t="s">
        <v>347</v>
      </c>
      <c r="C18" s="247" t="s">
        <v>473</v>
      </c>
      <c r="D18" s="97">
        <v>6048</v>
      </c>
      <c r="E18" s="234">
        <v>46919478</v>
      </c>
      <c r="F18" s="234">
        <v>46919478</v>
      </c>
      <c r="G18" s="226">
        <f t="shared" si="4"/>
        <v>46919478</v>
      </c>
      <c r="H18" s="234">
        <v>36944471</v>
      </c>
      <c r="I18" s="234">
        <v>36944471</v>
      </c>
      <c r="J18" s="234">
        <v>36944471</v>
      </c>
      <c r="K18" s="234"/>
      <c r="L18" s="234">
        <f>K18</f>
        <v>0</v>
      </c>
      <c r="M18" s="234"/>
      <c r="N18" s="234"/>
      <c r="O18" s="234">
        <f>N18</f>
        <v>0</v>
      </c>
      <c r="P18" s="234"/>
      <c r="Q18" s="234">
        <v>9975007</v>
      </c>
      <c r="R18" s="234">
        <v>9975007</v>
      </c>
      <c r="S18" s="234">
        <v>9975007</v>
      </c>
      <c r="T18" s="52">
        <v>46919478</v>
      </c>
      <c r="U18" s="177"/>
      <c r="V18" s="177"/>
      <c r="W18" s="177"/>
      <c r="X18" s="52"/>
      <c r="Y18" s="52">
        <f>X18</f>
        <v>0</v>
      </c>
      <c r="Z18" s="235" t="s">
        <v>11</v>
      </c>
      <c r="AA18" s="209"/>
    </row>
    <row r="19" spans="1:28" ht="40.5" customHeight="1" x14ac:dyDescent="0.2">
      <c r="A19" s="262" t="s">
        <v>1291</v>
      </c>
      <c r="B19" s="263" t="s">
        <v>384</v>
      </c>
      <c r="C19" s="247" t="s">
        <v>1292</v>
      </c>
      <c r="D19" s="49">
        <v>7035</v>
      </c>
      <c r="E19" s="234"/>
      <c r="F19" s="234">
        <v>2541088</v>
      </c>
      <c r="G19" s="226">
        <f t="shared" si="4"/>
        <v>2541088</v>
      </c>
      <c r="H19" s="234"/>
      <c r="I19" s="234">
        <v>2000857</v>
      </c>
      <c r="J19" s="234">
        <v>2000857</v>
      </c>
      <c r="K19" s="234"/>
      <c r="L19" s="234"/>
      <c r="M19" s="234"/>
      <c r="N19" s="234"/>
      <c r="O19" s="234"/>
      <c r="P19" s="234"/>
      <c r="Q19" s="234"/>
      <c r="R19" s="234">
        <v>540231</v>
      </c>
      <c r="S19" s="234">
        <v>540231</v>
      </c>
      <c r="T19" s="52">
        <v>2541088</v>
      </c>
      <c r="U19" s="177"/>
      <c r="V19" s="177"/>
      <c r="W19" s="177"/>
      <c r="X19" s="52"/>
      <c r="Y19" s="52"/>
      <c r="Z19" s="235" t="s">
        <v>11</v>
      </c>
      <c r="AA19" s="209"/>
    </row>
    <row r="20" spans="1:28" ht="40.5" customHeight="1" x14ac:dyDescent="0.2">
      <c r="A20" s="703" t="s">
        <v>1293</v>
      </c>
      <c r="B20" s="263" t="s">
        <v>1294</v>
      </c>
      <c r="C20" s="247" t="s">
        <v>1295</v>
      </c>
      <c r="D20" s="49">
        <v>7047</v>
      </c>
      <c r="E20" s="234"/>
      <c r="F20" s="234">
        <v>938699</v>
      </c>
      <c r="G20" s="226">
        <f t="shared" si="4"/>
        <v>938699</v>
      </c>
      <c r="H20" s="234"/>
      <c r="I20" s="234">
        <v>739133</v>
      </c>
      <c r="J20" s="234">
        <v>739133</v>
      </c>
      <c r="K20" s="234"/>
      <c r="L20" s="234"/>
      <c r="M20" s="234"/>
      <c r="N20" s="234"/>
      <c r="O20" s="234"/>
      <c r="P20" s="234"/>
      <c r="Q20" s="234"/>
      <c r="R20" s="234">
        <v>199566</v>
      </c>
      <c r="S20" s="234">
        <v>199566</v>
      </c>
      <c r="T20" s="52">
        <v>938699</v>
      </c>
      <c r="U20" s="177"/>
      <c r="V20" s="177"/>
      <c r="W20" s="177"/>
      <c r="X20" s="52"/>
      <c r="Y20" s="52"/>
      <c r="Z20" s="235" t="s">
        <v>11</v>
      </c>
      <c r="AA20" s="209"/>
    </row>
    <row r="21" spans="1:28" ht="40.5" customHeight="1" x14ac:dyDescent="0.2">
      <c r="A21" s="703" t="s">
        <v>1293</v>
      </c>
      <c r="B21" s="263" t="s">
        <v>1294</v>
      </c>
      <c r="C21" s="247" t="s">
        <v>1448</v>
      </c>
      <c r="D21" s="49">
        <v>7049</v>
      </c>
      <c r="E21" s="234"/>
      <c r="F21" s="234">
        <v>4154070</v>
      </c>
      <c r="G21" s="226">
        <f t="shared" si="4"/>
        <v>4154070</v>
      </c>
      <c r="H21" s="234"/>
      <c r="I21" s="234">
        <v>3270921</v>
      </c>
      <c r="J21" s="234">
        <v>3270922</v>
      </c>
      <c r="K21" s="234"/>
      <c r="L21" s="234"/>
      <c r="M21" s="234"/>
      <c r="N21" s="234"/>
      <c r="O21" s="234"/>
      <c r="P21" s="234"/>
      <c r="Q21" s="234"/>
      <c r="R21" s="234">
        <v>883149</v>
      </c>
      <c r="S21" s="234">
        <v>883148</v>
      </c>
      <c r="T21" s="52">
        <v>4154070</v>
      </c>
      <c r="U21" s="177"/>
      <c r="V21" s="177"/>
      <c r="W21" s="177"/>
      <c r="X21" s="52"/>
      <c r="Y21" s="52"/>
      <c r="Z21" s="235" t="s">
        <v>11</v>
      </c>
      <c r="AA21" s="209"/>
    </row>
    <row r="22" spans="1:28" ht="40.5" customHeight="1" x14ac:dyDescent="0.2">
      <c r="A22" s="703" t="s">
        <v>1449</v>
      </c>
      <c r="B22" s="263" t="s">
        <v>1450</v>
      </c>
      <c r="C22" s="247" t="s">
        <v>1451</v>
      </c>
      <c r="D22" s="49">
        <v>7051</v>
      </c>
      <c r="E22" s="234"/>
      <c r="F22" s="234">
        <v>1117269</v>
      </c>
      <c r="G22" s="226">
        <f t="shared" si="4"/>
        <v>1117269</v>
      </c>
      <c r="H22" s="234"/>
      <c r="I22" s="234">
        <v>879739</v>
      </c>
      <c r="J22" s="234">
        <v>879739</v>
      </c>
      <c r="K22" s="234"/>
      <c r="L22" s="234"/>
      <c r="M22" s="234"/>
      <c r="N22" s="234"/>
      <c r="O22" s="234"/>
      <c r="P22" s="234"/>
      <c r="Q22" s="234"/>
      <c r="R22" s="234">
        <v>237530</v>
      </c>
      <c r="S22" s="234">
        <v>237530</v>
      </c>
      <c r="T22" s="52">
        <v>1117269</v>
      </c>
      <c r="U22" s="177"/>
      <c r="V22" s="177"/>
      <c r="W22" s="177"/>
      <c r="X22" s="52"/>
      <c r="Y22" s="52"/>
      <c r="Z22" s="235" t="s">
        <v>11</v>
      </c>
      <c r="AA22" s="209"/>
    </row>
    <row r="23" spans="1:28" ht="40.5" customHeight="1" x14ac:dyDescent="0.2">
      <c r="A23" s="703" t="s">
        <v>1293</v>
      </c>
      <c r="B23" s="263" t="s">
        <v>1294</v>
      </c>
      <c r="C23" s="247" t="s">
        <v>1452</v>
      </c>
      <c r="D23" s="49">
        <v>7045</v>
      </c>
      <c r="E23" s="234"/>
      <c r="F23" s="234">
        <v>5474880</v>
      </c>
      <c r="G23" s="226">
        <f t="shared" si="4"/>
        <v>5474880</v>
      </c>
      <c r="H23" s="234"/>
      <c r="I23" s="234">
        <v>4310929</v>
      </c>
      <c r="J23" s="234">
        <v>4310929</v>
      </c>
      <c r="K23" s="234"/>
      <c r="L23" s="234"/>
      <c r="M23" s="234"/>
      <c r="N23" s="234"/>
      <c r="O23" s="234"/>
      <c r="P23" s="234"/>
      <c r="Q23" s="234"/>
      <c r="R23" s="234">
        <v>1163951</v>
      </c>
      <c r="S23" s="234">
        <v>1163951</v>
      </c>
      <c r="T23" s="52">
        <v>5474880</v>
      </c>
      <c r="U23" s="177"/>
      <c r="V23" s="177"/>
      <c r="W23" s="177"/>
      <c r="X23" s="52"/>
      <c r="Y23" s="52"/>
      <c r="Z23" s="235" t="s">
        <v>11</v>
      </c>
      <c r="AA23" s="209"/>
    </row>
    <row r="24" spans="1:28" ht="40.5" customHeight="1" x14ac:dyDescent="0.2">
      <c r="A24" s="703" t="s">
        <v>1293</v>
      </c>
      <c r="B24" s="263" t="s">
        <v>1294</v>
      </c>
      <c r="C24" s="247" t="s">
        <v>1510</v>
      </c>
      <c r="D24" s="49">
        <v>7075</v>
      </c>
      <c r="E24" s="234"/>
      <c r="F24" s="234">
        <v>1565117</v>
      </c>
      <c r="G24" s="226">
        <f t="shared" si="4"/>
        <v>939070</v>
      </c>
      <c r="H24" s="234"/>
      <c r="I24" s="234">
        <v>1232376</v>
      </c>
      <c r="J24" s="234">
        <v>739425</v>
      </c>
      <c r="K24" s="234"/>
      <c r="L24" s="234"/>
      <c r="M24" s="234"/>
      <c r="N24" s="234"/>
      <c r="O24" s="234"/>
      <c r="P24" s="234"/>
      <c r="Q24" s="234"/>
      <c r="R24" s="234">
        <v>332741</v>
      </c>
      <c r="S24" s="234">
        <v>199645</v>
      </c>
      <c r="T24" s="52">
        <v>1565117</v>
      </c>
      <c r="U24" s="177"/>
      <c r="V24" s="177"/>
      <c r="W24" s="177"/>
      <c r="X24" s="52"/>
      <c r="Y24" s="52"/>
      <c r="Z24" s="235" t="s">
        <v>11</v>
      </c>
      <c r="AA24" s="209"/>
    </row>
    <row r="25" spans="1:28" ht="40.5" customHeight="1" x14ac:dyDescent="0.2">
      <c r="A25" s="703" t="s">
        <v>357</v>
      </c>
      <c r="B25" s="263" t="s">
        <v>347</v>
      </c>
      <c r="C25" s="247" t="s">
        <v>1511</v>
      </c>
      <c r="D25" s="49">
        <v>7077</v>
      </c>
      <c r="E25" s="234"/>
      <c r="F25" s="234">
        <v>99322740</v>
      </c>
      <c r="G25" s="226">
        <f t="shared" si="4"/>
        <v>0</v>
      </c>
      <c r="H25" s="234"/>
      <c r="I25" s="234"/>
      <c r="J25" s="234"/>
      <c r="K25" s="234"/>
      <c r="L25" s="234"/>
      <c r="M25" s="234"/>
      <c r="N25" s="234"/>
      <c r="O25" s="234">
        <v>78206882</v>
      </c>
      <c r="P25" s="234"/>
      <c r="Q25" s="234"/>
      <c r="R25" s="234">
        <v>21115858</v>
      </c>
      <c r="S25" s="234"/>
      <c r="T25" s="52">
        <v>99322740</v>
      </c>
      <c r="U25" s="177"/>
      <c r="V25" s="177"/>
      <c r="W25" s="177"/>
      <c r="X25" s="52"/>
      <c r="Y25" s="52"/>
      <c r="Z25" s="235" t="s">
        <v>11</v>
      </c>
      <c r="AA25" s="209"/>
    </row>
    <row r="26" spans="1:28" ht="40.5" customHeight="1" x14ac:dyDescent="0.2">
      <c r="A26" s="703" t="s">
        <v>359</v>
      </c>
      <c r="B26" s="263" t="s">
        <v>354</v>
      </c>
      <c r="C26" s="247" t="s">
        <v>1512</v>
      </c>
      <c r="D26" s="49">
        <v>7076</v>
      </c>
      <c r="E26" s="234"/>
      <c r="F26" s="234">
        <v>47371000</v>
      </c>
      <c r="G26" s="226">
        <f t="shared" si="4"/>
        <v>0</v>
      </c>
      <c r="H26" s="234"/>
      <c r="I26" s="234"/>
      <c r="J26" s="234"/>
      <c r="K26" s="234"/>
      <c r="L26" s="234"/>
      <c r="M26" s="234"/>
      <c r="N26" s="234"/>
      <c r="O26" s="234">
        <v>37300000</v>
      </c>
      <c r="P26" s="234"/>
      <c r="Q26" s="234"/>
      <c r="R26" s="234">
        <v>10071000</v>
      </c>
      <c r="S26" s="234"/>
      <c r="T26" s="52">
        <v>47371000</v>
      </c>
      <c r="U26" s="177"/>
      <c r="V26" s="177"/>
      <c r="W26" s="177"/>
      <c r="X26" s="52"/>
      <c r="Y26" s="52"/>
      <c r="Z26" s="235" t="s">
        <v>11</v>
      </c>
      <c r="AA26" s="209"/>
    </row>
    <row r="27" spans="1:28" ht="40.5" customHeight="1" x14ac:dyDescent="0.2">
      <c r="A27" s="703" t="s">
        <v>365</v>
      </c>
      <c r="B27" s="263" t="s">
        <v>366</v>
      </c>
      <c r="C27" s="247" t="s">
        <v>1453</v>
      </c>
      <c r="D27" s="49">
        <v>7054</v>
      </c>
      <c r="E27" s="234"/>
      <c r="F27" s="234">
        <v>4000000</v>
      </c>
      <c r="G27" s="226">
        <f t="shared" si="4"/>
        <v>3210000</v>
      </c>
      <c r="H27" s="234"/>
      <c r="I27" s="234">
        <v>3210000</v>
      </c>
      <c r="J27" s="234">
        <v>3210000</v>
      </c>
      <c r="K27" s="234"/>
      <c r="L27" s="234"/>
      <c r="M27" s="234"/>
      <c r="N27" s="234"/>
      <c r="O27" s="234"/>
      <c r="P27" s="234"/>
      <c r="Q27" s="234"/>
      <c r="R27" s="234">
        <v>790000</v>
      </c>
      <c r="S27" s="234"/>
      <c r="T27" s="52">
        <v>4000000</v>
      </c>
      <c r="U27" s="177"/>
      <c r="V27" s="177"/>
      <c r="W27" s="177"/>
      <c r="X27" s="52"/>
      <c r="Y27" s="52"/>
      <c r="Z27" s="235" t="s">
        <v>11</v>
      </c>
      <c r="AA27" s="209"/>
    </row>
    <row r="28" spans="1:28" ht="32.25" customHeight="1" x14ac:dyDescent="0.2">
      <c r="A28" s="802" t="s">
        <v>365</v>
      </c>
      <c r="B28" s="741" t="s">
        <v>366</v>
      </c>
      <c r="C28" s="251" t="s">
        <v>1296</v>
      </c>
      <c r="D28" s="152">
        <v>7036</v>
      </c>
      <c r="E28" s="242">
        <v>0</v>
      </c>
      <c r="F28" s="242">
        <v>3008931</v>
      </c>
      <c r="G28" s="242">
        <f t="shared" si="4"/>
        <v>3008931</v>
      </c>
      <c r="H28" s="242"/>
      <c r="I28" s="242">
        <v>2369237</v>
      </c>
      <c r="J28" s="242">
        <v>2369237</v>
      </c>
      <c r="K28" s="242"/>
      <c r="L28" s="242">
        <f>K28</f>
        <v>0</v>
      </c>
      <c r="M28" s="242"/>
      <c r="N28" s="242"/>
      <c r="O28" s="242">
        <f>N28</f>
        <v>0</v>
      </c>
      <c r="P28" s="242"/>
      <c r="Q28" s="242">
        <v>0</v>
      </c>
      <c r="R28" s="242">
        <v>639694</v>
      </c>
      <c r="S28" s="242">
        <v>639694</v>
      </c>
      <c r="T28" s="65">
        <v>3008931</v>
      </c>
      <c r="U28" s="254"/>
      <c r="V28" s="254"/>
      <c r="W28" s="254"/>
      <c r="X28" s="65"/>
      <c r="Y28" s="65">
        <f>X28</f>
        <v>0</v>
      </c>
      <c r="Z28" s="243" t="s">
        <v>11</v>
      </c>
      <c r="AA28" s="209"/>
    </row>
    <row r="29" spans="1:28" ht="27" customHeight="1" x14ac:dyDescent="0.2">
      <c r="A29" s="1098" t="s">
        <v>152</v>
      </c>
      <c r="B29" s="1099"/>
      <c r="C29" s="1100"/>
      <c r="D29" s="290"/>
      <c r="E29" s="270">
        <f>+E9+E7</f>
        <v>86919478</v>
      </c>
      <c r="F29" s="270">
        <f t="shared" ref="F29:Y29" si="5">+F9+F7</f>
        <v>411522809</v>
      </c>
      <c r="G29" s="270">
        <f>+G7+G9</f>
        <v>262655211</v>
      </c>
      <c r="H29" s="270">
        <f t="shared" ref="H29:S29" si="6">+H7+H9</f>
        <v>68440534</v>
      </c>
      <c r="I29" s="270">
        <f t="shared" si="6"/>
        <v>208587219</v>
      </c>
      <c r="J29" s="270">
        <f t="shared" si="6"/>
        <v>207497568</v>
      </c>
      <c r="K29" s="270">
        <f t="shared" si="6"/>
        <v>0</v>
      </c>
      <c r="L29" s="270">
        <f t="shared" si="6"/>
        <v>0</v>
      </c>
      <c r="M29" s="270">
        <f t="shared" si="6"/>
        <v>0</v>
      </c>
      <c r="N29" s="270">
        <f t="shared" si="6"/>
        <v>0</v>
      </c>
      <c r="O29" s="270">
        <f t="shared" si="6"/>
        <v>115506882</v>
      </c>
      <c r="P29" s="270">
        <f t="shared" si="6"/>
        <v>0</v>
      </c>
      <c r="Q29" s="270">
        <f t="shared" si="6"/>
        <v>18478944</v>
      </c>
      <c r="R29" s="270">
        <f t="shared" si="6"/>
        <v>87428708</v>
      </c>
      <c r="S29" s="270">
        <f t="shared" si="6"/>
        <v>55157643</v>
      </c>
      <c r="T29" s="292">
        <f t="shared" si="5"/>
        <v>305879743</v>
      </c>
      <c r="U29" s="291">
        <f t="shared" si="5"/>
        <v>0</v>
      </c>
      <c r="V29" s="291">
        <f t="shared" si="5"/>
        <v>0</v>
      </c>
      <c r="W29" s="291">
        <f t="shared" si="5"/>
        <v>0</v>
      </c>
      <c r="X29" s="291">
        <f t="shared" si="5"/>
        <v>61000000</v>
      </c>
      <c r="Y29" s="291">
        <f t="shared" si="5"/>
        <v>0</v>
      </c>
      <c r="Z29" s="293"/>
      <c r="AA29" s="209">
        <f>+T29+U29+W29+X29</f>
        <v>366879743</v>
      </c>
      <c r="AB29" s="209">
        <f>+E29-AA29</f>
        <v>-279960265</v>
      </c>
    </row>
    <row r="30" spans="1:28" ht="15.75" customHeight="1" x14ac:dyDescent="0.2"/>
    <row r="32" spans="1:28" ht="15.75" customHeight="1" x14ac:dyDescent="0.2"/>
    <row r="33" spans="3:25" x14ac:dyDescent="0.2">
      <c r="C33" s="294"/>
      <c r="D33" s="295"/>
      <c r="E33" s="296">
        <f>+H29+K29+N29+Q29</f>
        <v>86919478</v>
      </c>
      <c r="F33" s="296">
        <f t="shared" ref="F33:G33" si="7">+I29+L29+O29+R29</f>
        <v>411522809</v>
      </c>
      <c r="G33" s="296">
        <f t="shared" si="7"/>
        <v>262655211</v>
      </c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7"/>
      <c r="U33" s="298"/>
      <c r="V33" s="298"/>
      <c r="W33" s="298"/>
      <c r="X33" s="297"/>
      <c r="Y33" s="297"/>
    </row>
    <row r="34" spans="3:25" ht="15.75" customHeight="1" x14ac:dyDescent="0.2">
      <c r="C34" s="299"/>
      <c r="D34" s="299"/>
      <c r="E34" s="783">
        <f>SUM(E10:E28)</f>
        <v>86919478</v>
      </c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300"/>
      <c r="U34" s="299"/>
      <c r="V34" s="299"/>
      <c r="W34" s="299"/>
      <c r="X34" s="299"/>
      <c r="Y34" s="299"/>
    </row>
    <row r="35" spans="3:25" ht="15.75" customHeight="1" x14ac:dyDescent="0.2"/>
    <row r="36" spans="3:25" ht="15.75" customHeight="1" x14ac:dyDescent="0.2"/>
    <row r="37" spans="3:25" ht="15.75" customHeight="1" x14ac:dyDescent="0.2">
      <c r="G37" s="209">
        <f>+'1.3 sz.Önkormányzat 2017.B'!BW17</f>
        <v>262655211</v>
      </c>
    </row>
    <row r="38" spans="3:25" x14ac:dyDescent="0.2">
      <c r="G38" s="233">
        <f>+G29-G37</f>
        <v>0</v>
      </c>
    </row>
    <row r="41" spans="3:25" x14ac:dyDescent="0.2">
      <c r="H41" s="209">
        <f>+'3. sz.Városi szintű összesen'!O17</f>
        <v>262655211</v>
      </c>
    </row>
    <row r="42" spans="3:25" ht="15.75" customHeight="1" x14ac:dyDescent="0.2"/>
    <row r="43" spans="3:25" ht="24.75" customHeight="1" x14ac:dyDescent="0.2"/>
    <row r="47" spans="3:25" s="33" customFormat="1" x14ac:dyDescent="0.2">
      <c r="T47" s="301"/>
    </row>
    <row r="48" spans="3:25" s="33" customFormat="1" x14ac:dyDescent="0.2">
      <c r="T48" s="301"/>
    </row>
    <row r="50" spans="20:20" ht="15.75" customHeight="1" x14ac:dyDescent="0.2"/>
    <row r="51" spans="20:20" s="33" customFormat="1" x14ac:dyDescent="0.2">
      <c r="T51" s="301"/>
    </row>
    <row r="52" spans="20:20" s="33" customFormat="1" ht="15.75" customHeight="1" x14ac:dyDescent="0.2">
      <c r="T52" s="301"/>
    </row>
    <row r="53" spans="20:20" ht="15.75" customHeight="1" x14ac:dyDescent="0.2"/>
    <row r="54" spans="20:20" ht="15.75" customHeight="1" x14ac:dyDescent="0.2"/>
    <row r="55" spans="20:20" ht="15.75" customHeight="1" x14ac:dyDescent="0.2"/>
    <row r="56" spans="20:20" s="33" customFormat="1" ht="15.75" customHeight="1" x14ac:dyDescent="0.2">
      <c r="T56" s="301"/>
    </row>
    <row r="57" spans="20:20" s="33" customFormat="1" ht="15.75" customHeight="1" x14ac:dyDescent="0.2">
      <c r="T57" s="301"/>
    </row>
    <row r="58" spans="20:20" ht="15.75" customHeight="1" x14ac:dyDescent="0.2"/>
    <row r="59" spans="20:20" ht="15.75" customHeight="1" x14ac:dyDescent="0.2"/>
    <row r="60" spans="20:20" ht="15.75" customHeight="1" x14ac:dyDescent="0.2"/>
    <row r="61" spans="20:20" ht="15.75" customHeight="1" x14ac:dyDescent="0.2"/>
    <row r="62" spans="20:20" ht="28.15" customHeight="1" x14ac:dyDescent="0.2"/>
    <row r="63" spans="20:20" s="33" customFormat="1" ht="15.75" customHeight="1" x14ac:dyDescent="0.2">
      <c r="T63" s="301"/>
    </row>
    <row r="64" spans="20:20" ht="15.75" customHeight="1" x14ac:dyDescent="0.2"/>
    <row r="66" spans="20:20" ht="15.75" customHeight="1" x14ac:dyDescent="0.2"/>
    <row r="67" spans="20:20" ht="15.75" customHeight="1" x14ac:dyDescent="0.2"/>
    <row r="68" spans="20:20" ht="15.75" customHeight="1" x14ac:dyDescent="0.2"/>
    <row r="69" spans="20:20" s="33" customFormat="1" ht="15.75" customHeight="1" x14ac:dyDescent="0.2">
      <c r="T69" s="301"/>
    </row>
    <row r="70" spans="20:20" s="33" customFormat="1" x14ac:dyDescent="0.2">
      <c r="T70" s="301"/>
    </row>
    <row r="71" spans="20:20" ht="15.75" customHeight="1" x14ac:dyDescent="0.2"/>
    <row r="72" spans="20:20" s="33" customFormat="1" x14ac:dyDescent="0.2">
      <c r="T72" s="301"/>
    </row>
    <row r="75" spans="20:20" s="222" customFormat="1" ht="24" customHeight="1" x14ac:dyDescent="0.2">
      <c r="T75" s="302"/>
    </row>
    <row r="76" spans="20:20" ht="19.5" customHeight="1" x14ac:dyDescent="0.2"/>
    <row r="77" spans="20:20" ht="18" customHeight="1" x14ac:dyDescent="0.2"/>
    <row r="78" spans="20:20" ht="18" customHeight="1" x14ac:dyDescent="0.2"/>
    <row r="79" spans="20:20" ht="18" customHeight="1" x14ac:dyDescent="0.2"/>
    <row r="80" spans="20:2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99" spans="20:20" s="222" customFormat="1" ht="24" customHeight="1" x14ac:dyDescent="0.2">
      <c r="T99" s="302"/>
    </row>
    <row r="100" spans="20:20" s="272" customFormat="1" ht="28.5" customHeight="1" x14ac:dyDescent="0.25">
      <c r="T100" s="303"/>
    </row>
  </sheetData>
  <mergeCells count="29">
    <mergeCell ref="A1:R1"/>
    <mergeCell ref="T1:Z1"/>
    <mergeCell ref="A3:D3"/>
    <mergeCell ref="T3:W4"/>
    <mergeCell ref="Z3:Z6"/>
    <mergeCell ref="A4:A5"/>
    <mergeCell ref="B4:B5"/>
    <mergeCell ref="C4:C5"/>
    <mergeCell ref="D4:D5"/>
    <mergeCell ref="E4:G5"/>
    <mergeCell ref="H4:J5"/>
    <mergeCell ref="K4:M5"/>
    <mergeCell ref="N4:P5"/>
    <mergeCell ref="Q4:S5"/>
    <mergeCell ref="H6:J6"/>
    <mergeCell ref="X4:Y4"/>
    <mergeCell ref="A29:C29"/>
    <mergeCell ref="K6:M6"/>
    <mergeCell ref="N6:P6"/>
    <mergeCell ref="Y5:Y6"/>
    <mergeCell ref="Q6:S6"/>
    <mergeCell ref="A6:E6"/>
    <mergeCell ref="T5:T6"/>
    <mergeCell ref="U5:U6"/>
    <mergeCell ref="V5:V6"/>
    <mergeCell ref="W5:W6"/>
    <mergeCell ref="X5:X6"/>
    <mergeCell ref="B10:B14"/>
    <mergeCell ref="A11:A14"/>
  </mergeCells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45" orientation="landscape" verticalDpi="4294967295" r:id="rId1"/>
  <headerFooter>
    <oddHeader>&amp;CDunaharaszti Város Önkormányzat 2017. évi zárszámadás&amp;R&amp;A</oddHeader>
    <oddFooter>&amp;C&amp;P/&amp;N</oddFooter>
  </headerFooter>
  <rowBreaks count="2" manualBreakCount="2">
    <brk id="30" max="16383" man="1"/>
    <brk id="75" max="14" man="1"/>
  </rowBreaks>
  <colBreaks count="2" manualBreakCount="2">
    <brk id="19" max="14" man="1"/>
    <brk id="26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S59"/>
  <sheetViews>
    <sheetView view="pageBreakPreview" topLeftCell="A4" zoomScale="40" zoomScaleNormal="80" zoomScaleSheetLayoutView="40" zoomScalePageLayoutView="90" workbookViewId="0">
      <pane xSplit="3" ySplit="1" topLeftCell="EK5" activePane="bottomRight" state="frozen"/>
      <selection activeCell="A4" sqref="A4"/>
      <selection pane="topRight" activeCell="D4" sqref="D4"/>
      <selection pane="bottomLeft" activeCell="A5" sqref="A5"/>
      <selection pane="bottomRight" activeCell="AV12" sqref="AV12"/>
    </sheetView>
  </sheetViews>
  <sheetFormatPr defaultRowHeight="15.75" x14ac:dyDescent="0.25"/>
  <cols>
    <col min="1" max="1" width="7.140625" style="28" customWidth="1"/>
    <col min="2" max="2" width="65.5703125" style="3" customWidth="1"/>
    <col min="3" max="3" width="7.42578125" style="600" customWidth="1"/>
    <col min="4" max="44" width="17.7109375" style="3" customWidth="1"/>
    <col min="45" max="45" width="17.7109375" style="603" customWidth="1"/>
    <col min="46" max="47" width="17.7109375" style="3" customWidth="1"/>
    <col min="48" max="48" width="17.7109375" style="603" customWidth="1"/>
    <col min="49" max="108" width="17.7109375" style="3" customWidth="1"/>
    <col min="109" max="114" width="17.7109375" style="603" customWidth="1"/>
    <col min="115" max="123" width="17.7109375" style="3" customWidth="1"/>
    <col min="124" max="135" width="17.7109375" style="365" customWidth="1"/>
    <col min="136" max="144" width="17.7109375" style="3" customWidth="1"/>
    <col min="145" max="150" width="17.7109375" style="365" customWidth="1"/>
    <col min="151" max="167" width="17.7109375" style="3" customWidth="1"/>
    <col min="168" max="168" width="16.28515625" customWidth="1"/>
    <col min="169" max="169" width="15.85546875" customWidth="1"/>
    <col min="170" max="170" width="15.7109375" customWidth="1"/>
    <col min="171" max="171" width="14.28515625" customWidth="1"/>
    <col min="172" max="172" width="15.7109375" customWidth="1"/>
    <col min="175" max="175" width="15.140625" bestFit="1" customWidth="1"/>
  </cols>
  <sheetData>
    <row r="1" spans="1:172" x14ac:dyDescent="0.25">
      <c r="A1" s="2"/>
      <c r="B1" s="2"/>
      <c r="C1" s="574"/>
      <c r="D1" s="2"/>
      <c r="E1" s="2"/>
      <c r="F1" s="2"/>
      <c r="G1" s="4"/>
      <c r="H1" s="4" t="s">
        <v>0</v>
      </c>
      <c r="I1" s="4"/>
      <c r="J1" s="4"/>
      <c r="K1" s="4"/>
      <c r="L1" s="4"/>
      <c r="M1" s="4"/>
      <c r="N1" s="4" t="s">
        <v>0</v>
      </c>
      <c r="O1" s="4"/>
      <c r="P1" s="4"/>
      <c r="Q1" s="4"/>
      <c r="R1" s="4"/>
      <c r="S1" s="4"/>
      <c r="T1" s="4" t="s">
        <v>0</v>
      </c>
      <c r="U1" s="4"/>
      <c r="V1" s="4"/>
      <c r="W1" s="4"/>
      <c r="X1" s="4"/>
      <c r="Y1" s="4"/>
      <c r="Z1" s="4" t="s">
        <v>0</v>
      </c>
      <c r="AA1" s="4"/>
      <c r="AB1" s="4"/>
      <c r="AC1" s="4"/>
      <c r="AD1" s="4"/>
      <c r="AF1" s="4" t="s">
        <v>0</v>
      </c>
      <c r="AG1" s="4"/>
      <c r="AH1" s="4"/>
      <c r="AI1" s="4"/>
      <c r="AJ1" s="4"/>
      <c r="AK1" s="4"/>
      <c r="AL1" s="4" t="s">
        <v>0</v>
      </c>
      <c r="AM1" s="4"/>
      <c r="AN1" s="4"/>
      <c r="AO1" s="4"/>
      <c r="AP1" s="4"/>
      <c r="AT1" s="4"/>
      <c r="AU1" s="4" t="s">
        <v>0</v>
      </c>
      <c r="AV1" s="708"/>
      <c r="BC1" s="4"/>
      <c r="BD1" s="4" t="s">
        <v>0</v>
      </c>
      <c r="BE1" s="4"/>
      <c r="BJ1" s="4" t="s">
        <v>0</v>
      </c>
      <c r="BK1" s="4"/>
      <c r="BL1" s="4"/>
      <c r="BM1" s="4"/>
      <c r="BN1" s="4"/>
      <c r="BO1" s="4"/>
      <c r="BP1" s="4" t="s">
        <v>0</v>
      </c>
      <c r="BQ1" s="4"/>
      <c r="BR1" s="4"/>
      <c r="BS1" s="4"/>
      <c r="BT1" s="4"/>
      <c r="BU1" s="4"/>
      <c r="BV1" s="4" t="s">
        <v>0</v>
      </c>
      <c r="BW1" s="4"/>
      <c r="BX1" s="4"/>
      <c r="BY1" s="4"/>
      <c r="BZ1" s="4"/>
      <c r="CB1" s="4" t="s">
        <v>0</v>
      </c>
      <c r="CC1" s="4"/>
      <c r="CD1" s="4"/>
      <c r="CE1" s="4"/>
      <c r="CF1" s="4"/>
      <c r="CG1" s="4"/>
      <c r="CH1" s="4" t="s">
        <v>0</v>
      </c>
      <c r="CI1" s="4"/>
      <c r="CJ1" s="4"/>
      <c r="CK1" s="4"/>
      <c r="CL1" s="4"/>
      <c r="CN1" s="4" t="s">
        <v>0</v>
      </c>
      <c r="CO1" s="4"/>
      <c r="CS1" s="4"/>
      <c r="CT1" s="4" t="s">
        <v>0</v>
      </c>
      <c r="CU1" s="4"/>
      <c r="CZ1" s="4" t="s">
        <v>0</v>
      </c>
      <c r="DA1" s="4"/>
      <c r="DB1" s="4"/>
      <c r="DC1" s="4"/>
      <c r="DD1" s="4"/>
      <c r="DE1" s="4"/>
      <c r="DF1" s="4" t="s">
        <v>0</v>
      </c>
      <c r="DG1" s="4"/>
      <c r="DH1" s="4"/>
      <c r="DI1" s="4"/>
      <c r="DJ1" s="4"/>
      <c r="DL1" s="4" t="s">
        <v>0</v>
      </c>
      <c r="DM1" s="4"/>
      <c r="DN1" s="4"/>
      <c r="DO1" s="4"/>
      <c r="DP1" s="4"/>
      <c r="DQ1" s="4"/>
      <c r="DR1" s="4" t="s">
        <v>0</v>
      </c>
      <c r="DS1" s="4"/>
      <c r="DW1" s="4"/>
      <c r="DX1" s="4" t="s">
        <v>0</v>
      </c>
      <c r="DY1" s="4"/>
      <c r="EC1" s="4"/>
      <c r="ED1" s="4" t="s">
        <v>0</v>
      </c>
      <c r="EE1" s="4"/>
      <c r="EF1" s="4"/>
      <c r="EG1" s="4"/>
      <c r="EH1" s="4"/>
      <c r="EJ1" s="4" t="s">
        <v>0</v>
      </c>
      <c r="EK1" s="4"/>
      <c r="EO1" s="4"/>
      <c r="EP1" s="4" t="s">
        <v>0</v>
      </c>
      <c r="EQ1" s="4"/>
      <c r="EV1" s="4" t="s">
        <v>0</v>
      </c>
      <c r="EW1" s="4"/>
      <c r="EX1" s="4"/>
      <c r="EY1" s="4"/>
      <c r="EZ1" s="4"/>
      <c r="FA1" s="4"/>
      <c r="FB1" s="4" t="s">
        <v>0</v>
      </c>
      <c r="FC1" s="4"/>
      <c r="FG1" s="4"/>
      <c r="FH1" s="4" t="s">
        <v>0</v>
      </c>
      <c r="FI1" s="4"/>
    </row>
    <row r="2" spans="1:172" ht="37.5" customHeight="1" x14ac:dyDescent="0.2">
      <c r="A2" s="896" t="s">
        <v>1</v>
      </c>
      <c r="B2" s="896"/>
      <c r="C2" s="896"/>
      <c r="D2" s="560" t="s">
        <v>6</v>
      </c>
      <c r="E2" s="560" t="s">
        <v>7</v>
      </c>
      <c r="F2" s="560" t="s">
        <v>788</v>
      </c>
      <c r="G2" s="560" t="s">
        <v>6</v>
      </c>
      <c r="H2" s="560" t="s">
        <v>7</v>
      </c>
      <c r="I2" s="560" t="s">
        <v>788</v>
      </c>
      <c r="J2" s="560" t="s">
        <v>6</v>
      </c>
      <c r="K2" s="560" t="s">
        <v>7</v>
      </c>
      <c r="L2" s="560" t="s">
        <v>788</v>
      </c>
      <c r="M2" s="560" t="s">
        <v>6</v>
      </c>
      <c r="N2" s="560" t="s">
        <v>7</v>
      </c>
      <c r="O2" s="560" t="s">
        <v>788</v>
      </c>
      <c r="P2" s="560" t="s">
        <v>6</v>
      </c>
      <c r="Q2" s="560" t="s">
        <v>7</v>
      </c>
      <c r="R2" s="560" t="s">
        <v>788</v>
      </c>
      <c r="S2" s="560" t="s">
        <v>6</v>
      </c>
      <c r="T2" s="560" t="s">
        <v>7</v>
      </c>
      <c r="U2" s="560" t="s">
        <v>788</v>
      </c>
      <c r="V2" s="560" t="s">
        <v>6</v>
      </c>
      <c r="W2" s="560" t="s">
        <v>7</v>
      </c>
      <c r="X2" s="560" t="s">
        <v>788</v>
      </c>
      <c r="Y2" s="560" t="s">
        <v>6</v>
      </c>
      <c r="Z2" s="560" t="s">
        <v>7</v>
      </c>
      <c r="AA2" s="560" t="s">
        <v>788</v>
      </c>
      <c r="AB2" s="560" t="s">
        <v>6</v>
      </c>
      <c r="AC2" s="560" t="s">
        <v>7</v>
      </c>
      <c r="AD2" s="560" t="s">
        <v>788</v>
      </c>
      <c r="AE2" s="560" t="s">
        <v>6</v>
      </c>
      <c r="AF2" s="560" t="s">
        <v>7</v>
      </c>
      <c r="AG2" s="560" t="s">
        <v>788</v>
      </c>
      <c r="AH2" s="560" t="s">
        <v>6</v>
      </c>
      <c r="AI2" s="560" t="s">
        <v>7</v>
      </c>
      <c r="AJ2" s="560" t="s">
        <v>788</v>
      </c>
      <c r="AK2" s="560" t="s">
        <v>6</v>
      </c>
      <c r="AL2" s="560" t="s">
        <v>7</v>
      </c>
      <c r="AM2" s="560" t="s">
        <v>788</v>
      </c>
      <c r="AN2" s="560" t="s">
        <v>6</v>
      </c>
      <c r="AO2" s="560" t="s">
        <v>7</v>
      </c>
      <c r="AP2" s="560" t="s">
        <v>788</v>
      </c>
      <c r="AQ2" s="560" t="s">
        <v>6</v>
      </c>
      <c r="AR2" s="560" t="s">
        <v>7</v>
      </c>
      <c r="AS2" s="709" t="s">
        <v>788</v>
      </c>
      <c r="AT2" s="560" t="s">
        <v>6</v>
      </c>
      <c r="AU2" s="560" t="s">
        <v>7</v>
      </c>
      <c r="AV2" s="709" t="s">
        <v>788</v>
      </c>
      <c r="AW2" s="560" t="s">
        <v>6</v>
      </c>
      <c r="AX2" s="560" t="s">
        <v>7</v>
      </c>
      <c r="AY2" s="560" t="s">
        <v>788</v>
      </c>
      <c r="AZ2" s="560" t="s">
        <v>6</v>
      </c>
      <c r="BA2" s="560" t="s">
        <v>7</v>
      </c>
      <c r="BB2" s="560" t="s">
        <v>788</v>
      </c>
      <c r="BC2" s="560" t="s">
        <v>6</v>
      </c>
      <c r="BD2" s="560" t="s">
        <v>7</v>
      </c>
      <c r="BE2" s="560" t="s">
        <v>788</v>
      </c>
      <c r="BF2" s="560" t="s">
        <v>6</v>
      </c>
      <c r="BG2" s="560" t="s">
        <v>7</v>
      </c>
      <c r="BH2" s="560" t="s">
        <v>788</v>
      </c>
      <c r="BI2" s="560" t="s">
        <v>6</v>
      </c>
      <c r="BJ2" s="560" t="s">
        <v>7</v>
      </c>
      <c r="BK2" s="560" t="s">
        <v>788</v>
      </c>
      <c r="BL2" s="560" t="s">
        <v>6</v>
      </c>
      <c r="BM2" s="560" t="s">
        <v>7</v>
      </c>
      <c r="BN2" s="560" t="s">
        <v>788</v>
      </c>
      <c r="BO2" s="560" t="s">
        <v>6</v>
      </c>
      <c r="BP2" s="560" t="s">
        <v>7</v>
      </c>
      <c r="BQ2" s="560" t="s">
        <v>788</v>
      </c>
      <c r="BR2" s="560" t="s">
        <v>6</v>
      </c>
      <c r="BS2" s="560" t="s">
        <v>7</v>
      </c>
      <c r="BT2" s="560" t="s">
        <v>788</v>
      </c>
      <c r="BU2" s="560" t="s">
        <v>6</v>
      </c>
      <c r="BV2" s="560" t="s">
        <v>7</v>
      </c>
      <c r="BW2" s="560" t="s">
        <v>788</v>
      </c>
      <c r="BX2" s="560" t="s">
        <v>6</v>
      </c>
      <c r="BY2" s="560" t="s">
        <v>7</v>
      </c>
      <c r="BZ2" s="560" t="s">
        <v>788</v>
      </c>
      <c r="CA2" s="560" t="s">
        <v>6</v>
      </c>
      <c r="CB2" s="560" t="s">
        <v>7</v>
      </c>
      <c r="CC2" s="560" t="s">
        <v>788</v>
      </c>
      <c r="CD2" s="560" t="s">
        <v>6</v>
      </c>
      <c r="CE2" s="560" t="s">
        <v>7</v>
      </c>
      <c r="CF2" s="560" t="s">
        <v>788</v>
      </c>
      <c r="CG2" s="560" t="s">
        <v>6</v>
      </c>
      <c r="CH2" s="560" t="s">
        <v>7</v>
      </c>
      <c r="CI2" s="560" t="s">
        <v>788</v>
      </c>
      <c r="CJ2" s="560" t="s">
        <v>6</v>
      </c>
      <c r="CK2" s="560" t="s">
        <v>7</v>
      </c>
      <c r="CL2" s="560" t="s">
        <v>788</v>
      </c>
      <c r="CM2" s="560" t="s">
        <v>6</v>
      </c>
      <c r="CN2" s="560" t="s">
        <v>7</v>
      </c>
      <c r="CO2" s="560" t="s">
        <v>788</v>
      </c>
      <c r="CP2" s="560" t="s">
        <v>6</v>
      </c>
      <c r="CQ2" s="560" t="s">
        <v>7</v>
      </c>
      <c r="CR2" s="560" t="s">
        <v>788</v>
      </c>
      <c r="CS2" s="560" t="s">
        <v>6</v>
      </c>
      <c r="CT2" s="560" t="s">
        <v>7</v>
      </c>
      <c r="CU2" s="560" t="s">
        <v>788</v>
      </c>
      <c r="CV2" s="560" t="s">
        <v>6</v>
      </c>
      <c r="CW2" s="560" t="s">
        <v>7</v>
      </c>
      <c r="CX2" s="560" t="s">
        <v>788</v>
      </c>
      <c r="CY2" s="560" t="s">
        <v>6</v>
      </c>
      <c r="CZ2" s="560" t="s">
        <v>7</v>
      </c>
      <c r="DA2" s="560" t="s">
        <v>788</v>
      </c>
      <c r="DB2" s="560" t="s">
        <v>6</v>
      </c>
      <c r="DC2" s="560" t="s">
        <v>7</v>
      </c>
      <c r="DD2" s="560" t="s">
        <v>788</v>
      </c>
      <c r="DE2" s="560" t="s">
        <v>6</v>
      </c>
      <c r="DF2" s="560" t="s">
        <v>7</v>
      </c>
      <c r="DG2" s="560" t="s">
        <v>788</v>
      </c>
      <c r="DH2" s="560" t="s">
        <v>6</v>
      </c>
      <c r="DI2" s="560" t="s">
        <v>7</v>
      </c>
      <c r="DJ2" s="560" t="s">
        <v>788</v>
      </c>
      <c r="DK2" s="560" t="s">
        <v>6</v>
      </c>
      <c r="DL2" s="560" t="s">
        <v>7</v>
      </c>
      <c r="DM2" s="560" t="s">
        <v>788</v>
      </c>
      <c r="DN2" s="560" t="s">
        <v>6</v>
      </c>
      <c r="DO2" s="560" t="s">
        <v>7</v>
      </c>
      <c r="DP2" s="560" t="s">
        <v>788</v>
      </c>
      <c r="DQ2" s="560" t="s">
        <v>6</v>
      </c>
      <c r="DR2" s="560" t="s">
        <v>7</v>
      </c>
      <c r="DS2" s="560" t="s">
        <v>788</v>
      </c>
      <c r="DT2" s="560" t="s">
        <v>6</v>
      </c>
      <c r="DU2" s="560" t="s">
        <v>7</v>
      </c>
      <c r="DV2" s="560" t="s">
        <v>788</v>
      </c>
      <c r="DW2" s="560" t="s">
        <v>6</v>
      </c>
      <c r="DX2" s="560" t="s">
        <v>7</v>
      </c>
      <c r="DY2" s="560" t="s">
        <v>788</v>
      </c>
      <c r="DZ2" s="560" t="s">
        <v>6</v>
      </c>
      <c r="EA2" s="560" t="s">
        <v>7</v>
      </c>
      <c r="EB2" s="560" t="s">
        <v>788</v>
      </c>
      <c r="EC2" s="560" t="s">
        <v>6</v>
      </c>
      <c r="ED2" s="560" t="s">
        <v>7</v>
      </c>
      <c r="EE2" s="560" t="s">
        <v>788</v>
      </c>
      <c r="EF2" s="560" t="s">
        <v>6</v>
      </c>
      <c r="EG2" s="560" t="s">
        <v>7</v>
      </c>
      <c r="EH2" s="560" t="s">
        <v>788</v>
      </c>
      <c r="EI2" s="560" t="s">
        <v>6</v>
      </c>
      <c r="EJ2" s="560" t="s">
        <v>7</v>
      </c>
      <c r="EK2" s="560" t="s">
        <v>788</v>
      </c>
      <c r="EL2" s="560" t="s">
        <v>6</v>
      </c>
      <c r="EM2" s="560" t="s">
        <v>7</v>
      </c>
      <c r="EN2" s="560" t="s">
        <v>788</v>
      </c>
      <c r="EO2" s="560" t="s">
        <v>6</v>
      </c>
      <c r="EP2" s="560" t="s">
        <v>7</v>
      </c>
      <c r="EQ2" s="560" t="s">
        <v>788</v>
      </c>
      <c r="ER2" s="560" t="s">
        <v>6</v>
      </c>
      <c r="ES2" s="560" t="s">
        <v>7</v>
      </c>
      <c r="ET2" s="560" t="s">
        <v>788</v>
      </c>
      <c r="EU2" s="560" t="s">
        <v>6</v>
      </c>
      <c r="EV2" s="560" t="s">
        <v>7</v>
      </c>
      <c r="EW2" s="560" t="s">
        <v>788</v>
      </c>
      <c r="EX2" s="560" t="s">
        <v>6</v>
      </c>
      <c r="EY2" s="560" t="s">
        <v>7</v>
      </c>
      <c r="EZ2" s="560" t="s">
        <v>788</v>
      </c>
      <c r="FA2" s="560" t="s">
        <v>6</v>
      </c>
      <c r="FB2" s="560" t="s">
        <v>7</v>
      </c>
      <c r="FC2" s="560" t="s">
        <v>788</v>
      </c>
      <c r="FD2" s="560" t="s">
        <v>6</v>
      </c>
      <c r="FE2" s="560" t="s">
        <v>7</v>
      </c>
      <c r="FF2" s="560" t="s">
        <v>788</v>
      </c>
      <c r="FG2" s="560" t="s">
        <v>6</v>
      </c>
      <c r="FH2" s="560" t="s">
        <v>7</v>
      </c>
      <c r="FI2" s="560" t="s">
        <v>788</v>
      </c>
      <c r="FJ2" s="560" t="s">
        <v>6</v>
      </c>
      <c r="FK2" s="560" t="s">
        <v>7</v>
      </c>
      <c r="FL2" s="560" t="s">
        <v>788</v>
      </c>
    </row>
    <row r="3" spans="1:172" ht="51" customHeight="1" x14ac:dyDescent="0.2">
      <c r="A3" s="915" t="s">
        <v>3</v>
      </c>
      <c r="B3" s="896" t="s">
        <v>4</v>
      </c>
      <c r="C3" s="896"/>
      <c r="D3" s="909" t="s">
        <v>797</v>
      </c>
      <c r="E3" s="910"/>
      <c r="F3" s="911"/>
      <c r="G3" s="909" t="s">
        <v>798</v>
      </c>
      <c r="H3" s="910"/>
      <c r="I3" s="911"/>
      <c r="J3" s="909" t="s">
        <v>799</v>
      </c>
      <c r="K3" s="910"/>
      <c r="L3" s="911"/>
      <c r="M3" s="887" t="s">
        <v>800</v>
      </c>
      <c r="N3" s="888"/>
      <c r="O3" s="889"/>
      <c r="P3" s="887" t="s">
        <v>801</v>
      </c>
      <c r="Q3" s="888"/>
      <c r="R3" s="889"/>
      <c r="S3" s="887" t="s">
        <v>802</v>
      </c>
      <c r="T3" s="888"/>
      <c r="U3" s="889"/>
      <c r="V3" s="909" t="s">
        <v>803</v>
      </c>
      <c r="W3" s="910"/>
      <c r="X3" s="911"/>
      <c r="Y3" s="887" t="s">
        <v>804</v>
      </c>
      <c r="Z3" s="888"/>
      <c r="AA3" s="889"/>
      <c r="AB3" s="887" t="s">
        <v>805</v>
      </c>
      <c r="AC3" s="888"/>
      <c r="AD3" s="889"/>
      <c r="AE3" s="887" t="s">
        <v>806</v>
      </c>
      <c r="AF3" s="888"/>
      <c r="AG3" s="889"/>
      <c r="AH3" s="887" t="s">
        <v>807</v>
      </c>
      <c r="AI3" s="888"/>
      <c r="AJ3" s="889"/>
      <c r="AK3" s="887" t="s">
        <v>808</v>
      </c>
      <c r="AL3" s="888"/>
      <c r="AM3" s="889"/>
      <c r="AN3" s="887" t="s">
        <v>809</v>
      </c>
      <c r="AO3" s="888"/>
      <c r="AP3" s="889"/>
      <c r="AQ3" s="887" t="s">
        <v>791</v>
      </c>
      <c r="AR3" s="888"/>
      <c r="AS3" s="889"/>
      <c r="AT3" s="887" t="s">
        <v>810</v>
      </c>
      <c r="AU3" s="888"/>
      <c r="AV3" s="889"/>
      <c r="AW3" s="887" t="s">
        <v>811</v>
      </c>
      <c r="AX3" s="888"/>
      <c r="AY3" s="889"/>
      <c r="AZ3" s="887" t="s">
        <v>812</v>
      </c>
      <c r="BA3" s="888"/>
      <c r="BB3" s="889"/>
      <c r="BC3" s="887" t="s">
        <v>813</v>
      </c>
      <c r="BD3" s="888"/>
      <c r="BE3" s="889"/>
      <c r="BF3" s="887" t="s">
        <v>814</v>
      </c>
      <c r="BG3" s="888"/>
      <c r="BH3" s="889"/>
      <c r="BI3" s="887" t="s">
        <v>805</v>
      </c>
      <c r="BJ3" s="888"/>
      <c r="BK3" s="889"/>
      <c r="BL3" s="887" t="s">
        <v>815</v>
      </c>
      <c r="BM3" s="888"/>
      <c r="BN3" s="889"/>
      <c r="BO3" s="887" t="s">
        <v>816</v>
      </c>
      <c r="BP3" s="888"/>
      <c r="BQ3" s="889"/>
      <c r="BR3" s="912" t="s">
        <v>817</v>
      </c>
      <c r="BS3" s="913"/>
      <c r="BT3" s="914"/>
      <c r="BU3" s="887" t="s">
        <v>817</v>
      </c>
      <c r="BV3" s="888"/>
      <c r="BW3" s="889"/>
      <c r="BX3" s="887" t="s">
        <v>818</v>
      </c>
      <c r="BY3" s="888"/>
      <c r="BZ3" s="889"/>
      <c r="CA3" s="887" t="s">
        <v>819</v>
      </c>
      <c r="CB3" s="888"/>
      <c r="CC3" s="889"/>
      <c r="CD3" s="887" t="s">
        <v>819</v>
      </c>
      <c r="CE3" s="888"/>
      <c r="CF3" s="889"/>
      <c r="CG3" s="887" t="s">
        <v>795</v>
      </c>
      <c r="CH3" s="888"/>
      <c r="CI3" s="889"/>
      <c r="CJ3" s="887" t="s">
        <v>820</v>
      </c>
      <c r="CK3" s="888"/>
      <c r="CL3" s="889"/>
      <c r="CM3" s="887" t="s">
        <v>819</v>
      </c>
      <c r="CN3" s="888" t="s">
        <v>821</v>
      </c>
      <c r="CO3" s="889"/>
      <c r="CP3" s="887" t="s">
        <v>795</v>
      </c>
      <c r="CQ3" s="888" t="s">
        <v>821</v>
      </c>
      <c r="CR3" s="889"/>
      <c r="CS3" s="887" t="s">
        <v>822</v>
      </c>
      <c r="CT3" s="888" t="s">
        <v>822</v>
      </c>
      <c r="CU3" s="889"/>
      <c r="CV3" s="887" t="s">
        <v>823</v>
      </c>
      <c r="CW3" s="888" t="s">
        <v>823</v>
      </c>
      <c r="CX3" s="889"/>
      <c r="CY3" s="887" t="s">
        <v>824</v>
      </c>
      <c r="CZ3" s="888" t="s">
        <v>824</v>
      </c>
      <c r="DA3" s="889"/>
      <c r="DB3" s="887" t="s">
        <v>825</v>
      </c>
      <c r="DC3" s="888" t="s">
        <v>826</v>
      </c>
      <c r="DD3" s="889"/>
      <c r="DE3" s="887" t="s">
        <v>827</v>
      </c>
      <c r="DF3" s="888" t="s">
        <v>828</v>
      </c>
      <c r="DG3" s="889"/>
      <c r="DH3" s="887" t="s">
        <v>829</v>
      </c>
      <c r="DI3" s="888" t="s">
        <v>828</v>
      </c>
      <c r="DJ3" s="889"/>
      <c r="DK3" s="887" t="s">
        <v>830</v>
      </c>
      <c r="DL3" s="888" t="s">
        <v>831</v>
      </c>
      <c r="DM3" s="889"/>
      <c r="DN3" s="887" t="s">
        <v>832</v>
      </c>
      <c r="DO3" s="888" t="s">
        <v>833</v>
      </c>
      <c r="DP3" s="889"/>
      <c r="DQ3" s="887" t="s">
        <v>834</v>
      </c>
      <c r="DR3" s="888" t="s">
        <v>835</v>
      </c>
      <c r="DS3" s="889"/>
      <c r="DT3" s="887" t="s">
        <v>836</v>
      </c>
      <c r="DU3" s="888" t="s">
        <v>837</v>
      </c>
      <c r="DV3" s="889"/>
      <c r="DW3" s="887" t="s">
        <v>799</v>
      </c>
      <c r="DX3" s="888" t="s">
        <v>837</v>
      </c>
      <c r="DY3" s="889"/>
      <c r="DZ3" s="887" t="s">
        <v>838</v>
      </c>
      <c r="EA3" s="888" t="s">
        <v>839</v>
      </c>
      <c r="EB3" s="889"/>
      <c r="EC3" s="887" t="s">
        <v>840</v>
      </c>
      <c r="ED3" s="888" t="s">
        <v>841</v>
      </c>
      <c r="EE3" s="889"/>
      <c r="EF3" s="887" t="s">
        <v>842</v>
      </c>
      <c r="EG3" s="888" t="s">
        <v>843</v>
      </c>
      <c r="EH3" s="889"/>
      <c r="EI3" s="887" t="s">
        <v>844</v>
      </c>
      <c r="EJ3" s="888" t="s">
        <v>845</v>
      </c>
      <c r="EK3" s="889"/>
      <c r="EL3" s="887" t="s">
        <v>846</v>
      </c>
      <c r="EM3" s="888" t="s">
        <v>847</v>
      </c>
      <c r="EN3" s="889"/>
      <c r="EO3" s="887" t="s">
        <v>848</v>
      </c>
      <c r="EP3" s="888" t="s">
        <v>848</v>
      </c>
      <c r="EQ3" s="889"/>
      <c r="ER3" s="887" t="s">
        <v>849</v>
      </c>
      <c r="ES3" s="888" t="s">
        <v>850</v>
      </c>
      <c r="ET3" s="889"/>
      <c r="EU3" s="887" t="s">
        <v>851</v>
      </c>
      <c r="EV3" s="888" t="s">
        <v>852</v>
      </c>
      <c r="EW3" s="889"/>
      <c r="EX3" s="887" t="s">
        <v>853</v>
      </c>
      <c r="EY3" s="888" t="s">
        <v>854</v>
      </c>
      <c r="EZ3" s="889"/>
      <c r="FA3" s="887" t="s">
        <v>853</v>
      </c>
      <c r="FB3" s="888" t="s">
        <v>855</v>
      </c>
      <c r="FC3" s="889"/>
      <c r="FD3" s="887" t="s">
        <v>856</v>
      </c>
      <c r="FE3" s="888" t="s">
        <v>857</v>
      </c>
      <c r="FF3" s="889"/>
      <c r="FG3" s="887" t="s">
        <v>858</v>
      </c>
      <c r="FH3" s="888" t="s">
        <v>859</v>
      </c>
      <c r="FI3" s="889"/>
      <c r="FJ3" s="887" t="s">
        <v>860</v>
      </c>
      <c r="FK3" s="888" t="s">
        <v>861</v>
      </c>
      <c r="FL3" s="889"/>
    </row>
    <row r="4" spans="1:172" ht="24.75" customHeight="1" x14ac:dyDescent="0.2">
      <c r="A4" s="915"/>
      <c r="B4" s="896" t="s">
        <v>5</v>
      </c>
      <c r="C4" s="896"/>
      <c r="D4" s="909" t="s">
        <v>11</v>
      </c>
      <c r="E4" s="910"/>
      <c r="F4" s="911"/>
      <c r="G4" s="909" t="s">
        <v>11</v>
      </c>
      <c r="H4" s="910"/>
      <c r="I4" s="911"/>
      <c r="J4" s="909" t="s">
        <v>11</v>
      </c>
      <c r="K4" s="910"/>
      <c r="L4" s="911"/>
      <c r="M4" s="909" t="s">
        <v>164</v>
      </c>
      <c r="N4" s="910"/>
      <c r="O4" s="911"/>
      <c r="P4" s="887" t="s">
        <v>164</v>
      </c>
      <c r="Q4" s="888"/>
      <c r="R4" s="889"/>
      <c r="S4" s="887" t="s">
        <v>11</v>
      </c>
      <c r="T4" s="888"/>
      <c r="U4" s="889"/>
      <c r="V4" s="909" t="s">
        <v>11</v>
      </c>
      <c r="W4" s="910"/>
      <c r="X4" s="911"/>
      <c r="Y4" s="887" t="s">
        <v>11</v>
      </c>
      <c r="Z4" s="888"/>
      <c r="AA4" s="889"/>
      <c r="AB4" s="887" t="s">
        <v>164</v>
      </c>
      <c r="AC4" s="888"/>
      <c r="AD4" s="889"/>
      <c r="AE4" s="887" t="s">
        <v>164</v>
      </c>
      <c r="AF4" s="888" t="s">
        <v>164</v>
      </c>
      <c r="AG4" s="889"/>
      <c r="AH4" s="887" t="s">
        <v>164</v>
      </c>
      <c r="AI4" s="888" t="s">
        <v>164</v>
      </c>
      <c r="AJ4" s="889"/>
      <c r="AK4" s="887" t="s">
        <v>164</v>
      </c>
      <c r="AL4" s="888" t="s">
        <v>164</v>
      </c>
      <c r="AM4" s="889"/>
      <c r="AN4" s="887" t="s">
        <v>164</v>
      </c>
      <c r="AO4" s="888" t="s">
        <v>164</v>
      </c>
      <c r="AP4" s="889"/>
      <c r="AQ4" s="887" t="s">
        <v>164</v>
      </c>
      <c r="AR4" s="888" t="s">
        <v>164</v>
      </c>
      <c r="AS4" s="889"/>
      <c r="AT4" s="887" t="s">
        <v>164</v>
      </c>
      <c r="AU4" s="888" t="s">
        <v>164</v>
      </c>
      <c r="AV4" s="889"/>
      <c r="AW4" s="887" t="s">
        <v>164</v>
      </c>
      <c r="AX4" s="888" t="s">
        <v>164</v>
      </c>
      <c r="AY4" s="889"/>
      <c r="AZ4" s="887" t="s">
        <v>164</v>
      </c>
      <c r="BA4" s="888" t="s">
        <v>164</v>
      </c>
      <c r="BB4" s="889"/>
      <c r="BC4" s="887" t="s">
        <v>164</v>
      </c>
      <c r="BD4" s="888" t="s">
        <v>164</v>
      </c>
      <c r="BE4" s="889"/>
      <c r="BF4" s="887" t="s">
        <v>164</v>
      </c>
      <c r="BG4" s="888" t="s">
        <v>164</v>
      </c>
      <c r="BH4" s="889"/>
      <c r="BI4" s="887" t="s">
        <v>164</v>
      </c>
      <c r="BJ4" s="888" t="s">
        <v>164</v>
      </c>
      <c r="BK4" s="889"/>
      <c r="BL4" s="887" t="s">
        <v>11</v>
      </c>
      <c r="BM4" s="888" t="s">
        <v>11</v>
      </c>
      <c r="BN4" s="889"/>
      <c r="BO4" s="887" t="s">
        <v>164</v>
      </c>
      <c r="BP4" s="888" t="s">
        <v>164</v>
      </c>
      <c r="BQ4" s="889"/>
      <c r="BR4" s="887" t="s">
        <v>11</v>
      </c>
      <c r="BS4" s="888" t="s">
        <v>11</v>
      </c>
      <c r="BT4" s="889"/>
      <c r="BU4" s="887" t="s">
        <v>11</v>
      </c>
      <c r="BV4" s="888" t="s">
        <v>11</v>
      </c>
      <c r="BW4" s="889"/>
      <c r="BX4" s="887" t="s">
        <v>164</v>
      </c>
      <c r="BY4" s="888" t="s">
        <v>164</v>
      </c>
      <c r="BZ4" s="889"/>
      <c r="CA4" s="887" t="s">
        <v>11</v>
      </c>
      <c r="CB4" s="888" t="s">
        <v>11</v>
      </c>
      <c r="CC4" s="889"/>
      <c r="CD4" s="887" t="s">
        <v>11</v>
      </c>
      <c r="CE4" s="888" t="s">
        <v>11</v>
      </c>
      <c r="CF4" s="889"/>
      <c r="CG4" s="887" t="s">
        <v>13</v>
      </c>
      <c r="CH4" s="888" t="s">
        <v>13</v>
      </c>
      <c r="CI4" s="889"/>
      <c r="CJ4" s="887" t="s">
        <v>11</v>
      </c>
      <c r="CK4" s="888" t="s">
        <v>11</v>
      </c>
      <c r="CL4" s="889"/>
      <c r="CM4" s="887" t="s">
        <v>11</v>
      </c>
      <c r="CN4" s="888" t="s">
        <v>11</v>
      </c>
      <c r="CO4" s="889"/>
      <c r="CP4" s="887" t="s">
        <v>164</v>
      </c>
      <c r="CQ4" s="888" t="s">
        <v>164</v>
      </c>
      <c r="CR4" s="889"/>
      <c r="CS4" s="887" t="s">
        <v>11</v>
      </c>
      <c r="CT4" s="888" t="s">
        <v>11</v>
      </c>
      <c r="CU4" s="889"/>
      <c r="CV4" s="887" t="s">
        <v>11</v>
      </c>
      <c r="CW4" s="888" t="s">
        <v>11</v>
      </c>
      <c r="CX4" s="889"/>
      <c r="CY4" s="887" t="s">
        <v>11</v>
      </c>
      <c r="CZ4" s="888" t="s">
        <v>11</v>
      </c>
      <c r="DA4" s="889"/>
      <c r="DB4" s="887" t="s">
        <v>11</v>
      </c>
      <c r="DC4" s="888" t="s">
        <v>11</v>
      </c>
      <c r="DD4" s="889"/>
      <c r="DE4" s="887" t="s">
        <v>11</v>
      </c>
      <c r="DF4" s="888" t="s">
        <v>11</v>
      </c>
      <c r="DG4" s="889"/>
      <c r="DH4" s="887" t="s">
        <v>11</v>
      </c>
      <c r="DI4" s="888" t="s">
        <v>11</v>
      </c>
      <c r="DJ4" s="889"/>
      <c r="DK4" s="887" t="s">
        <v>11</v>
      </c>
      <c r="DL4" s="888" t="s">
        <v>11</v>
      </c>
      <c r="DM4" s="889"/>
      <c r="DN4" s="887" t="s">
        <v>11</v>
      </c>
      <c r="DO4" s="888" t="s">
        <v>11</v>
      </c>
      <c r="DP4" s="889"/>
      <c r="DQ4" s="887" t="s">
        <v>11</v>
      </c>
      <c r="DR4" s="888" t="s">
        <v>11</v>
      </c>
      <c r="DS4" s="889"/>
      <c r="DT4" s="887" t="s">
        <v>11</v>
      </c>
      <c r="DU4" s="888" t="s">
        <v>11</v>
      </c>
      <c r="DV4" s="889"/>
      <c r="DW4" s="887" t="s">
        <v>164</v>
      </c>
      <c r="DX4" s="888" t="s">
        <v>164</v>
      </c>
      <c r="DY4" s="889"/>
      <c r="DZ4" s="887" t="s">
        <v>164</v>
      </c>
      <c r="EA4" s="888" t="s">
        <v>164</v>
      </c>
      <c r="EB4" s="889"/>
      <c r="EC4" s="887" t="s">
        <v>11</v>
      </c>
      <c r="ED4" s="888" t="s">
        <v>11</v>
      </c>
      <c r="EE4" s="889"/>
      <c r="EF4" s="887" t="s">
        <v>11</v>
      </c>
      <c r="EG4" s="888" t="s">
        <v>11</v>
      </c>
      <c r="EH4" s="889"/>
      <c r="EI4" s="887" t="s">
        <v>11</v>
      </c>
      <c r="EJ4" s="888" t="s">
        <v>11</v>
      </c>
      <c r="EK4" s="889"/>
      <c r="EL4" s="887" t="s">
        <v>164</v>
      </c>
      <c r="EM4" s="888" t="s">
        <v>164</v>
      </c>
      <c r="EN4" s="889"/>
      <c r="EO4" s="887" t="s">
        <v>164</v>
      </c>
      <c r="EP4" s="888" t="s">
        <v>164</v>
      </c>
      <c r="EQ4" s="889"/>
      <c r="ER4" s="887" t="s">
        <v>164</v>
      </c>
      <c r="ES4" s="888" t="s">
        <v>164</v>
      </c>
      <c r="ET4" s="889"/>
      <c r="EU4" s="887" t="s">
        <v>164</v>
      </c>
      <c r="EV4" s="888" t="s">
        <v>164</v>
      </c>
      <c r="EW4" s="889"/>
      <c r="EX4" s="887" t="s">
        <v>164</v>
      </c>
      <c r="EY4" s="888" t="s">
        <v>164</v>
      </c>
      <c r="EZ4" s="889"/>
      <c r="FA4" s="887" t="s">
        <v>11</v>
      </c>
      <c r="FB4" s="888" t="s">
        <v>11</v>
      </c>
      <c r="FC4" s="889"/>
      <c r="FD4" s="887" t="s">
        <v>11</v>
      </c>
      <c r="FE4" s="888" t="s">
        <v>11</v>
      </c>
      <c r="FF4" s="889"/>
      <c r="FG4" s="887" t="s">
        <v>11</v>
      </c>
      <c r="FH4" s="888" t="s">
        <v>11</v>
      </c>
      <c r="FI4" s="889"/>
      <c r="FJ4" s="887" t="s">
        <v>164</v>
      </c>
      <c r="FK4" s="888" t="s">
        <v>164</v>
      </c>
      <c r="FL4" s="889"/>
    </row>
    <row r="5" spans="1:172" ht="27" customHeight="1" x14ac:dyDescent="0.2">
      <c r="A5" s="915"/>
      <c r="B5" s="896" t="s">
        <v>8</v>
      </c>
      <c r="C5" s="896"/>
      <c r="D5" s="897" t="s">
        <v>862</v>
      </c>
      <c r="E5" s="898"/>
      <c r="F5" s="899"/>
      <c r="G5" s="903" t="s">
        <v>863</v>
      </c>
      <c r="H5" s="904"/>
      <c r="I5" s="905"/>
      <c r="J5" s="903" t="s">
        <v>864</v>
      </c>
      <c r="K5" s="904"/>
      <c r="L5" s="905"/>
      <c r="M5" s="890" t="s">
        <v>865</v>
      </c>
      <c r="N5" s="891"/>
      <c r="O5" s="892"/>
      <c r="P5" s="890" t="s">
        <v>866</v>
      </c>
      <c r="Q5" s="891"/>
      <c r="R5" s="892"/>
      <c r="S5" s="890" t="s">
        <v>867</v>
      </c>
      <c r="T5" s="891"/>
      <c r="U5" s="892"/>
      <c r="V5" s="890" t="s">
        <v>868</v>
      </c>
      <c r="W5" s="891"/>
      <c r="X5" s="892"/>
      <c r="Y5" s="890" t="s">
        <v>869</v>
      </c>
      <c r="Z5" s="891" t="s">
        <v>870</v>
      </c>
      <c r="AA5" s="892"/>
      <c r="AB5" s="890" t="s">
        <v>871</v>
      </c>
      <c r="AC5" s="891" t="s">
        <v>872</v>
      </c>
      <c r="AD5" s="892"/>
      <c r="AE5" s="890" t="s">
        <v>873</v>
      </c>
      <c r="AF5" s="891" t="s">
        <v>874</v>
      </c>
      <c r="AG5" s="892"/>
      <c r="AH5" s="890" t="s">
        <v>875</v>
      </c>
      <c r="AI5" s="891" t="s">
        <v>876</v>
      </c>
      <c r="AJ5" s="892"/>
      <c r="AK5" s="890" t="s">
        <v>877</v>
      </c>
      <c r="AL5" s="891" t="s">
        <v>878</v>
      </c>
      <c r="AM5" s="892"/>
      <c r="AN5" s="890" t="s">
        <v>879</v>
      </c>
      <c r="AO5" s="891" t="s">
        <v>880</v>
      </c>
      <c r="AP5" s="892"/>
      <c r="AQ5" s="890" t="s">
        <v>881</v>
      </c>
      <c r="AR5" s="891"/>
      <c r="AS5" s="892"/>
      <c r="AT5" s="890" t="s">
        <v>882</v>
      </c>
      <c r="AU5" s="891"/>
      <c r="AV5" s="892"/>
      <c r="AW5" s="890" t="s">
        <v>883</v>
      </c>
      <c r="AX5" s="891"/>
      <c r="AY5" s="892"/>
      <c r="AZ5" s="890" t="s">
        <v>884</v>
      </c>
      <c r="BA5" s="891"/>
      <c r="BB5" s="892"/>
      <c r="BC5" s="890" t="s">
        <v>885</v>
      </c>
      <c r="BD5" s="891"/>
      <c r="BE5" s="892"/>
      <c r="BF5" s="890" t="s">
        <v>886</v>
      </c>
      <c r="BG5" s="891" t="s">
        <v>887</v>
      </c>
      <c r="BH5" s="892"/>
      <c r="BI5" s="890" t="s">
        <v>888</v>
      </c>
      <c r="BJ5" s="891" t="s">
        <v>889</v>
      </c>
      <c r="BK5" s="892"/>
      <c r="BL5" s="890" t="s">
        <v>890</v>
      </c>
      <c r="BM5" s="891" t="s">
        <v>891</v>
      </c>
      <c r="BN5" s="892"/>
      <c r="BO5" s="890" t="s">
        <v>892</v>
      </c>
      <c r="BP5" s="891" t="s">
        <v>893</v>
      </c>
      <c r="BQ5" s="892"/>
      <c r="BR5" s="890" t="s">
        <v>894</v>
      </c>
      <c r="BS5" s="891" t="s">
        <v>895</v>
      </c>
      <c r="BT5" s="892"/>
      <c r="BU5" s="890" t="s">
        <v>896</v>
      </c>
      <c r="BV5" s="891" t="s">
        <v>897</v>
      </c>
      <c r="BW5" s="892"/>
      <c r="BX5" s="890" t="s">
        <v>898</v>
      </c>
      <c r="BY5" s="891" t="s">
        <v>899</v>
      </c>
      <c r="BZ5" s="892"/>
      <c r="CA5" s="890" t="s">
        <v>900</v>
      </c>
      <c r="CB5" s="891" t="s">
        <v>901</v>
      </c>
      <c r="CC5" s="892"/>
      <c r="CD5" s="890" t="s">
        <v>902</v>
      </c>
      <c r="CE5" s="891" t="s">
        <v>903</v>
      </c>
      <c r="CF5" s="892"/>
      <c r="CG5" s="890" t="s">
        <v>904</v>
      </c>
      <c r="CH5" s="891" t="s">
        <v>905</v>
      </c>
      <c r="CI5" s="892"/>
      <c r="CJ5" s="890" t="s">
        <v>906</v>
      </c>
      <c r="CK5" s="891" t="s">
        <v>907</v>
      </c>
      <c r="CL5" s="892"/>
      <c r="CM5" s="890" t="s">
        <v>908</v>
      </c>
      <c r="CN5" s="891" t="s">
        <v>909</v>
      </c>
      <c r="CO5" s="892"/>
      <c r="CP5" s="890" t="s">
        <v>910</v>
      </c>
      <c r="CQ5" s="891" t="s">
        <v>911</v>
      </c>
      <c r="CR5" s="892"/>
      <c r="CS5" s="890" t="s">
        <v>912</v>
      </c>
      <c r="CT5" s="891" t="s">
        <v>913</v>
      </c>
      <c r="CU5" s="892"/>
      <c r="CV5" s="890" t="s">
        <v>914</v>
      </c>
      <c r="CW5" s="891" t="s">
        <v>914</v>
      </c>
      <c r="CX5" s="892"/>
      <c r="CY5" s="890" t="s">
        <v>915</v>
      </c>
      <c r="CZ5" s="891" t="s">
        <v>916</v>
      </c>
      <c r="DA5" s="892"/>
      <c r="DB5" s="890" t="s">
        <v>917</v>
      </c>
      <c r="DC5" s="891" t="s">
        <v>918</v>
      </c>
      <c r="DD5" s="892"/>
      <c r="DE5" s="890" t="s">
        <v>919</v>
      </c>
      <c r="DF5" s="891" t="s">
        <v>920</v>
      </c>
      <c r="DG5" s="892"/>
      <c r="DH5" s="890" t="s">
        <v>921</v>
      </c>
      <c r="DI5" s="891" t="s">
        <v>921</v>
      </c>
      <c r="DJ5" s="892"/>
      <c r="DK5" s="890" t="s">
        <v>922</v>
      </c>
      <c r="DL5" s="891" t="s">
        <v>923</v>
      </c>
      <c r="DM5" s="892"/>
      <c r="DN5" s="890" t="s">
        <v>924</v>
      </c>
      <c r="DO5" s="891" t="s">
        <v>925</v>
      </c>
      <c r="DP5" s="892"/>
      <c r="DQ5" s="890" t="s">
        <v>926</v>
      </c>
      <c r="DR5" s="891" t="s">
        <v>927</v>
      </c>
      <c r="DS5" s="892"/>
      <c r="DT5" s="890" t="s">
        <v>928</v>
      </c>
      <c r="DU5" s="891" t="s">
        <v>929</v>
      </c>
      <c r="DV5" s="892"/>
      <c r="DW5" s="890" t="s">
        <v>930</v>
      </c>
      <c r="DX5" s="891" t="s">
        <v>931</v>
      </c>
      <c r="DY5" s="892"/>
      <c r="DZ5" s="890" t="s">
        <v>932</v>
      </c>
      <c r="EA5" s="891" t="s">
        <v>933</v>
      </c>
      <c r="EB5" s="892"/>
      <c r="EC5" s="890" t="s">
        <v>934</v>
      </c>
      <c r="ED5" s="891" t="s">
        <v>935</v>
      </c>
      <c r="EE5" s="892"/>
      <c r="EF5" s="890" t="s">
        <v>936</v>
      </c>
      <c r="EG5" s="891" t="s">
        <v>937</v>
      </c>
      <c r="EH5" s="892"/>
      <c r="EI5" s="890" t="s">
        <v>938</v>
      </c>
      <c r="EJ5" s="891" t="s">
        <v>939</v>
      </c>
      <c r="EK5" s="892"/>
      <c r="EL5" s="890" t="s">
        <v>940</v>
      </c>
      <c r="EM5" s="891" t="s">
        <v>941</v>
      </c>
      <c r="EN5" s="892"/>
      <c r="EO5" s="890" t="s">
        <v>942</v>
      </c>
      <c r="EP5" s="891" t="s">
        <v>943</v>
      </c>
      <c r="EQ5" s="892"/>
      <c r="ER5" s="890" t="s">
        <v>944</v>
      </c>
      <c r="ES5" s="891" t="s">
        <v>945</v>
      </c>
      <c r="ET5" s="892"/>
      <c r="EU5" s="890" t="s">
        <v>946</v>
      </c>
      <c r="EV5" s="891" t="s">
        <v>947</v>
      </c>
      <c r="EW5" s="892"/>
      <c r="EX5" s="890" t="s">
        <v>948</v>
      </c>
      <c r="EY5" s="891" t="s">
        <v>949</v>
      </c>
      <c r="EZ5" s="892"/>
      <c r="FA5" s="890" t="s">
        <v>950</v>
      </c>
      <c r="FB5" s="891" t="s">
        <v>950</v>
      </c>
      <c r="FC5" s="892"/>
      <c r="FD5" s="890" t="s">
        <v>951</v>
      </c>
      <c r="FE5" s="891" t="s">
        <v>951</v>
      </c>
      <c r="FF5" s="892"/>
      <c r="FG5" s="890" t="s">
        <v>952</v>
      </c>
      <c r="FH5" s="891" t="s">
        <v>953</v>
      </c>
      <c r="FI5" s="892"/>
      <c r="FJ5" s="890" t="s">
        <v>954</v>
      </c>
      <c r="FK5" s="891" t="s">
        <v>955</v>
      </c>
      <c r="FL5" s="892"/>
    </row>
    <row r="6" spans="1:172" ht="61.5" customHeight="1" x14ac:dyDescent="0.2">
      <c r="A6" s="915"/>
      <c r="B6" s="559" t="s">
        <v>9</v>
      </c>
      <c r="C6" s="575" t="s">
        <v>10</v>
      </c>
      <c r="D6" s="900"/>
      <c r="E6" s="901"/>
      <c r="F6" s="902"/>
      <c r="G6" s="906"/>
      <c r="H6" s="907"/>
      <c r="I6" s="908"/>
      <c r="J6" s="906"/>
      <c r="K6" s="907"/>
      <c r="L6" s="908"/>
      <c r="M6" s="893"/>
      <c r="N6" s="894"/>
      <c r="O6" s="895"/>
      <c r="P6" s="893"/>
      <c r="Q6" s="894"/>
      <c r="R6" s="895"/>
      <c r="S6" s="893"/>
      <c r="T6" s="894"/>
      <c r="U6" s="895"/>
      <c r="V6" s="893"/>
      <c r="W6" s="894"/>
      <c r="X6" s="895"/>
      <c r="Y6" s="893"/>
      <c r="Z6" s="894"/>
      <c r="AA6" s="895"/>
      <c r="AB6" s="893"/>
      <c r="AC6" s="894"/>
      <c r="AD6" s="895"/>
      <c r="AE6" s="893"/>
      <c r="AF6" s="894"/>
      <c r="AG6" s="895"/>
      <c r="AH6" s="893"/>
      <c r="AI6" s="894"/>
      <c r="AJ6" s="895"/>
      <c r="AK6" s="893"/>
      <c r="AL6" s="894"/>
      <c r="AM6" s="895"/>
      <c r="AN6" s="893"/>
      <c r="AO6" s="894"/>
      <c r="AP6" s="895"/>
      <c r="AQ6" s="893"/>
      <c r="AR6" s="894"/>
      <c r="AS6" s="895"/>
      <c r="AT6" s="893"/>
      <c r="AU6" s="894"/>
      <c r="AV6" s="895"/>
      <c r="AW6" s="893"/>
      <c r="AX6" s="894"/>
      <c r="AY6" s="895"/>
      <c r="AZ6" s="893"/>
      <c r="BA6" s="894"/>
      <c r="BB6" s="895"/>
      <c r="BC6" s="893"/>
      <c r="BD6" s="894"/>
      <c r="BE6" s="895"/>
      <c r="BF6" s="893"/>
      <c r="BG6" s="894"/>
      <c r="BH6" s="895"/>
      <c r="BI6" s="893"/>
      <c r="BJ6" s="894"/>
      <c r="BK6" s="895"/>
      <c r="BL6" s="893"/>
      <c r="BM6" s="894"/>
      <c r="BN6" s="895"/>
      <c r="BO6" s="893"/>
      <c r="BP6" s="894"/>
      <c r="BQ6" s="895"/>
      <c r="BR6" s="893"/>
      <c r="BS6" s="894"/>
      <c r="BT6" s="895"/>
      <c r="BU6" s="893"/>
      <c r="BV6" s="894"/>
      <c r="BW6" s="895"/>
      <c r="BX6" s="893"/>
      <c r="BY6" s="894"/>
      <c r="BZ6" s="895"/>
      <c r="CA6" s="893"/>
      <c r="CB6" s="894"/>
      <c r="CC6" s="895"/>
      <c r="CD6" s="893"/>
      <c r="CE6" s="894"/>
      <c r="CF6" s="895"/>
      <c r="CG6" s="893"/>
      <c r="CH6" s="894"/>
      <c r="CI6" s="895"/>
      <c r="CJ6" s="893"/>
      <c r="CK6" s="894"/>
      <c r="CL6" s="895"/>
      <c r="CM6" s="893"/>
      <c r="CN6" s="894"/>
      <c r="CO6" s="895"/>
      <c r="CP6" s="893"/>
      <c r="CQ6" s="894"/>
      <c r="CR6" s="895"/>
      <c r="CS6" s="893"/>
      <c r="CT6" s="894"/>
      <c r="CU6" s="895"/>
      <c r="CV6" s="893"/>
      <c r="CW6" s="894"/>
      <c r="CX6" s="895"/>
      <c r="CY6" s="893"/>
      <c r="CZ6" s="894"/>
      <c r="DA6" s="895"/>
      <c r="DB6" s="893"/>
      <c r="DC6" s="894"/>
      <c r="DD6" s="895"/>
      <c r="DE6" s="893"/>
      <c r="DF6" s="894"/>
      <c r="DG6" s="895"/>
      <c r="DH6" s="893"/>
      <c r="DI6" s="894"/>
      <c r="DJ6" s="895"/>
      <c r="DK6" s="893"/>
      <c r="DL6" s="894"/>
      <c r="DM6" s="895"/>
      <c r="DN6" s="893"/>
      <c r="DO6" s="894"/>
      <c r="DP6" s="895"/>
      <c r="DQ6" s="893"/>
      <c r="DR6" s="894"/>
      <c r="DS6" s="895"/>
      <c r="DT6" s="893"/>
      <c r="DU6" s="894"/>
      <c r="DV6" s="895"/>
      <c r="DW6" s="893"/>
      <c r="DX6" s="894"/>
      <c r="DY6" s="895"/>
      <c r="DZ6" s="893"/>
      <c r="EA6" s="894"/>
      <c r="EB6" s="895"/>
      <c r="EC6" s="893"/>
      <c r="ED6" s="894"/>
      <c r="EE6" s="895"/>
      <c r="EF6" s="893"/>
      <c r="EG6" s="894"/>
      <c r="EH6" s="895"/>
      <c r="EI6" s="893"/>
      <c r="EJ6" s="894"/>
      <c r="EK6" s="895"/>
      <c r="EL6" s="893"/>
      <c r="EM6" s="894"/>
      <c r="EN6" s="895"/>
      <c r="EO6" s="893"/>
      <c r="EP6" s="894"/>
      <c r="EQ6" s="895"/>
      <c r="ER6" s="893"/>
      <c r="ES6" s="894"/>
      <c r="ET6" s="895"/>
      <c r="EU6" s="893"/>
      <c r="EV6" s="894"/>
      <c r="EW6" s="895"/>
      <c r="EX6" s="893"/>
      <c r="EY6" s="894"/>
      <c r="EZ6" s="895"/>
      <c r="FA6" s="893"/>
      <c r="FB6" s="894"/>
      <c r="FC6" s="895"/>
      <c r="FD6" s="893"/>
      <c r="FE6" s="894"/>
      <c r="FF6" s="895"/>
      <c r="FG6" s="893"/>
      <c r="FH6" s="894"/>
      <c r="FI6" s="895"/>
      <c r="FJ6" s="893"/>
      <c r="FK6" s="894"/>
      <c r="FL6" s="895"/>
    </row>
    <row r="7" spans="1:172" ht="34.5" customHeight="1" x14ac:dyDescent="0.2">
      <c r="A7" s="7" t="s">
        <v>15</v>
      </c>
      <c r="B7" s="8" t="s">
        <v>16</v>
      </c>
      <c r="C7" s="8" t="s">
        <v>17</v>
      </c>
      <c r="D7" s="884" t="s">
        <v>18</v>
      </c>
      <c r="E7" s="885"/>
      <c r="F7" s="886"/>
      <c r="G7" s="884" t="s">
        <v>19</v>
      </c>
      <c r="H7" s="885"/>
      <c r="I7" s="886"/>
      <c r="J7" s="884" t="s">
        <v>20</v>
      </c>
      <c r="K7" s="885"/>
      <c r="L7" s="886"/>
      <c r="M7" s="884" t="s">
        <v>21</v>
      </c>
      <c r="N7" s="885"/>
      <c r="O7" s="886"/>
      <c r="P7" s="884" t="s">
        <v>22</v>
      </c>
      <c r="Q7" s="885"/>
      <c r="R7" s="886"/>
      <c r="S7" s="884" t="s">
        <v>36</v>
      </c>
      <c r="T7" s="885"/>
      <c r="U7" s="886"/>
      <c r="V7" s="884" t="s">
        <v>39</v>
      </c>
      <c r="W7" s="885"/>
      <c r="X7" s="886"/>
      <c r="Y7" s="884" t="s">
        <v>42</v>
      </c>
      <c r="Z7" s="885"/>
      <c r="AA7" s="886"/>
      <c r="AB7" s="884" t="s">
        <v>45</v>
      </c>
      <c r="AC7" s="885"/>
      <c r="AD7" s="886"/>
      <c r="AE7" s="884" t="s">
        <v>47</v>
      </c>
      <c r="AF7" s="885"/>
      <c r="AG7" s="886"/>
      <c r="AH7" s="884" t="s">
        <v>50</v>
      </c>
      <c r="AI7" s="885"/>
      <c r="AJ7" s="886"/>
      <c r="AK7" s="884" t="s">
        <v>53</v>
      </c>
      <c r="AL7" s="885"/>
      <c r="AM7" s="886"/>
      <c r="AN7" s="884" t="s">
        <v>55</v>
      </c>
      <c r="AO7" s="885"/>
      <c r="AP7" s="886"/>
      <c r="AQ7" s="884" t="s">
        <v>57</v>
      </c>
      <c r="AR7" s="885"/>
      <c r="AS7" s="886"/>
      <c r="AT7" s="884" t="s">
        <v>59</v>
      </c>
      <c r="AU7" s="885"/>
      <c r="AV7" s="886"/>
      <c r="AW7" s="884" t="s">
        <v>61</v>
      </c>
      <c r="AX7" s="885"/>
      <c r="AY7" s="886"/>
      <c r="AZ7" s="884" t="s">
        <v>63</v>
      </c>
      <c r="BA7" s="885"/>
      <c r="BB7" s="886"/>
      <c r="BC7" s="884" t="s">
        <v>65</v>
      </c>
      <c r="BD7" s="885"/>
      <c r="BE7" s="886"/>
      <c r="BF7" s="884" t="s">
        <v>68</v>
      </c>
      <c r="BG7" s="885"/>
      <c r="BH7" s="886"/>
      <c r="BI7" s="884" t="s">
        <v>71</v>
      </c>
      <c r="BJ7" s="885"/>
      <c r="BK7" s="886"/>
      <c r="BL7" s="884" t="s">
        <v>74</v>
      </c>
      <c r="BM7" s="885"/>
      <c r="BN7" s="886"/>
      <c r="BO7" s="884" t="s">
        <v>77</v>
      </c>
      <c r="BP7" s="885"/>
      <c r="BQ7" s="886"/>
      <c r="BR7" s="884" t="s">
        <v>80</v>
      </c>
      <c r="BS7" s="885"/>
      <c r="BT7" s="886"/>
      <c r="BU7" s="884" t="s">
        <v>83</v>
      </c>
      <c r="BV7" s="885"/>
      <c r="BW7" s="886"/>
      <c r="BX7" s="884" t="s">
        <v>86</v>
      </c>
      <c r="BY7" s="885"/>
      <c r="BZ7" s="886"/>
      <c r="CA7" s="884" t="s">
        <v>89</v>
      </c>
      <c r="CB7" s="885"/>
      <c r="CC7" s="886"/>
      <c r="CD7" s="884" t="s">
        <v>92</v>
      </c>
      <c r="CE7" s="885"/>
      <c r="CF7" s="886"/>
      <c r="CG7" s="884" t="s">
        <v>95</v>
      </c>
      <c r="CH7" s="885"/>
      <c r="CI7" s="886"/>
      <c r="CJ7" s="884" t="s">
        <v>97</v>
      </c>
      <c r="CK7" s="885"/>
      <c r="CL7" s="886"/>
      <c r="CM7" s="884" t="s">
        <v>99</v>
      </c>
      <c r="CN7" s="885"/>
      <c r="CO7" s="886"/>
      <c r="CP7" s="884" t="s">
        <v>101</v>
      </c>
      <c r="CQ7" s="885"/>
      <c r="CR7" s="886"/>
      <c r="CS7" s="884" t="s">
        <v>103</v>
      </c>
      <c r="CT7" s="885"/>
      <c r="CU7" s="886"/>
      <c r="CV7" s="884" t="s">
        <v>105</v>
      </c>
      <c r="CW7" s="885"/>
      <c r="CX7" s="886"/>
      <c r="CY7" s="884" t="s">
        <v>107</v>
      </c>
      <c r="CZ7" s="885"/>
      <c r="DA7" s="886"/>
      <c r="DB7" s="884" t="s">
        <v>109</v>
      </c>
      <c r="DC7" s="885"/>
      <c r="DD7" s="886"/>
      <c r="DE7" s="884" t="s">
        <v>111</v>
      </c>
      <c r="DF7" s="885"/>
      <c r="DG7" s="886"/>
      <c r="DH7" s="884" t="s">
        <v>113</v>
      </c>
      <c r="DI7" s="885"/>
      <c r="DJ7" s="886"/>
      <c r="DK7" s="884" t="s">
        <v>250</v>
      </c>
      <c r="DL7" s="885"/>
      <c r="DM7" s="886"/>
      <c r="DN7" s="884" t="s">
        <v>252</v>
      </c>
      <c r="DO7" s="885"/>
      <c r="DP7" s="886"/>
      <c r="DQ7" s="884" t="s">
        <v>254</v>
      </c>
      <c r="DR7" s="885"/>
      <c r="DS7" s="886"/>
      <c r="DT7" s="884" t="s">
        <v>256</v>
      </c>
      <c r="DU7" s="885"/>
      <c r="DV7" s="886"/>
      <c r="DW7" s="884" t="s">
        <v>956</v>
      </c>
      <c r="DX7" s="885"/>
      <c r="DY7" s="886"/>
      <c r="DZ7" s="884" t="s">
        <v>957</v>
      </c>
      <c r="EA7" s="885"/>
      <c r="EB7" s="886"/>
      <c r="EC7" s="884" t="s">
        <v>958</v>
      </c>
      <c r="ED7" s="885"/>
      <c r="EE7" s="886"/>
      <c r="EF7" s="884" t="s">
        <v>959</v>
      </c>
      <c r="EG7" s="885"/>
      <c r="EH7" s="886"/>
      <c r="EI7" s="884" t="s">
        <v>960</v>
      </c>
      <c r="EJ7" s="885"/>
      <c r="EK7" s="886"/>
      <c r="EL7" s="884" t="s">
        <v>961</v>
      </c>
      <c r="EM7" s="885"/>
      <c r="EN7" s="886"/>
      <c r="EO7" s="884" t="s">
        <v>962</v>
      </c>
      <c r="EP7" s="885"/>
      <c r="EQ7" s="886"/>
      <c r="ER7" s="884" t="s">
        <v>963</v>
      </c>
      <c r="ES7" s="885"/>
      <c r="ET7" s="886"/>
      <c r="EU7" s="884" t="s">
        <v>964</v>
      </c>
      <c r="EV7" s="885"/>
      <c r="EW7" s="886"/>
      <c r="EX7" s="884" t="s">
        <v>965</v>
      </c>
      <c r="EY7" s="885"/>
      <c r="EZ7" s="886"/>
      <c r="FA7" s="884" t="s">
        <v>966</v>
      </c>
      <c r="FB7" s="885"/>
      <c r="FC7" s="886"/>
      <c r="FD7" s="884" t="s">
        <v>967</v>
      </c>
      <c r="FE7" s="885"/>
      <c r="FF7" s="886"/>
      <c r="FG7" s="884" t="s">
        <v>968</v>
      </c>
      <c r="FH7" s="885"/>
      <c r="FI7" s="886"/>
      <c r="FJ7" s="884" t="s">
        <v>969</v>
      </c>
      <c r="FK7" s="885"/>
      <c r="FL7" s="886"/>
      <c r="FM7" t="s">
        <v>11</v>
      </c>
      <c r="FN7" t="s">
        <v>1286</v>
      </c>
      <c r="FO7" t="s">
        <v>13</v>
      </c>
      <c r="FP7" t="s">
        <v>14</v>
      </c>
    </row>
    <row r="8" spans="1:172" ht="24" customHeight="1" x14ac:dyDescent="0.2">
      <c r="A8" s="9" t="s">
        <v>15</v>
      </c>
      <c r="B8" s="6" t="s">
        <v>23</v>
      </c>
      <c r="C8" s="576" t="s">
        <v>24</v>
      </c>
      <c r="D8" s="577"/>
      <c r="E8" s="577">
        <f>D8</f>
        <v>0</v>
      </c>
      <c r="F8" s="577"/>
      <c r="G8" s="577"/>
      <c r="H8" s="577">
        <f>G8</f>
        <v>0</v>
      </c>
      <c r="I8" s="577"/>
      <c r="J8" s="577"/>
      <c r="K8" s="577">
        <f>J8</f>
        <v>0</v>
      </c>
      <c r="L8" s="577"/>
      <c r="M8" s="577"/>
      <c r="N8" s="577">
        <f>M8</f>
        <v>0</v>
      </c>
      <c r="O8" s="577"/>
      <c r="P8" s="577"/>
      <c r="Q8" s="577">
        <f>P8</f>
        <v>0</v>
      </c>
      <c r="R8" s="577"/>
      <c r="S8" s="577"/>
      <c r="T8" s="577"/>
      <c r="U8" s="577"/>
      <c r="V8" s="577"/>
      <c r="W8" s="577">
        <f>V8</f>
        <v>0</v>
      </c>
      <c r="X8" s="577"/>
      <c r="Y8" s="577"/>
      <c r="Z8" s="577"/>
      <c r="AA8" s="577"/>
      <c r="AB8" s="577"/>
      <c r="AC8" s="577">
        <f>AB8</f>
        <v>0</v>
      </c>
      <c r="AD8" s="577"/>
      <c r="AE8" s="577"/>
      <c r="AF8" s="577"/>
      <c r="AG8" s="577"/>
      <c r="AH8" s="577"/>
      <c r="AI8" s="577"/>
      <c r="AJ8" s="577"/>
      <c r="AK8" s="577"/>
      <c r="AL8" s="577"/>
      <c r="AM8" s="577"/>
      <c r="AN8" s="577"/>
      <c r="AO8" s="577"/>
      <c r="AP8" s="577"/>
      <c r="AQ8" s="577"/>
      <c r="AR8" s="577"/>
      <c r="AS8" s="578"/>
      <c r="AT8" s="577"/>
      <c r="AU8" s="577"/>
      <c r="AV8" s="578"/>
      <c r="AW8" s="577"/>
      <c r="AX8" s="577"/>
      <c r="AY8" s="577"/>
      <c r="AZ8" s="577"/>
      <c r="BA8" s="577"/>
      <c r="BB8" s="577"/>
      <c r="BC8" s="577"/>
      <c r="BD8" s="577"/>
      <c r="BE8" s="577"/>
      <c r="BF8" s="577"/>
      <c r="BG8" s="577"/>
      <c r="BH8" s="577"/>
      <c r="BI8" s="577"/>
      <c r="BJ8" s="577"/>
      <c r="BK8" s="577"/>
      <c r="BL8" s="577"/>
      <c r="BM8" s="577"/>
      <c r="BN8" s="577"/>
      <c r="BO8" s="577"/>
      <c r="BP8" s="577"/>
      <c r="BQ8" s="577"/>
      <c r="BR8" s="577">
        <v>58392915</v>
      </c>
      <c r="BS8" s="577">
        <v>58299521</v>
      </c>
      <c r="BT8" s="577">
        <v>53674489</v>
      </c>
      <c r="BU8" s="577">
        <v>3299000</v>
      </c>
      <c r="BV8" s="577">
        <v>7955071</v>
      </c>
      <c r="BW8" s="577">
        <v>7884511</v>
      </c>
      <c r="BX8" s="577"/>
      <c r="BY8" s="577"/>
      <c r="BZ8" s="577"/>
      <c r="CA8" s="577"/>
      <c r="CB8" s="577"/>
      <c r="CC8" s="577"/>
      <c r="CD8" s="577"/>
      <c r="CE8" s="577"/>
      <c r="CF8" s="577"/>
      <c r="CG8" s="577"/>
      <c r="CH8" s="577"/>
      <c r="CI8" s="577"/>
      <c r="CJ8" s="577"/>
      <c r="CK8" s="577"/>
      <c r="CL8" s="577"/>
      <c r="CM8" s="577"/>
      <c r="CN8" s="577"/>
      <c r="CO8" s="577"/>
      <c r="CP8" s="577"/>
      <c r="CQ8" s="577"/>
      <c r="CR8" s="577"/>
      <c r="CS8" s="577"/>
      <c r="CT8" s="577"/>
      <c r="CU8" s="577"/>
      <c r="CV8" s="577"/>
      <c r="CW8" s="577"/>
      <c r="CX8" s="577"/>
      <c r="CY8" s="577"/>
      <c r="CZ8" s="577"/>
      <c r="DA8" s="577"/>
      <c r="DB8" s="577"/>
      <c r="DC8" s="577"/>
      <c r="DD8" s="577"/>
      <c r="DE8" s="578"/>
      <c r="DF8" s="578"/>
      <c r="DG8" s="578"/>
      <c r="DH8" s="578"/>
      <c r="DI8" s="578"/>
      <c r="DJ8" s="578"/>
      <c r="DK8" s="577"/>
      <c r="DL8" s="577"/>
      <c r="DM8" s="577"/>
      <c r="DN8" s="577"/>
      <c r="DO8" s="577"/>
      <c r="DP8" s="577"/>
      <c r="DQ8" s="577"/>
      <c r="DR8" s="577"/>
      <c r="DS8" s="577"/>
      <c r="DT8" s="577"/>
      <c r="DU8" s="577"/>
      <c r="DV8" s="577"/>
      <c r="DW8" s="577">
        <v>400000</v>
      </c>
      <c r="DX8" s="577">
        <v>650000</v>
      </c>
      <c r="DY8" s="577">
        <v>500000</v>
      </c>
      <c r="DZ8" s="577"/>
      <c r="EA8" s="577"/>
      <c r="EB8" s="577"/>
      <c r="EC8" s="577"/>
      <c r="ED8" s="577"/>
      <c r="EE8" s="577"/>
      <c r="EF8" s="577"/>
      <c r="EG8" s="577"/>
      <c r="EH8" s="577"/>
      <c r="EI8" s="577">
        <v>4867500</v>
      </c>
      <c r="EJ8" s="577">
        <v>6253125</v>
      </c>
      <c r="EK8" s="577">
        <v>5959084</v>
      </c>
      <c r="EL8" s="577"/>
      <c r="EM8" s="577"/>
      <c r="EN8" s="577"/>
      <c r="EO8" s="577"/>
      <c r="EP8" s="577"/>
      <c r="EQ8" s="577"/>
      <c r="ER8" s="577"/>
      <c r="ES8" s="577"/>
      <c r="ET8" s="577"/>
      <c r="EU8" s="577"/>
      <c r="EV8" s="577"/>
      <c r="EW8" s="577"/>
      <c r="EX8" s="577"/>
      <c r="EY8" s="577">
        <v>37500</v>
      </c>
      <c r="EZ8" s="577">
        <v>37500</v>
      </c>
      <c r="FA8" s="577"/>
      <c r="FB8" s="579"/>
      <c r="FC8" s="579"/>
      <c r="FD8" s="579">
        <v>24862500</v>
      </c>
      <c r="FE8" s="579">
        <v>20306819</v>
      </c>
      <c r="FF8" s="579">
        <v>19931120</v>
      </c>
      <c r="FG8" s="577">
        <v>5768000</v>
      </c>
      <c r="FH8" s="577">
        <v>6859000</v>
      </c>
      <c r="FI8" s="577">
        <v>6693577</v>
      </c>
      <c r="FJ8" s="577"/>
      <c r="FK8" s="577"/>
      <c r="FL8" s="577"/>
      <c r="FM8" s="696">
        <f>+F8+I8+L8+U8+X8+AA8+BN8+BT8+BW8+CC8+CF8+CL8+CO8+CU8+CX8+DA8+DD8+DG8+DJ8+DM8+DP8+DS8+DV8+EE8+EH8+EK8+FC8+FF8+FI8</f>
        <v>94142781</v>
      </c>
      <c r="FN8" s="696">
        <f>+O8+R8+AD8+AG8+AJ8+AM8+AP8+AS8+AV8+AY8+BB8+BE8+BH8+BK8+BQ8+BZ8+CR8+DY8+EB8+EN8+EQ8+ET8+EW8+EZ8+FL8</f>
        <v>537500</v>
      </c>
      <c r="FO8" s="696">
        <f>+CI8</f>
        <v>0</v>
      </c>
      <c r="FP8" s="696">
        <f>+FM8+FN8+FO8</f>
        <v>94680281</v>
      </c>
    </row>
    <row r="9" spans="1:172" ht="24" customHeight="1" x14ac:dyDescent="0.2">
      <c r="A9" s="9" t="s">
        <v>16</v>
      </c>
      <c r="B9" s="13" t="s">
        <v>25</v>
      </c>
      <c r="C9" s="576" t="s">
        <v>26</v>
      </c>
      <c r="D9" s="577"/>
      <c r="E9" s="577">
        <f>D9</f>
        <v>0</v>
      </c>
      <c r="F9" s="577"/>
      <c r="G9" s="577"/>
      <c r="H9" s="577">
        <f>G9</f>
        <v>0</v>
      </c>
      <c r="I9" s="577"/>
      <c r="J9" s="577"/>
      <c r="K9" s="577">
        <f>J9</f>
        <v>0</v>
      </c>
      <c r="L9" s="577"/>
      <c r="M9" s="577"/>
      <c r="N9" s="577">
        <f>M9</f>
        <v>0</v>
      </c>
      <c r="O9" s="577"/>
      <c r="P9" s="577"/>
      <c r="Q9" s="577">
        <f>P9</f>
        <v>0</v>
      </c>
      <c r="R9" s="577"/>
      <c r="S9" s="577"/>
      <c r="T9" s="577"/>
      <c r="U9" s="577"/>
      <c r="V9" s="577"/>
      <c r="W9" s="577">
        <f>V9</f>
        <v>0</v>
      </c>
      <c r="X9" s="577"/>
      <c r="Y9" s="577"/>
      <c r="Z9" s="577"/>
      <c r="AA9" s="577"/>
      <c r="AB9" s="577"/>
      <c r="AC9" s="577">
        <f>AB9</f>
        <v>0</v>
      </c>
      <c r="AD9" s="577"/>
      <c r="AE9" s="577"/>
      <c r="AF9" s="577"/>
      <c r="AG9" s="577"/>
      <c r="AH9" s="577"/>
      <c r="AI9" s="577"/>
      <c r="AJ9" s="577"/>
      <c r="AK9" s="577"/>
      <c r="AL9" s="577"/>
      <c r="AM9" s="577"/>
      <c r="AN9" s="577"/>
      <c r="AO9" s="577"/>
      <c r="AP9" s="577"/>
      <c r="AQ9" s="577"/>
      <c r="AR9" s="577"/>
      <c r="AS9" s="578"/>
      <c r="AT9" s="577"/>
      <c r="AU9" s="577"/>
      <c r="AV9" s="578"/>
      <c r="AW9" s="577"/>
      <c r="AX9" s="577"/>
      <c r="AY9" s="577"/>
      <c r="AZ9" s="577"/>
      <c r="BA9" s="577"/>
      <c r="BB9" s="577"/>
      <c r="BC9" s="577"/>
      <c r="BD9" s="577"/>
      <c r="BE9" s="577"/>
      <c r="BF9" s="577"/>
      <c r="BG9" s="577"/>
      <c r="BH9" s="577"/>
      <c r="BI9" s="577"/>
      <c r="BJ9" s="577"/>
      <c r="BK9" s="577"/>
      <c r="BL9" s="577"/>
      <c r="BM9" s="577"/>
      <c r="BN9" s="577"/>
      <c r="BO9" s="577"/>
      <c r="BP9" s="577"/>
      <c r="BQ9" s="577"/>
      <c r="BR9" s="577">
        <v>14187282</v>
      </c>
      <c r="BS9" s="577">
        <v>13609282</v>
      </c>
      <c r="BT9" s="577">
        <v>11727935</v>
      </c>
      <c r="BU9" s="577">
        <v>743988</v>
      </c>
      <c r="BV9" s="577">
        <v>1702771</v>
      </c>
      <c r="BW9" s="577">
        <v>1662949</v>
      </c>
      <c r="BX9" s="577"/>
      <c r="BY9" s="577"/>
      <c r="BZ9" s="577"/>
      <c r="CA9" s="577"/>
      <c r="CB9" s="577"/>
      <c r="CC9" s="577"/>
      <c r="CD9" s="577"/>
      <c r="CE9" s="577"/>
      <c r="CF9" s="577"/>
      <c r="CG9" s="577"/>
      <c r="CH9" s="577"/>
      <c r="CI9" s="577"/>
      <c r="CJ9" s="577"/>
      <c r="CK9" s="577"/>
      <c r="CL9" s="577"/>
      <c r="CM9" s="577"/>
      <c r="CN9" s="577"/>
      <c r="CO9" s="577"/>
      <c r="CP9" s="577"/>
      <c r="CQ9" s="577"/>
      <c r="CR9" s="577"/>
      <c r="CS9" s="577"/>
      <c r="CT9" s="577"/>
      <c r="CU9" s="577"/>
      <c r="CV9" s="577"/>
      <c r="CW9" s="577"/>
      <c r="CX9" s="577"/>
      <c r="CY9" s="577"/>
      <c r="CZ9" s="577"/>
      <c r="DA9" s="577"/>
      <c r="DB9" s="577"/>
      <c r="DC9" s="577"/>
      <c r="DD9" s="577"/>
      <c r="DE9" s="578"/>
      <c r="DF9" s="578"/>
      <c r="DG9" s="578"/>
      <c r="DH9" s="578"/>
      <c r="DI9" s="578"/>
      <c r="DJ9" s="578"/>
      <c r="DK9" s="577"/>
      <c r="DL9" s="577"/>
      <c r="DM9" s="577"/>
      <c r="DN9" s="577"/>
      <c r="DO9" s="577"/>
      <c r="DP9" s="577"/>
      <c r="DQ9" s="577"/>
      <c r="DR9" s="577"/>
      <c r="DS9" s="577"/>
      <c r="DT9" s="577">
        <v>600832</v>
      </c>
      <c r="DU9" s="577">
        <v>600832</v>
      </c>
      <c r="DV9" s="577">
        <v>229000</v>
      </c>
      <c r="DW9" s="577">
        <v>108000</v>
      </c>
      <c r="DX9" s="577">
        <v>108000</v>
      </c>
      <c r="DY9" s="577"/>
      <c r="DZ9" s="577"/>
      <c r="EA9" s="577"/>
      <c r="EB9" s="577"/>
      <c r="EC9" s="577"/>
      <c r="ED9" s="577"/>
      <c r="EE9" s="577"/>
      <c r="EF9" s="577"/>
      <c r="EG9" s="577"/>
      <c r="EH9" s="577"/>
      <c r="EI9" s="580">
        <v>1111446</v>
      </c>
      <c r="EJ9" s="577">
        <v>1361027</v>
      </c>
      <c r="EK9" s="577">
        <v>1310601</v>
      </c>
      <c r="EL9" s="577"/>
      <c r="EM9" s="577"/>
      <c r="EN9" s="577"/>
      <c r="EO9" s="577"/>
      <c r="EP9" s="577"/>
      <c r="EQ9" s="577"/>
      <c r="ER9" s="577"/>
      <c r="ES9" s="577"/>
      <c r="ET9" s="577"/>
      <c r="EU9" s="577"/>
      <c r="EV9" s="577"/>
      <c r="EW9" s="577"/>
      <c r="EX9" s="577"/>
      <c r="EY9" s="577">
        <v>67500</v>
      </c>
      <c r="EZ9" s="577">
        <v>67500</v>
      </c>
      <c r="FA9" s="577"/>
      <c r="FB9" s="579"/>
      <c r="FC9" s="579"/>
      <c r="FD9" s="581">
        <v>5761744</v>
      </c>
      <c r="FE9" s="579">
        <v>4683643</v>
      </c>
      <c r="FF9" s="579">
        <v>4670668</v>
      </c>
      <c r="FG9" s="580">
        <v>1325876</v>
      </c>
      <c r="FH9" s="577">
        <v>1524861</v>
      </c>
      <c r="FI9" s="577">
        <v>1504292</v>
      </c>
      <c r="FJ9" s="577"/>
      <c r="FK9" s="577"/>
      <c r="FL9" s="577"/>
      <c r="FM9" s="696">
        <f t="shared" ref="FM9:FM48" si="0">+F9+I9+L9+U9+X9+AA9+BN9+BT9+BW9+CC9+CF9+CL9+CO9+CU9+CX9+DA9+DD9+DG9+DJ9+DM9+DP9+DS9+DV9+EE9+EH9+EK9+FC9+FF9+FI9</f>
        <v>21105445</v>
      </c>
      <c r="FN9" s="696">
        <f t="shared" ref="FN9:FN48" si="1">+O9+R9+AD9+AG9+AJ9+AM9+AP9+AS9+AV9+AY9+BB9+BE9+BH9+BK9+BQ9+BZ9+CR9+DY9+EB9+EN9+EQ9+ET9+EW9+EZ9+FL9</f>
        <v>67500</v>
      </c>
      <c r="FO9" s="696">
        <f t="shared" ref="FO9:FO48" si="2">+CI9</f>
        <v>0</v>
      </c>
      <c r="FP9" s="696">
        <f t="shared" ref="FP9:FP48" si="3">+FM9+FN9+FO9</f>
        <v>21172945</v>
      </c>
    </row>
    <row r="10" spans="1:172" ht="24" customHeight="1" x14ac:dyDescent="0.2">
      <c r="A10" s="9" t="s">
        <v>17</v>
      </c>
      <c r="B10" s="13" t="s">
        <v>27</v>
      </c>
      <c r="C10" s="576" t="s">
        <v>28</v>
      </c>
      <c r="D10" s="577"/>
      <c r="E10" s="577">
        <f>D10</f>
        <v>0</v>
      </c>
      <c r="F10" s="577"/>
      <c r="G10" s="577"/>
      <c r="H10" s="577">
        <f>G10</f>
        <v>0</v>
      </c>
      <c r="I10" s="577"/>
      <c r="J10" s="577"/>
      <c r="K10" s="577">
        <f>J10</f>
        <v>0</v>
      </c>
      <c r="L10" s="577"/>
      <c r="M10" s="577"/>
      <c r="N10" s="577">
        <f>M10</f>
        <v>0</v>
      </c>
      <c r="O10" s="577"/>
      <c r="P10" s="577">
        <v>1000000</v>
      </c>
      <c r="Q10" s="577">
        <v>1892500</v>
      </c>
      <c r="R10" s="577">
        <v>1753134</v>
      </c>
      <c r="S10" s="577"/>
      <c r="T10" s="577">
        <v>1000000</v>
      </c>
      <c r="U10" s="577">
        <v>980000</v>
      </c>
      <c r="V10" s="577"/>
      <c r="W10" s="577">
        <f>V10</f>
        <v>0</v>
      </c>
      <c r="X10" s="577"/>
      <c r="Y10" s="577"/>
      <c r="Z10" s="577"/>
      <c r="AA10" s="577"/>
      <c r="AB10" s="577"/>
      <c r="AC10" s="577">
        <f>AB10</f>
        <v>0</v>
      </c>
      <c r="AD10" s="577"/>
      <c r="AE10" s="577"/>
      <c r="AF10" s="577"/>
      <c r="AG10" s="577"/>
      <c r="AH10" s="577"/>
      <c r="AI10" s="577"/>
      <c r="AJ10" s="577"/>
      <c r="AK10" s="577"/>
      <c r="AL10" s="577"/>
      <c r="AM10" s="577"/>
      <c r="AN10" s="577"/>
      <c r="AO10" s="577"/>
      <c r="AP10" s="577"/>
      <c r="AQ10" s="577"/>
      <c r="AR10" s="577"/>
      <c r="AS10" s="578"/>
      <c r="AT10" s="577"/>
      <c r="AU10" s="577"/>
      <c r="AV10" s="578"/>
      <c r="AW10" s="577"/>
      <c r="AX10" s="577"/>
      <c r="AY10" s="577"/>
      <c r="AZ10" s="577"/>
      <c r="BA10" s="577"/>
      <c r="BB10" s="577"/>
      <c r="BC10" s="577"/>
      <c r="BD10" s="577"/>
      <c r="BE10" s="577"/>
      <c r="BF10" s="577"/>
      <c r="BG10" s="577"/>
      <c r="BH10" s="577"/>
      <c r="BI10" s="577"/>
      <c r="BJ10" s="577"/>
      <c r="BK10" s="577"/>
      <c r="BL10" s="577"/>
      <c r="BM10" s="577"/>
      <c r="BN10" s="577"/>
      <c r="BO10" s="577"/>
      <c r="BP10" s="577"/>
      <c r="BQ10" s="577"/>
      <c r="BR10" s="577">
        <v>2394850</v>
      </c>
      <c r="BS10" s="577">
        <v>2922722</v>
      </c>
      <c r="BT10" s="577">
        <v>2895556</v>
      </c>
      <c r="BU10" s="577"/>
      <c r="BV10" s="577">
        <v>209088</v>
      </c>
      <c r="BW10" s="577">
        <v>209088</v>
      </c>
      <c r="BX10" s="577"/>
      <c r="BY10" s="577"/>
      <c r="BZ10" s="577"/>
      <c r="CA10" s="577"/>
      <c r="CB10" s="577"/>
      <c r="CC10" s="577"/>
      <c r="CD10" s="577"/>
      <c r="CE10" s="577"/>
      <c r="CF10" s="577"/>
      <c r="CG10" s="577"/>
      <c r="CH10" s="577"/>
      <c r="CI10" s="577"/>
      <c r="CJ10" s="577"/>
      <c r="CK10" s="577"/>
      <c r="CL10" s="577"/>
      <c r="CM10" s="577"/>
      <c r="CN10" s="577"/>
      <c r="CO10" s="577"/>
      <c r="CP10" s="577"/>
      <c r="CQ10" s="577"/>
      <c r="CR10" s="577"/>
      <c r="CS10" s="577">
        <v>500000</v>
      </c>
      <c r="CT10" s="577">
        <v>600000</v>
      </c>
      <c r="CU10" s="577">
        <v>600000</v>
      </c>
      <c r="CV10" s="577">
        <v>7200000</v>
      </c>
      <c r="CW10" s="577">
        <v>14492689</v>
      </c>
      <c r="CX10" s="577">
        <v>13253570</v>
      </c>
      <c r="CY10" s="577">
        <v>186312420</v>
      </c>
      <c r="CZ10" s="577">
        <v>259673996</v>
      </c>
      <c r="DA10" s="577">
        <v>259361576</v>
      </c>
      <c r="DB10" s="577">
        <v>22000000</v>
      </c>
      <c r="DC10" s="577">
        <v>30286082</v>
      </c>
      <c r="DD10" s="577">
        <v>30209882</v>
      </c>
      <c r="DE10" s="578">
        <v>28675000</v>
      </c>
      <c r="DF10" s="578">
        <v>24828500</v>
      </c>
      <c r="DG10" s="578">
        <v>24828500</v>
      </c>
      <c r="DH10" s="578"/>
      <c r="DI10" s="578"/>
      <c r="DJ10" s="578"/>
      <c r="DK10" s="577">
        <v>38000000</v>
      </c>
      <c r="DL10" s="577">
        <v>15993842</v>
      </c>
      <c r="DM10" s="577">
        <v>15724378</v>
      </c>
      <c r="DN10" s="577">
        <v>85900000</v>
      </c>
      <c r="DO10" s="577">
        <v>168122918</v>
      </c>
      <c r="DP10" s="577">
        <v>168122918</v>
      </c>
      <c r="DQ10" s="577">
        <v>45262967</v>
      </c>
      <c r="DR10" s="577">
        <v>88306582</v>
      </c>
      <c r="DS10" s="577">
        <v>79830259</v>
      </c>
      <c r="DT10" s="577">
        <v>30095582</v>
      </c>
      <c r="DU10" s="577">
        <v>62085986</v>
      </c>
      <c r="DV10" s="577">
        <v>31324731</v>
      </c>
      <c r="DW10" s="577">
        <v>1460000</v>
      </c>
      <c r="DX10" s="577">
        <v>1460000</v>
      </c>
      <c r="DY10" s="577">
        <v>1390639</v>
      </c>
      <c r="DZ10" s="577">
        <v>4300000</v>
      </c>
      <c r="EA10" s="577">
        <v>2718734</v>
      </c>
      <c r="EB10" s="577">
        <v>2177900</v>
      </c>
      <c r="EC10" s="577">
        <v>5000000</v>
      </c>
      <c r="ED10" s="577">
        <v>9847744</v>
      </c>
      <c r="EE10" s="577">
        <v>9675340</v>
      </c>
      <c r="EF10" s="577">
        <v>4000000</v>
      </c>
      <c r="EG10" s="577">
        <v>2719000</v>
      </c>
      <c r="EH10" s="577">
        <v>2590300</v>
      </c>
      <c r="EI10" s="577">
        <v>21151464</v>
      </c>
      <c r="EJ10" s="577">
        <v>20783369</v>
      </c>
      <c r="EK10" s="577">
        <v>18359562</v>
      </c>
      <c r="EL10" s="577">
        <v>11684000</v>
      </c>
      <c r="EM10" s="577">
        <v>11684000</v>
      </c>
      <c r="EN10" s="577">
        <v>11684000</v>
      </c>
      <c r="EO10" s="577">
        <v>1575000</v>
      </c>
      <c r="EP10" s="577">
        <v>1575000</v>
      </c>
      <c r="EQ10" s="577">
        <v>1574800</v>
      </c>
      <c r="ER10" s="577">
        <f>30000000</f>
        <v>30000000</v>
      </c>
      <c r="ES10" s="577">
        <v>30000000</v>
      </c>
      <c r="ET10" s="577">
        <v>21716695</v>
      </c>
      <c r="EU10" s="577"/>
      <c r="EV10" s="577"/>
      <c r="EW10" s="577"/>
      <c r="EX10" s="577"/>
      <c r="EY10" s="577"/>
      <c r="EZ10" s="577"/>
      <c r="FA10" s="577">
        <v>5000000</v>
      </c>
      <c r="FB10" s="579">
        <v>15075281</v>
      </c>
      <c r="FC10" s="579">
        <v>15075281</v>
      </c>
      <c r="FD10" s="579">
        <v>375600</v>
      </c>
      <c r="FE10" s="579">
        <v>375600</v>
      </c>
      <c r="FF10" s="579">
        <v>134425</v>
      </c>
      <c r="FG10" s="577">
        <v>11315401</v>
      </c>
      <c r="FH10" s="577">
        <v>11260801</v>
      </c>
      <c r="FI10" s="577">
        <v>8032771</v>
      </c>
      <c r="FJ10" s="577">
        <v>500000</v>
      </c>
      <c r="FK10" s="577">
        <v>550065</v>
      </c>
      <c r="FL10" s="577">
        <v>550065</v>
      </c>
      <c r="FM10" s="696">
        <f t="shared" si="0"/>
        <v>681208137</v>
      </c>
      <c r="FN10" s="696">
        <f t="shared" si="1"/>
        <v>40847233</v>
      </c>
      <c r="FO10" s="696">
        <f t="shared" si="2"/>
        <v>0</v>
      </c>
      <c r="FP10" s="696">
        <f t="shared" si="3"/>
        <v>722055370</v>
      </c>
    </row>
    <row r="11" spans="1:172" ht="24" customHeight="1" x14ac:dyDescent="0.2">
      <c r="A11" s="9" t="s">
        <v>18</v>
      </c>
      <c r="B11" s="16" t="s">
        <v>29</v>
      </c>
      <c r="C11" s="576" t="s">
        <v>30</v>
      </c>
      <c r="D11" s="577"/>
      <c r="E11" s="577">
        <f>D11</f>
        <v>0</v>
      </c>
      <c r="F11" s="577"/>
      <c r="G11" s="577"/>
      <c r="H11" s="577">
        <f>G11</f>
        <v>0</v>
      </c>
      <c r="I11" s="577"/>
      <c r="J11" s="577"/>
      <c r="K11" s="577">
        <f>J11</f>
        <v>0</v>
      </c>
      <c r="L11" s="577"/>
      <c r="M11" s="577"/>
      <c r="N11" s="577">
        <f>M11</f>
        <v>0</v>
      </c>
      <c r="O11" s="577"/>
      <c r="P11" s="577"/>
      <c r="Q11" s="577">
        <f>P11</f>
        <v>0</v>
      </c>
      <c r="R11" s="577"/>
      <c r="S11" s="577"/>
      <c r="T11" s="577"/>
      <c r="U11" s="577"/>
      <c r="V11" s="577"/>
      <c r="W11" s="577">
        <f>V11</f>
        <v>0</v>
      </c>
      <c r="X11" s="577"/>
      <c r="Y11" s="577"/>
      <c r="Z11" s="577"/>
      <c r="AA11" s="577"/>
      <c r="AB11" s="577"/>
      <c r="AC11" s="577">
        <f>AB11</f>
        <v>0</v>
      </c>
      <c r="AD11" s="577"/>
      <c r="AE11" s="577"/>
      <c r="AF11" s="577"/>
      <c r="AG11" s="577"/>
      <c r="AH11" s="577"/>
      <c r="AI11" s="577"/>
      <c r="AJ11" s="577"/>
      <c r="AK11" s="577"/>
      <c r="AL11" s="577"/>
      <c r="AM11" s="577"/>
      <c r="AN11" s="577"/>
      <c r="AO11" s="577"/>
      <c r="AP11" s="577"/>
      <c r="AQ11" s="577"/>
      <c r="AR11" s="577"/>
      <c r="AS11" s="578"/>
      <c r="AT11" s="577"/>
      <c r="AU11" s="577"/>
      <c r="AV11" s="578"/>
      <c r="AW11" s="577"/>
      <c r="AX11" s="577"/>
      <c r="AY11" s="577"/>
      <c r="AZ11" s="577"/>
      <c r="BA11" s="577"/>
      <c r="BB11" s="577"/>
      <c r="BC11" s="577"/>
      <c r="BD11" s="577"/>
      <c r="BE11" s="577"/>
      <c r="BF11" s="577"/>
      <c r="BG11" s="577"/>
      <c r="BH11" s="577"/>
      <c r="BI11" s="577"/>
      <c r="BJ11" s="577"/>
      <c r="BK11" s="577"/>
      <c r="BL11" s="577"/>
      <c r="BM11" s="577"/>
      <c r="BN11" s="577"/>
      <c r="BO11" s="577"/>
      <c r="BP11" s="577"/>
      <c r="BQ11" s="577"/>
      <c r="BR11" s="577"/>
      <c r="BS11" s="577">
        <f>BR11</f>
        <v>0</v>
      </c>
      <c r="BT11" s="577"/>
      <c r="BU11" s="577"/>
      <c r="BV11" s="577"/>
      <c r="BW11" s="577"/>
      <c r="BX11" s="577"/>
      <c r="BY11" s="577"/>
      <c r="BZ11" s="577"/>
      <c r="CA11" s="577">
        <v>2000000</v>
      </c>
      <c r="CB11" s="577">
        <v>2600000</v>
      </c>
      <c r="CC11" s="577">
        <v>766215</v>
      </c>
      <c r="CD11" s="577">
        <v>16500000</v>
      </c>
      <c r="CE11" s="577">
        <v>30040000</v>
      </c>
      <c r="CF11" s="577">
        <v>26100697</v>
      </c>
      <c r="CG11" s="577">
        <v>750000</v>
      </c>
      <c r="CH11" s="577">
        <v>1850000</v>
      </c>
      <c r="CI11" s="577">
        <v>1447307</v>
      </c>
      <c r="CJ11" s="577">
        <v>1000000</v>
      </c>
      <c r="CK11" s="577">
        <v>2000000</v>
      </c>
      <c r="CL11" s="577">
        <v>1775018</v>
      </c>
      <c r="CM11" s="577">
        <v>1504500</v>
      </c>
      <c r="CN11" s="577">
        <v>5545500</v>
      </c>
      <c r="CO11" s="577">
        <v>3109838</v>
      </c>
      <c r="CP11" s="577">
        <v>1500000</v>
      </c>
      <c r="CQ11" s="577">
        <v>3000000</v>
      </c>
      <c r="CR11" s="577">
        <v>2102900</v>
      </c>
      <c r="CS11" s="577"/>
      <c r="CT11" s="577"/>
      <c r="CU11" s="577"/>
      <c r="CV11" s="577"/>
      <c r="CW11" s="577"/>
      <c r="CX11" s="577"/>
      <c r="CY11" s="577"/>
      <c r="CZ11" s="577"/>
      <c r="DA11" s="577"/>
      <c r="DB11" s="577"/>
      <c r="DC11" s="577"/>
      <c r="DD11" s="577"/>
      <c r="DE11" s="578"/>
      <c r="DF11" s="578"/>
      <c r="DG11" s="578"/>
      <c r="DH11" s="578"/>
      <c r="DI11" s="578"/>
      <c r="DJ11" s="578"/>
      <c r="DK11" s="577"/>
      <c r="DL11" s="577"/>
      <c r="DM11" s="577"/>
      <c r="DN11" s="577"/>
      <c r="DO11" s="577"/>
      <c r="DP11" s="577"/>
      <c r="DQ11" s="577"/>
      <c r="DR11" s="577"/>
      <c r="DS11" s="577"/>
      <c r="DT11" s="577"/>
      <c r="DU11" s="577"/>
      <c r="DV11" s="577"/>
      <c r="DW11" s="577"/>
      <c r="DX11" s="577"/>
      <c r="DY11" s="577"/>
      <c r="DZ11" s="577"/>
      <c r="EA11" s="577"/>
      <c r="EB11" s="577"/>
      <c r="EC11" s="577"/>
      <c r="ED11" s="577"/>
      <c r="EE11" s="577"/>
      <c r="EF11" s="577"/>
      <c r="EG11" s="577"/>
      <c r="EH11" s="577"/>
      <c r="EI11" s="577"/>
      <c r="EJ11" s="577"/>
      <c r="EK11" s="577"/>
      <c r="EL11" s="577"/>
      <c r="EM11" s="577"/>
      <c r="EN11" s="577"/>
      <c r="EO11" s="577"/>
      <c r="EP11" s="577"/>
      <c r="EQ11" s="577"/>
      <c r="ER11" s="577"/>
      <c r="ES11" s="577"/>
      <c r="ET11" s="577"/>
      <c r="EU11" s="577"/>
      <c r="EV11" s="577"/>
      <c r="EW11" s="577"/>
      <c r="EX11" s="577"/>
      <c r="EY11" s="577"/>
      <c r="EZ11" s="577"/>
      <c r="FA11" s="577"/>
      <c r="FB11" s="579"/>
      <c r="FC11" s="579"/>
      <c r="FD11" s="579"/>
      <c r="FE11" s="579"/>
      <c r="FF11" s="579"/>
      <c r="FG11" s="577"/>
      <c r="FH11" s="577"/>
      <c r="FI11" s="577"/>
      <c r="FJ11" s="577"/>
      <c r="FK11" s="577"/>
      <c r="FL11" s="577"/>
      <c r="FM11" s="696">
        <f t="shared" si="0"/>
        <v>31751768</v>
      </c>
      <c r="FN11" s="696">
        <f t="shared" si="1"/>
        <v>2102900</v>
      </c>
      <c r="FO11" s="696">
        <f t="shared" si="2"/>
        <v>1447307</v>
      </c>
      <c r="FP11" s="696">
        <f t="shared" si="3"/>
        <v>35301975</v>
      </c>
    </row>
    <row r="12" spans="1:172" ht="24" customHeight="1" x14ac:dyDescent="0.2">
      <c r="A12" s="9" t="s">
        <v>19</v>
      </c>
      <c r="B12" s="16" t="s">
        <v>31</v>
      </c>
      <c r="C12" s="576" t="s">
        <v>32</v>
      </c>
      <c r="D12" s="577">
        <f>+D13+D14+D15</f>
        <v>0</v>
      </c>
      <c r="E12" s="577">
        <f>+E13+E14+E15</f>
        <v>0</v>
      </c>
      <c r="F12" s="577"/>
      <c r="G12" s="577">
        <f>+G13+G14+G15</f>
        <v>0</v>
      </c>
      <c r="H12" s="577">
        <f>+H13+H14+H15</f>
        <v>0</v>
      </c>
      <c r="I12" s="577"/>
      <c r="J12" s="577">
        <f>+J13+J14+J15</f>
        <v>0</v>
      </c>
      <c r="K12" s="577">
        <f>+K13+K14+K15</f>
        <v>0</v>
      </c>
      <c r="L12" s="577"/>
      <c r="M12" s="577">
        <f>+M13+M14+M15</f>
        <v>0</v>
      </c>
      <c r="N12" s="577">
        <f>+N13+N14+N15</f>
        <v>0</v>
      </c>
      <c r="O12" s="577"/>
      <c r="P12" s="577">
        <f>+P13+P14+P15</f>
        <v>0</v>
      </c>
      <c r="Q12" s="577">
        <f>+Q13+Q14+Q15</f>
        <v>0</v>
      </c>
      <c r="R12" s="577"/>
      <c r="S12" s="577">
        <f>+S13+S14+S15</f>
        <v>0</v>
      </c>
      <c r="T12" s="577">
        <f>+T13+T14+T15</f>
        <v>0</v>
      </c>
      <c r="U12" s="577"/>
      <c r="V12" s="577">
        <f>+V13+V14+V15</f>
        <v>0</v>
      </c>
      <c r="W12" s="577">
        <f>+W13+W14+W15</f>
        <v>0</v>
      </c>
      <c r="X12" s="577"/>
      <c r="Y12" s="577">
        <f>+Y13+Y14+Y15</f>
        <v>0</v>
      </c>
      <c r="Z12" s="577">
        <f>+Z13+Z14+Z15</f>
        <v>0</v>
      </c>
      <c r="AA12" s="577"/>
      <c r="AB12" s="577">
        <f>+AB13+AB14+AB15</f>
        <v>0</v>
      </c>
      <c r="AC12" s="577">
        <f>+AC13+AC14+AC15</f>
        <v>0</v>
      </c>
      <c r="AD12" s="577"/>
      <c r="AE12" s="577">
        <f>+AE13+AE14+AE15</f>
        <v>0</v>
      </c>
      <c r="AF12" s="577">
        <f>+AF13+AF14+AF15</f>
        <v>0</v>
      </c>
      <c r="AG12" s="577"/>
      <c r="AH12" s="577">
        <f>+AH13+AH14+AH15</f>
        <v>0</v>
      </c>
      <c r="AI12" s="577">
        <f>+AI13+AI14+AI15</f>
        <v>0</v>
      </c>
      <c r="AJ12" s="577"/>
      <c r="AK12" s="577">
        <v>5656409</v>
      </c>
      <c r="AL12" s="577">
        <v>8656409</v>
      </c>
      <c r="AM12" s="577">
        <v>4082511</v>
      </c>
      <c r="AN12" s="577">
        <v>36273412</v>
      </c>
      <c r="AO12" s="577">
        <v>76323412</v>
      </c>
      <c r="AP12" s="577">
        <v>60269750</v>
      </c>
      <c r="AQ12" s="577">
        <v>228000</v>
      </c>
      <c r="AR12" s="577">
        <v>3848000</v>
      </c>
      <c r="AS12" s="578">
        <v>3770000</v>
      </c>
      <c r="AT12" s="577">
        <f>+AT13+AT14+AT15</f>
        <v>0</v>
      </c>
      <c r="AU12" s="577">
        <v>1990000</v>
      </c>
      <c r="AV12" s="578">
        <v>1990000</v>
      </c>
      <c r="AW12" s="577">
        <f>+AW13+AW14+AW15</f>
        <v>0</v>
      </c>
      <c r="AX12" s="577">
        <v>700000</v>
      </c>
      <c r="AY12" s="577">
        <v>700000</v>
      </c>
      <c r="AZ12" s="577">
        <f>+AZ13+AZ14+AZ15</f>
        <v>0</v>
      </c>
      <c r="BA12" s="577">
        <v>13409000</v>
      </c>
      <c r="BB12" s="577">
        <v>13309000</v>
      </c>
      <c r="BC12" s="577">
        <f>+BC13+BC14+BC15</f>
        <v>0</v>
      </c>
      <c r="BD12" s="577">
        <v>1660000</v>
      </c>
      <c r="BE12" s="577">
        <v>1660000</v>
      </c>
      <c r="BF12" s="577">
        <v>3600000</v>
      </c>
      <c r="BG12" s="577">
        <v>2520000</v>
      </c>
      <c r="BH12" s="577">
        <v>2520000</v>
      </c>
      <c r="BI12" s="577">
        <v>70000</v>
      </c>
      <c r="BJ12" s="577">
        <v>1080000</v>
      </c>
      <c r="BK12" s="577">
        <v>1080000</v>
      </c>
      <c r="BL12" s="577">
        <v>25600000</v>
      </c>
      <c r="BM12" s="577">
        <v>36000000</v>
      </c>
      <c r="BN12" s="577">
        <v>35916000</v>
      </c>
      <c r="BO12" s="577">
        <v>3000000</v>
      </c>
      <c r="BP12" s="577">
        <v>3160000</v>
      </c>
      <c r="BQ12" s="577">
        <v>3100000</v>
      </c>
      <c r="BR12" s="577">
        <f>+BR13+BR14+BR15</f>
        <v>0</v>
      </c>
      <c r="BS12" s="577">
        <f>+BS13+BS14+BS15</f>
        <v>0</v>
      </c>
      <c r="BT12" s="577"/>
      <c r="BU12" s="577">
        <f>+BU13+BU14+BU15</f>
        <v>0</v>
      </c>
      <c r="BV12" s="577">
        <f>+BV13+BV14+BV15</f>
        <v>0</v>
      </c>
      <c r="BW12" s="577"/>
      <c r="BX12" s="577">
        <v>11175000</v>
      </c>
      <c r="BY12" s="577">
        <v>17550000</v>
      </c>
      <c r="BZ12" s="577">
        <v>17550000</v>
      </c>
      <c r="CA12" s="577">
        <f>+CA13+CA14+CA15</f>
        <v>0</v>
      </c>
      <c r="CB12" s="577">
        <f>+CB13+CB14+CB15</f>
        <v>0</v>
      </c>
      <c r="CC12" s="577"/>
      <c r="CD12" s="577">
        <f>+CD13+CD14+CD15</f>
        <v>0</v>
      </c>
      <c r="CE12" s="577">
        <f>+CE13+CE14+CE15</f>
        <v>0</v>
      </c>
      <c r="CF12" s="577"/>
      <c r="CG12" s="577">
        <f>+CG13+CG14+CG15</f>
        <v>0</v>
      </c>
      <c r="CH12" s="577">
        <f>+CH13+CH14+CH15</f>
        <v>0</v>
      </c>
      <c r="CI12" s="577"/>
      <c r="CJ12" s="577">
        <f>+CJ13+CJ14+CJ15</f>
        <v>0</v>
      </c>
      <c r="CK12" s="577">
        <f>+CK13+CK14+CK15</f>
        <v>0</v>
      </c>
      <c r="CL12" s="577"/>
      <c r="CM12" s="577">
        <f>+CM13+CM14+CM15</f>
        <v>0</v>
      </c>
      <c r="CN12" s="577">
        <f>+CN13+CN14+CN15</f>
        <v>0</v>
      </c>
      <c r="CO12" s="577"/>
      <c r="CP12" s="577">
        <f>+CP13+CP14+CP15</f>
        <v>0</v>
      </c>
      <c r="CQ12" s="577">
        <f>+CQ13+CQ14+CQ15</f>
        <v>0</v>
      </c>
      <c r="CR12" s="577"/>
      <c r="CS12" s="577">
        <f>+CS13+CS14+CS15</f>
        <v>0</v>
      </c>
      <c r="CT12" s="577">
        <f>+CT13+CT14+CT15</f>
        <v>0</v>
      </c>
      <c r="CU12" s="577"/>
      <c r="CV12" s="577">
        <f>+CV13+CV14+CV15</f>
        <v>0</v>
      </c>
      <c r="CW12" s="577">
        <f>+CW13+CW14+CW15</f>
        <v>0</v>
      </c>
      <c r="CX12" s="577"/>
      <c r="CY12" s="577">
        <f>+CY13+CY14+CY15</f>
        <v>0</v>
      </c>
      <c r="CZ12" s="577">
        <f>+CZ13+CZ14+CZ15</f>
        <v>0</v>
      </c>
      <c r="DA12" s="577"/>
      <c r="DB12" s="577">
        <f>+DB13+DB14+DB15</f>
        <v>0</v>
      </c>
      <c r="DC12" s="577">
        <f>+DC13+DC14+DC15</f>
        <v>0</v>
      </c>
      <c r="DD12" s="577"/>
      <c r="DE12" s="577">
        <f>+DE13+DE14+DE15</f>
        <v>0</v>
      </c>
      <c r="DF12" s="577">
        <f>+DF13+DF14+DF15</f>
        <v>0</v>
      </c>
      <c r="DG12" s="577"/>
      <c r="DH12" s="577">
        <f>+DH13+DH14+DH15</f>
        <v>0</v>
      </c>
      <c r="DI12" s="577">
        <f>+DI13+DI14+DI15</f>
        <v>0</v>
      </c>
      <c r="DJ12" s="577"/>
      <c r="DK12" s="577">
        <f>+DK13+DK14+DK15</f>
        <v>0</v>
      </c>
      <c r="DL12" s="577">
        <f>+DL13+DL14+DL15</f>
        <v>0</v>
      </c>
      <c r="DM12" s="577"/>
      <c r="DN12" s="577">
        <f>+DN13+DN14+DN15</f>
        <v>0</v>
      </c>
      <c r="DO12" s="577">
        <f>+DO13+DO14+DO15</f>
        <v>0</v>
      </c>
      <c r="DP12" s="577"/>
      <c r="DQ12" s="577">
        <f>+DQ13+DQ14+DQ15</f>
        <v>0</v>
      </c>
      <c r="DR12" s="577">
        <f>+DR13+DR14+DR15</f>
        <v>0</v>
      </c>
      <c r="DS12" s="577"/>
      <c r="DT12" s="577">
        <f>+DT13+DT14+DT15</f>
        <v>0</v>
      </c>
      <c r="DU12" s="577">
        <f>+DU13+DU14+DU15</f>
        <v>0</v>
      </c>
      <c r="DV12" s="577"/>
      <c r="DW12" s="577">
        <f>+DW13+DW14+DW15</f>
        <v>0</v>
      </c>
      <c r="DX12" s="577">
        <f>+DX13+DX14+DX15</f>
        <v>0</v>
      </c>
      <c r="DY12" s="577"/>
      <c r="DZ12" s="577">
        <f>+DZ13+DZ14+DZ15</f>
        <v>0</v>
      </c>
      <c r="EA12" s="577">
        <f>+EA13+EA14+EA15</f>
        <v>0</v>
      </c>
      <c r="EB12" s="577"/>
      <c r="EC12" s="577">
        <f>+EC13+EC14+EC15</f>
        <v>0</v>
      </c>
      <c r="ED12" s="577">
        <f>+ED13+ED14+ED15</f>
        <v>0</v>
      </c>
      <c r="EE12" s="577"/>
      <c r="EF12" s="577">
        <f>+EF13+EF14+EF15</f>
        <v>0</v>
      </c>
      <c r="EG12" s="577">
        <f>+EG13+EG14+EG15</f>
        <v>0</v>
      </c>
      <c r="EH12" s="577"/>
      <c r="EI12" s="577">
        <f>+EI13+EI14+EI15</f>
        <v>0</v>
      </c>
      <c r="EJ12" s="577">
        <f>+EJ13+EJ14+EJ15</f>
        <v>0</v>
      </c>
      <c r="EK12" s="577"/>
      <c r="EL12" s="577">
        <v>12075000</v>
      </c>
      <c r="EM12" s="577">
        <v>24150000</v>
      </c>
      <c r="EN12" s="577">
        <v>24150000</v>
      </c>
      <c r="EO12" s="577">
        <f>+EO13+EO14+EO15</f>
        <v>0</v>
      </c>
      <c r="EP12" s="577">
        <f>+EP13+EP14+EP15</f>
        <v>0</v>
      </c>
      <c r="EQ12" s="577"/>
      <c r="ER12" s="577">
        <f>+ER13+ER14+ER15</f>
        <v>0</v>
      </c>
      <c r="ES12" s="577">
        <f>+ES13+ES14+ES15</f>
        <v>0</v>
      </c>
      <c r="ET12" s="577"/>
      <c r="EU12" s="577">
        <f>+EU13+EU14+EU15</f>
        <v>0</v>
      </c>
      <c r="EV12" s="577">
        <f>+EV13+EV14+EV15</f>
        <v>0</v>
      </c>
      <c r="EW12" s="577"/>
      <c r="EX12" s="577">
        <f>+EX13+EX14+EX15</f>
        <v>0</v>
      </c>
      <c r="EY12" s="577">
        <f>+EY13+EY14+EY15</f>
        <v>0</v>
      </c>
      <c r="EZ12" s="577"/>
      <c r="FA12" s="577">
        <f>+FA13+FA14+FA15</f>
        <v>0</v>
      </c>
      <c r="FB12" s="577">
        <f>+FB13+FB14+FB15</f>
        <v>0</v>
      </c>
      <c r="FC12" s="577"/>
      <c r="FD12" s="577">
        <f>+FD13+FD14+FD15</f>
        <v>0</v>
      </c>
      <c r="FE12" s="577">
        <f>+FE13+FE14+FE15</f>
        <v>0</v>
      </c>
      <c r="FF12" s="577"/>
      <c r="FG12" s="577">
        <f>+FG13+FG14+FG15</f>
        <v>0</v>
      </c>
      <c r="FH12" s="577">
        <f>+FH13+FH14+FH15</f>
        <v>0</v>
      </c>
      <c r="FI12" s="577"/>
      <c r="FJ12" s="577">
        <f>+FJ13+FJ14+FJ15</f>
        <v>0</v>
      </c>
      <c r="FK12" s="577">
        <f>+FK13+FK14+FK15</f>
        <v>0</v>
      </c>
      <c r="FL12" s="577"/>
      <c r="FM12" s="696">
        <f t="shared" si="0"/>
        <v>35916000</v>
      </c>
      <c r="FN12" s="696">
        <f t="shared" si="1"/>
        <v>134181261</v>
      </c>
      <c r="FO12" s="696">
        <f t="shared" si="2"/>
        <v>0</v>
      </c>
      <c r="FP12" s="696">
        <f t="shared" si="3"/>
        <v>170097261</v>
      </c>
    </row>
    <row r="13" spans="1:172" ht="24" customHeight="1" x14ac:dyDescent="0.2">
      <c r="A13" s="9" t="s">
        <v>20</v>
      </c>
      <c r="B13" s="17" t="s">
        <v>33</v>
      </c>
      <c r="C13" s="576"/>
      <c r="D13" s="577"/>
      <c r="E13" s="577">
        <f>D13</f>
        <v>0</v>
      </c>
      <c r="F13" s="577"/>
      <c r="G13" s="577"/>
      <c r="H13" s="577">
        <f>G13</f>
        <v>0</v>
      </c>
      <c r="I13" s="577"/>
      <c r="J13" s="577"/>
      <c r="K13" s="577">
        <f>J13</f>
        <v>0</v>
      </c>
      <c r="L13" s="577"/>
      <c r="M13" s="577"/>
      <c r="N13" s="577">
        <f>M13</f>
        <v>0</v>
      </c>
      <c r="O13" s="577"/>
      <c r="P13" s="577"/>
      <c r="Q13" s="577">
        <f>P13</f>
        <v>0</v>
      </c>
      <c r="R13" s="577"/>
      <c r="S13" s="577"/>
      <c r="T13" s="577"/>
      <c r="U13" s="577"/>
      <c r="V13" s="577"/>
      <c r="W13" s="577">
        <f>V13</f>
        <v>0</v>
      </c>
      <c r="X13" s="577"/>
      <c r="Y13" s="577"/>
      <c r="Z13" s="577"/>
      <c r="AA13" s="577"/>
      <c r="AB13" s="577"/>
      <c r="AC13" s="577">
        <f>AB13</f>
        <v>0</v>
      </c>
      <c r="AD13" s="577"/>
      <c r="AE13" s="577"/>
      <c r="AF13" s="577"/>
      <c r="AG13" s="577"/>
      <c r="AH13" s="577"/>
      <c r="AI13" s="577">
        <v>0</v>
      </c>
      <c r="AJ13" s="577"/>
      <c r="AK13" s="577">
        <v>5656409</v>
      </c>
      <c r="AL13" s="577">
        <v>8656409</v>
      </c>
      <c r="AM13" s="577">
        <v>4082511</v>
      </c>
      <c r="AN13" s="577">
        <v>36273412</v>
      </c>
      <c r="AO13" s="577">
        <v>76323412</v>
      </c>
      <c r="AP13" s="577">
        <f>+AP12</f>
        <v>60269750</v>
      </c>
      <c r="AQ13" s="577">
        <v>228000</v>
      </c>
      <c r="AR13" s="577">
        <v>3848000</v>
      </c>
      <c r="AS13" s="578">
        <v>3770000</v>
      </c>
      <c r="AT13" s="577"/>
      <c r="AU13" s="577">
        <v>1990000</v>
      </c>
      <c r="AV13" s="578">
        <f>+AV12</f>
        <v>1990000</v>
      </c>
      <c r="AW13" s="577"/>
      <c r="AX13" s="577">
        <v>700000</v>
      </c>
      <c r="AY13" s="577">
        <f>+AY12</f>
        <v>700000</v>
      </c>
      <c r="AZ13" s="577"/>
      <c r="BA13" s="577">
        <v>13409000</v>
      </c>
      <c r="BB13" s="577">
        <f>+BB12</f>
        <v>13309000</v>
      </c>
      <c r="BC13" s="577"/>
      <c r="BD13" s="577">
        <v>1660000</v>
      </c>
      <c r="BE13" s="577">
        <f>+BE12</f>
        <v>1660000</v>
      </c>
      <c r="BF13" s="580">
        <v>3600000</v>
      </c>
      <c r="BG13" s="580">
        <v>2520000</v>
      </c>
      <c r="BH13" s="580">
        <f>+BH12</f>
        <v>2520000</v>
      </c>
      <c r="BI13" s="577">
        <v>70000</v>
      </c>
      <c r="BJ13" s="577">
        <v>1080000</v>
      </c>
      <c r="BK13" s="577">
        <f>+BK12</f>
        <v>1080000</v>
      </c>
      <c r="BL13" s="577">
        <v>25600000</v>
      </c>
      <c r="BM13" s="577">
        <v>36000000</v>
      </c>
      <c r="BN13" s="577">
        <f>+BN12</f>
        <v>35916000</v>
      </c>
      <c r="BO13" s="578">
        <v>3000000</v>
      </c>
      <c r="BP13" s="578">
        <v>3160000</v>
      </c>
      <c r="BQ13" s="578">
        <f>+BQ12</f>
        <v>3100000</v>
      </c>
      <c r="BR13" s="578"/>
      <c r="BS13" s="578"/>
      <c r="BT13" s="578"/>
      <c r="BU13" s="578"/>
      <c r="BV13" s="578"/>
      <c r="BW13" s="578"/>
      <c r="BX13" s="577">
        <v>11175000</v>
      </c>
      <c r="BY13" s="577">
        <v>17550000</v>
      </c>
      <c r="BZ13" s="577">
        <v>17550000</v>
      </c>
      <c r="CA13" s="577"/>
      <c r="CB13" s="577"/>
      <c r="CC13" s="577"/>
      <c r="CD13" s="577"/>
      <c r="CE13" s="577"/>
      <c r="CF13" s="577"/>
      <c r="CG13" s="577"/>
      <c r="CH13" s="577"/>
      <c r="CI13" s="577"/>
      <c r="CJ13" s="577"/>
      <c r="CK13" s="577"/>
      <c r="CL13" s="577"/>
      <c r="CM13" s="577"/>
      <c r="CN13" s="577"/>
      <c r="CO13" s="577"/>
      <c r="CP13" s="577"/>
      <c r="CQ13" s="577"/>
      <c r="CR13" s="577"/>
      <c r="CS13" s="577"/>
      <c r="CT13" s="577"/>
      <c r="CU13" s="577"/>
      <c r="CV13" s="577"/>
      <c r="CW13" s="577"/>
      <c r="CX13" s="577"/>
      <c r="CY13" s="577"/>
      <c r="CZ13" s="577"/>
      <c r="DA13" s="577"/>
      <c r="DB13" s="577"/>
      <c r="DC13" s="577"/>
      <c r="DD13" s="577"/>
      <c r="DE13" s="578"/>
      <c r="DF13" s="578"/>
      <c r="DG13" s="578"/>
      <c r="DH13" s="578"/>
      <c r="DI13" s="578"/>
      <c r="DJ13" s="578"/>
      <c r="DK13" s="577"/>
      <c r="DL13" s="577"/>
      <c r="DM13" s="577"/>
      <c r="DN13" s="577"/>
      <c r="DO13" s="577"/>
      <c r="DP13" s="577"/>
      <c r="DQ13" s="577"/>
      <c r="DR13" s="577"/>
      <c r="DS13" s="577"/>
      <c r="DT13" s="577"/>
      <c r="DU13" s="577"/>
      <c r="DV13" s="577"/>
      <c r="DW13" s="577"/>
      <c r="DX13" s="577"/>
      <c r="DY13" s="577"/>
      <c r="DZ13" s="577"/>
      <c r="EA13" s="577"/>
      <c r="EB13" s="577"/>
      <c r="EC13" s="577"/>
      <c r="ED13" s="577"/>
      <c r="EE13" s="577"/>
      <c r="EF13" s="577"/>
      <c r="EG13" s="577"/>
      <c r="EH13" s="577"/>
      <c r="EI13" s="577"/>
      <c r="EJ13" s="577"/>
      <c r="EK13" s="577"/>
      <c r="EL13" s="577">
        <v>12075000</v>
      </c>
      <c r="EM13" s="577">
        <v>24150000</v>
      </c>
      <c r="EN13" s="577">
        <f>+EN12</f>
        <v>24150000</v>
      </c>
      <c r="EO13" s="577"/>
      <c r="EP13" s="577"/>
      <c r="EQ13" s="577"/>
      <c r="ER13" s="577"/>
      <c r="ES13" s="577"/>
      <c r="ET13" s="577"/>
      <c r="EU13" s="577"/>
      <c r="EV13" s="577"/>
      <c r="EW13" s="577"/>
      <c r="EX13" s="577"/>
      <c r="EY13" s="577"/>
      <c r="EZ13" s="577"/>
      <c r="FA13" s="577"/>
      <c r="FB13" s="579"/>
      <c r="FC13" s="579"/>
      <c r="FD13" s="579"/>
      <c r="FE13" s="579"/>
      <c r="FF13" s="579"/>
      <c r="FG13" s="577"/>
      <c r="FH13" s="577"/>
      <c r="FI13" s="577"/>
      <c r="FJ13" s="577"/>
      <c r="FK13" s="577"/>
      <c r="FL13" s="577"/>
      <c r="FM13" s="696">
        <f t="shared" si="0"/>
        <v>35916000</v>
      </c>
      <c r="FN13" s="696">
        <f t="shared" si="1"/>
        <v>134181261</v>
      </c>
      <c r="FO13" s="696">
        <f t="shared" si="2"/>
        <v>0</v>
      </c>
      <c r="FP13" s="696">
        <f t="shared" si="3"/>
        <v>170097261</v>
      </c>
    </row>
    <row r="14" spans="1:172" ht="24" customHeight="1" x14ac:dyDescent="0.2">
      <c r="A14" s="9" t="s">
        <v>21</v>
      </c>
      <c r="B14" s="17" t="s">
        <v>34</v>
      </c>
      <c r="C14" s="582"/>
      <c r="D14" s="583"/>
      <c r="E14" s="577">
        <f>D14</f>
        <v>0</v>
      </c>
      <c r="F14" s="577"/>
      <c r="G14" s="583"/>
      <c r="H14" s="577">
        <f>G14</f>
        <v>0</v>
      </c>
      <c r="I14" s="577"/>
      <c r="J14" s="583"/>
      <c r="K14" s="577">
        <f>J14</f>
        <v>0</v>
      </c>
      <c r="L14" s="577"/>
      <c r="M14" s="583"/>
      <c r="N14" s="577">
        <f>M14</f>
        <v>0</v>
      </c>
      <c r="O14" s="577"/>
      <c r="P14" s="583"/>
      <c r="Q14" s="577">
        <f>P14</f>
        <v>0</v>
      </c>
      <c r="R14" s="577"/>
      <c r="S14" s="583"/>
      <c r="T14" s="583"/>
      <c r="U14" s="583"/>
      <c r="V14" s="583"/>
      <c r="W14" s="577">
        <f>V14</f>
        <v>0</v>
      </c>
      <c r="X14" s="577"/>
      <c r="Y14" s="583"/>
      <c r="Z14" s="583"/>
      <c r="AA14" s="583"/>
      <c r="AB14" s="583"/>
      <c r="AC14" s="577">
        <f>AB14</f>
        <v>0</v>
      </c>
      <c r="AD14" s="577"/>
      <c r="AE14" s="583"/>
      <c r="AF14" s="583"/>
      <c r="AG14" s="583"/>
      <c r="AH14" s="583"/>
      <c r="AI14" s="583"/>
      <c r="AJ14" s="583"/>
      <c r="AK14" s="583"/>
      <c r="AL14" s="583"/>
      <c r="AM14" s="583"/>
      <c r="AN14" s="583"/>
      <c r="AO14" s="583"/>
      <c r="AP14" s="583"/>
      <c r="AQ14" s="583"/>
      <c r="AR14" s="583"/>
      <c r="AS14" s="584"/>
      <c r="AT14" s="583"/>
      <c r="AU14" s="583"/>
      <c r="AV14" s="584"/>
      <c r="AW14" s="583"/>
      <c r="AX14" s="583"/>
      <c r="AY14" s="583"/>
      <c r="AZ14" s="583"/>
      <c r="BA14" s="583"/>
      <c r="BB14" s="583"/>
      <c r="BC14" s="583"/>
      <c r="BD14" s="583"/>
      <c r="BE14" s="583"/>
      <c r="BF14" s="583"/>
      <c r="BG14" s="583"/>
      <c r="BH14" s="583"/>
      <c r="BI14" s="583"/>
      <c r="BJ14" s="583"/>
      <c r="BK14" s="583"/>
      <c r="BL14" s="583"/>
      <c r="BM14" s="583"/>
      <c r="BN14" s="583"/>
      <c r="BO14" s="583"/>
      <c r="BP14" s="583"/>
      <c r="BQ14" s="583"/>
      <c r="BR14" s="583"/>
      <c r="BS14" s="583"/>
      <c r="BT14" s="583"/>
      <c r="BU14" s="583"/>
      <c r="BV14" s="583"/>
      <c r="BW14" s="583"/>
      <c r="BX14" s="583"/>
      <c r="BY14" s="583"/>
      <c r="BZ14" s="583"/>
      <c r="CA14" s="583"/>
      <c r="CB14" s="583"/>
      <c r="CC14" s="583"/>
      <c r="CD14" s="583"/>
      <c r="CE14" s="583"/>
      <c r="CF14" s="583"/>
      <c r="CG14" s="583"/>
      <c r="CH14" s="583"/>
      <c r="CI14" s="583"/>
      <c r="CJ14" s="583"/>
      <c r="CK14" s="583"/>
      <c r="CL14" s="583"/>
      <c r="CM14" s="583"/>
      <c r="CN14" s="583"/>
      <c r="CO14" s="583"/>
      <c r="CP14" s="583"/>
      <c r="CQ14" s="583"/>
      <c r="CR14" s="583"/>
      <c r="CS14" s="583"/>
      <c r="CT14" s="583"/>
      <c r="CU14" s="583"/>
      <c r="CV14" s="583"/>
      <c r="CW14" s="583"/>
      <c r="CX14" s="583"/>
      <c r="CY14" s="583"/>
      <c r="CZ14" s="583"/>
      <c r="DA14" s="583"/>
      <c r="DB14" s="583"/>
      <c r="DC14" s="583"/>
      <c r="DD14" s="583"/>
      <c r="DE14" s="584"/>
      <c r="DF14" s="584"/>
      <c r="DG14" s="584"/>
      <c r="DH14" s="584"/>
      <c r="DI14" s="584"/>
      <c r="DJ14" s="584"/>
      <c r="DK14" s="583"/>
      <c r="DL14" s="583"/>
      <c r="DM14" s="583"/>
      <c r="DN14" s="583"/>
      <c r="DO14" s="583"/>
      <c r="DP14" s="583"/>
      <c r="DQ14" s="583"/>
      <c r="DR14" s="583"/>
      <c r="DS14" s="583"/>
      <c r="DT14" s="583"/>
      <c r="DU14" s="583"/>
      <c r="DV14" s="583"/>
      <c r="DW14" s="583"/>
      <c r="DX14" s="583"/>
      <c r="DY14" s="583"/>
      <c r="DZ14" s="583"/>
      <c r="EA14" s="583"/>
      <c r="EB14" s="583"/>
      <c r="EC14" s="583"/>
      <c r="ED14" s="583"/>
      <c r="EE14" s="583"/>
      <c r="EF14" s="583"/>
      <c r="EG14" s="583"/>
      <c r="EH14" s="583"/>
      <c r="EI14" s="583"/>
      <c r="EJ14" s="583"/>
      <c r="EK14" s="583"/>
      <c r="EL14" s="583"/>
      <c r="EM14" s="583"/>
      <c r="EN14" s="583"/>
      <c r="EO14" s="583"/>
      <c r="EP14" s="583"/>
      <c r="EQ14" s="583"/>
      <c r="ER14" s="583"/>
      <c r="ES14" s="583"/>
      <c r="ET14" s="583"/>
      <c r="EU14" s="583"/>
      <c r="EV14" s="583"/>
      <c r="EW14" s="583"/>
      <c r="EX14" s="583"/>
      <c r="EY14" s="583"/>
      <c r="EZ14" s="583"/>
      <c r="FA14" s="583"/>
      <c r="FB14" s="585"/>
      <c r="FC14" s="585"/>
      <c r="FD14" s="585"/>
      <c r="FE14" s="585"/>
      <c r="FF14" s="585"/>
      <c r="FG14" s="583"/>
      <c r="FH14" s="583"/>
      <c r="FI14" s="583"/>
      <c r="FJ14" s="583"/>
      <c r="FK14" s="583"/>
      <c r="FL14" s="583"/>
      <c r="FM14" s="696">
        <f t="shared" si="0"/>
        <v>0</v>
      </c>
      <c r="FN14" s="696">
        <f t="shared" si="1"/>
        <v>0</v>
      </c>
      <c r="FO14" s="696">
        <f t="shared" si="2"/>
        <v>0</v>
      </c>
      <c r="FP14" s="696">
        <f t="shared" si="3"/>
        <v>0</v>
      </c>
    </row>
    <row r="15" spans="1:172" ht="24" customHeight="1" x14ac:dyDescent="0.2">
      <c r="A15" s="9" t="s">
        <v>22</v>
      </c>
      <c r="B15" s="17" t="s">
        <v>35</v>
      </c>
      <c r="C15" s="582"/>
      <c r="D15" s="583"/>
      <c r="E15" s="577">
        <f>D15</f>
        <v>0</v>
      </c>
      <c r="F15" s="577"/>
      <c r="G15" s="583"/>
      <c r="H15" s="577">
        <f>G15</f>
        <v>0</v>
      </c>
      <c r="I15" s="577"/>
      <c r="J15" s="583"/>
      <c r="K15" s="577">
        <f>J15</f>
        <v>0</v>
      </c>
      <c r="L15" s="577"/>
      <c r="M15" s="583"/>
      <c r="N15" s="577">
        <f>M15</f>
        <v>0</v>
      </c>
      <c r="O15" s="577"/>
      <c r="P15" s="583"/>
      <c r="Q15" s="577">
        <f>P15</f>
        <v>0</v>
      </c>
      <c r="R15" s="577"/>
      <c r="S15" s="583"/>
      <c r="T15" s="583"/>
      <c r="U15" s="583"/>
      <c r="V15" s="583"/>
      <c r="W15" s="577">
        <f>V15</f>
        <v>0</v>
      </c>
      <c r="X15" s="577"/>
      <c r="Y15" s="583"/>
      <c r="Z15" s="583"/>
      <c r="AA15" s="583"/>
      <c r="AB15" s="583"/>
      <c r="AC15" s="577">
        <f>AB15</f>
        <v>0</v>
      </c>
      <c r="AD15" s="577"/>
      <c r="AE15" s="583"/>
      <c r="AF15" s="583"/>
      <c r="AG15" s="583"/>
      <c r="AH15" s="583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4"/>
      <c r="AT15" s="583"/>
      <c r="AU15" s="583"/>
      <c r="AV15" s="584"/>
      <c r="AW15" s="583"/>
      <c r="AX15" s="583"/>
      <c r="AY15" s="583"/>
      <c r="AZ15" s="583"/>
      <c r="BA15" s="583"/>
      <c r="BB15" s="583"/>
      <c r="BC15" s="583"/>
      <c r="BD15" s="583"/>
      <c r="BE15" s="583"/>
      <c r="BF15" s="583"/>
      <c r="BG15" s="583"/>
      <c r="BH15" s="583"/>
      <c r="BI15" s="583"/>
      <c r="BJ15" s="583"/>
      <c r="BK15" s="583"/>
      <c r="BL15" s="583"/>
      <c r="BM15" s="583"/>
      <c r="BN15" s="583"/>
      <c r="BO15" s="583"/>
      <c r="BP15" s="583"/>
      <c r="BQ15" s="583"/>
      <c r="BR15" s="583"/>
      <c r="BS15" s="583"/>
      <c r="BT15" s="583"/>
      <c r="BU15" s="583"/>
      <c r="BV15" s="583"/>
      <c r="BW15" s="583"/>
      <c r="BX15" s="583"/>
      <c r="BY15" s="583"/>
      <c r="BZ15" s="583"/>
      <c r="CA15" s="583"/>
      <c r="CB15" s="583"/>
      <c r="CC15" s="583"/>
      <c r="CD15" s="583"/>
      <c r="CE15" s="583"/>
      <c r="CF15" s="583"/>
      <c r="CG15" s="583"/>
      <c r="CH15" s="583"/>
      <c r="CI15" s="583"/>
      <c r="CJ15" s="583"/>
      <c r="CK15" s="583"/>
      <c r="CL15" s="583"/>
      <c r="CM15" s="583"/>
      <c r="CN15" s="583"/>
      <c r="CO15" s="583"/>
      <c r="CP15" s="583"/>
      <c r="CQ15" s="583"/>
      <c r="CR15" s="583"/>
      <c r="CS15" s="583"/>
      <c r="CT15" s="583"/>
      <c r="CU15" s="583"/>
      <c r="CV15" s="583"/>
      <c r="CW15" s="583"/>
      <c r="CX15" s="583"/>
      <c r="CY15" s="583"/>
      <c r="CZ15" s="583"/>
      <c r="DA15" s="583"/>
      <c r="DB15" s="583"/>
      <c r="DC15" s="583"/>
      <c r="DD15" s="583"/>
      <c r="DE15" s="584"/>
      <c r="DF15" s="584"/>
      <c r="DG15" s="584"/>
      <c r="DH15" s="584"/>
      <c r="DI15" s="584"/>
      <c r="DJ15" s="584"/>
      <c r="DK15" s="583"/>
      <c r="DL15" s="583"/>
      <c r="DM15" s="583"/>
      <c r="DN15" s="583"/>
      <c r="DO15" s="583"/>
      <c r="DP15" s="583"/>
      <c r="DQ15" s="583"/>
      <c r="DR15" s="583"/>
      <c r="DS15" s="583"/>
      <c r="DT15" s="583"/>
      <c r="DU15" s="583"/>
      <c r="DV15" s="583"/>
      <c r="DW15" s="583"/>
      <c r="DX15" s="583"/>
      <c r="DY15" s="583"/>
      <c r="DZ15" s="583"/>
      <c r="EA15" s="583"/>
      <c r="EB15" s="583"/>
      <c r="EC15" s="583"/>
      <c r="ED15" s="583"/>
      <c r="EE15" s="583"/>
      <c r="EF15" s="583"/>
      <c r="EG15" s="583"/>
      <c r="EH15" s="583"/>
      <c r="EI15" s="583"/>
      <c r="EJ15" s="583"/>
      <c r="EK15" s="583"/>
      <c r="EL15" s="583"/>
      <c r="EM15" s="583"/>
      <c r="EN15" s="583"/>
      <c r="EO15" s="583"/>
      <c r="EP15" s="583"/>
      <c r="EQ15" s="583"/>
      <c r="ER15" s="583"/>
      <c r="ES15" s="583"/>
      <c r="ET15" s="583"/>
      <c r="EU15" s="583"/>
      <c r="EV15" s="583"/>
      <c r="EW15" s="583"/>
      <c r="EX15" s="583"/>
      <c r="EY15" s="583"/>
      <c r="EZ15" s="583"/>
      <c r="FA15" s="583"/>
      <c r="FB15" s="585"/>
      <c r="FC15" s="585"/>
      <c r="FD15" s="585"/>
      <c r="FE15" s="585"/>
      <c r="FF15" s="585"/>
      <c r="FG15" s="583"/>
      <c r="FH15" s="583"/>
      <c r="FI15" s="583"/>
      <c r="FJ15" s="583"/>
      <c r="FK15" s="583"/>
      <c r="FL15" s="583"/>
      <c r="FM15" s="696">
        <f t="shared" si="0"/>
        <v>0</v>
      </c>
      <c r="FN15" s="696">
        <f t="shared" si="1"/>
        <v>0</v>
      </c>
      <c r="FO15" s="696">
        <f t="shared" si="2"/>
        <v>0</v>
      </c>
      <c r="FP15" s="696">
        <f t="shared" si="3"/>
        <v>0</v>
      </c>
    </row>
    <row r="16" spans="1:172" ht="24" customHeight="1" x14ac:dyDescent="0.2">
      <c r="A16" s="9" t="s">
        <v>36</v>
      </c>
      <c r="B16" s="20" t="s">
        <v>37</v>
      </c>
      <c r="C16" s="576" t="s">
        <v>38</v>
      </c>
      <c r="D16" s="577">
        <v>4770000</v>
      </c>
      <c r="E16" s="577">
        <v>176786553</v>
      </c>
      <c r="F16" s="577">
        <v>164744012</v>
      </c>
      <c r="G16" s="577">
        <v>10500000</v>
      </c>
      <c r="H16" s="577">
        <v>84102172</v>
      </c>
      <c r="I16" s="577">
        <v>77959791</v>
      </c>
      <c r="J16" s="577"/>
      <c r="K16" s="577">
        <f>J16</f>
        <v>0</v>
      </c>
      <c r="L16" s="577"/>
      <c r="M16" s="577"/>
      <c r="N16" s="577">
        <f>M16</f>
        <v>0</v>
      </c>
      <c r="O16" s="577"/>
      <c r="P16" s="577"/>
      <c r="Q16" s="577">
        <f>P16</f>
        <v>0</v>
      </c>
      <c r="R16" s="577"/>
      <c r="S16" s="577"/>
      <c r="T16" s="577"/>
      <c r="U16" s="577"/>
      <c r="V16" s="577">
        <v>18000000</v>
      </c>
      <c r="W16" s="577">
        <v>21535253</v>
      </c>
      <c r="X16" s="577">
        <v>21505033</v>
      </c>
      <c r="Y16" s="577"/>
      <c r="Z16" s="577"/>
      <c r="AA16" s="577"/>
      <c r="AB16" s="577"/>
      <c r="AC16" s="577">
        <f>AB16</f>
        <v>0</v>
      </c>
      <c r="AD16" s="577"/>
      <c r="AE16" s="577"/>
      <c r="AF16" s="577"/>
      <c r="AG16" s="577"/>
      <c r="AH16" s="577"/>
      <c r="AI16" s="577"/>
      <c r="AJ16" s="577"/>
      <c r="AK16" s="577"/>
      <c r="AL16" s="577"/>
      <c r="AM16" s="577"/>
      <c r="AN16" s="577"/>
      <c r="AO16" s="577"/>
      <c r="AP16" s="577"/>
      <c r="AQ16" s="577"/>
      <c r="AR16" s="577"/>
      <c r="AS16" s="578"/>
      <c r="AT16" s="577"/>
      <c r="AU16" s="577"/>
      <c r="AV16" s="578"/>
      <c r="AW16" s="577"/>
      <c r="AX16" s="577"/>
      <c r="AY16" s="577"/>
      <c r="AZ16" s="577"/>
      <c r="BA16" s="577"/>
      <c r="BB16" s="577"/>
      <c r="BC16" s="577"/>
      <c r="BD16" s="577"/>
      <c r="BE16" s="577"/>
      <c r="BF16" s="577"/>
      <c r="BG16" s="577"/>
      <c r="BH16" s="577"/>
      <c r="BI16" s="577"/>
      <c r="BJ16" s="577"/>
      <c r="BK16" s="577"/>
      <c r="BL16" s="577"/>
      <c r="BM16" s="577"/>
      <c r="BN16" s="577"/>
      <c r="BO16" s="577"/>
      <c r="BP16" s="577"/>
      <c r="BQ16" s="577"/>
      <c r="BR16" s="577"/>
      <c r="BS16" s="577">
        <v>97491</v>
      </c>
      <c r="BT16" s="577">
        <v>97491</v>
      </c>
      <c r="BU16" s="577"/>
      <c r="BV16" s="577"/>
      <c r="BW16" s="577"/>
      <c r="BX16" s="577"/>
      <c r="BY16" s="577"/>
      <c r="BZ16" s="577"/>
      <c r="CA16" s="577"/>
      <c r="CB16" s="577"/>
      <c r="CC16" s="577"/>
      <c r="CD16" s="577"/>
      <c r="CE16" s="577"/>
      <c r="CF16" s="577"/>
      <c r="CG16" s="577"/>
      <c r="CH16" s="577"/>
      <c r="CI16" s="577"/>
      <c r="CJ16" s="577"/>
      <c r="CK16" s="577"/>
      <c r="CL16" s="577"/>
      <c r="CM16" s="577"/>
      <c r="CN16" s="577"/>
      <c r="CO16" s="577"/>
      <c r="CP16" s="577"/>
      <c r="CQ16" s="577"/>
      <c r="CR16" s="577"/>
      <c r="CS16" s="577"/>
      <c r="CT16" s="577"/>
      <c r="CU16" s="577"/>
      <c r="CV16" s="577"/>
      <c r="CW16" s="577"/>
      <c r="CX16" s="577"/>
      <c r="CY16" s="577"/>
      <c r="CZ16" s="577"/>
      <c r="DA16" s="577"/>
      <c r="DB16" s="577"/>
      <c r="DC16" s="577"/>
      <c r="DD16" s="577"/>
      <c r="DE16" s="578"/>
      <c r="DF16" s="578"/>
      <c r="DG16" s="578"/>
      <c r="DH16" s="578"/>
      <c r="DI16" s="578"/>
      <c r="DJ16" s="578"/>
      <c r="DK16" s="577"/>
      <c r="DL16" s="577">
        <v>1000000</v>
      </c>
      <c r="DM16" s="577">
        <v>988360</v>
      </c>
      <c r="DN16" s="577"/>
      <c r="DO16" s="577"/>
      <c r="DP16" s="577"/>
      <c r="DQ16" s="577"/>
      <c r="DR16" s="577"/>
      <c r="DS16" s="577"/>
      <c r="DT16" s="577"/>
      <c r="DU16" s="577">
        <f>5118110+1381890-5118110-1381890</f>
        <v>0</v>
      </c>
      <c r="DV16" s="577"/>
      <c r="DW16" s="577"/>
      <c r="DX16" s="577"/>
      <c r="DY16" s="577"/>
      <c r="DZ16" s="577"/>
      <c r="EA16" s="577"/>
      <c r="EB16" s="577"/>
      <c r="EC16" s="577">
        <v>2000000</v>
      </c>
      <c r="ED16" s="577">
        <v>3000000</v>
      </c>
      <c r="EE16" s="577">
        <v>2771140</v>
      </c>
      <c r="EF16" s="577"/>
      <c r="EG16" s="577">
        <v>900000</v>
      </c>
      <c r="EH16" s="577">
        <v>700000</v>
      </c>
      <c r="EI16" s="577"/>
      <c r="EJ16" s="577">
        <v>6674095</v>
      </c>
      <c r="EK16" s="577">
        <v>6659122</v>
      </c>
      <c r="EL16" s="577"/>
      <c r="EM16" s="577"/>
      <c r="EN16" s="577"/>
      <c r="EO16" s="577"/>
      <c r="EP16" s="577"/>
      <c r="EQ16" s="577"/>
      <c r="ER16" s="577"/>
      <c r="ES16" s="577"/>
      <c r="ET16" s="577"/>
      <c r="EU16" s="577"/>
      <c r="EV16" s="577"/>
      <c r="EW16" s="577"/>
      <c r="EX16" s="577"/>
      <c r="EY16" s="577"/>
      <c r="EZ16" s="577"/>
      <c r="FA16" s="577"/>
      <c r="FB16" s="579"/>
      <c r="FC16" s="579"/>
      <c r="FD16" s="579"/>
      <c r="FE16" s="579"/>
      <c r="FF16" s="579"/>
      <c r="FG16" s="577"/>
      <c r="FH16" s="577">
        <v>5054600</v>
      </c>
      <c r="FI16" s="577">
        <v>3707368</v>
      </c>
      <c r="FJ16" s="577"/>
      <c r="FK16" s="577"/>
      <c r="FL16" s="577"/>
      <c r="FM16" s="696">
        <f>+F16+I16+L16+U16+X16+AA16+BN16+BT16+BW16+CC16+CF16+CL16+CO16+CU16+CX16+DA16+DD16+DG16+DJ16+DM16+DP16+DS16+DV16+EE16+EH16+EK16+FC16+FF16+FI16</f>
        <v>279132317</v>
      </c>
      <c r="FN16" s="696">
        <f t="shared" si="1"/>
        <v>0</v>
      </c>
      <c r="FO16" s="696">
        <f t="shared" si="2"/>
        <v>0</v>
      </c>
      <c r="FP16" s="696">
        <f t="shared" si="3"/>
        <v>279132317</v>
      </c>
    </row>
    <row r="17" spans="1:175" ht="24" customHeight="1" x14ac:dyDescent="0.2">
      <c r="A17" s="9" t="s">
        <v>39</v>
      </c>
      <c r="B17" s="16" t="s">
        <v>40</v>
      </c>
      <c r="C17" s="576" t="s">
        <v>41</v>
      </c>
      <c r="D17" s="577">
        <v>35000000</v>
      </c>
      <c r="E17" s="577">
        <v>35115129</v>
      </c>
      <c r="F17" s="577">
        <v>35115129</v>
      </c>
      <c r="G17" s="577">
        <v>5000000</v>
      </c>
      <c r="H17" s="577">
        <v>3492500</v>
      </c>
      <c r="I17" s="577">
        <v>3492500</v>
      </c>
      <c r="J17" s="577"/>
      <c r="K17" s="577">
        <f>J17</f>
        <v>0</v>
      </c>
      <c r="L17" s="577"/>
      <c r="M17" s="577"/>
      <c r="N17" s="577">
        <f>M17</f>
        <v>0</v>
      </c>
      <c r="O17" s="577"/>
      <c r="P17" s="577"/>
      <c r="Q17" s="577">
        <f>P17</f>
        <v>0</v>
      </c>
      <c r="R17" s="577"/>
      <c r="S17" s="577"/>
      <c r="T17" s="577"/>
      <c r="U17" s="577"/>
      <c r="V17" s="577"/>
      <c r="W17" s="577">
        <v>7008931</v>
      </c>
      <c r="X17" s="577">
        <v>6218931</v>
      </c>
      <c r="Y17" s="577"/>
      <c r="Z17" s="577"/>
      <c r="AA17" s="577"/>
      <c r="AB17" s="577"/>
      <c r="AC17" s="577">
        <f>AB17</f>
        <v>0</v>
      </c>
      <c r="AD17" s="577"/>
      <c r="AE17" s="577"/>
      <c r="AF17" s="577"/>
      <c r="AG17" s="577"/>
      <c r="AH17" s="577"/>
      <c r="AI17" s="577"/>
      <c r="AJ17" s="577"/>
      <c r="AK17" s="577"/>
      <c r="AL17" s="577"/>
      <c r="AM17" s="577"/>
      <c r="AN17" s="577"/>
      <c r="AO17" s="577"/>
      <c r="AP17" s="577"/>
      <c r="AQ17" s="577"/>
      <c r="AR17" s="577"/>
      <c r="AS17" s="578"/>
      <c r="AT17" s="577"/>
      <c r="AU17" s="577"/>
      <c r="AV17" s="578"/>
      <c r="AW17" s="577"/>
      <c r="AX17" s="577"/>
      <c r="AY17" s="577"/>
      <c r="AZ17" s="577"/>
      <c r="BA17" s="577"/>
      <c r="BB17" s="577"/>
      <c r="BC17" s="577"/>
      <c r="BD17" s="577"/>
      <c r="BE17" s="577"/>
      <c r="BF17" s="577"/>
      <c r="BG17" s="577"/>
      <c r="BH17" s="577"/>
      <c r="BI17" s="577"/>
      <c r="BJ17" s="577"/>
      <c r="BK17" s="577"/>
      <c r="BL17" s="577"/>
      <c r="BM17" s="577"/>
      <c r="BN17" s="577"/>
      <c r="BO17" s="577"/>
      <c r="BP17" s="577"/>
      <c r="BQ17" s="577"/>
      <c r="BR17" s="577"/>
      <c r="BS17" s="577"/>
      <c r="BT17" s="577"/>
      <c r="BU17" s="577"/>
      <c r="BV17" s="577"/>
      <c r="BW17" s="577"/>
      <c r="BX17" s="577"/>
      <c r="BY17" s="577"/>
      <c r="BZ17" s="577"/>
      <c r="CA17" s="577"/>
      <c r="CB17" s="577"/>
      <c r="CC17" s="577"/>
      <c r="CD17" s="577"/>
      <c r="CE17" s="577"/>
      <c r="CF17" s="577"/>
      <c r="CG17" s="577"/>
      <c r="CH17" s="577"/>
      <c r="CI17" s="577"/>
      <c r="CJ17" s="577"/>
      <c r="CK17" s="577"/>
      <c r="CL17" s="577"/>
      <c r="CM17" s="577"/>
      <c r="CN17" s="577"/>
      <c r="CO17" s="577"/>
      <c r="CP17" s="577"/>
      <c r="CQ17" s="577"/>
      <c r="CR17" s="577"/>
      <c r="CS17" s="577"/>
      <c r="CT17" s="577"/>
      <c r="CU17" s="577"/>
      <c r="CV17" s="577"/>
      <c r="CW17" s="577"/>
      <c r="CX17" s="577"/>
      <c r="CY17" s="577"/>
      <c r="CZ17" s="577">
        <v>1117269</v>
      </c>
      <c r="DA17" s="577">
        <v>1117269</v>
      </c>
      <c r="DB17" s="577"/>
      <c r="DC17" s="577"/>
      <c r="DD17" s="577"/>
      <c r="DE17" s="578"/>
      <c r="DF17" s="578"/>
      <c r="DG17" s="578"/>
      <c r="DH17" s="578"/>
      <c r="DI17" s="578"/>
      <c r="DJ17" s="578"/>
      <c r="DK17" s="577"/>
      <c r="DL17" s="577"/>
      <c r="DM17" s="577"/>
      <c r="DN17" s="577"/>
      <c r="DO17" s="577"/>
      <c r="DP17" s="577"/>
      <c r="DQ17" s="577"/>
      <c r="DR17" s="577"/>
      <c r="DS17" s="577"/>
      <c r="DT17" s="577"/>
      <c r="DU17" s="577"/>
      <c r="DV17" s="577"/>
      <c r="DW17" s="577"/>
      <c r="DX17" s="577"/>
      <c r="DY17" s="577"/>
      <c r="DZ17" s="577"/>
      <c r="EA17" s="577"/>
      <c r="EB17" s="577"/>
      <c r="EC17" s="577"/>
      <c r="ED17" s="577"/>
      <c r="EE17" s="577"/>
      <c r="EF17" s="577"/>
      <c r="EG17" s="577"/>
      <c r="EH17" s="577"/>
      <c r="EI17" s="577"/>
      <c r="EJ17" s="577">
        <v>30500000</v>
      </c>
      <c r="EK17" s="577">
        <v>30497967</v>
      </c>
      <c r="EL17" s="577"/>
      <c r="EM17" s="577"/>
      <c r="EN17" s="577"/>
      <c r="EO17" s="577"/>
      <c r="EP17" s="577"/>
      <c r="EQ17" s="577"/>
      <c r="ER17" s="577"/>
      <c r="ES17" s="577"/>
      <c r="ET17" s="577"/>
      <c r="EU17" s="577"/>
      <c r="EV17" s="577"/>
      <c r="EW17" s="577"/>
      <c r="EX17" s="577"/>
      <c r="EY17" s="577"/>
      <c r="EZ17" s="577"/>
      <c r="FA17" s="577"/>
      <c r="FB17" s="579"/>
      <c r="FC17" s="579"/>
      <c r="FD17" s="579"/>
      <c r="FE17" s="579"/>
      <c r="FF17" s="579"/>
      <c r="FG17" s="577"/>
      <c r="FH17" s="577"/>
      <c r="FI17" s="577"/>
      <c r="FJ17" s="577"/>
      <c r="FK17" s="577"/>
      <c r="FL17" s="577"/>
      <c r="FM17" s="696">
        <f t="shared" si="0"/>
        <v>76441796</v>
      </c>
      <c r="FN17" s="696">
        <f t="shared" si="1"/>
        <v>0</v>
      </c>
      <c r="FO17" s="696">
        <f t="shared" si="2"/>
        <v>0</v>
      </c>
      <c r="FP17" s="696">
        <f t="shared" si="3"/>
        <v>76441796</v>
      </c>
    </row>
    <row r="18" spans="1:175" ht="24" customHeight="1" x14ac:dyDescent="0.2">
      <c r="A18" s="9" t="s">
        <v>42</v>
      </c>
      <c r="B18" s="16" t="s">
        <v>43</v>
      </c>
      <c r="C18" s="576" t="s">
        <v>44</v>
      </c>
      <c r="D18" s="577">
        <f>+D19</f>
        <v>0</v>
      </c>
      <c r="E18" s="577">
        <f>+E19</f>
        <v>0</v>
      </c>
      <c r="F18" s="577"/>
      <c r="G18" s="577">
        <f>+G19</f>
        <v>0</v>
      </c>
      <c r="H18" s="577">
        <f>+H19</f>
        <v>0</v>
      </c>
      <c r="I18" s="577"/>
      <c r="J18" s="577">
        <f>+J19</f>
        <v>0</v>
      </c>
      <c r="K18" s="577">
        <f>+K19</f>
        <v>0</v>
      </c>
      <c r="L18" s="577"/>
      <c r="M18" s="577">
        <f>+M19</f>
        <v>0</v>
      </c>
      <c r="N18" s="577">
        <f>+N19</f>
        <v>0</v>
      </c>
      <c r="O18" s="577"/>
      <c r="P18" s="577">
        <f>+P19</f>
        <v>0</v>
      </c>
      <c r="Q18" s="577">
        <f>+Q19</f>
        <v>0</v>
      </c>
      <c r="R18" s="577"/>
      <c r="S18" s="577">
        <f>+S19</f>
        <v>0</v>
      </c>
      <c r="T18" s="577">
        <f>+T19</f>
        <v>0</v>
      </c>
      <c r="U18" s="577"/>
      <c r="V18" s="577">
        <f>+V19</f>
        <v>0</v>
      </c>
      <c r="W18" s="577">
        <f>+W19</f>
        <v>0</v>
      </c>
      <c r="X18" s="577"/>
      <c r="Y18" s="577">
        <f>+Y19</f>
        <v>0</v>
      </c>
      <c r="Z18" s="577">
        <f>+Z19</f>
        <v>0</v>
      </c>
      <c r="AA18" s="577"/>
      <c r="AB18" s="577">
        <v>2250000</v>
      </c>
      <c r="AC18" s="577">
        <v>2250000</v>
      </c>
      <c r="AD18" s="577">
        <v>1059600</v>
      </c>
      <c r="AE18" s="577">
        <v>500000</v>
      </c>
      <c r="AF18" s="577">
        <v>1000000</v>
      </c>
      <c r="AG18" s="577">
        <v>750000</v>
      </c>
      <c r="AH18" s="577">
        <f>+AH19</f>
        <v>0</v>
      </c>
      <c r="AI18" s="577">
        <v>2000000</v>
      </c>
      <c r="AJ18" s="577">
        <v>2000000</v>
      </c>
      <c r="AK18" s="577">
        <f>+AK19</f>
        <v>0</v>
      </c>
      <c r="AL18" s="577">
        <f>+AL19</f>
        <v>0</v>
      </c>
      <c r="AM18" s="577"/>
      <c r="AN18" s="577">
        <v>398131180</v>
      </c>
      <c r="AO18" s="577">
        <v>490587180</v>
      </c>
      <c r="AP18" s="577">
        <v>490587180</v>
      </c>
      <c r="AQ18" s="577">
        <f>+AQ19</f>
        <v>0</v>
      </c>
      <c r="AR18" s="577">
        <v>300000</v>
      </c>
      <c r="AS18" s="578">
        <v>300000</v>
      </c>
      <c r="AT18" s="577">
        <f>+AT19</f>
        <v>0</v>
      </c>
      <c r="AU18" s="577">
        <f>+AU19</f>
        <v>0</v>
      </c>
      <c r="AV18" s="578"/>
      <c r="AW18" s="577">
        <f>+AW19</f>
        <v>0</v>
      </c>
      <c r="AX18" s="577">
        <f>+AX19</f>
        <v>0</v>
      </c>
      <c r="AY18" s="577"/>
      <c r="AZ18" s="577">
        <f>+AZ19</f>
        <v>0</v>
      </c>
      <c r="BA18" s="577">
        <f>+BA19</f>
        <v>0</v>
      </c>
      <c r="BB18" s="577">
        <v>96000</v>
      </c>
      <c r="BC18" s="577">
        <f>+BC19</f>
        <v>0</v>
      </c>
      <c r="BD18" s="577">
        <f>+BD19</f>
        <v>0</v>
      </c>
      <c r="BE18" s="577"/>
      <c r="BF18" s="577">
        <f>+BF19</f>
        <v>0</v>
      </c>
      <c r="BG18" s="577">
        <v>1080000</v>
      </c>
      <c r="BH18" s="577">
        <v>1080000</v>
      </c>
      <c r="BI18" s="577">
        <f>+BI19</f>
        <v>0</v>
      </c>
      <c r="BJ18" s="577">
        <f>+BJ19</f>
        <v>0</v>
      </c>
      <c r="BK18" s="577"/>
      <c r="BL18" s="577">
        <f>+BL19</f>
        <v>0</v>
      </c>
      <c r="BM18" s="577">
        <f>+BM19</f>
        <v>0</v>
      </c>
      <c r="BN18" s="577"/>
      <c r="BO18" s="577">
        <f>+BO19</f>
        <v>0</v>
      </c>
      <c r="BP18" s="577">
        <f>+BP19</f>
        <v>0</v>
      </c>
      <c r="BQ18" s="577"/>
      <c r="BR18" s="577">
        <f>+BR19</f>
        <v>0</v>
      </c>
      <c r="BS18" s="577">
        <f>+BS19</f>
        <v>0</v>
      </c>
      <c r="BT18" s="577"/>
      <c r="BU18" s="577">
        <f>+BU19</f>
        <v>0</v>
      </c>
      <c r="BV18" s="577">
        <f>+BV19</f>
        <v>0</v>
      </c>
      <c r="BW18" s="577"/>
      <c r="BX18" s="577">
        <f>+BX19</f>
        <v>0</v>
      </c>
      <c r="BY18" s="577">
        <f>+BY19</f>
        <v>0</v>
      </c>
      <c r="BZ18" s="577"/>
      <c r="CA18" s="577">
        <f>+CA19</f>
        <v>0</v>
      </c>
      <c r="CB18" s="577">
        <f>+CB19</f>
        <v>0</v>
      </c>
      <c r="CC18" s="577"/>
      <c r="CD18" s="577">
        <f>+CD19</f>
        <v>0</v>
      </c>
      <c r="CE18" s="577">
        <f>+CE19</f>
        <v>0</v>
      </c>
      <c r="CF18" s="577"/>
      <c r="CG18" s="577">
        <f>+CG19</f>
        <v>0</v>
      </c>
      <c r="CH18" s="577">
        <f>+CH19</f>
        <v>0</v>
      </c>
      <c r="CI18" s="577"/>
      <c r="CJ18" s="577">
        <f>+CJ19</f>
        <v>0</v>
      </c>
      <c r="CK18" s="577">
        <f>+CK19</f>
        <v>0</v>
      </c>
      <c r="CL18" s="577"/>
      <c r="CM18" s="577">
        <f>+CM19</f>
        <v>0</v>
      </c>
      <c r="CN18" s="577">
        <f>+CN19</f>
        <v>0</v>
      </c>
      <c r="CO18" s="577"/>
      <c r="CP18" s="577">
        <f>+CP19</f>
        <v>0</v>
      </c>
      <c r="CQ18" s="577">
        <f>+CQ19</f>
        <v>0</v>
      </c>
      <c r="CR18" s="577"/>
      <c r="CS18" s="577">
        <f>+CS19</f>
        <v>0</v>
      </c>
      <c r="CT18" s="577">
        <f>+CT19</f>
        <v>0</v>
      </c>
      <c r="CU18" s="577"/>
      <c r="CV18" s="577">
        <f>+CV19</f>
        <v>0</v>
      </c>
      <c r="CW18" s="577">
        <f>+CW19</f>
        <v>0</v>
      </c>
      <c r="CX18" s="577"/>
      <c r="CY18" s="577">
        <f>+CY19</f>
        <v>0</v>
      </c>
      <c r="CZ18" s="577">
        <f>+CZ19</f>
        <v>0</v>
      </c>
      <c r="DA18" s="577"/>
      <c r="DB18" s="577">
        <f>+DB19</f>
        <v>0</v>
      </c>
      <c r="DC18" s="577">
        <f>+DC19</f>
        <v>0</v>
      </c>
      <c r="DD18" s="577"/>
      <c r="DE18" s="577">
        <f>+DE19</f>
        <v>0</v>
      </c>
      <c r="DF18" s="577">
        <f>+DF19</f>
        <v>0</v>
      </c>
      <c r="DG18" s="577"/>
      <c r="DH18" s="577">
        <f>+DH19</f>
        <v>0</v>
      </c>
      <c r="DI18" s="577">
        <f>+DI19</f>
        <v>0</v>
      </c>
      <c r="DJ18" s="577"/>
      <c r="DK18" s="577">
        <f>+DK19</f>
        <v>0</v>
      </c>
      <c r="DL18" s="577">
        <f>+DL19</f>
        <v>0</v>
      </c>
      <c r="DM18" s="577"/>
      <c r="DN18" s="577">
        <f>+DN19</f>
        <v>0</v>
      </c>
      <c r="DO18" s="577">
        <f>+DO19</f>
        <v>0</v>
      </c>
      <c r="DP18" s="577"/>
      <c r="DQ18" s="577">
        <f>+DQ19</f>
        <v>0</v>
      </c>
      <c r="DR18" s="577">
        <f>+DR19</f>
        <v>0</v>
      </c>
      <c r="DS18" s="577"/>
      <c r="DT18" s="577">
        <f>+DT19</f>
        <v>0</v>
      </c>
      <c r="DU18" s="577">
        <f>+DU19</f>
        <v>0</v>
      </c>
      <c r="DV18" s="577"/>
      <c r="DW18" s="577">
        <f>+DW19</f>
        <v>0</v>
      </c>
      <c r="DX18" s="577">
        <f>+DX19</f>
        <v>0</v>
      </c>
      <c r="DY18" s="577"/>
      <c r="DZ18" s="577">
        <f>+DZ19</f>
        <v>0</v>
      </c>
      <c r="EA18" s="577">
        <f>+EA19</f>
        <v>0</v>
      </c>
      <c r="EB18" s="577"/>
      <c r="EC18" s="577">
        <f>+EC19</f>
        <v>0</v>
      </c>
      <c r="ED18" s="577">
        <f>+ED19</f>
        <v>0</v>
      </c>
      <c r="EE18" s="577"/>
      <c r="EF18" s="577">
        <f>+EF19</f>
        <v>0</v>
      </c>
      <c r="EG18" s="577">
        <f>+EG19</f>
        <v>0</v>
      </c>
      <c r="EH18" s="577"/>
      <c r="EI18" s="577">
        <f>+EI19</f>
        <v>0</v>
      </c>
      <c r="EJ18" s="577">
        <f>+EJ19</f>
        <v>0</v>
      </c>
      <c r="EK18" s="577"/>
      <c r="EL18" s="577">
        <f>+EL19</f>
        <v>0</v>
      </c>
      <c r="EM18" s="577">
        <f>+EM19</f>
        <v>0</v>
      </c>
      <c r="EN18" s="577"/>
      <c r="EO18" s="577">
        <f>+EO19</f>
        <v>0</v>
      </c>
      <c r="EP18" s="577">
        <f>+EP19</f>
        <v>0</v>
      </c>
      <c r="EQ18" s="577"/>
      <c r="ER18" s="577">
        <f>+ER19</f>
        <v>0</v>
      </c>
      <c r="ES18" s="577">
        <f>+ES19</f>
        <v>0</v>
      </c>
      <c r="ET18" s="577"/>
      <c r="EU18" s="577">
        <f>+EU19</f>
        <v>0</v>
      </c>
      <c r="EV18" s="577">
        <f>+EV19</f>
        <v>0</v>
      </c>
      <c r="EW18" s="577"/>
      <c r="EX18" s="577">
        <f>+EX19</f>
        <v>0</v>
      </c>
      <c r="EY18" s="577">
        <f>+EY19</f>
        <v>0</v>
      </c>
      <c r="EZ18" s="577"/>
      <c r="FA18" s="577">
        <f>+FA19</f>
        <v>0</v>
      </c>
      <c r="FB18" s="577">
        <f>+FB19</f>
        <v>0</v>
      </c>
      <c r="FC18" s="577"/>
      <c r="FD18" s="577">
        <f>+FD19</f>
        <v>0</v>
      </c>
      <c r="FE18" s="577">
        <f>+FE19</f>
        <v>0</v>
      </c>
      <c r="FF18" s="577"/>
      <c r="FG18" s="577">
        <f>+FG19</f>
        <v>0</v>
      </c>
      <c r="FH18" s="577">
        <f>+FH19</f>
        <v>0</v>
      </c>
      <c r="FI18" s="577"/>
      <c r="FJ18" s="577">
        <f>+FJ19</f>
        <v>0</v>
      </c>
      <c r="FK18" s="577">
        <f>+FK19</f>
        <v>0</v>
      </c>
      <c r="FL18" s="577"/>
      <c r="FM18" s="696">
        <f t="shared" si="0"/>
        <v>0</v>
      </c>
      <c r="FN18" s="696">
        <f t="shared" si="1"/>
        <v>495872780</v>
      </c>
      <c r="FO18" s="696">
        <f t="shared" si="2"/>
        <v>0</v>
      </c>
      <c r="FP18" s="696">
        <f t="shared" si="3"/>
        <v>495872780</v>
      </c>
    </row>
    <row r="19" spans="1:175" ht="24" customHeight="1" x14ac:dyDescent="0.2">
      <c r="A19" s="9" t="s">
        <v>45</v>
      </c>
      <c r="B19" s="17" t="s">
        <v>46</v>
      </c>
      <c r="C19" s="576"/>
      <c r="D19" s="577"/>
      <c r="E19" s="577"/>
      <c r="F19" s="577"/>
      <c r="G19" s="577"/>
      <c r="H19" s="577"/>
      <c r="I19" s="577"/>
      <c r="J19" s="577"/>
      <c r="K19" s="577"/>
      <c r="L19" s="577"/>
      <c r="M19" s="577"/>
      <c r="N19" s="577"/>
      <c r="O19" s="577"/>
      <c r="P19" s="577"/>
      <c r="Q19" s="577"/>
      <c r="R19" s="577"/>
      <c r="S19" s="577"/>
      <c r="T19" s="577"/>
      <c r="U19" s="577"/>
      <c r="V19" s="577"/>
      <c r="W19" s="577"/>
      <c r="X19" s="577"/>
      <c r="Y19" s="577"/>
      <c r="Z19" s="577"/>
      <c r="AA19" s="577"/>
      <c r="AB19" s="577">
        <v>2250000</v>
      </c>
      <c r="AC19" s="577">
        <v>2250000</v>
      </c>
      <c r="AD19" s="577">
        <f>+AD18</f>
        <v>1059600</v>
      </c>
      <c r="AE19" s="577">
        <v>500000</v>
      </c>
      <c r="AF19" s="577">
        <v>1000000</v>
      </c>
      <c r="AG19" s="577">
        <f>+AG18</f>
        <v>750000</v>
      </c>
      <c r="AH19" s="577">
        <f>'[1]4.sz.Felhalm.c.pe.átadás'!K5</f>
        <v>0</v>
      </c>
      <c r="AI19" s="577">
        <v>2000000</v>
      </c>
      <c r="AJ19" s="577">
        <f>+AJ18</f>
        <v>2000000</v>
      </c>
      <c r="AK19" s="577"/>
      <c r="AL19" s="577"/>
      <c r="AM19" s="577"/>
      <c r="AN19" s="577">
        <v>398131180</v>
      </c>
      <c r="AO19" s="577">
        <v>490587180</v>
      </c>
      <c r="AP19" s="577">
        <v>490587180</v>
      </c>
      <c r="AQ19" s="577"/>
      <c r="AR19" s="577">
        <v>300000</v>
      </c>
      <c r="AS19" s="578">
        <f>+AS18</f>
        <v>300000</v>
      </c>
      <c r="AT19" s="577"/>
      <c r="AU19" s="577"/>
      <c r="AV19" s="578"/>
      <c r="AW19" s="577"/>
      <c r="AX19" s="577"/>
      <c r="AY19" s="577"/>
      <c r="AZ19" s="577"/>
      <c r="BA19" s="577"/>
      <c r="BB19" s="577">
        <v>96000</v>
      </c>
      <c r="BC19" s="577"/>
      <c r="BD19" s="577"/>
      <c r="BE19" s="577"/>
      <c r="BF19" s="577"/>
      <c r="BG19" s="577">
        <v>1080000</v>
      </c>
      <c r="BH19" s="577">
        <v>1080000</v>
      </c>
      <c r="BI19" s="577"/>
      <c r="BJ19" s="577"/>
      <c r="BK19" s="577"/>
      <c r="BL19" s="577"/>
      <c r="BM19" s="577"/>
      <c r="BN19" s="577"/>
      <c r="BO19" s="577"/>
      <c r="BP19" s="577"/>
      <c r="BQ19" s="577"/>
      <c r="BR19" s="577"/>
      <c r="BS19" s="577"/>
      <c r="BT19" s="577"/>
      <c r="BU19" s="577"/>
      <c r="BV19" s="577"/>
      <c r="BW19" s="577"/>
      <c r="BX19" s="577"/>
      <c r="BY19" s="577"/>
      <c r="BZ19" s="577"/>
      <c r="CA19" s="577"/>
      <c r="CB19" s="577"/>
      <c r="CC19" s="577"/>
      <c r="CD19" s="577"/>
      <c r="CE19" s="577"/>
      <c r="CF19" s="577"/>
      <c r="CG19" s="577"/>
      <c r="CH19" s="577"/>
      <c r="CI19" s="577"/>
      <c r="CJ19" s="577"/>
      <c r="CK19" s="577"/>
      <c r="CL19" s="577"/>
      <c r="CM19" s="577"/>
      <c r="CN19" s="577"/>
      <c r="CO19" s="577"/>
      <c r="CP19" s="577"/>
      <c r="CQ19" s="577"/>
      <c r="CR19" s="577"/>
      <c r="CS19" s="577"/>
      <c r="CT19" s="577"/>
      <c r="CU19" s="577"/>
      <c r="CV19" s="577"/>
      <c r="CW19" s="577"/>
      <c r="CX19" s="577"/>
      <c r="CY19" s="577"/>
      <c r="CZ19" s="577"/>
      <c r="DA19" s="577"/>
      <c r="DB19" s="577"/>
      <c r="DC19" s="577"/>
      <c r="DD19" s="577"/>
      <c r="DE19" s="578"/>
      <c r="DF19" s="578"/>
      <c r="DG19" s="578"/>
      <c r="DH19" s="578"/>
      <c r="DI19" s="578"/>
      <c r="DJ19" s="578"/>
      <c r="DK19" s="577"/>
      <c r="DL19" s="577"/>
      <c r="DM19" s="577"/>
      <c r="DN19" s="577"/>
      <c r="DO19" s="577"/>
      <c r="DP19" s="577"/>
      <c r="DQ19" s="577"/>
      <c r="DR19" s="577"/>
      <c r="DS19" s="577"/>
      <c r="DT19" s="577"/>
      <c r="DU19" s="577"/>
      <c r="DV19" s="577"/>
      <c r="DW19" s="577"/>
      <c r="DX19" s="577"/>
      <c r="DY19" s="577"/>
      <c r="DZ19" s="577"/>
      <c r="EA19" s="577"/>
      <c r="EB19" s="577"/>
      <c r="EC19" s="577"/>
      <c r="ED19" s="577"/>
      <c r="EE19" s="577"/>
      <c r="EF19" s="577"/>
      <c r="EG19" s="577"/>
      <c r="EH19" s="577"/>
      <c r="EI19" s="577"/>
      <c r="EJ19" s="577"/>
      <c r="EK19" s="577"/>
      <c r="EL19" s="577"/>
      <c r="EM19" s="577"/>
      <c r="EN19" s="577"/>
      <c r="EO19" s="577"/>
      <c r="EP19" s="577"/>
      <c r="EQ19" s="577"/>
      <c r="ER19" s="577"/>
      <c r="ES19" s="577"/>
      <c r="ET19" s="577"/>
      <c r="EU19" s="577"/>
      <c r="EV19" s="577"/>
      <c r="EW19" s="577"/>
      <c r="EX19" s="577"/>
      <c r="EY19" s="577"/>
      <c r="EZ19" s="577"/>
      <c r="FA19" s="577"/>
      <c r="FB19" s="579"/>
      <c r="FC19" s="579"/>
      <c r="FD19" s="579"/>
      <c r="FE19" s="579"/>
      <c r="FF19" s="579"/>
      <c r="FG19" s="577"/>
      <c r="FH19" s="577"/>
      <c r="FI19" s="577"/>
      <c r="FJ19" s="577"/>
      <c r="FK19" s="577"/>
      <c r="FL19" s="577"/>
      <c r="FM19" s="696">
        <f t="shared" si="0"/>
        <v>0</v>
      </c>
      <c r="FN19" s="696">
        <f t="shared" si="1"/>
        <v>495872780</v>
      </c>
      <c r="FO19" s="696">
        <f t="shared" si="2"/>
        <v>0</v>
      </c>
      <c r="FP19" s="696">
        <f t="shared" si="3"/>
        <v>495872780</v>
      </c>
    </row>
    <row r="20" spans="1:175" ht="24" customHeight="1" x14ac:dyDescent="0.25">
      <c r="A20" s="9" t="s">
        <v>47</v>
      </c>
      <c r="B20" s="20" t="s">
        <v>48</v>
      </c>
      <c r="C20" s="576" t="s">
        <v>49</v>
      </c>
      <c r="D20" s="26">
        <f t="shared" ref="D20:K20" si="4">+D18+D17+D16+D12+D11+D10+D9+D8</f>
        <v>39770000</v>
      </c>
      <c r="E20" s="26">
        <f t="shared" si="4"/>
        <v>211901682</v>
      </c>
      <c r="F20" s="26">
        <f t="shared" si="4"/>
        <v>199859141</v>
      </c>
      <c r="G20" s="26">
        <f t="shared" si="4"/>
        <v>15500000</v>
      </c>
      <c r="H20" s="26">
        <f t="shared" si="4"/>
        <v>87594672</v>
      </c>
      <c r="I20" s="26">
        <f t="shared" si="4"/>
        <v>81452291</v>
      </c>
      <c r="J20" s="26">
        <f t="shared" si="4"/>
        <v>0</v>
      </c>
      <c r="K20" s="26">
        <f t="shared" si="4"/>
        <v>0</v>
      </c>
      <c r="L20" s="26"/>
      <c r="M20" s="26">
        <f>+M18+M17+M16+M12+M11+M10+M9+M8</f>
        <v>0</v>
      </c>
      <c r="N20" s="26">
        <f>+N18+N17+N16+N12+N11+N10+N9+N8</f>
        <v>0</v>
      </c>
      <c r="O20" s="26"/>
      <c r="P20" s="26">
        <f>+P18+P17+P16+P12+P11+P10+P9+P8</f>
        <v>1000000</v>
      </c>
      <c r="Q20" s="26">
        <f>+Q18+Q17+Q16+Q12+Q11+Q10+Q9+Q8</f>
        <v>1892500</v>
      </c>
      <c r="R20" s="26">
        <f>+R18+R17+R16+R12+R11+R10+R9+R8</f>
        <v>1753134</v>
      </c>
      <c r="S20" s="26">
        <f t="shared" ref="S20:Z20" si="5">+S18+S17+S16+S12+S11+S10+S9+S8</f>
        <v>0</v>
      </c>
      <c r="T20" s="26">
        <f t="shared" si="5"/>
        <v>1000000</v>
      </c>
      <c r="U20" s="26">
        <f t="shared" si="5"/>
        <v>980000</v>
      </c>
      <c r="V20" s="26">
        <f t="shared" si="5"/>
        <v>18000000</v>
      </c>
      <c r="W20" s="26">
        <f t="shared" si="5"/>
        <v>28544184</v>
      </c>
      <c r="X20" s="26">
        <f t="shared" si="5"/>
        <v>27723964</v>
      </c>
      <c r="Y20" s="26">
        <f t="shared" si="5"/>
        <v>0</v>
      </c>
      <c r="Z20" s="26">
        <f t="shared" si="5"/>
        <v>0</v>
      </c>
      <c r="AA20" s="26"/>
      <c r="AB20" s="26">
        <f t="shared" ref="AB20:AM20" si="6">+AB18+AB17+AB16+AB12+AB11+AB10+AB9+AB8</f>
        <v>2250000</v>
      </c>
      <c r="AC20" s="26">
        <f t="shared" si="6"/>
        <v>2250000</v>
      </c>
      <c r="AD20" s="26">
        <f t="shared" si="6"/>
        <v>1059600</v>
      </c>
      <c r="AE20" s="26">
        <f t="shared" si="6"/>
        <v>500000</v>
      </c>
      <c r="AF20" s="26">
        <f t="shared" si="6"/>
        <v>1000000</v>
      </c>
      <c r="AG20" s="26">
        <f t="shared" si="6"/>
        <v>750000</v>
      </c>
      <c r="AH20" s="26">
        <f t="shared" si="6"/>
        <v>0</v>
      </c>
      <c r="AI20" s="26">
        <f t="shared" si="6"/>
        <v>2000000</v>
      </c>
      <c r="AJ20" s="26">
        <f t="shared" si="6"/>
        <v>2000000</v>
      </c>
      <c r="AK20" s="26">
        <f t="shared" si="6"/>
        <v>5656409</v>
      </c>
      <c r="AL20" s="26">
        <f t="shared" si="6"/>
        <v>8656409</v>
      </c>
      <c r="AM20" s="26">
        <f t="shared" si="6"/>
        <v>4082511</v>
      </c>
      <c r="AN20" s="26">
        <f t="shared" ref="AN20:BS20" si="7">+AN18+AN17+AN16+AN12+AN11+AN10+AN9+AN8</f>
        <v>434404592</v>
      </c>
      <c r="AO20" s="26">
        <f t="shared" si="7"/>
        <v>566910592</v>
      </c>
      <c r="AP20" s="26">
        <f t="shared" si="7"/>
        <v>550856930</v>
      </c>
      <c r="AQ20" s="26">
        <f t="shared" si="7"/>
        <v>228000</v>
      </c>
      <c r="AR20" s="26">
        <f t="shared" si="7"/>
        <v>4148000</v>
      </c>
      <c r="AS20" s="710">
        <f t="shared" si="7"/>
        <v>4070000</v>
      </c>
      <c r="AT20" s="26">
        <f t="shared" si="7"/>
        <v>0</v>
      </c>
      <c r="AU20" s="26">
        <f t="shared" si="7"/>
        <v>1990000</v>
      </c>
      <c r="AV20" s="710">
        <f t="shared" si="7"/>
        <v>1990000</v>
      </c>
      <c r="AW20" s="26">
        <f t="shared" si="7"/>
        <v>0</v>
      </c>
      <c r="AX20" s="26">
        <f t="shared" si="7"/>
        <v>700000</v>
      </c>
      <c r="AY20" s="26">
        <f t="shared" si="7"/>
        <v>700000</v>
      </c>
      <c r="AZ20" s="26">
        <f t="shared" si="7"/>
        <v>0</v>
      </c>
      <c r="BA20" s="26">
        <f t="shared" si="7"/>
        <v>13409000</v>
      </c>
      <c r="BB20" s="26">
        <f>+BB18+BB17+BB16+BB12+BB11+BB10+BB9+BB8</f>
        <v>13405000</v>
      </c>
      <c r="BC20" s="26">
        <f t="shared" si="7"/>
        <v>0</v>
      </c>
      <c r="BD20" s="26">
        <f t="shared" si="7"/>
        <v>1660000</v>
      </c>
      <c r="BE20" s="26">
        <f t="shared" si="7"/>
        <v>1660000</v>
      </c>
      <c r="BF20" s="26">
        <f t="shared" si="7"/>
        <v>3600000</v>
      </c>
      <c r="BG20" s="26">
        <f t="shared" si="7"/>
        <v>3600000</v>
      </c>
      <c r="BH20" s="26">
        <f t="shared" si="7"/>
        <v>3600000</v>
      </c>
      <c r="BI20" s="26">
        <f t="shared" si="7"/>
        <v>70000</v>
      </c>
      <c r="BJ20" s="26">
        <f t="shared" si="7"/>
        <v>1080000</v>
      </c>
      <c r="BK20" s="26">
        <f t="shared" si="7"/>
        <v>1080000</v>
      </c>
      <c r="BL20" s="26">
        <f t="shared" si="7"/>
        <v>25600000</v>
      </c>
      <c r="BM20" s="26">
        <f t="shared" si="7"/>
        <v>36000000</v>
      </c>
      <c r="BN20" s="26">
        <f t="shared" si="7"/>
        <v>35916000</v>
      </c>
      <c r="BO20" s="26">
        <f t="shared" si="7"/>
        <v>3000000</v>
      </c>
      <c r="BP20" s="26">
        <f t="shared" si="7"/>
        <v>3160000</v>
      </c>
      <c r="BQ20" s="26">
        <f t="shared" si="7"/>
        <v>3100000</v>
      </c>
      <c r="BR20" s="26">
        <f t="shared" si="7"/>
        <v>74975047</v>
      </c>
      <c r="BS20" s="26">
        <f t="shared" si="7"/>
        <v>74929016</v>
      </c>
      <c r="BT20" s="26">
        <f t="shared" ref="BT20:CY20" si="8">+BT18+BT17+BT16+BT12+BT11+BT10+BT9+BT8</f>
        <v>68395471</v>
      </c>
      <c r="BU20" s="26">
        <f t="shared" si="8"/>
        <v>4042988</v>
      </c>
      <c r="BV20" s="26">
        <f t="shared" si="8"/>
        <v>9866930</v>
      </c>
      <c r="BW20" s="26">
        <f t="shared" si="8"/>
        <v>9756548</v>
      </c>
      <c r="BX20" s="26">
        <f t="shared" si="8"/>
        <v>11175000</v>
      </c>
      <c r="BY20" s="26">
        <f t="shared" si="8"/>
        <v>17550000</v>
      </c>
      <c r="BZ20" s="26">
        <f t="shared" si="8"/>
        <v>17550000</v>
      </c>
      <c r="CA20" s="26">
        <f t="shared" si="8"/>
        <v>2000000</v>
      </c>
      <c r="CB20" s="26">
        <f t="shared" si="8"/>
        <v>2600000</v>
      </c>
      <c r="CC20" s="26">
        <f t="shared" si="8"/>
        <v>766215</v>
      </c>
      <c r="CD20" s="26">
        <f t="shared" si="8"/>
        <v>16500000</v>
      </c>
      <c r="CE20" s="26">
        <f t="shared" si="8"/>
        <v>30040000</v>
      </c>
      <c r="CF20" s="26">
        <f t="shared" si="8"/>
        <v>26100697</v>
      </c>
      <c r="CG20" s="26">
        <f t="shared" si="8"/>
        <v>750000</v>
      </c>
      <c r="CH20" s="26">
        <f t="shared" si="8"/>
        <v>1850000</v>
      </c>
      <c r="CI20" s="26">
        <f t="shared" si="8"/>
        <v>1447307</v>
      </c>
      <c r="CJ20" s="26">
        <f t="shared" si="8"/>
        <v>1000000</v>
      </c>
      <c r="CK20" s="26">
        <f t="shared" si="8"/>
        <v>2000000</v>
      </c>
      <c r="CL20" s="26">
        <f t="shared" si="8"/>
        <v>1775018</v>
      </c>
      <c r="CM20" s="26">
        <f t="shared" si="8"/>
        <v>1504500</v>
      </c>
      <c r="CN20" s="26">
        <f t="shared" si="8"/>
        <v>5545500</v>
      </c>
      <c r="CO20" s="26">
        <f t="shared" si="8"/>
        <v>3109838</v>
      </c>
      <c r="CP20" s="26">
        <f t="shared" si="8"/>
        <v>1500000</v>
      </c>
      <c r="CQ20" s="26">
        <f t="shared" si="8"/>
        <v>3000000</v>
      </c>
      <c r="CR20" s="26">
        <f t="shared" si="8"/>
        <v>2102900</v>
      </c>
      <c r="CS20" s="26">
        <f t="shared" si="8"/>
        <v>500000</v>
      </c>
      <c r="CT20" s="26">
        <f t="shared" si="8"/>
        <v>600000</v>
      </c>
      <c r="CU20" s="26">
        <f t="shared" si="8"/>
        <v>600000</v>
      </c>
      <c r="CV20" s="26">
        <f t="shared" si="8"/>
        <v>7200000</v>
      </c>
      <c r="CW20" s="26">
        <f t="shared" si="8"/>
        <v>14492689</v>
      </c>
      <c r="CX20" s="26">
        <f t="shared" si="8"/>
        <v>13253570</v>
      </c>
      <c r="CY20" s="26">
        <f t="shared" si="8"/>
        <v>186312420</v>
      </c>
      <c r="CZ20" s="26">
        <f t="shared" ref="CZ20:DI20" si="9">+CZ18+CZ17+CZ16+CZ12+CZ11+CZ10+CZ9+CZ8</f>
        <v>260791265</v>
      </c>
      <c r="DA20" s="26">
        <f t="shared" si="9"/>
        <v>260478845</v>
      </c>
      <c r="DB20" s="26">
        <f t="shared" si="9"/>
        <v>22000000</v>
      </c>
      <c r="DC20" s="26">
        <f t="shared" si="9"/>
        <v>30286082</v>
      </c>
      <c r="DD20" s="26">
        <f t="shared" si="9"/>
        <v>30209882</v>
      </c>
      <c r="DE20" s="26">
        <f t="shared" si="9"/>
        <v>28675000</v>
      </c>
      <c r="DF20" s="26">
        <f t="shared" si="9"/>
        <v>24828500</v>
      </c>
      <c r="DG20" s="26">
        <f t="shared" si="9"/>
        <v>24828500</v>
      </c>
      <c r="DH20" s="26">
        <f t="shared" si="9"/>
        <v>0</v>
      </c>
      <c r="DI20" s="26">
        <f t="shared" si="9"/>
        <v>0</v>
      </c>
      <c r="DJ20" s="26"/>
      <c r="DK20" s="26">
        <f t="shared" ref="DK20:EQ20" si="10">+DK18+DK17+DK16+DK12+DK11+DK10+DK9+DK8</f>
        <v>38000000</v>
      </c>
      <c r="DL20" s="26">
        <f t="shared" si="10"/>
        <v>16993842</v>
      </c>
      <c r="DM20" s="26">
        <f t="shared" si="10"/>
        <v>16712738</v>
      </c>
      <c r="DN20" s="26">
        <f t="shared" si="10"/>
        <v>85900000</v>
      </c>
      <c r="DO20" s="26">
        <f t="shared" si="10"/>
        <v>168122918</v>
      </c>
      <c r="DP20" s="26">
        <f t="shared" si="10"/>
        <v>168122918</v>
      </c>
      <c r="DQ20" s="26">
        <f t="shared" si="10"/>
        <v>45262967</v>
      </c>
      <c r="DR20" s="26">
        <f t="shared" si="10"/>
        <v>88306582</v>
      </c>
      <c r="DS20" s="26">
        <f t="shared" si="10"/>
        <v>79830259</v>
      </c>
      <c r="DT20" s="26">
        <f t="shared" si="10"/>
        <v>30696414</v>
      </c>
      <c r="DU20" s="26">
        <f t="shared" si="10"/>
        <v>62686818</v>
      </c>
      <c r="DV20" s="26">
        <f t="shared" si="10"/>
        <v>31553731</v>
      </c>
      <c r="DW20" s="26">
        <f t="shared" si="10"/>
        <v>1968000</v>
      </c>
      <c r="DX20" s="26">
        <f t="shared" si="10"/>
        <v>2218000</v>
      </c>
      <c r="DY20" s="26">
        <f t="shared" si="10"/>
        <v>1890639</v>
      </c>
      <c r="DZ20" s="26">
        <f t="shared" si="10"/>
        <v>4300000</v>
      </c>
      <c r="EA20" s="26">
        <f t="shared" si="10"/>
        <v>2718734</v>
      </c>
      <c r="EB20" s="26">
        <f t="shared" si="10"/>
        <v>2177900</v>
      </c>
      <c r="EC20" s="26">
        <f t="shared" si="10"/>
        <v>7000000</v>
      </c>
      <c r="ED20" s="26">
        <f t="shared" si="10"/>
        <v>12847744</v>
      </c>
      <c r="EE20" s="26">
        <f t="shared" si="10"/>
        <v>12446480</v>
      </c>
      <c r="EF20" s="26">
        <f t="shared" si="10"/>
        <v>4000000</v>
      </c>
      <c r="EG20" s="26">
        <f t="shared" si="10"/>
        <v>3619000</v>
      </c>
      <c r="EH20" s="26">
        <f t="shared" si="10"/>
        <v>3290300</v>
      </c>
      <c r="EI20" s="26">
        <f t="shared" si="10"/>
        <v>27130410</v>
      </c>
      <c r="EJ20" s="26">
        <f t="shared" si="10"/>
        <v>65571616</v>
      </c>
      <c r="EK20" s="26">
        <f t="shared" si="10"/>
        <v>62786336</v>
      </c>
      <c r="EL20" s="26">
        <f t="shared" si="10"/>
        <v>23759000</v>
      </c>
      <c r="EM20" s="26">
        <f t="shared" si="10"/>
        <v>35834000</v>
      </c>
      <c r="EN20" s="26">
        <f t="shared" si="10"/>
        <v>35834000</v>
      </c>
      <c r="EO20" s="26">
        <f t="shared" si="10"/>
        <v>1575000</v>
      </c>
      <c r="EP20" s="26">
        <f t="shared" si="10"/>
        <v>1575000</v>
      </c>
      <c r="EQ20" s="26">
        <f t="shared" si="10"/>
        <v>1574800</v>
      </c>
      <c r="ER20" s="26">
        <v>30000000</v>
      </c>
      <c r="ES20" s="26">
        <v>30000000</v>
      </c>
      <c r="ET20" s="26">
        <f>+ET10</f>
        <v>21716695</v>
      </c>
      <c r="EU20" s="26">
        <f>+EU18+EU17+EU16+EU12+EU11+EU10+EU9+EU8</f>
        <v>0</v>
      </c>
      <c r="EV20" s="26">
        <f>+EV18+EV17+EV16+EV12+EV11+EV10+EV9+EV8</f>
        <v>0</v>
      </c>
      <c r="EW20" s="26"/>
      <c r="EX20" s="26">
        <f t="shared" ref="EX20:FL20" si="11">+EX18+EX17+EX16+EX12+EX11+EX10+EX9+EX8</f>
        <v>0</v>
      </c>
      <c r="EY20" s="26">
        <f t="shared" si="11"/>
        <v>105000</v>
      </c>
      <c r="EZ20" s="26">
        <f t="shared" si="11"/>
        <v>105000</v>
      </c>
      <c r="FA20" s="26">
        <f t="shared" si="11"/>
        <v>5000000</v>
      </c>
      <c r="FB20" s="26">
        <f t="shared" si="11"/>
        <v>15075281</v>
      </c>
      <c r="FC20" s="26">
        <f t="shared" si="11"/>
        <v>15075281</v>
      </c>
      <c r="FD20" s="26">
        <f t="shared" si="11"/>
        <v>30999844</v>
      </c>
      <c r="FE20" s="26">
        <f t="shared" si="11"/>
        <v>25366062</v>
      </c>
      <c r="FF20" s="26">
        <f t="shared" si="11"/>
        <v>24736213</v>
      </c>
      <c r="FG20" s="26">
        <f t="shared" si="11"/>
        <v>18409277</v>
      </c>
      <c r="FH20" s="26">
        <f t="shared" si="11"/>
        <v>24699262</v>
      </c>
      <c r="FI20" s="26">
        <f t="shared" si="11"/>
        <v>19938008</v>
      </c>
      <c r="FJ20" s="26">
        <f t="shared" si="11"/>
        <v>500000</v>
      </c>
      <c r="FK20" s="26">
        <f t="shared" si="11"/>
        <v>550065</v>
      </c>
      <c r="FL20" s="26">
        <f t="shared" si="11"/>
        <v>550065</v>
      </c>
      <c r="FM20" s="696">
        <f t="shared" si="0"/>
        <v>1219698244</v>
      </c>
      <c r="FN20" s="696">
        <f t="shared" si="1"/>
        <v>673609174</v>
      </c>
      <c r="FO20" s="696">
        <f t="shared" si="2"/>
        <v>1447307</v>
      </c>
      <c r="FP20" s="696">
        <f t="shared" si="3"/>
        <v>1894754725</v>
      </c>
    </row>
    <row r="21" spans="1:175" ht="24" customHeight="1" x14ac:dyDescent="0.2">
      <c r="A21" s="9" t="s">
        <v>50</v>
      </c>
      <c r="B21" s="20" t="s">
        <v>51</v>
      </c>
      <c r="C21" s="576" t="s">
        <v>52</v>
      </c>
      <c r="D21" s="577">
        <f>+D22+D23+D24+D25</f>
        <v>0</v>
      </c>
      <c r="E21" s="577">
        <f>+E22+E23+E24+E25</f>
        <v>0</v>
      </c>
      <c r="F21" s="577"/>
      <c r="G21" s="577">
        <f>+G22+G23+G24+G25</f>
        <v>0</v>
      </c>
      <c r="H21" s="577">
        <f>+H22+H23+H24+H25</f>
        <v>0</v>
      </c>
      <c r="I21" s="577"/>
      <c r="J21" s="577">
        <f>+J22+J23+J24+J25</f>
        <v>0</v>
      </c>
      <c r="K21" s="577">
        <f>+K22+K23+K24+K25</f>
        <v>0</v>
      </c>
      <c r="L21" s="577"/>
      <c r="M21" s="577">
        <f>+M22+M23+M24+M25</f>
        <v>0</v>
      </c>
      <c r="N21" s="577">
        <f>+N22+N23+N24+N25</f>
        <v>0</v>
      </c>
      <c r="O21" s="577"/>
      <c r="P21" s="577">
        <f>+P22+P23+P24+P25</f>
        <v>0</v>
      </c>
      <c r="Q21" s="577">
        <f>+Q22+Q23+Q24+Q25</f>
        <v>0</v>
      </c>
      <c r="R21" s="577"/>
      <c r="S21" s="577">
        <f>+S22+S23+S24+S25</f>
        <v>0</v>
      </c>
      <c r="T21" s="577">
        <f>+T22+T23+T24+T25</f>
        <v>0</v>
      </c>
      <c r="U21" s="577"/>
      <c r="V21" s="577">
        <f>+V22+V23+V24+V25</f>
        <v>0</v>
      </c>
      <c r="W21" s="577">
        <f>+W22+W23+W24+W25</f>
        <v>0</v>
      </c>
      <c r="X21" s="577"/>
      <c r="Y21" s="577">
        <f>+Y22+Y23+Y24+Y25</f>
        <v>0</v>
      </c>
      <c r="Z21" s="577">
        <f>+Z22+Z23+Z24+Z25</f>
        <v>0</v>
      </c>
      <c r="AA21" s="577"/>
      <c r="AB21" s="577">
        <f>+AB22+AB23+AB24+AB25</f>
        <v>0</v>
      </c>
      <c r="AC21" s="577">
        <f>+AC22+AC23+AC24+AC25</f>
        <v>0</v>
      </c>
      <c r="AD21" s="577"/>
      <c r="AE21" s="577">
        <f>+AE22+AE23+AE24+AE25</f>
        <v>0</v>
      </c>
      <c r="AF21" s="577">
        <f>+AF22+AF23+AF24+AF25</f>
        <v>0</v>
      </c>
      <c r="AG21" s="577"/>
      <c r="AH21" s="577">
        <f>+AH22+AH23+AH24+AH25</f>
        <v>0</v>
      </c>
      <c r="AI21" s="577">
        <f>+AI22+AI23+AI24+AI25</f>
        <v>0</v>
      </c>
      <c r="AJ21" s="577"/>
      <c r="AK21" s="577">
        <f>+AK22+AK23+AK24+AK25</f>
        <v>0</v>
      </c>
      <c r="AL21" s="577">
        <f>+AL22+AL23+AL24+AL25</f>
        <v>0</v>
      </c>
      <c r="AM21" s="577"/>
      <c r="AN21" s="577">
        <f>+AN22+AN23+AN24+AN25</f>
        <v>0</v>
      </c>
      <c r="AO21" s="577">
        <f>+AO22+AO23+AO24+AO25</f>
        <v>0</v>
      </c>
      <c r="AP21" s="577"/>
      <c r="AQ21" s="577">
        <f>+AQ22+AQ23+AQ24+AQ25</f>
        <v>0</v>
      </c>
      <c r="AR21" s="577">
        <f>+AR22+AR23+AR24+AR25</f>
        <v>0</v>
      </c>
      <c r="AS21" s="578"/>
      <c r="AT21" s="577">
        <f>+AT22+AT23+AT24+AT25</f>
        <v>0</v>
      </c>
      <c r="AU21" s="577">
        <f>+AU22+AU23+AU24+AU25</f>
        <v>0</v>
      </c>
      <c r="AV21" s="578"/>
      <c r="AW21" s="577">
        <f>+AW22+AW23+AW24+AW25</f>
        <v>0</v>
      </c>
      <c r="AX21" s="577">
        <f>+AX22+AX23+AX24+AX25</f>
        <v>0</v>
      </c>
      <c r="AY21" s="577"/>
      <c r="AZ21" s="577">
        <f>+AZ22+AZ23+AZ24+AZ25</f>
        <v>0</v>
      </c>
      <c r="BA21" s="577">
        <f>+BA22+BA23+BA24+BA25</f>
        <v>0</v>
      </c>
      <c r="BB21" s="577"/>
      <c r="BC21" s="577">
        <f>+BC22+BC23+BC24+BC25</f>
        <v>0</v>
      </c>
      <c r="BD21" s="577">
        <f>+BD22+BD23+BD24+BD25</f>
        <v>0</v>
      </c>
      <c r="BE21" s="577"/>
      <c r="BF21" s="577">
        <f>+BF22+BF23+BF24+BF25</f>
        <v>0</v>
      </c>
      <c r="BG21" s="577">
        <f>+BG22+BG23+BG24+BG25</f>
        <v>0</v>
      </c>
      <c r="BH21" s="577"/>
      <c r="BI21" s="577">
        <f>+BI22+BI23+BI24+BI25</f>
        <v>0</v>
      </c>
      <c r="BJ21" s="577">
        <f>+BJ22+BJ23+BJ24+BJ25</f>
        <v>0</v>
      </c>
      <c r="BK21" s="577"/>
      <c r="BL21" s="577">
        <f>+BL22+BL23+BL24+BL25</f>
        <v>0</v>
      </c>
      <c r="BM21" s="577">
        <f>+BM22+BM23+BM24+BM25</f>
        <v>0</v>
      </c>
      <c r="BN21" s="577"/>
      <c r="BO21" s="577">
        <f>+BO22+BO23+BO24+BO25</f>
        <v>0</v>
      </c>
      <c r="BP21" s="577">
        <f>+BP22+BP23+BP24+BP25</f>
        <v>0</v>
      </c>
      <c r="BQ21" s="577"/>
      <c r="BR21" s="577">
        <f>+BR22+BR23+BR24+BR25</f>
        <v>0</v>
      </c>
      <c r="BS21" s="577">
        <f>+BS22+BS23+BS24+BS25</f>
        <v>0</v>
      </c>
      <c r="BT21" s="577"/>
      <c r="BU21" s="577">
        <f>+BU22+BU23+BU24+BU25</f>
        <v>0</v>
      </c>
      <c r="BV21" s="577">
        <f>+BV22+BV23+BV24+BV25</f>
        <v>0</v>
      </c>
      <c r="BW21" s="577"/>
      <c r="BX21" s="577">
        <f>+BX22+BX23+BX24+BX25</f>
        <v>0</v>
      </c>
      <c r="BY21" s="577">
        <f>+BY22+BY23+BY24+BY25</f>
        <v>0</v>
      </c>
      <c r="BZ21" s="577"/>
      <c r="CA21" s="577">
        <f>+CA22+CA23+CA24+CA25</f>
        <v>0</v>
      </c>
      <c r="CB21" s="577">
        <f>+CB22+CB23+CB24+CB25</f>
        <v>0</v>
      </c>
      <c r="CC21" s="577"/>
      <c r="CD21" s="577">
        <f>+CD22+CD23+CD24+CD25</f>
        <v>0</v>
      </c>
      <c r="CE21" s="577">
        <f>+CE22+CE23+CE24+CE25</f>
        <v>0</v>
      </c>
      <c r="CF21" s="577"/>
      <c r="CG21" s="577">
        <f>+CG22+CG23+CG24+CG25</f>
        <v>0</v>
      </c>
      <c r="CH21" s="577">
        <f>+CH22+CH23+CH24+CH25</f>
        <v>0</v>
      </c>
      <c r="CI21" s="577"/>
      <c r="CJ21" s="577">
        <f>+CJ22+CJ23+CJ24+CJ25</f>
        <v>0</v>
      </c>
      <c r="CK21" s="577">
        <f>+CK22+CK23+CK24+CK25</f>
        <v>0</v>
      </c>
      <c r="CL21" s="577"/>
      <c r="CM21" s="577">
        <f>+CM22+CM23+CM24+CM25</f>
        <v>0</v>
      </c>
      <c r="CN21" s="577">
        <f>+CN22+CN23+CN24+CN25</f>
        <v>0</v>
      </c>
      <c r="CO21" s="577"/>
      <c r="CP21" s="577">
        <f>+CP22+CP23+CP24+CP25</f>
        <v>0</v>
      </c>
      <c r="CQ21" s="577">
        <f>+CQ22+CQ23+CQ24+CQ25</f>
        <v>0</v>
      </c>
      <c r="CR21" s="577"/>
      <c r="CS21" s="577">
        <f>+CS22+CS23+CS24+CS25</f>
        <v>0</v>
      </c>
      <c r="CT21" s="577">
        <f>+CT22+CT23+CT24+CT25</f>
        <v>0</v>
      </c>
      <c r="CU21" s="577"/>
      <c r="CV21" s="577">
        <f>+CV22+CV23+CV24+CV25</f>
        <v>0</v>
      </c>
      <c r="CW21" s="577">
        <f>+CW22+CW23+CW24+CW25</f>
        <v>0</v>
      </c>
      <c r="CX21" s="577"/>
      <c r="CY21" s="577">
        <f>+CY22+CY23+CY24+CY25</f>
        <v>0</v>
      </c>
      <c r="CZ21" s="577">
        <f>+CZ22+CZ23+CZ24+CZ25</f>
        <v>0</v>
      </c>
      <c r="DA21" s="577"/>
      <c r="DB21" s="577">
        <f>+DB22+DB23+DB24+DB25</f>
        <v>0</v>
      </c>
      <c r="DC21" s="577">
        <f>+DC22+DC23+DC24+DC25</f>
        <v>0</v>
      </c>
      <c r="DD21" s="577"/>
      <c r="DE21" s="577">
        <f>+DE22+DE23+DE24+DE25</f>
        <v>0</v>
      </c>
      <c r="DF21" s="577">
        <f>+DF22+DF23+DF24+DF25</f>
        <v>0</v>
      </c>
      <c r="DG21" s="577"/>
      <c r="DH21" s="577">
        <f>+DH22+DH23+DH24+DH25</f>
        <v>0</v>
      </c>
      <c r="DI21" s="577">
        <f>+DI22+DI23+DI24+DI25</f>
        <v>0</v>
      </c>
      <c r="DJ21" s="577"/>
      <c r="DK21" s="577">
        <f>+DK22+DK23+DK24+DK25</f>
        <v>0</v>
      </c>
      <c r="DL21" s="577">
        <f>+DL22+DL23+DL24+DL25</f>
        <v>0</v>
      </c>
      <c r="DM21" s="577"/>
      <c r="DN21" s="577">
        <f>+DN22+DN23+DN24+DN25</f>
        <v>0</v>
      </c>
      <c r="DO21" s="577">
        <f>+DO22+DO23+DO24+DO25</f>
        <v>0</v>
      </c>
      <c r="DP21" s="577"/>
      <c r="DQ21" s="577">
        <f>+DQ22+DQ23+DQ24+DQ25</f>
        <v>0</v>
      </c>
      <c r="DR21" s="577">
        <f>+DR22+DR23+DR24+DR25</f>
        <v>0</v>
      </c>
      <c r="DS21" s="577"/>
      <c r="DT21" s="577">
        <f>+DT22+DT23+DT24+DT25</f>
        <v>0</v>
      </c>
      <c r="DU21" s="577">
        <f>+DU22+DU23+DU24+DU25</f>
        <v>0</v>
      </c>
      <c r="DV21" s="577"/>
      <c r="DW21" s="577">
        <f>+DW22+DW23+DW24+DW25</f>
        <v>0</v>
      </c>
      <c r="DX21" s="577">
        <f>+DX22+DX23+DX24+DX25</f>
        <v>0</v>
      </c>
      <c r="DY21" s="577"/>
      <c r="DZ21" s="577">
        <f>+DZ22+DZ23+DZ24+DZ25</f>
        <v>0</v>
      </c>
      <c r="EA21" s="577">
        <f>+EA22+EA23+EA24+EA25</f>
        <v>0</v>
      </c>
      <c r="EB21" s="577"/>
      <c r="EC21" s="577">
        <f>+EC22+EC23+EC24+EC25</f>
        <v>0</v>
      </c>
      <c r="ED21" s="577">
        <f>+ED22+ED23+ED24+ED25</f>
        <v>0</v>
      </c>
      <c r="EE21" s="577"/>
      <c r="EF21" s="577">
        <f>+EF22+EF23+EF24+EF25</f>
        <v>0</v>
      </c>
      <c r="EG21" s="577">
        <f>+EG22+EG23+EG24+EG25</f>
        <v>0</v>
      </c>
      <c r="EH21" s="577"/>
      <c r="EI21" s="577">
        <f>+EI22+EI23+EI24+EI25</f>
        <v>0</v>
      </c>
      <c r="EJ21" s="577">
        <f>+EJ22+EJ23+EJ24+EJ25</f>
        <v>0</v>
      </c>
      <c r="EK21" s="577"/>
      <c r="EL21" s="577">
        <f>+EL22+EL23+EL24+EL25</f>
        <v>0</v>
      </c>
      <c r="EM21" s="577">
        <f>+EM22+EM23+EM24+EM25</f>
        <v>0</v>
      </c>
      <c r="EN21" s="577"/>
      <c r="EO21" s="577">
        <f>+EO22+EO23+EO24+EO25</f>
        <v>0</v>
      </c>
      <c r="EP21" s="577">
        <f>+EP22+EP23+EP24+EP25</f>
        <v>0</v>
      </c>
      <c r="EQ21" s="577"/>
      <c r="ER21" s="577">
        <v>25740618</v>
      </c>
      <c r="ES21" s="577">
        <v>113425587</v>
      </c>
      <c r="ET21" s="577">
        <v>109895689</v>
      </c>
      <c r="EU21" s="577">
        <f>+EU22+EU23+EU24+EU25</f>
        <v>0</v>
      </c>
      <c r="EV21" s="577">
        <f>+EV22+EV23+EV24+EV25</f>
        <v>0</v>
      </c>
      <c r="EW21" s="577"/>
      <c r="EX21" s="577">
        <f>+EX22+EX23+EX24+EX25</f>
        <v>0</v>
      </c>
      <c r="EY21" s="577">
        <f>+EY22+EY23+EY24+EY25</f>
        <v>0</v>
      </c>
      <c r="EZ21" s="577"/>
      <c r="FA21" s="577">
        <f>+FA22+FA23+FA24+FA25</f>
        <v>0</v>
      </c>
      <c r="FB21" s="577">
        <f>+FB22+FB23+FB24+FB25</f>
        <v>0</v>
      </c>
      <c r="FC21" s="577"/>
      <c r="FD21" s="577">
        <f>+FD22+FD23+FD24+FD25</f>
        <v>0</v>
      </c>
      <c r="FE21" s="577">
        <f>+FE22+FE23+FE24+FE25</f>
        <v>0</v>
      </c>
      <c r="FF21" s="577"/>
      <c r="FG21" s="577">
        <f>+FG22+FG23+FG24+FG25</f>
        <v>0</v>
      </c>
      <c r="FH21" s="577">
        <f>+FH22+FH23+FH24+FH25</f>
        <v>0</v>
      </c>
      <c r="FI21" s="577"/>
      <c r="FJ21" s="577">
        <f>+FJ22+FJ23+FJ24+FJ25</f>
        <v>0</v>
      </c>
      <c r="FK21" s="577">
        <f>+FK22+FK23+FK24+FK25</f>
        <v>0</v>
      </c>
      <c r="FL21" s="577"/>
      <c r="FM21" s="696">
        <f t="shared" si="0"/>
        <v>0</v>
      </c>
      <c r="FN21" s="696">
        <f t="shared" si="1"/>
        <v>109895689</v>
      </c>
      <c r="FO21" s="696">
        <f t="shared" si="2"/>
        <v>0</v>
      </c>
      <c r="FP21" s="696">
        <f t="shared" si="3"/>
        <v>109895689</v>
      </c>
    </row>
    <row r="22" spans="1:175" ht="24" customHeight="1" x14ac:dyDescent="0.25">
      <c r="A22" s="9" t="s">
        <v>53</v>
      </c>
      <c r="B22" s="24" t="s">
        <v>970</v>
      </c>
      <c r="C22" s="582"/>
      <c r="D22" s="583"/>
      <c r="E22" s="583">
        <f>D22</f>
        <v>0</v>
      </c>
      <c r="F22" s="583"/>
      <c r="G22" s="583"/>
      <c r="H22" s="583">
        <f>G22</f>
        <v>0</v>
      </c>
      <c r="I22" s="583"/>
      <c r="J22" s="583"/>
      <c r="K22" s="583">
        <f>J22</f>
        <v>0</v>
      </c>
      <c r="L22" s="583"/>
      <c r="M22" s="583"/>
      <c r="N22" s="583">
        <f>M22</f>
        <v>0</v>
      </c>
      <c r="O22" s="583"/>
      <c r="P22" s="583"/>
      <c r="Q22" s="583">
        <f>P22</f>
        <v>0</v>
      </c>
      <c r="R22" s="583"/>
      <c r="S22" s="583"/>
      <c r="T22" s="583"/>
      <c r="U22" s="583"/>
      <c r="V22" s="583"/>
      <c r="W22" s="583">
        <f>V22</f>
        <v>0</v>
      </c>
      <c r="X22" s="583"/>
      <c r="Y22" s="583"/>
      <c r="Z22" s="583"/>
      <c r="AA22" s="583"/>
      <c r="AB22" s="583"/>
      <c r="AC22" s="583">
        <f>AB22</f>
        <v>0</v>
      </c>
      <c r="AD22" s="583"/>
      <c r="AE22" s="583"/>
      <c r="AF22" s="583"/>
      <c r="AG22" s="583"/>
      <c r="AH22" s="583"/>
      <c r="AI22" s="583"/>
      <c r="AJ22" s="583"/>
      <c r="AK22" s="583"/>
      <c r="AL22" s="583"/>
      <c r="AM22" s="583"/>
      <c r="AN22" s="583"/>
      <c r="AO22" s="583"/>
      <c r="AP22" s="583"/>
      <c r="AQ22" s="583"/>
      <c r="AR22" s="583"/>
      <c r="AS22" s="584"/>
      <c r="AT22" s="583"/>
      <c r="AU22" s="583"/>
      <c r="AV22" s="584"/>
      <c r="AW22" s="583"/>
      <c r="AX22" s="583"/>
      <c r="AY22" s="583"/>
      <c r="AZ22" s="583"/>
      <c r="BA22" s="583"/>
      <c r="BB22" s="583"/>
      <c r="BC22" s="583"/>
      <c r="BD22" s="586"/>
      <c r="BE22" s="586"/>
      <c r="BF22" s="586"/>
      <c r="BG22" s="586"/>
      <c r="BH22" s="586"/>
      <c r="BI22" s="586"/>
      <c r="BJ22" s="586"/>
      <c r="BK22" s="586"/>
      <c r="BL22" s="586"/>
      <c r="BM22" s="586"/>
      <c r="BN22" s="586"/>
      <c r="BO22" s="586"/>
      <c r="BP22" s="586"/>
      <c r="BQ22" s="586"/>
      <c r="BR22" s="586"/>
      <c r="BS22" s="586"/>
      <c r="BT22" s="586"/>
      <c r="BU22" s="586"/>
      <c r="BV22" s="586"/>
      <c r="BW22" s="586"/>
      <c r="BX22" s="586"/>
      <c r="BY22" s="586"/>
      <c r="BZ22" s="586"/>
      <c r="CA22" s="586"/>
      <c r="CB22" s="586"/>
      <c r="CC22" s="586"/>
      <c r="CD22" s="586"/>
      <c r="CE22" s="586"/>
      <c r="CF22" s="586"/>
      <c r="CG22" s="586"/>
      <c r="CH22" s="586"/>
      <c r="CI22" s="586"/>
      <c r="CJ22" s="586"/>
      <c r="CK22" s="586"/>
      <c r="CL22" s="586"/>
      <c r="CM22" s="586"/>
      <c r="CN22" s="586"/>
      <c r="CO22" s="586"/>
      <c r="CP22" s="586"/>
      <c r="CQ22" s="586"/>
      <c r="CR22" s="586"/>
      <c r="CS22" s="586"/>
      <c r="CT22" s="586"/>
      <c r="CU22" s="586"/>
      <c r="CV22" s="586"/>
      <c r="CW22" s="586"/>
      <c r="CX22" s="586"/>
      <c r="CY22" s="586"/>
      <c r="CZ22" s="586"/>
      <c r="DA22" s="586"/>
      <c r="DB22" s="586"/>
      <c r="DC22" s="586"/>
      <c r="DD22" s="586"/>
      <c r="DE22" s="587"/>
      <c r="DF22" s="587"/>
      <c r="DG22" s="587"/>
      <c r="DH22" s="587"/>
      <c r="DI22" s="587"/>
      <c r="DJ22" s="587"/>
      <c r="DK22" s="586"/>
      <c r="DL22" s="586"/>
      <c r="DM22" s="586"/>
      <c r="DN22" s="586"/>
      <c r="DO22" s="586"/>
      <c r="DP22" s="586"/>
      <c r="DQ22" s="586"/>
      <c r="DR22" s="586"/>
      <c r="DS22" s="586"/>
      <c r="DT22" s="586"/>
      <c r="DU22" s="586"/>
      <c r="DV22" s="586"/>
      <c r="DW22" s="586"/>
      <c r="DX22" s="586"/>
      <c r="DY22" s="586"/>
      <c r="DZ22" s="586"/>
      <c r="EA22" s="586"/>
      <c r="EB22" s="586"/>
      <c r="EC22" s="586"/>
      <c r="ED22" s="586"/>
      <c r="EE22" s="586"/>
      <c r="EF22" s="586"/>
      <c r="EG22" s="586"/>
      <c r="EH22" s="586"/>
      <c r="EI22" s="586"/>
      <c r="EJ22" s="586"/>
      <c r="EK22" s="586"/>
      <c r="EL22" s="586"/>
      <c r="EM22" s="586"/>
      <c r="EN22" s="586"/>
      <c r="EO22" s="586"/>
      <c r="EP22" s="586"/>
      <c r="EQ22" s="586"/>
      <c r="ER22" s="586">
        <v>22210720</v>
      </c>
      <c r="ES22" s="586">
        <v>109895689</v>
      </c>
      <c r="ET22" s="586">
        <v>109895689</v>
      </c>
      <c r="EU22" s="586"/>
      <c r="EV22" s="586"/>
      <c r="EW22" s="586"/>
      <c r="EX22" s="586"/>
      <c r="EY22" s="586"/>
      <c r="EZ22" s="586"/>
      <c r="FA22" s="586"/>
      <c r="FB22" s="588"/>
      <c r="FC22" s="588"/>
      <c r="FD22" s="589"/>
      <c r="FE22" s="590"/>
      <c r="FF22" s="590"/>
      <c r="FG22" s="583"/>
      <c r="FH22" s="586"/>
      <c r="FI22" s="586"/>
      <c r="FJ22" s="583"/>
      <c r="FK22" s="583"/>
      <c r="FL22" s="583"/>
      <c r="FM22" s="696">
        <f t="shared" si="0"/>
        <v>0</v>
      </c>
      <c r="FN22" s="696">
        <f t="shared" si="1"/>
        <v>109895689</v>
      </c>
      <c r="FO22" s="696">
        <f t="shared" si="2"/>
        <v>0</v>
      </c>
      <c r="FP22" s="696">
        <f t="shared" si="3"/>
        <v>109895689</v>
      </c>
    </row>
    <row r="23" spans="1:175" ht="24" customHeight="1" x14ac:dyDescent="0.25">
      <c r="A23" s="9" t="s">
        <v>55</v>
      </c>
      <c r="B23" s="24" t="s">
        <v>56</v>
      </c>
      <c r="C23" s="582"/>
      <c r="D23" s="583"/>
      <c r="E23" s="583">
        <f>D23</f>
        <v>0</v>
      </c>
      <c r="F23" s="583"/>
      <c r="G23" s="583"/>
      <c r="H23" s="583">
        <f>G23</f>
        <v>0</v>
      </c>
      <c r="I23" s="583"/>
      <c r="J23" s="583"/>
      <c r="K23" s="583">
        <f>J23</f>
        <v>0</v>
      </c>
      <c r="L23" s="583"/>
      <c r="M23" s="583"/>
      <c r="N23" s="583">
        <f>M23</f>
        <v>0</v>
      </c>
      <c r="O23" s="583"/>
      <c r="P23" s="583"/>
      <c r="Q23" s="583">
        <f>P23</f>
        <v>0</v>
      </c>
      <c r="R23" s="583"/>
      <c r="S23" s="583"/>
      <c r="T23" s="583"/>
      <c r="U23" s="583"/>
      <c r="V23" s="583"/>
      <c r="W23" s="583">
        <f>V23</f>
        <v>0</v>
      </c>
      <c r="X23" s="583"/>
      <c r="Y23" s="583"/>
      <c r="Z23" s="583"/>
      <c r="AA23" s="583"/>
      <c r="AB23" s="583"/>
      <c r="AC23" s="583">
        <f>AB23</f>
        <v>0</v>
      </c>
      <c r="AD23" s="583"/>
      <c r="AE23" s="583"/>
      <c r="AF23" s="583"/>
      <c r="AG23" s="583"/>
      <c r="AH23" s="583"/>
      <c r="AI23" s="583"/>
      <c r="AJ23" s="583"/>
      <c r="AK23" s="583"/>
      <c r="AL23" s="583"/>
      <c r="AM23" s="583"/>
      <c r="AN23" s="583"/>
      <c r="AO23" s="583"/>
      <c r="AP23" s="583"/>
      <c r="AQ23" s="583"/>
      <c r="AR23" s="583"/>
      <c r="AS23" s="584"/>
      <c r="AT23" s="583"/>
      <c r="AU23" s="583"/>
      <c r="AV23" s="584"/>
      <c r="AW23" s="583"/>
      <c r="AX23" s="583"/>
      <c r="AY23" s="583"/>
      <c r="AZ23" s="583"/>
      <c r="BA23" s="583"/>
      <c r="BB23" s="583"/>
      <c r="BC23" s="583"/>
      <c r="BD23" s="586"/>
      <c r="BE23" s="586"/>
      <c r="BF23" s="586"/>
      <c r="BG23" s="586"/>
      <c r="BH23" s="586"/>
      <c r="BI23" s="586"/>
      <c r="BJ23" s="586"/>
      <c r="BK23" s="586"/>
      <c r="BL23" s="586"/>
      <c r="BM23" s="586"/>
      <c r="BN23" s="586"/>
      <c r="BO23" s="586"/>
      <c r="BP23" s="586"/>
      <c r="BQ23" s="586"/>
      <c r="BR23" s="586"/>
      <c r="BS23" s="586"/>
      <c r="BT23" s="586"/>
      <c r="BU23" s="586"/>
      <c r="BV23" s="586"/>
      <c r="BW23" s="586"/>
      <c r="BX23" s="586"/>
      <c r="BY23" s="586"/>
      <c r="BZ23" s="586"/>
      <c r="CA23" s="586"/>
      <c r="CB23" s="586"/>
      <c r="CC23" s="586"/>
      <c r="CD23" s="586"/>
      <c r="CE23" s="586"/>
      <c r="CF23" s="586"/>
      <c r="CG23" s="586"/>
      <c r="CH23" s="586"/>
      <c r="CI23" s="586"/>
      <c r="CJ23" s="586"/>
      <c r="CK23" s="586"/>
      <c r="CL23" s="586"/>
      <c r="CM23" s="586"/>
      <c r="CN23" s="586"/>
      <c r="CO23" s="586"/>
      <c r="CP23" s="586"/>
      <c r="CQ23" s="586"/>
      <c r="CR23" s="586"/>
      <c r="CS23" s="586"/>
      <c r="CT23" s="586"/>
      <c r="CU23" s="586"/>
      <c r="CV23" s="586"/>
      <c r="CW23" s="586"/>
      <c r="CX23" s="586"/>
      <c r="CY23" s="586"/>
      <c r="CZ23" s="586"/>
      <c r="DA23" s="586"/>
      <c r="DB23" s="586"/>
      <c r="DC23" s="586"/>
      <c r="DD23" s="586"/>
      <c r="DE23" s="587"/>
      <c r="DF23" s="587"/>
      <c r="DG23" s="587"/>
      <c r="DH23" s="587"/>
      <c r="DI23" s="587"/>
      <c r="DJ23" s="587"/>
      <c r="DK23" s="586"/>
      <c r="DL23" s="586"/>
      <c r="DM23" s="586"/>
      <c r="DN23" s="586"/>
      <c r="DO23" s="586"/>
      <c r="DP23" s="586"/>
      <c r="DQ23" s="586"/>
      <c r="DR23" s="586"/>
      <c r="DS23" s="586"/>
      <c r="DT23" s="586"/>
      <c r="DU23" s="586"/>
      <c r="DV23" s="586"/>
      <c r="DW23" s="586"/>
      <c r="DX23" s="586"/>
      <c r="DY23" s="586"/>
      <c r="DZ23" s="586"/>
      <c r="EA23" s="586"/>
      <c r="EB23" s="586"/>
      <c r="EC23" s="586"/>
      <c r="ED23" s="586"/>
      <c r="EE23" s="586"/>
      <c r="EF23" s="586"/>
      <c r="EG23" s="586"/>
      <c r="EH23" s="586"/>
      <c r="EI23" s="586"/>
      <c r="EJ23" s="586"/>
      <c r="EK23" s="586"/>
      <c r="EL23" s="586"/>
      <c r="EM23" s="586"/>
      <c r="EN23" s="586"/>
      <c r="EO23" s="586"/>
      <c r="EP23" s="586"/>
      <c r="EQ23" s="586"/>
      <c r="ER23" s="586"/>
      <c r="ES23" s="586">
        <f>ER23</f>
        <v>0</v>
      </c>
      <c r="ET23" s="586"/>
      <c r="EU23" s="586"/>
      <c r="EV23" s="586"/>
      <c r="EW23" s="586"/>
      <c r="EX23" s="586"/>
      <c r="EY23" s="586"/>
      <c r="EZ23" s="586"/>
      <c r="FA23" s="586"/>
      <c r="FB23" s="588"/>
      <c r="FC23" s="588"/>
      <c r="FD23" s="589"/>
      <c r="FE23" s="590"/>
      <c r="FF23" s="590"/>
      <c r="FG23" s="583"/>
      <c r="FH23" s="586"/>
      <c r="FI23" s="586"/>
      <c r="FJ23" s="583"/>
      <c r="FK23" s="583"/>
      <c r="FL23" s="583"/>
      <c r="FM23" s="696">
        <f t="shared" si="0"/>
        <v>0</v>
      </c>
      <c r="FN23" s="696">
        <f t="shared" si="1"/>
        <v>0</v>
      </c>
      <c r="FO23" s="696">
        <f t="shared" si="2"/>
        <v>0</v>
      </c>
      <c r="FP23" s="696">
        <f t="shared" si="3"/>
        <v>0</v>
      </c>
    </row>
    <row r="24" spans="1:175" ht="24" customHeight="1" x14ac:dyDescent="0.25">
      <c r="A24" s="9" t="s">
        <v>57</v>
      </c>
      <c r="B24" s="24" t="s">
        <v>58</v>
      </c>
      <c r="C24" s="582"/>
      <c r="D24" s="583"/>
      <c r="E24" s="583">
        <f>D24</f>
        <v>0</v>
      </c>
      <c r="F24" s="583"/>
      <c r="G24" s="583"/>
      <c r="H24" s="583">
        <f>G24</f>
        <v>0</v>
      </c>
      <c r="I24" s="583"/>
      <c r="J24" s="583"/>
      <c r="K24" s="583">
        <f>J24</f>
        <v>0</v>
      </c>
      <c r="L24" s="583"/>
      <c r="M24" s="583"/>
      <c r="N24" s="583">
        <f>M24</f>
        <v>0</v>
      </c>
      <c r="O24" s="583"/>
      <c r="P24" s="583"/>
      <c r="Q24" s="583">
        <f>P24</f>
        <v>0</v>
      </c>
      <c r="R24" s="583"/>
      <c r="S24" s="583"/>
      <c r="T24" s="583"/>
      <c r="U24" s="583"/>
      <c r="V24" s="583"/>
      <c r="W24" s="583">
        <f>V24</f>
        <v>0</v>
      </c>
      <c r="X24" s="583"/>
      <c r="Y24" s="583"/>
      <c r="Z24" s="583"/>
      <c r="AA24" s="583"/>
      <c r="AB24" s="583"/>
      <c r="AC24" s="583">
        <f>AB24</f>
        <v>0</v>
      </c>
      <c r="AD24" s="583"/>
      <c r="AE24" s="583"/>
      <c r="AF24" s="583"/>
      <c r="AG24" s="583"/>
      <c r="AH24" s="583"/>
      <c r="AI24" s="583"/>
      <c r="AJ24" s="583"/>
      <c r="AK24" s="583"/>
      <c r="AL24" s="583"/>
      <c r="AM24" s="583"/>
      <c r="AN24" s="583"/>
      <c r="AO24" s="583"/>
      <c r="AP24" s="583"/>
      <c r="AQ24" s="583"/>
      <c r="AR24" s="583"/>
      <c r="AS24" s="584"/>
      <c r="AT24" s="583"/>
      <c r="AU24" s="583"/>
      <c r="AV24" s="584"/>
      <c r="AW24" s="583"/>
      <c r="AX24" s="583"/>
      <c r="AY24" s="583"/>
      <c r="AZ24" s="583"/>
      <c r="BA24" s="583"/>
      <c r="BB24" s="583"/>
      <c r="BC24" s="583"/>
      <c r="BD24" s="586"/>
      <c r="BE24" s="586"/>
      <c r="BF24" s="586"/>
      <c r="BG24" s="586"/>
      <c r="BH24" s="586"/>
      <c r="BI24" s="586"/>
      <c r="BJ24" s="586"/>
      <c r="BK24" s="586"/>
      <c r="BL24" s="586"/>
      <c r="BM24" s="586"/>
      <c r="BN24" s="586"/>
      <c r="BO24" s="586"/>
      <c r="BP24" s="586"/>
      <c r="BQ24" s="586"/>
      <c r="BR24" s="586"/>
      <c r="BS24" s="586"/>
      <c r="BT24" s="586"/>
      <c r="BU24" s="586"/>
      <c r="BV24" s="586"/>
      <c r="BW24" s="586"/>
      <c r="BX24" s="586"/>
      <c r="BY24" s="586"/>
      <c r="BZ24" s="586"/>
      <c r="CA24" s="586"/>
      <c r="CB24" s="586"/>
      <c r="CC24" s="586"/>
      <c r="CD24" s="586"/>
      <c r="CE24" s="586"/>
      <c r="CF24" s="586"/>
      <c r="CG24" s="586"/>
      <c r="CH24" s="586"/>
      <c r="CI24" s="586"/>
      <c r="CJ24" s="586"/>
      <c r="CK24" s="586"/>
      <c r="CL24" s="586"/>
      <c r="CM24" s="586"/>
      <c r="CN24" s="586"/>
      <c r="CO24" s="586"/>
      <c r="CP24" s="586"/>
      <c r="CQ24" s="586"/>
      <c r="CR24" s="586"/>
      <c r="CS24" s="586"/>
      <c r="CT24" s="586"/>
      <c r="CU24" s="586"/>
      <c r="CV24" s="586"/>
      <c r="CW24" s="586"/>
      <c r="CX24" s="586"/>
      <c r="CY24" s="586"/>
      <c r="CZ24" s="586"/>
      <c r="DA24" s="586"/>
      <c r="DB24" s="586"/>
      <c r="DC24" s="586"/>
      <c r="DD24" s="586"/>
      <c r="DE24" s="587"/>
      <c r="DF24" s="587"/>
      <c r="DG24" s="587"/>
      <c r="DH24" s="587"/>
      <c r="DI24" s="587"/>
      <c r="DJ24" s="587"/>
      <c r="DK24" s="586"/>
      <c r="DL24" s="586"/>
      <c r="DM24" s="586"/>
      <c r="DN24" s="586"/>
      <c r="DO24" s="586"/>
      <c r="DP24" s="586"/>
      <c r="DQ24" s="586"/>
      <c r="DR24" s="586"/>
      <c r="DS24" s="586"/>
      <c r="DT24" s="586"/>
      <c r="DU24" s="586"/>
      <c r="DV24" s="586"/>
      <c r="DW24" s="586"/>
      <c r="DX24" s="586"/>
      <c r="DY24" s="586"/>
      <c r="DZ24" s="586"/>
      <c r="EA24" s="586"/>
      <c r="EB24" s="586"/>
      <c r="EC24" s="586"/>
      <c r="ED24" s="586"/>
      <c r="EE24" s="586"/>
      <c r="EF24" s="586"/>
      <c r="EG24" s="586"/>
      <c r="EH24" s="586"/>
      <c r="EI24" s="586"/>
      <c r="EJ24" s="586"/>
      <c r="EK24" s="586"/>
      <c r="EL24" s="586"/>
      <c r="EM24" s="586"/>
      <c r="EN24" s="586"/>
      <c r="EO24" s="586"/>
      <c r="EP24" s="586"/>
      <c r="EQ24" s="586"/>
      <c r="ER24" s="586"/>
      <c r="ES24" s="586">
        <f>ER24</f>
        <v>0</v>
      </c>
      <c r="ET24" s="586"/>
      <c r="EU24" s="586"/>
      <c r="EV24" s="586"/>
      <c r="EW24" s="586"/>
      <c r="EX24" s="586"/>
      <c r="EY24" s="586"/>
      <c r="EZ24" s="586"/>
      <c r="FA24" s="586"/>
      <c r="FB24" s="588"/>
      <c r="FC24" s="588"/>
      <c r="FD24" s="589"/>
      <c r="FE24" s="590"/>
      <c r="FF24" s="590"/>
      <c r="FG24" s="583"/>
      <c r="FH24" s="586"/>
      <c r="FI24" s="586"/>
      <c r="FJ24" s="583"/>
      <c r="FK24" s="583"/>
      <c r="FL24" s="583"/>
      <c r="FM24" s="696">
        <f t="shared" si="0"/>
        <v>0</v>
      </c>
      <c r="FN24" s="696">
        <f t="shared" si="1"/>
        <v>0</v>
      </c>
      <c r="FO24" s="696">
        <f t="shared" si="2"/>
        <v>0</v>
      </c>
      <c r="FP24" s="696">
        <f t="shared" si="3"/>
        <v>0</v>
      </c>
    </row>
    <row r="25" spans="1:175" ht="24" customHeight="1" x14ac:dyDescent="0.25">
      <c r="A25" s="9" t="s">
        <v>59</v>
      </c>
      <c r="B25" s="24" t="s">
        <v>60</v>
      </c>
      <c r="C25" s="582"/>
      <c r="D25" s="583"/>
      <c r="E25" s="583">
        <f>D25</f>
        <v>0</v>
      </c>
      <c r="F25" s="583"/>
      <c r="G25" s="583"/>
      <c r="H25" s="583">
        <f>G25</f>
        <v>0</v>
      </c>
      <c r="I25" s="583"/>
      <c r="J25" s="583"/>
      <c r="K25" s="583">
        <f>J25</f>
        <v>0</v>
      </c>
      <c r="L25" s="583"/>
      <c r="M25" s="583"/>
      <c r="N25" s="583">
        <f>M25</f>
        <v>0</v>
      </c>
      <c r="O25" s="583"/>
      <c r="P25" s="583"/>
      <c r="Q25" s="583">
        <f>P25</f>
        <v>0</v>
      </c>
      <c r="R25" s="583"/>
      <c r="S25" s="583"/>
      <c r="T25" s="583"/>
      <c r="U25" s="583"/>
      <c r="V25" s="583"/>
      <c r="W25" s="583">
        <f>V25</f>
        <v>0</v>
      </c>
      <c r="X25" s="583"/>
      <c r="Y25" s="583"/>
      <c r="Z25" s="583"/>
      <c r="AA25" s="583"/>
      <c r="AB25" s="583"/>
      <c r="AC25" s="583">
        <f>AB25</f>
        <v>0</v>
      </c>
      <c r="AD25" s="583"/>
      <c r="AE25" s="583"/>
      <c r="AF25" s="583"/>
      <c r="AG25" s="583"/>
      <c r="AH25" s="583"/>
      <c r="AI25" s="583"/>
      <c r="AJ25" s="583"/>
      <c r="AK25" s="583"/>
      <c r="AL25" s="583"/>
      <c r="AM25" s="583"/>
      <c r="AN25" s="583"/>
      <c r="AO25" s="583"/>
      <c r="AP25" s="583"/>
      <c r="AQ25" s="583"/>
      <c r="AR25" s="583"/>
      <c r="AS25" s="584"/>
      <c r="AT25" s="583"/>
      <c r="AU25" s="583"/>
      <c r="AV25" s="584"/>
      <c r="AW25" s="583"/>
      <c r="AX25" s="583"/>
      <c r="AY25" s="583"/>
      <c r="AZ25" s="583"/>
      <c r="BA25" s="583"/>
      <c r="BB25" s="583"/>
      <c r="BC25" s="583"/>
      <c r="BD25" s="586"/>
      <c r="BE25" s="586"/>
      <c r="BF25" s="586"/>
      <c r="BG25" s="586"/>
      <c r="BH25" s="586"/>
      <c r="BI25" s="586"/>
      <c r="BJ25" s="586"/>
      <c r="BK25" s="586"/>
      <c r="BL25" s="586"/>
      <c r="BM25" s="586"/>
      <c r="BN25" s="586"/>
      <c r="BO25" s="586"/>
      <c r="BP25" s="586"/>
      <c r="BQ25" s="586"/>
      <c r="BR25" s="586"/>
      <c r="BS25" s="586"/>
      <c r="BT25" s="586"/>
      <c r="BU25" s="586"/>
      <c r="BV25" s="586"/>
      <c r="BW25" s="586"/>
      <c r="BX25" s="586"/>
      <c r="BY25" s="586"/>
      <c r="BZ25" s="586"/>
      <c r="CA25" s="586"/>
      <c r="CB25" s="586"/>
      <c r="CC25" s="586"/>
      <c r="CD25" s="586"/>
      <c r="CE25" s="586"/>
      <c r="CF25" s="586"/>
      <c r="CG25" s="586"/>
      <c r="CH25" s="586"/>
      <c r="CI25" s="586"/>
      <c r="CJ25" s="586"/>
      <c r="CK25" s="586"/>
      <c r="CL25" s="586"/>
      <c r="CM25" s="586"/>
      <c r="CN25" s="586"/>
      <c r="CO25" s="586"/>
      <c r="CP25" s="586"/>
      <c r="CQ25" s="586"/>
      <c r="CR25" s="586"/>
      <c r="CS25" s="586"/>
      <c r="CT25" s="586"/>
      <c r="CU25" s="586"/>
      <c r="CV25" s="586"/>
      <c r="CW25" s="586"/>
      <c r="CX25" s="586"/>
      <c r="CY25" s="586"/>
      <c r="CZ25" s="586"/>
      <c r="DA25" s="586"/>
      <c r="DB25" s="586"/>
      <c r="DC25" s="586"/>
      <c r="DD25" s="586"/>
      <c r="DE25" s="587"/>
      <c r="DF25" s="587"/>
      <c r="DG25" s="587"/>
      <c r="DH25" s="587"/>
      <c r="DI25" s="587"/>
      <c r="DJ25" s="587"/>
      <c r="DK25" s="586"/>
      <c r="DL25" s="586"/>
      <c r="DM25" s="586"/>
      <c r="DN25" s="586"/>
      <c r="DO25" s="586"/>
      <c r="DP25" s="586"/>
      <c r="DQ25" s="586"/>
      <c r="DR25" s="586"/>
      <c r="DS25" s="586"/>
      <c r="DT25" s="586"/>
      <c r="DU25" s="586"/>
      <c r="DV25" s="586"/>
      <c r="DW25" s="586"/>
      <c r="DX25" s="586"/>
      <c r="DY25" s="586"/>
      <c r="DZ25" s="586"/>
      <c r="EA25" s="586"/>
      <c r="EB25" s="586"/>
      <c r="EC25" s="586"/>
      <c r="ED25" s="586"/>
      <c r="EE25" s="586"/>
      <c r="EF25" s="586"/>
      <c r="EG25" s="586"/>
      <c r="EH25" s="586"/>
      <c r="EI25" s="586"/>
      <c r="EJ25" s="586"/>
      <c r="EK25" s="586"/>
      <c r="EL25" s="586"/>
      <c r="EM25" s="586"/>
      <c r="EN25" s="586"/>
      <c r="EO25" s="586"/>
      <c r="EP25" s="586"/>
      <c r="EQ25" s="586"/>
      <c r="ER25" s="586">
        <v>3529898</v>
      </c>
      <c r="ES25" s="586">
        <v>3529898</v>
      </c>
      <c r="ET25" s="586"/>
      <c r="EU25" s="586"/>
      <c r="EV25" s="586"/>
      <c r="EW25" s="586"/>
      <c r="EX25" s="586"/>
      <c r="EY25" s="586"/>
      <c r="EZ25" s="586"/>
      <c r="FA25" s="586"/>
      <c r="FB25" s="588"/>
      <c r="FC25" s="588"/>
      <c r="FD25" s="589"/>
      <c r="FE25" s="590"/>
      <c r="FF25" s="590"/>
      <c r="FG25" s="583"/>
      <c r="FH25" s="586"/>
      <c r="FI25" s="586"/>
      <c r="FJ25" s="583"/>
      <c r="FK25" s="583"/>
      <c r="FL25" s="583"/>
      <c r="FM25" s="696">
        <f t="shared" si="0"/>
        <v>0</v>
      </c>
      <c r="FN25" s="696">
        <f t="shared" si="1"/>
        <v>0</v>
      </c>
      <c r="FO25" s="696">
        <f t="shared" si="2"/>
        <v>0</v>
      </c>
      <c r="FP25" s="696">
        <f t="shared" si="3"/>
        <v>0</v>
      </c>
    </row>
    <row r="26" spans="1:175" ht="24" customHeight="1" x14ac:dyDescent="0.2">
      <c r="A26" s="9" t="s">
        <v>61</v>
      </c>
      <c r="B26" s="25" t="s">
        <v>62</v>
      </c>
      <c r="C26" s="576"/>
      <c r="D26" s="577">
        <f>+D8+D9+D10+D11+D13+D14+D22+D23+D15</f>
        <v>0</v>
      </c>
      <c r="E26" s="577">
        <f>+E8+E9+E10+E11+E13+E14+E22+E23+E15</f>
        <v>0</v>
      </c>
      <c r="F26" s="577"/>
      <c r="G26" s="577">
        <f>+G8+G9+G10+G11+G13+G14+G22+G23+G15</f>
        <v>0</v>
      </c>
      <c r="H26" s="577">
        <f>+H8+H9+H10+H11+H13+H14+H22+H23+H15</f>
        <v>0</v>
      </c>
      <c r="I26" s="577"/>
      <c r="J26" s="577">
        <f>+J8+J9+J10+J11+J13+J14+J22+J23+J15</f>
        <v>0</v>
      </c>
      <c r="K26" s="577">
        <f>+K8+K9+K10+K11+K13+K14+K22+K23+K15</f>
        <v>0</v>
      </c>
      <c r="L26" s="577"/>
      <c r="M26" s="577">
        <f>+M8+M9+M10+M11+M13+M14+M22+M23+M15</f>
        <v>0</v>
      </c>
      <c r="N26" s="577">
        <f>+N8+N9+N10+N11+N13+N14+N22+N23+N15</f>
        <v>0</v>
      </c>
      <c r="O26" s="577"/>
      <c r="P26" s="577">
        <f t="shared" ref="P26:W26" si="12">+P8+P9+P10+P11+P13+P14+P22+P23+P15</f>
        <v>1000000</v>
      </c>
      <c r="Q26" s="577">
        <f t="shared" si="12"/>
        <v>1892500</v>
      </c>
      <c r="R26" s="577">
        <f t="shared" si="12"/>
        <v>1753134</v>
      </c>
      <c r="S26" s="577">
        <f t="shared" si="12"/>
        <v>0</v>
      </c>
      <c r="T26" s="577">
        <f t="shared" si="12"/>
        <v>1000000</v>
      </c>
      <c r="U26" s="577">
        <f t="shared" si="12"/>
        <v>980000</v>
      </c>
      <c r="V26" s="577">
        <f t="shared" si="12"/>
        <v>0</v>
      </c>
      <c r="W26" s="577">
        <f t="shared" si="12"/>
        <v>0</v>
      </c>
      <c r="X26" s="577"/>
      <c r="Y26" s="577">
        <f>+Y8+Y9+Y10+Y11+Y13+Y14+Y22+Y23+Y15</f>
        <v>0</v>
      </c>
      <c r="Z26" s="577">
        <f>+Z8+Z9+Z10+Z11+Z13+Z14+Z22+Z23+Z15</f>
        <v>0</v>
      </c>
      <c r="AA26" s="577"/>
      <c r="AB26" s="577">
        <f>+AB8+AB9+AB10+AB11+AB13+AB14+AB22+AB23+AB15</f>
        <v>0</v>
      </c>
      <c r="AC26" s="577">
        <f>+AC8+AC9+AC10+AC11+AC13+AC14+AC22+AC23+AC15</f>
        <v>0</v>
      </c>
      <c r="AD26" s="577"/>
      <c r="AE26" s="577">
        <f>+AE8+AE9+AE10+AE11+AE13+AE14+AE22+AE23+AE15</f>
        <v>0</v>
      </c>
      <c r="AF26" s="577">
        <f>+AF8+AF9+AF10+AF11+AF13+AF14+AF22+AF23+AF15</f>
        <v>0</v>
      </c>
      <c r="AG26" s="577"/>
      <c r="AH26" s="577">
        <f>+AH8+AH9+AH10+AH11+AH13+AH14+AH22+AH23+AH15</f>
        <v>0</v>
      </c>
      <c r="AI26" s="577">
        <f>+AI8+AI9+AI10+AI11+AI13+AI14+AI22+AI23+AI15</f>
        <v>0</v>
      </c>
      <c r="AJ26" s="577"/>
      <c r="AK26" s="577">
        <f>+AK8+AK9+AK10+AK11+AK13+AK14+AK22+AK23+AK15</f>
        <v>5656409</v>
      </c>
      <c r="AL26" s="577">
        <f>+AL8+AL9+AL10+AL11+AL13+AL14+AL22+AL23+AL15</f>
        <v>8656409</v>
      </c>
      <c r="AM26" s="577">
        <f>+AM8+AM9+AM10+AM11+AM13+AM14+AM22+AM23+AM15</f>
        <v>4082511</v>
      </c>
      <c r="AN26" s="577">
        <f t="shared" ref="AN26:BS26" si="13">+AN8+AN9+AN10+AN11+AN13+AN14+AN22+AN23+AN15</f>
        <v>36273412</v>
      </c>
      <c r="AO26" s="577">
        <f t="shared" si="13"/>
        <v>76323412</v>
      </c>
      <c r="AP26" s="577">
        <f t="shared" si="13"/>
        <v>60269750</v>
      </c>
      <c r="AQ26" s="577">
        <f t="shared" si="13"/>
        <v>228000</v>
      </c>
      <c r="AR26" s="577">
        <f t="shared" si="13"/>
        <v>3848000</v>
      </c>
      <c r="AS26" s="578">
        <f t="shared" si="13"/>
        <v>3770000</v>
      </c>
      <c r="AT26" s="577">
        <f t="shared" si="13"/>
        <v>0</v>
      </c>
      <c r="AU26" s="577">
        <f t="shared" si="13"/>
        <v>1990000</v>
      </c>
      <c r="AV26" s="578">
        <f t="shared" si="13"/>
        <v>1990000</v>
      </c>
      <c r="AW26" s="577">
        <f t="shared" si="13"/>
        <v>0</v>
      </c>
      <c r="AX26" s="577">
        <f t="shared" si="13"/>
        <v>700000</v>
      </c>
      <c r="AY26" s="577">
        <f t="shared" si="13"/>
        <v>700000</v>
      </c>
      <c r="AZ26" s="577">
        <f t="shared" si="13"/>
        <v>0</v>
      </c>
      <c r="BA26" s="577">
        <f t="shared" si="13"/>
        <v>13409000</v>
      </c>
      <c r="BB26" s="577">
        <f>+BB8+BB9+BB10+BB11+BB13+BB14+BB22+BB23+BB15</f>
        <v>13309000</v>
      </c>
      <c r="BC26" s="577">
        <f t="shared" si="13"/>
        <v>0</v>
      </c>
      <c r="BD26" s="577">
        <f t="shared" si="13"/>
        <v>1660000</v>
      </c>
      <c r="BE26" s="577">
        <f t="shared" si="13"/>
        <v>1660000</v>
      </c>
      <c r="BF26" s="577">
        <f t="shared" si="13"/>
        <v>3600000</v>
      </c>
      <c r="BG26" s="577">
        <f t="shared" si="13"/>
        <v>2520000</v>
      </c>
      <c r="BH26" s="577">
        <f t="shared" si="13"/>
        <v>2520000</v>
      </c>
      <c r="BI26" s="577">
        <f t="shared" si="13"/>
        <v>70000</v>
      </c>
      <c r="BJ26" s="577">
        <f t="shared" si="13"/>
        <v>1080000</v>
      </c>
      <c r="BK26" s="577">
        <f t="shared" si="13"/>
        <v>1080000</v>
      </c>
      <c r="BL26" s="577">
        <f t="shared" si="13"/>
        <v>25600000</v>
      </c>
      <c r="BM26" s="577">
        <f t="shared" si="13"/>
        <v>36000000</v>
      </c>
      <c r="BN26" s="577">
        <f t="shared" si="13"/>
        <v>35916000</v>
      </c>
      <c r="BO26" s="577">
        <f t="shared" si="13"/>
        <v>3000000</v>
      </c>
      <c r="BP26" s="577">
        <f t="shared" si="13"/>
        <v>3160000</v>
      </c>
      <c r="BQ26" s="577">
        <f t="shared" si="13"/>
        <v>3100000</v>
      </c>
      <c r="BR26" s="577">
        <f t="shared" si="13"/>
        <v>74975047</v>
      </c>
      <c r="BS26" s="577">
        <f t="shared" si="13"/>
        <v>74831525</v>
      </c>
      <c r="BT26" s="577">
        <f t="shared" ref="BT26:CY26" si="14">+BT8+BT9+BT10+BT11+BT13+BT14+BT22+BT23+BT15</f>
        <v>68297980</v>
      </c>
      <c r="BU26" s="577">
        <f t="shared" si="14"/>
        <v>4042988</v>
      </c>
      <c r="BV26" s="577">
        <f t="shared" si="14"/>
        <v>9866930</v>
      </c>
      <c r="BW26" s="577">
        <f t="shared" si="14"/>
        <v>9756548</v>
      </c>
      <c r="BX26" s="577">
        <f t="shared" si="14"/>
        <v>11175000</v>
      </c>
      <c r="BY26" s="577">
        <f t="shared" si="14"/>
        <v>17550000</v>
      </c>
      <c r="BZ26" s="577">
        <f t="shared" si="14"/>
        <v>17550000</v>
      </c>
      <c r="CA26" s="577">
        <f t="shared" si="14"/>
        <v>2000000</v>
      </c>
      <c r="CB26" s="577">
        <f t="shared" si="14"/>
        <v>2600000</v>
      </c>
      <c r="CC26" s="577">
        <f t="shared" si="14"/>
        <v>766215</v>
      </c>
      <c r="CD26" s="577">
        <f t="shared" si="14"/>
        <v>16500000</v>
      </c>
      <c r="CE26" s="577">
        <f t="shared" si="14"/>
        <v>30040000</v>
      </c>
      <c r="CF26" s="577">
        <f t="shared" si="14"/>
        <v>26100697</v>
      </c>
      <c r="CG26" s="577">
        <f t="shared" si="14"/>
        <v>750000</v>
      </c>
      <c r="CH26" s="577">
        <f t="shared" si="14"/>
        <v>1850000</v>
      </c>
      <c r="CI26" s="577">
        <f t="shared" si="14"/>
        <v>1447307</v>
      </c>
      <c r="CJ26" s="577">
        <f t="shared" si="14"/>
        <v>1000000</v>
      </c>
      <c r="CK26" s="577">
        <f t="shared" si="14"/>
        <v>2000000</v>
      </c>
      <c r="CL26" s="577">
        <f t="shared" si="14"/>
        <v>1775018</v>
      </c>
      <c r="CM26" s="577">
        <f t="shared" si="14"/>
        <v>1504500</v>
      </c>
      <c r="CN26" s="577">
        <f t="shared" si="14"/>
        <v>5545500</v>
      </c>
      <c r="CO26" s="577">
        <f t="shared" si="14"/>
        <v>3109838</v>
      </c>
      <c r="CP26" s="577">
        <f t="shared" si="14"/>
        <v>1500000</v>
      </c>
      <c r="CQ26" s="577">
        <f t="shared" si="14"/>
        <v>3000000</v>
      </c>
      <c r="CR26" s="577">
        <f t="shared" si="14"/>
        <v>2102900</v>
      </c>
      <c r="CS26" s="577">
        <f t="shared" si="14"/>
        <v>500000</v>
      </c>
      <c r="CT26" s="577">
        <f t="shared" si="14"/>
        <v>600000</v>
      </c>
      <c r="CU26" s="577">
        <f t="shared" si="14"/>
        <v>600000</v>
      </c>
      <c r="CV26" s="577">
        <f t="shared" si="14"/>
        <v>7200000</v>
      </c>
      <c r="CW26" s="577">
        <f t="shared" si="14"/>
        <v>14492689</v>
      </c>
      <c r="CX26" s="577">
        <f t="shared" si="14"/>
        <v>13253570</v>
      </c>
      <c r="CY26" s="577">
        <f t="shared" si="14"/>
        <v>186312420</v>
      </c>
      <c r="CZ26" s="577">
        <f t="shared" ref="CZ26:DI26" si="15">+CZ8+CZ9+CZ10+CZ11+CZ13+CZ14+CZ22+CZ23+CZ15</f>
        <v>259673996</v>
      </c>
      <c r="DA26" s="577">
        <f t="shared" si="15"/>
        <v>259361576</v>
      </c>
      <c r="DB26" s="577">
        <f t="shared" si="15"/>
        <v>22000000</v>
      </c>
      <c r="DC26" s="577">
        <f t="shared" si="15"/>
        <v>30286082</v>
      </c>
      <c r="DD26" s="577">
        <f t="shared" si="15"/>
        <v>30209882</v>
      </c>
      <c r="DE26" s="577">
        <f t="shared" si="15"/>
        <v>28675000</v>
      </c>
      <c r="DF26" s="577">
        <f t="shared" si="15"/>
        <v>24828500</v>
      </c>
      <c r="DG26" s="577">
        <f t="shared" si="15"/>
        <v>24828500</v>
      </c>
      <c r="DH26" s="577">
        <f t="shared" si="15"/>
        <v>0</v>
      </c>
      <c r="DI26" s="577">
        <f t="shared" si="15"/>
        <v>0</v>
      </c>
      <c r="DJ26" s="577"/>
      <c r="DK26" s="577">
        <f t="shared" ref="DK26:EQ26" si="16">+DK8+DK9+DK10+DK11+DK13+DK14+DK22+DK23+DK15</f>
        <v>38000000</v>
      </c>
      <c r="DL26" s="577">
        <f t="shared" si="16"/>
        <v>15993842</v>
      </c>
      <c r="DM26" s="577">
        <f t="shared" si="16"/>
        <v>15724378</v>
      </c>
      <c r="DN26" s="577">
        <f t="shared" si="16"/>
        <v>85900000</v>
      </c>
      <c r="DO26" s="577">
        <f t="shared" si="16"/>
        <v>168122918</v>
      </c>
      <c r="DP26" s="577">
        <f t="shared" si="16"/>
        <v>168122918</v>
      </c>
      <c r="DQ26" s="577">
        <f t="shared" si="16"/>
        <v>45262967</v>
      </c>
      <c r="DR26" s="577">
        <f t="shared" si="16"/>
        <v>88306582</v>
      </c>
      <c r="DS26" s="577">
        <f t="shared" si="16"/>
        <v>79830259</v>
      </c>
      <c r="DT26" s="577">
        <f t="shared" si="16"/>
        <v>30696414</v>
      </c>
      <c r="DU26" s="577">
        <f t="shared" si="16"/>
        <v>62686818</v>
      </c>
      <c r="DV26" s="577">
        <f t="shared" si="16"/>
        <v>31553731</v>
      </c>
      <c r="DW26" s="577">
        <f t="shared" si="16"/>
        <v>1968000</v>
      </c>
      <c r="DX26" s="577">
        <f t="shared" si="16"/>
        <v>2218000</v>
      </c>
      <c r="DY26" s="577">
        <f t="shared" si="16"/>
        <v>1890639</v>
      </c>
      <c r="DZ26" s="577">
        <f t="shared" si="16"/>
        <v>4300000</v>
      </c>
      <c r="EA26" s="577">
        <f t="shared" si="16"/>
        <v>2718734</v>
      </c>
      <c r="EB26" s="577">
        <f t="shared" si="16"/>
        <v>2177900</v>
      </c>
      <c r="EC26" s="577">
        <f t="shared" si="16"/>
        <v>5000000</v>
      </c>
      <c r="ED26" s="577">
        <f t="shared" si="16"/>
        <v>9847744</v>
      </c>
      <c r="EE26" s="577">
        <f t="shared" si="16"/>
        <v>9675340</v>
      </c>
      <c r="EF26" s="577">
        <f t="shared" si="16"/>
        <v>4000000</v>
      </c>
      <c r="EG26" s="577">
        <f t="shared" si="16"/>
        <v>2719000</v>
      </c>
      <c r="EH26" s="577">
        <f t="shared" si="16"/>
        <v>2590300</v>
      </c>
      <c r="EI26" s="577">
        <f t="shared" si="16"/>
        <v>27130410</v>
      </c>
      <c r="EJ26" s="577">
        <f t="shared" si="16"/>
        <v>28397521</v>
      </c>
      <c r="EK26" s="577">
        <f t="shared" si="16"/>
        <v>25629247</v>
      </c>
      <c r="EL26" s="577">
        <f t="shared" si="16"/>
        <v>23759000</v>
      </c>
      <c r="EM26" s="577">
        <f t="shared" si="16"/>
        <v>35834000</v>
      </c>
      <c r="EN26" s="577">
        <f t="shared" si="16"/>
        <v>35834000</v>
      </c>
      <c r="EO26" s="577">
        <f t="shared" si="16"/>
        <v>1575000</v>
      </c>
      <c r="EP26" s="577">
        <f t="shared" si="16"/>
        <v>1575000</v>
      </c>
      <c r="EQ26" s="577">
        <f t="shared" si="16"/>
        <v>1574800</v>
      </c>
      <c r="ER26" s="577">
        <v>52210720</v>
      </c>
      <c r="ES26" s="577">
        <f>+ES8+ES9+ES10+ES11+ES13+ES14+ES22+ES23+ES15</f>
        <v>139895689</v>
      </c>
      <c r="ET26" s="577">
        <f>+ET8+ET9+ET10+ET11+ET13+ET14+ET22+ET23+ET15</f>
        <v>131612384</v>
      </c>
      <c r="EU26" s="577">
        <f>+EU8+EU9+EU10+EU11+EU13+EU14+EU22+EU23+EU15</f>
        <v>0</v>
      </c>
      <c r="EV26" s="577">
        <f>+EV8+EV9+EV10+EV11+EV13+EV14+EV22+EV23+EV15</f>
        <v>0</v>
      </c>
      <c r="EW26" s="577"/>
      <c r="EX26" s="577">
        <f t="shared" ref="EX26:FF26" si="17">+EX8+EX9+EX10+EX11+EX13+EX14+EX22+EX23+EX15</f>
        <v>0</v>
      </c>
      <c r="EY26" s="577">
        <f t="shared" si="17"/>
        <v>105000</v>
      </c>
      <c r="EZ26" s="577">
        <f t="shared" si="17"/>
        <v>105000</v>
      </c>
      <c r="FA26" s="577">
        <f t="shared" si="17"/>
        <v>5000000</v>
      </c>
      <c r="FB26" s="577">
        <f t="shared" si="17"/>
        <v>15075281</v>
      </c>
      <c r="FC26" s="577">
        <f t="shared" si="17"/>
        <v>15075281</v>
      </c>
      <c r="FD26" s="577">
        <f t="shared" si="17"/>
        <v>30999844</v>
      </c>
      <c r="FE26" s="577">
        <f t="shared" si="17"/>
        <v>25366062</v>
      </c>
      <c r="FF26" s="577">
        <f t="shared" si="17"/>
        <v>24736213</v>
      </c>
      <c r="FG26" s="577">
        <f t="shared" ref="FG26:FL26" si="18">+FG8+FG9+FG10+FG11+FG13+FG14+FG22+FG23+FG15</f>
        <v>18409277</v>
      </c>
      <c r="FH26" s="577">
        <f t="shared" si="18"/>
        <v>19644662</v>
      </c>
      <c r="FI26" s="577">
        <f t="shared" si="18"/>
        <v>16230640</v>
      </c>
      <c r="FJ26" s="577">
        <f t="shared" si="18"/>
        <v>500000</v>
      </c>
      <c r="FK26" s="577">
        <f t="shared" si="18"/>
        <v>550065</v>
      </c>
      <c r="FL26" s="577">
        <f t="shared" si="18"/>
        <v>550065</v>
      </c>
      <c r="FM26" s="696">
        <f t="shared" si="0"/>
        <v>864124131</v>
      </c>
      <c r="FN26" s="696">
        <f t="shared" si="1"/>
        <v>287632083</v>
      </c>
      <c r="FO26" s="696">
        <f t="shared" si="2"/>
        <v>1447307</v>
      </c>
      <c r="FP26" s="696">
        <f t="shared" si="3"/>
        <v>1153203521</v>
      </c>
    </row>
    <row r="27" spans="1:175" ht="24" customHeight="1" x14ac:dyDescent="0.2">
      <c r="A27" s="9" t="s">
        <v>63</v>
      </c>
      <c r="B27" s="25" t="s">
        <v>64</v>
      </c>
      <c r="C27" s="576"/>
      <c r="D27" s="577">
        <f t="shared" ref="D27:K27" si="19">+D16+D17+D18+D24+D25</f>
        <v>39770000</v>
      </c>
      <c r="E27" s="577">
        <f t="shared" si="19"/>
        <v>211901682</v>
      </c>
      <c r="F27" s="577">
        <f t="shared" si="19"/>
        <v>199859141</v>
      </c>
      <c r="G27" s="577">
        <f t="shared" si="19"/>
        <v>15500000</v>
      </c>
      <c r="H27" s="577">
        <f t="shared" si="19"/>
        <v>87594672</v>
      </c>
      <c r="I27" s="577">
        <f t="shared" si="19"/>
        <v>81452291</v>
      </c>
      <c r="J27" s="577">
        <f t="shared" si="19"/>
        <v>0</v>
      </c>
      <c r="K27" s="577">
        <f t="shared" si="19"/>
        <v>0</v>
      </c>
      <c r="L27" s="577"/>
      <c r="M27" s="577">
        <f>+M16+M17+M18+M24+M25</f>
        <v>0</v>
      </c>
      <c r="N27" s="577">
        <f>+N16+N17+N18+N24+N25</f>
        <v>0</v>
      </c>
      <c r="O27" s="577"/>
      <c r="P27" s="577">
        <f>+P16+P17+P18+P24+P25</f>
        <v>0</v>
      </c>
      <c r="Q27" s="577">
        <f>+Q16+Q17+Q18+Q24+Q25</f>
        <v>0</v>
      </c>
      <c r="R27" s="577"/>
      <c r="S27" s="577">
        <f>+S16+S17+S18+S24+S25</f>
        <v>0</v>
      </c>
      <c r="T27" s="577">
        <f>+T16+T17+T18+T24+T25</f>
        <v>0</v>
      </c>
      <c r="U27" s="577"/>
      <c r="V27" s="577">
        <f>+V16+V17+V18+V24+V25</f>
        <v>18000000</v>
      </c>
      <c r="W27" s="577">
        <f>+W16+W17+W18+W24+W25</f>
        <v>28544184</v>
      </c>
      <c r="X27" s="577">
        <f>+X16+X17+X18+X24+X25</f>
        <v>27723964</v>
      </c>
      <c r="Y27" s="577">
        <f>+Y16+Y17+Y18+Y24+Y25</f>
        <v>0</v>
      </c>
      <c r="Z27" s="577">
        <f>+Z16+Z17+Z18+Z24+Z25</f>
        <v>0</v>
      </c>
      <c r="AA27" s="577"/>
      <c r="AB27" s="577">
        <f t="shared" ref="AB27:AL27" si="20">+AB16+AB17+AB18+AB24+AB25</f>
        <v>2250000</v>
      </c>
      <c r="AC27" s="577">
        <f t="shared" si="20"/>
        <v>2250000</v>
      </c>
      <c r="AD27" s="577">
        <f t="shared" si="20"/>
        <v>1059600</v>
      </c>
      <c r="AE27" s="577">
        <f t="shared" si="20"/>
        <v>500000</v>
      </c>
      <c r="AF27" s="577">
        <f t="shared" si="20"/>
        <v>1000000</v>
      </c>
      <c r="AG27" s="577">
        <f t="shared" si="20"/>
        <v>750000</v>
      </c>
      <c r="AH27" s="577">
        <f t="shared" si="20"/>
        <v>0</v>
      </c>
      <c r="AI27" s="577">
        <f t="shared" si="20"/>
        <v>2000000</v>
      </c>
      <c r="AJ27" s="577">
        <f t="shared" si="20"/>
        <v>2000000</v>
      </c>
      <c r="AK27" s="577">
        <f t="shared" si="20"/>
        <v>0</v>
      </c>
      <c r="AL27" s="577">
        <f t="shared" si="20"/>
        <v>0</v>
      </c>
      <c r="AM27" s="577"/>
      <c r="AN27" s="577">
        <f t="shared" ref="AN27:AX27" si="21">+AN16+AN17+AN18+AN24+AN25</f>
        <v>398131180</v>
      </c>
      <c r="AO27" s="577">
        <f t="shared" si="21"/>
        <v>490587180</v>
      </c>
      <c r="AP27" s="577">
        <f t="shared" si="21"/>
        <v>490587180</v>
      </c>
      <c r="AQ27" s="577">
        <f t="shared" si="21"/>
        <v>0</v>
      </c>
      <c r="AR27" s="577">
        <f t="shared" si="21"/>
        <v>300000</v>
      </c>
      <c r="AS27" s="578">
        <f t="shared" si="21"/>
        <v>300000</v>
      </c>
      <c r="AT27" s="577">
        <f t="shared" si="21"/>
        <v>0</v>
      </c>
      <c r="AU27" s="577">
        <f t="shared" si="21"/>
        <v>0</v>
      </c>
      <c r="AV27" s="578">
        <f t="shared" si="21"/>
        <v>0</v>
      </c>
      <c r="AW27" s="577">
        <f t="shared" si="21"/>
        <v>0</v>
      </c>
      <c r="AX27" s="577">
        <f t="shared" si="21"/>
        <v>0</v>
      </c>
      <c r="AY27" s="577"/>
      <c r="AZ27" s="577">
        <f>+AZ16+AZ17+AZ18+AZ24+AZ25</f>
        <v>0</v>
      </c>
      <c r="BA27" s="577">
        <f>+BA16+BA17+BA18+BA24+BA25</f>
        <v>0</v>
      </c>
      <c r="BB27" s="577">
        <f>+BB19</f>
        <v>96000</v>
      </c>
      <c r="BC27" s="577">
        <f>+BC16+BC17+BC18+BC24+BC25</f>
        <v>0</v>
      </c>
      <c r="BD27" s="577">
        <f>+BD16+BD17+BD18+BD24+BD25</f>
        <v>0</v>
      </c>
      <c r="BE27" s="577"/>
      <c r="BF27" s="577">
        <f>+BF16+BF17+BF18+BF24+BF25</f>
        <v>0</v>
      </c>
      <c r="BG27" s="577">
        <f>+BG16+BG17+BG18+BG24+BG25</f>
        <v>1080000</v>
      </c>
      <c r="BH27" s="577">
        <f>+BH18</f>
        <v>1080000</v>
      </c>
      <c r="BI27" s="577">
        <f>+BI16+BI17+BI18+BI24+BI25</f>
        <v>0</v>
      </c>
      <c r="BJ27" s="577">
        <f>+BJ16+BJ17+BJ18+BJ24+BJ25</f>
        <v>0</v>
      </c>
      <c r="BK27" s="577"/>
      <c r="BL27" s="577">
        <f>+BL16+BL17+BL18+BL24+BL25</f>
        <v>0</v>
      </c>
      <c r="BM27" s="577">
        <f>+BM16+BM17+BM18+BM24+BM25</f>
        <v>0</v>
      </c>
      <c r="BN27" s="577"/>
      <c r="BO27" s="577">
        <f>+BO16+BO17+BO18+BO24+BO25</f>
        <v>0</v>
      </c>
      <c r="BP27" s="577">
        <f>+BP16+BP17+BP18+BP24+BP25</f>
        <v>0</v>
      </c>
      <c r="BQ27" s="577"/>
      <c r="BR27" s="577">
        <f>+BR16+BR17+BR18+BR24+BR25</f>
        <v>0</v>
      </c>
      <c r="BS27" s="577">
        <f>+BS16+BS17+BS18+BS24+BS25</f>
        <v>97491</v>
      </c>
      <c r="BT27" s="577">
        <f>+BT16+BT17+BT18+BT24+BT25</f>
        <v>97491</v>
      </c>
      <c r="BU27" s="577">
        <f>+BU16+BU17+BU18+BU24+BU25</f>
        <v>0</v>
      </c>
      <c r="BV27" s="577">
        <f>+BV16+BV17+BV18+BV24+BV25</f>
        <v>0</v>
      </c>
      <c r="BW27" s="577"/>
      <c r="BX27" s="577">
        <f>+BX16+BX17+BX18+BX24+BX25</f>
        <v>0</v>
      </c>
      <c r="BY27" s="577">
        <f>+BY16+BY17+BY18+BY24+BY25</f>
        <v>0</v>
      </c>
      <c r="BZ27" s="577"/>
      <c r="CA27" s="577">
        <f>+CA16+CA17+CA18+CA24+CA25</f>
        <v>0</v>
      </c>
      <c r="CB27" s="577">
        <f>+CB16+CB17+CB18+CB24+CB25</f>
        <v>0</v>
      </c>
      <c r="CC27" s="577"/>
      <c r="CD27" s="577">
        <f>+CD16+CD17+CD18+CD24+CD25</f>
        <v>0</v>
      </c>
      <c r="CE27" s="577">
        <f>+CE16+CE17+CE18+CE24+CE25</f>
        <v>0</v>
      </c>
      <c r="CF27" s="577"/>
      <c r="CG27" s="577">
        <f>+CG16+CG17+CG18+CG24+CG25</f>
        <v>0</v>
      </c>
      <c r="CH27" s="577">
        <f>+CH16+CH17+CH18+CH24+CH25</f>
        <v>0</v>
      </c>
      <c r="CI27" s="577"/>
      <c r="CJ27" s="577">
        <f>+CJ16+CJ17+CJ18+CJ24+CJ25</f>
        <v>0</v>
      </c>
      <c r="CK27" s="577">
        <f>+CK16+CK17+CK18+CK24+CK25</f>
        <v>0</v>
      </c>
      <c r="CL27" s="577"/>
      <c r="CM27" s="577">
        <f>+CM16+CM17+CM18+CM24+CM25</f>
        <v>0</v>
      </c>
      <c r="CN27" s="577">
        <f>+CN16+CN17+CN18+CN24+CN25</f>
        <v>0</v>
      </c>
      <c r="CO27" s="577"/>
      <c r="CP27" s="577">
        <f>+CP16+CP17+CP18+CP24+CP25</f>
        <v>0</v>
      </c>
      <c r="CQ27" s="577">
        <f>+CQ16+CQ17+CQ18+CQ24+CQ25</f>
        <v>0</v>
      </c>
      <c r="CR27" s="577"/>
      <c r="CS27" s="577">
        <f>+CS16+CS17+CS18+CS24+CS25</f>
        <v>0</v>
      </c>
      <c r="CT27" s="577">
        <f>+CT16+CT17+CT18+CT24+CT25</f>
        <v>0</v>
      </c>
      <c r="CU27" s="577"/>
      <c r="CV27" s="577">
        <f>+CV16+CV17+CV18+CV24+CV25</f>
        <v>0</v>
      </c>
      <c r="CW27" s="577">
        <f>+CW16+CW17+CW18+CW24+CW25</f>
        <v>0</v>
      </c>
      <c r="CX27" s="577"/>
      <c r="CY27" s="577">
        <f>+CY16+CY17+CY18+CY24+CY25</f>
        <v>0</v>
      </c>
      <c r="CZ27" s="577">
        <f>+CZ16+CZ17+CZ18+CZ24+CZ25</f>
        <v>1117269</v>
      </c>
      <c r="DA27" s="577">
        <f>+DA17</f>
        <v>1117269</v>
      </c>
      <c r="DB27" s="577">
        <f>+DB16+DB17+DB18+DB24+DB25</f>
        <v>0</v>
      </c>
      <c r="DC27" s="577">
        <f>+DC16+DC17+DC18+DC24+DC25</f>
        <v>0</v>
      </c>
      <c r="DD27" s="577"/>
      <c r="DE27" s="577">
        <f>+DE16+DE17+DE18+DE24+DE25</f>
        <v>0</v>
      </c>
      <c r="DF27" s="577">
        <f>+DF16+DF17+DF18+DF24+DF25</f>
        <v>0</v>
      </c>
      <c r="DG27" s="577"/>
      <c r="DH27" s="577">
        <f>+DH16+DH17+DH18+DH24+DH25</f>
        <v>0</v>
      </c>
      <c r="DI27" s="577">
        <f>+DI16+DI17+DI18+DI24+DI25</f>
        <v>0</v>
      </c>
      <c r="DJ27" s="577"/>
      <c r="DK27" s="577">
        <f>+DK16+DK17+DK18+DK24+DK25</f>
        <v>0</v>
      </c>
      <c r="DL27" s="577">
        <f>+DL16+DL17+DL18+DL24+DL25</f>
        <v>1000000</v>
      </c>
      <c r="DM27" s="577">
        <f>+DM16+DM17+DM18+DM24+DM25</f>
        <v>988360</v>
      </c>
      <c r="DN27" s="577">
        <f>+DN16+DN17+DN18+DN24+DN25</f>
        <v>0</v>
      </c>
      <c r="DO27" s="577">
        <f>+DO16+DO17+DO18+DO24+DO25</f>
        <v>0</v>
      </c>
      <c r="DP27" s="577"/>
      <c r="DQ27" s="577">
        <f>+DQ16+DQ17+DQ18+DQ24+DQ25</f>
        <v>0</v>
      </c>
      <c r="DR27" s="577">
        <f>+DR16+DR17+DR18+DR24+DR25</f>
        <v>0</v>
      </c>
      <c r="DS27" s="577"/>
      <c r="DT27" s="577">
        <f>+DT16+DT17+DT18+DT24+DT25</f>
        <v>0</v>
      </c>
      <c r="DU27" s="577">
        <f>+DU16+DU17+DU18+DU24+DU25</f>
        <v>0</v>
      </c>
      <c r="DV27" s="577"/>
      <c r="DW27" s="577">
        <f>+DW16+DW17+DW18+DW24+DW25</f>
        <v>0</v>
      </c>
      <c r="DX27" s="577">
        <f>+DX16+DX17+DX18+DX24+DX25</f>
        <v>0</v>
      </c>
      <c r="DY27" s="577"/>
      <c r="DZ27" s="577">
        <f>+DZ16+DZ17+DZ18+DZ24+DZ25</f>
        <v>0</v>
      </c>
      <c r="EA27" s="577">
        <f>+EA16+EA17+EA18+EA24+EA25</f>
        <v>0</v>
      </c>
      <c r="EB27" s="577"/>
      <c r="EC27" s="577">
        <f t="shared" ref="EC27:EH27" si="22">+EC16+EC17+EC18+EC24+EC25</f>
        <v>2000000</v>
      </c>
      <c r="ED27" s="577">
        <f t="shared" si="22"/>
        <v>3000000</v>
      </c>
      <c r="EE27" s="577">
        <f t="shared" si="22"/>
        <v>2771140</v>
      </c>
      <c r="EF27" s="577">
        <f t="shared" si="22"/>
        <v>0</v>
      </c>
      <c r="EG27" s="577">
        <f t="shared" si="22"/>
        <v>900000</v>
      </c>
      <c r="EH27" s="577">
        <f t="shared" si="22"/>
        <v>700000</v>
      </c>
      <c r="EI27" s="577">
        <f t="shared" ref="EI27:EP27" si="23">+EI16+EI17+EI18+EI24+EI25</f>
        <v>0</v>
      </c>
      <c r="EJ27" s="577">
        <f t="shared" si="23"/>
        <v>37174095</v>
      </c>
      <c r="EK27" s="577">
        <f t="shared" si="23"/>
        <v>37157089</v>
      </c>
      <c r="EL27" s="577">
        <f t="shared" si="23"/>
        <v>0</v>
      </c>
      <c r="EM27" s="577">
        <f t="shared" si="23"/>
        <v>0</v>
      </c>
      <c r="EN27" s="577">
        <f t="shared" si="23"/>
        <v>0</v>
      </c>
      <c r="EO27" s="577">
        <f t="shared" si="23"/>
        <v>0</v>
      </c>
      <c r="EP27" s="577">
        <f t="shared" si="23"/>
        <v>0</v>
      </c>
      <c r="EQ27" s="577"/>
      <c r="ER27" s="577">
        <f>+ER16+ER17+ER18+ER24+ER25</f>
        <v>3529898</v>
      </c>
      <c r="ES27" s="577">
        <f>+ES16+ES17+ES18+ES24+ES25</f>
        <v>3529898</v>
      </c>
      <c r="ET27" s="577">
        <f>+ET16+ET17+ET18+ET24+ET25</f>
        <v>0</v>
      </c>
      <c r="EU27" s="577">
        <f>+EU16+EU17+EU18+EU24+EU25</f>
        <v>0</v>
      </c>
      <c r="EV27" s="577">
        <f>+EV16+EV17+EV18+EV24+EV25</f>
        <v>0</v>
      </c>
      <c r="EW27" s="577"/>
      <c r="EX27" s="887">
        <f>+EX16+EX17+EX18+EX24+EX25</f>
        <v>0</v>
      </c>
      <c r="EY27" s="888">
        <f>+EY16+EY17+EY18+EY24+EY25</f>
        <v>0</v>
      </c>
      <c r="EZ27" s="889"/>
      <c r="FA27" s="577">
        <f>+FA16+FA17+FA18+FA24+FA25</f>
        <v>0</v>
      </c>
      <c r="FB27" s="577">
        <f>+FB16+FB17+FB18+FB24+FB25</f>
        <v>0</v>
      </c>
      <c r="FC27" s="577"/>
      <c r="FD27" s="577">
        <f>+FD16+FD17+FD18+FD24+FD25</f>
        <v>0</v>
      </c>
      <c r="FE27" s="577">
        <f>+FE16+FE17+FE18+FE24+FE25</f>
        <v>0</v>
      </c>
      <c r="FF27" s="577"/>
      <c r="FG27" s="577">
        <f t="shared" ref="FG27:FL27" si="24">+FG16+FG17+FG18+FG24+FG25</f>
        <v>0</v>
      </c>
      <c r="FH27" s="577">
        <f t="shared" si="24"/>
        <v>5054600</v>
      </c>
      <c r="FI27" s="577">
        <f t="shared" si="24"/>
        <v>3707368</v>
      </c>
      <c r="FJ27" s="577">
        <f t="shared" si="24"/>
        <v>0</v>
      </c>
      <c r="FK27" s="577">
        <f t="shared" si="24"/>
        <v>0</v>
      </c>
      <c r="FL27" s="577">
        <f t="shared" si="24"/>
        <v>0</v>
      </c>
      <c r="FM27" s="696">
        <f t="shared" si="0"/>
        <v>355574113</v>
      </c>
      <c r="FN27" s="696">
        <f t="shared" si="1"/>
        <v>495872780</v>
      </c>
      <c r="FO27" s="696">
        <f t="shared" si="2"/>
        <v>0</v>
      </c>
      <c r="FP27" s="696">
        <f t="shared" si="3"/>
        <v>851446893</v>
      </c>
    </row>
    <row r="28" spans="1:175" ht="24" customHeight="1" x14ac:dyDescent="0.2">
      <c r="A28" s="9" t="s">
        <v>65</v>
      </c>
      <c r="B28" s="25" t="s">
        <v>66</v>
      </c>
      <c r="C28" s="576" t="s">
        <v>67</v>
      </c>
      <c r="D28" s="577">
        <f t="shared" ref="D28:K28" si="25">+D26+D27</f>
        <v>39770000</v>
      </c>
      <c r="E28" s="577">
        <f t="shared" si="25"/>
        <v>211901682</v>
      </c>
      <c r="F28" s="577">
        <f t="shared" si="25"/>
        <v>199859141</v>
      </c>
      <c r="G28" s="577">
        <f t="shared" si="25"/>
        <v>15500000</v>
      </c>
      <c r="H28" s="577">
        <f t="shared" si="25"/>
        <v>87594672</v>
      </c>
      <c r="I28" s="577">
        <f t="shared" si="25"/>
        <v>81452291</v>
      </c>
      <c r="J28" s="577">
        <f t="shared" si="25"/>
        <v>0</v>
      </c>
      <c r="K28" s="577">
        <f t="shared" si="25"/>
        <v>0</v>
      </c>
      <c r="L28" s="577"/>
      <c r="M28" s="577">
        <f>+M26+M27</f>
        <v>0</v>
      </c>
      <c r="N28" s="577">
        <f>+N26+N27</f>
        <v>0</v>
      </c>
      <c r="O28" s="577"/>
      <c r="P28" s="577">
        <f>+P26+P27</f>
        <v>1000000</v>
      </c>
      <c r="Q28" s="577">
        <f>+Q26+Q27</f>
        <v>1892500</v>
      </c>
      <c r="R28" s="577">
        <f>+R26+R27</f>
        <v>1753134</v>
      </c>
      <c r="S28" s="577">
        <f t="shared" ref="S28:Z28" si="26">+S26+S27</f>
        <v>0</v>
      </c>
      <c r="T28" s="577">
        <f t="shared" si="26"/>
        <v>1000000</v>
      </c>
      <c r="U28" s="577">
        <f t="shared" si="26"/>
        <v>980000</v>
      </c>
      <c r="V28" s="577">
        <f t="shared" si="26"/>
        <v>18000000</v>
      </c>
      <c r="W28" s="577">
        <f t="shared" si="26"/>
        <v>28544184</v>
      </c>
      <c r="X28" s="577">
        <f t="shared" si="26"/>
        <v>27723964</v>
      </c>
      <c r="Y28" s="577">
        <f t="shared" si="26"/>
        <v>0</v>
      </c>
      <c r="Z28" s="577">
        <f t="shared" si="26"/>
        <v>0</v>
      </c>
      <c r="AA28" s="577"/>
      <c r="AB28" s="577">
        <f t="shared" ref="AB28:AM28" si="27">+AB26+AB27</f>
        <v>2250000</v>
      </c>
      <c r="AC28" s="577">
        <f t="shared" si="27"/>
        <v>2250000</v>
      </c>
      <c r="AD28" s="577">
        <f t="shared" si="27"/>
        <v>1059600</v>
      </c>
      <c r="AE28" s="577">
        <f t="shared" si="27"/>
        <v>500000</v>
      </c>
      <c r="AF28" s="577">
        <f t="shared" si="27"/>
        <v>1000000</v>
      </c>
      <c r="AG28" s="577">
        <f t="shared" si="27"/>
        <v>750000</v>
      </c>
      <c r="AH28" s="577">
        <f t="shared" si="27"/>
        <v>0</v>
      </c>
      <c r="AI28" s="577">
        <f t="shared" si="27"/>
        <v>2000000</v>
      </c>
      <c r="AJ28" s="577">
        <f t="shared" si="27"/>
        <v>2000000</v>
      </c>
      <c r="AK28" s="577">
        <f t="shared" si="27"/>
        <v>5656409</v>
      </c>
      <c r="AL28" s="577">
        <f t="shared" si="27"/>
        <v>8656409</v>
      </c>
      <c r="AM28" s="577">
        <f t="shared" si="27"/>
        <v>4082511</v>
      </c>
      <c r="AN28" s="577">
        <f t="shared" ref="AN28:BS28" si="28">+AN26+AN27</f>
        <v>434404592</v>
      </c>
      <c r="AO28" s="577">
        <f t="shared" si="28"/>
        <v>566910592</v>
      </c>
      <c r="AP28" s="577">
        <f t="shared" si="28"/>
        <v>550856930</v>
      </c>
      <c r="AQ28" s="577">
        <f t="shared" si="28"/>
        <v>228000</v>
      </c>
      <c r="AR28" s="577">
        <f t="shared" si="28"/>
        <v>4148000</v>
      </c>
      <c r="AS28" s="578">
        <f t="shared" si="28"/>
        <v>4070000</v>
      </c>
      <c r="AT28" s="577">
        <f t="shared" si="28"/>
        <v>0</v>
      </c>
      <c r="AU28" s="577">
        <f t="shared" si="28"/>
        <v>1990000</v>
      </c>
      <c r="AV28" s="578">
        <f t="shared" si="28"/>
        <v>1990000</v>
      </c>
      <c r="AW28" s="577">
        <f t="shared" si="28"/>
        <v>0</v>
      </c>
      <c r="AX28" s="577">
        <f t="shared" si="28"/>
        <v>700000</v>
      </c>
      <c r="AY28" s="577">
        <f t="shared" si="28"/>
        <v>700000</v>
      </c>
      <c r="AZ28" s="577">
        <f t="shared" si="28"/>
        <v>0</v>
      </c>
      <c r="BA28" s="577">
        <f t="shared" si="28"/>
        <v>13409000</v>
      </c>
      <c r="BB28" s="577">
        <f t="shared" si="28"/>
        <v>13405000</v>
      </c>
      <c r="BC28" s="577">
        <f t="shared" si="28"/>
        <v>0</v>
      </c>
      <c r="BD28" s="577">
        <f t="shared" si="28"/>
        <v>1660000</v>
      </c>
      <c r="BE28" s="577">
        <f t="shared" si="28"/>
        <v>1660000</v>
      </c>
      <c r="BF28" s="577">
        <f t="shared" si="28"/>
        <v>3600000</v>
      </c>
      <c r="BG28" s="577">
        <f t="shared" si="28"/>
        <v>3600000</v>
      </c>
      <c r="BH28" s="577">
        <f t="shared" si="28"/>
        <v>3600000</v>
      </c>
      <c r="BI28" s="577">
        <f t="shared" si="28"/>
        <v>70000</v>
      </c>
      <c r="BJ28" s="577">
        <f t="shared" si="28"/>
        <v>1080000</v>
      </c>
      <c r="BK28" s="577">
        <f t="shared" si="28"/>
        <v>1080000</v>
      </c>
      <c r="BL28" s="577">
        <f t="shared" si="28"/>
        <v>25600000</v>
      </c>
      <c r="BM28" s="577">
        <f t="shared" si="28"/>
        <v>36000000</v>
      </c>
      <c r="BN28" s="577">
        <f t="shared" si="28"/>
        <v>35916000</v>
      </c>
      <c r="BO28" s="577">
        <f t="shared" si="28"/>
        <v>3000000</v>
      </c>
      <c r="BP28" s="577">
        <f t="shared" si="28"/>
        <v>3160000</v>
      </c>
      <c r="BQ28" s="577">
        <f t="shared" si="28"/>
        <v>3100000</v>
      </c>
      <c r="BR28" s="577">
        <f t="shared" si="28"/>
        <v>74975047</v>
      </c>
      <c r="BS28" s="577">
        <f t="shared" si="28"/>
        <v>74929016</v>
      </c>
      <c r="BT28" s="577">
        <f t="shared" ref="BT28:CY28" si="29">+BT26+BT27</f>
        <v>68395471</v>
      </c>
      <c r="BU28" s="577">
        <f t="shared" si="29"/>
        <v>4042988</v>
      </c>
      <c r="BV28" s="577">
        <f t="shared" si="29"/>
        <v>9866930</v>
      </c>
      <c r="BW28" s="577">
        <f t="shared" si="29"/>
        <v>9756548</v>
      </c>
      <c r="BX28" s="577">
        <f t="shared" si="29"/>
        <v>11175000</v>
      </c>
      <c r="BY28" s="577">
        <f t="shared" si="29"/>
        <v>17550000</v>
      </c>
      <c r="BZ28" s="577">
        <f t="shared" si="29"/>
        <v>17550000</v>
      </c>
      <c r="CA28" s="577">
        <f t="shared" si="29"/>
        <v>2000000</v>
      </c>
      <c r="CB28" s="577">
        <f t="shared" si="29"/>
        <v>2600000</v>
      </c>
      <c r="CC28" s="577">
        <f t="shared" si="29"/>
        <v>766215</v>
      </c>
      <c r="CD28" s="577">
        <f t="shared" si="29"/>
        <v>16500000</v>
      </c>
      <c r="CE28" s="577">
        <f t="shared" si="29"/>
        <v>30040000</v>
      </c>
      <c r="CF28" s="577">
        <f t="shared" si="29"/>
        <v>26100697</v>
      </c>
      <c r="CG28" s="577">
        <f t="shared" si="29"/>
        <v>750000</v>
      </c>
      <c r="CH28" s="577">
        <f t="shared" si="29"/>
        <v>1850000</v>
      </c>
      <c r="CI28" s="577">
        <f t="shared" si="29"/>
        <v>1447307</v>
      </c>
      <c r="CJ28" s="577">
        <f t="shared" si="29"/>
        <v>1000000</v>
      </c>
      <c r="CK28" s="577">
        <f t="shared" si="29"/>
        <v>2000000</v>
      </c>
      <c r="CL28" s="577">
        <f t="shared" si="29"/>
        <v>1775018</v>
      </c>
      <c r="CM28" s="577">
        <f t="shared" si="29"/>
        <v>1504500</v>
      </c>
      <c r="CN28" s="577">
        <f t="shared" si="29"/>
        <v>5545500</v>
      </c>
      <c r="CO28" s="577">
        <f t="shared" si="29"/>
        <v>3109838</v>
      </c>
      <c r="CP28" s="577">
        <f t="shared" si="29"/>
        <v>1500000</v>
      </c>
      <c r="CQ28" s="577">
        <f t="shared" si="29"/>
        <v>3000000</v>
      </c>
      <c r="CR28" s="577">
        <f t="shared" si="29"/>
        <v>2102900</v>
      </c>
      <c r="CS28" s="577">
        <f t="shared" si="29"/>
        <v>500000</v>
      </c>
      <c r="CT28" s="577">
        <f t="shared" si="29"/>
        <v>600000</v>
      </c>
      <c r="CU28" s="577">
        <f t="shared" si="29"/>
        <v>600000</v>
      </c>
      <c r="CV28" s="577">
        <f t="shared" si="29"/>
        <v>7200000</v>
      </c>
      <c r="CW28" s="577">
        <f t="shared" si="29"/>
        <v>14492689</v>
      </c>
      <c r="CX28" s="577">
        <f t="shared" si="29"/>
        <v>13253570</v>
      </c>
      <c r="CY28" s="577">
        <f t="shared" si="29"/>
        <v>186312420</v>
      </c>
      <c r="CZ28" s="577">
        <f t="shared" ref="CZ28:DI28" si="30">+CZ26+CZ27</f>
        <v>260791265</v>
      </c>
      <c r="DA28" s="577">
        <f t="shared" si="30"/>
        <v>260478845</v>
      </c>
      <c r="DB28" s="577">
        <f t="shared" si="30"/>
        <v>22000000</v>
      </c>
      <c r="DC28" s="577">
        <f t="shared" si="30"/>
        <v>30286082</v>
      </c>
      <c r="DD28" s="577">
        <f t="shared" si="30"/>
        <v>30209882</v>
      </c>
      <c r="DE28" s="577">
        <f t="shared" si="30"/>
        <v>28675000</v>
      </c>
      <c r="DF28" s="577">
        <f t="shared" si="30"/>
        <v>24828500</v>
      </c>
      <c r="DG28" s="577">
        <f t="shared" si="30"/>
        <v>24828500</v>
      </c>
      <c r="DH28" s="577">
        <f t="shared" si="30"/>
        <v>0</v>
      </c>
      <c r="DI28" s="577">
        <f t="shared" si="30"/>
        <v>0</v>
      </c>
      <c r="DJ28" s="577"/>
      <c r="DK28" s="577">
        <f t="shared" ref="DK28:EQ28" si="31">+DK26+DK27</f>
        <v>38000000</v>
      </c>
      <c r="DL28" s="577">
        <f t="shared" si="31"/>
        <v>16993842</v>
      </c>
      <c r="DM28" s="577">
        <f t="shared" si="31"/>
        <v>16712738</v>
      </c>
      <c r="DN28" s="577">
        <f t="shared" si="31"/>
        <v>85900000</v>
      </c>
      <c r="DO28" s="577">
        <f t="shared" si="31"/>
        <v>168122918</v>
      </c>
      <c r="DP28" s="577">
        <f t="shared" si="31"/>
        <v>168122918</v>
      </c>
      <c r="DQ28" s="577">
        <f t="shared" si="31"/>
        <v>45262967</v>
      </c>
      <c r="DR28" s="577">
        <f t="shared" si="31"/>
        <v>88306582</v>
      </c>
      <c r="DS28" s="577">
        <f t="shared" si="31"/>
        <v>79830259</v>
      </c>
      <c r="DT28" s="577">
        <f t="shared" si="31"/>
        <v>30696414</v>
      </c>
      <c r="DU28" s="577">
        <f t="shared" si="31"/>
        <v>62686818</v>
      </c>
      <c r="DV28" s="577">
        <f t="shared" si="31"/>
        <v>31553731</v>
      </c>
      <c r="DW28" s="577">
        <f t="shared" si="31"/>
        <v>1968000</v>
      </c>
      <c r="DX28" s="577">
        <f t="shared" si="31"/>
        <v>2218000</v>
      </c>
      <c r="DY28" s="577">
        <f t="shared" si="31"/>
        <v>1890639</v>
      </c>
      <c r="DZ28" s="577">
        <f t="shared" si="31"/>
        <v>4300000</v>
      </c>
      <c r="EA28" s="577">
        <f t="shared" si="31"/>
        <v>2718734</v>
      </c>
      <c r="EB28" s="577">
        <f t="shared" si="31"/>
        <v>2177900</v>
      </c>
      <c r="EC28" s="577">
        <f t="shared" si="31"/>
        <v>7000000</v>
      </c>
      <c r="ED28" s="577">
        <f t="shared" si="31"/>
        <v>12847744</v>
      </c>
      <c r="EE28" s="577">
        <f t="shared" si="31"/>
        <v>12446480</v>
      </c>
      <c r="EF28" s="577">
        <f t="shared" si="31"/>
        <v>4000000</v>
      </c>
      <c r="EG28" s="577">
        <f t="shared" si="31"/>
        <v>3619000</v>
      </c>
      <c r="EH28" s="577">
        <f t="shared" si="31"/>
        <v>3290300</v>
      </c>
      <c r="EI28" s="577">
        <f t="shared" si="31"/>
        <v>27130410</v>
      </c>
      <c r="EJ28" s="577">
        <f t="shared" si="31"/>
        <v>65571616</v>
      </c>
      <c r="EK28" s="577">
        <f t="shared" si="31"/>
        <v>62786336</v>
      </c>
      <c r="EL28" s="577">
        <f t="shared" si="31"/>
        <v>23759000</v>
      </c>
      <c r="EM28" s="577">
        <f t="shared" si="31"/>
        <v>35834000</v>
      </c>
      <c r="EN28" s="577">
        <f t="shared" si="31"/>
        <v>35834000</v>
      </c>
      <c r="EO28" s="577">
        <f t="shared" si="31"/>
        <v>1575000</v>
      </c>
      <c r="EP28" s="577">
        <f t="shared" si="31"/>
        <v>1575000</v>
      </c>
      <c r="EQ28" s="577">
        <f t="shared" si="31"/>
        <v>1574800</v>
      </c>
      <c r="ER28" s="577">
        <f>+ER26+ER27</f>
        <v>55740618</v>
      </c>
      <c r="ES28" s="577">
        <f>+ES26+ES27</f>
        <v>143425587</v>
      </c>
      <c r="ET28" s="577">
        <f>+ET26+ET27</f>
        <v>131612384</v>
      </c>
      <c r="EU28" s="577">
        <f>+EU26+EU27</f>
        <v>0</v>
      </c>
      <c r="EV28" s="577">
        <f>+EV26+EV27</f>
        <v>0</v>
      </c>
      <c r="EW28" s="577"/>
      <c r="EX28" s="577">
        <f t="shared" ref="EX28:FF28" si="32">+EX26+EX27</f>
        <v>0</v>
      </c>
      <c r="EY28" s="577">
        <f t="shared" si="32"/>
        <v>105000</v>
      </c>
      <c r="EZ28" s="577">
        <f t="shared" si="32"/>
        <v>105000</v>
      </c>
      <c r="FA28" s="577">
        <f t="shared" si="32"/>
        <v>5000000</v>
      </c>
      <c r="FB28" s="577">
        <f t="shared" si="32"/>
        <v>15075281</v>
      </c>
      <c r="FC28" s="577">
        <f t="shared" si="32"/>
        <v>15075281</v>
      </c>
      <c r="FD28" s="577">
        <f t="shared" si="32"/>
        <v>30999844</v>
      </c>
      <c r="FE28" s="577">
        <f t="shared" si="32"/>
        <v>25366062</v>
      </c>
      <c r="FF28" s="577">
        <f t="shared" si="32"/>
        <v>24736213</v>
      </c>
      <c r="FG28" s="577">
        <f t="shared" ref="FG28:FL28" si="33">+FG26+FG27</f>
        <v>18409277</v>
      </c>
      <c r="FH28" s="577">
        <f t="shared" si="33"/>
        <v>24699262</v>
      </c>
      <c r="FI28" s="577">
        <f t="shared" si="33"/>
        <v>19938008</v>
      </c>
      <c r="FJ28" s="577">
        <f t="shared" si="33"/>
        <v>500000</v>
      </c>
      <c r="FK28" s="577">
        <f t="shared" si="33"/>
        <v>550065</v>
      </c>
      <c r="FL28" s="577">
        <f t="shared" si="33"/>
        <v>550065</v>
      </c>
      <c r="FM28" s="696">
        <f t="shared" si="0"/>
        <v>1219698244</v>
      </c>
      <c r="FN28" s="696">
        <f t="shared" si="1"/>
        <v>783504863</v>
      </c>
      <c r="FO28" s="696">
        <f t="shared" si="2"/>
        <v>1447307</v>
      </c>
      <c r="FP28" s="696">
        <f t="shared" si="3"/>
        <v>2004650414</v>
      </c>
      <c r="FS28" s="696">
        <f>+FP28-FP21-FP20</f>
        <v>0</v>
      </c>
    </row>
    <row r="29" spans="1:175" ht="24" customHeight="1" x14ac:dyDescent="0.25">
      <c r="A29" s="9" t="s">
        <v>68</v>
      </c>
      <c r="B29" s="13" t="s">
        <v>69</v>
      </c>
      <c r="C29" s="20" t="s">
        <v>70</v>
      </c>
      <c r="D29" s="591"/>
      <c r="E29" s="591">
        <f t="shared" ref="E29:E35" si="34">D29</f>
        <v>0</v>
      </c>
      <c r="F29" s="591"/>
      <c r="G29" s="591"/>
      <c r="H29" s="591">
        <f t="shared" ref="H29:H35" si="35">G29</f>
        <v>0</v>
      </c>
      <c r="I29" s="591"/>
      <c r="J29" s="591"/>
      <c r="K29" s="591">
        <f t="shared" ref="K29:K35" si="36">J29</f>
        <v>0</v>
      </c>
      <c r="L29" s="591"/>
      <c r="M29" s="591"/>
      <c r="N29" s="591">
        <f t="shared" ref="N29:N35" si="37">M29</f>
        <v>0</v>
      </c>
      <c r="O29" s="591"/>
      <c r="P29" s="591"/>
      <c r="Q29" s="591">
        <f t="shared" ref="Q29:Q35" si="38">P29</f>
        <v>0</v>
      </c>
      <c r="R29" s="591"/>
      <c r="S29" s="591"/>
      <c r="T29" s="591"/>
      <c r="U29" s="591"/>
      <c r="V29" s="591"/>
      <c r="W29" s="591">
        <f t="shared" ref="W29:W35" si="39">V29</f>
        <v>0</v>
      </c>
      <c r="X29" s="591"/>
      <c r="Y29" s="591"/>
      <c r="Z29" s="591"/>
      <c r="AA29" s="591"/>
      <c r="AB29" s="591"/>
      <c r="AC29" s="591">
        <f t="shared" ref="AC29:AC35" si="40">AB29</f>
        <v>0</v>
      </c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91"/>
      <c r="AS29" s="711"/>
      <c r="AT29" s="591"/>
      <c r="AU29" s="591"/>
      <c r="AV29" s="711"/>
      <c r="AW29" s="591"/>
      <c r="AX29" s="591"/>
      <c r="AY29" s="591"/>
      <c r="AZ29" s="591"/>
      <c r="BA29" s="591"/>
      <c r="BB29" s="591"/>
      <c r="BC29" s="591"/>
      <c r="BD29" s="591"/>
      <c r="BE29" s="591"/>
      <c r="BF29" s="591"/>
      <c r="BG29" s="591"/>
      <c r="BH29" s="591"/>
      <c r="BI29" s="11"/>
      <c r="BJ29" s="11"/>
      <c r="BK29" s="11"/>
      <c r="BL29" s="11"/>
      <c r="BM29" s="11"/>
      <c r="BN29" s="11"/>
      <c r="BO29" s="11"/>
      <c r="BP29" s="11"/>
      <c r="BQ29" s="11">
        <v>590000</v>
      </c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592"/>
      <c r="DF29" s="592"/>
      <c r="DG29" s="592"/>
      <c r="DH29" s="592"/>
      <c r="DI29" s="592"/>
      <c r="DJ29" s="592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696">
        <f t="shared" si="0"/>
        <v>0</v>
      </c>
      <c r="FN29" s="696">
        <f t="shared" si="1"/>
        <v>590000</v>
      </c>
      <c r="FO29" s="696">
        <f t="shared" si="2"/>
        <v>0</v>
      </c>
      <c r="FP29" s="696">
        <f t="shared" si="3"/>
        <v>590000</v>
      </c>
    </row>
    <row r="30" spans="1:175" ht="24" customHeight="1" x14ac:dyDescent="0.25">
      <c r="A30" s="9" t="s">
        <v>71</v>
      </c>
      <c r="B30" s="13" t="s">
        <v>72</v>
      </c>
      <c r="C30" s="20" t="s">
        <v>73</v>
      </c>
      <c r="D30" s="591"/>
      <c r="E30" s="591">
        <f t="shared" si="34"/>
        <v>0</v>
      </c>
      <c r="F30" s="591"/>
      <c r="G30" s="591"/>
      <c r="H30" s="591">
        <f t="shared" si="35"/>
        <v>0</v>
      </c>
      <c r="I30" s="591"/>
      <c r="J30" s="591"/>
      <c r="K30" s="591">
        <f t="shared" si="36"/>
        <v>0</v>
      </c>
      <c r="L30" s="591"/>
      <c r="M30" s="591"/>
      <c r="N30" s="591">
        <f t="shared" si="37"/>
        <v>0</v>
      </c>
      <c r="O30" s="591"/>
      <c r="P30" s="591"/>
      <c r="Q30" s="591">
        <f t="shared" si="38"/>
        <v>0</v>
      </c>
      <c r="R30" s="591"/>
      <c r="S30" s="591"/>
      <c r="T30" s="591"/>
      <c r="U30" s="591"/>
      <c r="V30" s="591"/>
      <c r="W30" s="591">
        <f t="shared" si="39"/>
        <v>0</v>
      </c>
      <c r="X30" s="591"/>
      <c r="Y30" s="591"/>
      <c r="Z30" s="591"/>
      <c r="AA30" s="591"/>
      <c r="AB30" s="591"/>
      <c r="AC30" s="591">
        <f t="shared" si="40"/>
        <v>0</v>
      </c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91"/>
      <c r="AS30" s="711"/>
      <c r="AT30" s="591"/>
      <c r="AU30" s="591"/>
      <c r="AV30" s="711"/>
      <c r="AW30" s="591"/>
      <c r="AX30" s="591"/>
      <c r="AY30" s="591"/>
      <c r="AZ30" s="591"/>
      <c r="BA30" s="591"/>
      <c r="BB30" s="591"/>
      <c r="BC30" s="591"/>
      <c r="BD30" s="591"/>
      <c r="BE30" s="591"/>
      <c r="BF30" s="591"/>
      <c r="BG30" s="591"/>
      <c r="BH30" s="59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592"/>
      <c r="DF30" s="592"/>
      <c r="DG30" s="592"/>
      <c r="DH30" s="592"/>
      <c r="DI30" s="592"/>
      <c r="DJ30" s="592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696">
        <f t="shared" si="0"/>
        <v>0</v>
      </c>
      <c r="FN30" s="696">
        <f t="shared" si="1"/>
        <v>0</v>
      </c>
      <c r="FO30" s="696">
        <f t="shared" si="2"/>
        <v>0</v>
      </c>
      <c r="FP30" s="696">
        <f t="shared" si="3"/>
        <v>0</v>
      </c>
    </row>
    <row r="31" spans="1:175" ht="24" customHeight="1" x14ac:dyDescent="0.25">
      <c r="A31" s="9" t="s">
        <v>74</v>
      </c>
      <c r="B31" s="13" t="s">
        <v>75</v>
      </c>
      <c r="C31" s="20" t="s">
        <v>76</v>
      </c>
      <c r="D31" s="591"/>
      <c r="E31" s="591">
        <f t="shared" si="34"/>
        <v>0</v>
      </c>
      <c r="F31" s="591"/>
      <c r="G31" s="591"/>
      <c r="H31" s="591">
        <f t="shared" si="35"/>
        <v>0</v>
      </c>
      <c r="I31" s="591"/>
      <c r="J31" s="591"/>
      <c r="K31" s="591">
        <f t="shared" si="36"/>
        <v>0</v>
      </c>
      <c r="L31" s="591"/>
      <c r="M31" s="591"/>
      <c r="N31" s="591">
        <f t="shared" si="37"/>
        <v>0</v>
      </c>
      <c r="O31" s="591"/>
      <c r="P31" s="591"/>
      <c r="Q31" s="591">
        <f t="shared" si="38"/>
        <v>0</v>
      </c>
      <c r="R31" s="591"/>
      <c r="S31" s="591"/>
      <c r="T31" s="591"/>
      <c r="U31" s="591"/>
      <c r="V31" s="591"/>
      <c r="W31" s="591">
        <f t="shared" si="39"/>
        <v>0</v>
      </c>
      <c r="X31" s="591"/>
      <c r="Y31" s="591"/>
      <c r="Z31" s="591"/>
      <c r="AA31" s="591"/>
      <c r="AB31" s="591"/>
      <c r="AC31" s="591">
        <f t="shared" si="40"/>
        <v>0</v>
      </c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91"/>
      <c r="AS31" s="711"/>
      <c r="AT31" s="591"/>
      <c r="AU31" s="591"/>
      <c r="AV31" s="711"/>
      <c r="AW31" s="591"/>
      <c r="AX31" s="591"/>
      <c r="AY31" s="591"/>
      <c r="AZ31" s="591"/>
      <c r="BA31" s="591"/>
      <c r="BB31" s="591"/>
      <c r="BC31" s="591"/>
      <c r="BD31" s="593"/>
      <c r="BE31" s="593"/>
      <c r="BF31" s="593"/>
      <c r="BG31" s="593"/>
      <c r="BH31" s="593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592"/>
      <c r="DF31" s="592"/>
      <c r="DG31" s="592"/>
      <c r="DH31" s="592"/>
      <c r="DI31" s="592"/>
      <c r="DJ31" s="592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696">
        <f t="shared" si="0"/>
        <v>0</v>
      </c>
      <c r="FN31" s="696">
        <f t="shared" si="1"/>
        <v>0</v>
      </c>
      <c r="FO31" s="696">
        <f t="shared" si="2"/>
        <v>0</v>
      </c>
      <c r="FP31" s="696">
        <f t="shared" si="3"/>
        <v>0</v>
      </c>
    </row>
    <row r="32" spans="1:175" ht="24" customHeight="1" x14ac:dyDescent="0.25">
      <c r="A32" s="9" t="s">
        <v>77</v>
      </c>
      <c r="B32" s="16" t="s">
        <v>78</v>
      </c>
      <c r="C32" s="20" t="s">
        <v>79</v>
      </c>
      <c r="D32" s="591"/>
      <c r="E32" s="591">
        <f t="shared" si="34"/>
        <v>0</v>
      </c>
      <c r="F32" s="591"/>
      <c r="G32" s="591"/>
      <c r="H32" s="591">
        <f t="shared" si="35"/>
        <v>0</v>
      </c>
      <c r="I32" s="591"/>
      <c r="J32" s="591"/>
      <c r="K32" s="591">
        <f t="shared" si="36"/>
        <v>0</v>
      </c>
      <c r="L32" s="591"/>
      <c r="M32" s="591"/>
      <c r="N32" s="591">
        <f t="shared" si="37"/>
        <v>0</v>
      </c>
      <c r="O32" s="591"/>
      <c r="P32" s="591"/>
      <c r="Q32" s="591">
        <f t="shared" si="38"/>
        <v>0</v>
      </c>
      <c r="R32" s="591"/>
      <c r="S32" s="591"/>
      <c r="T32" s="591"/>
      <c r="U32" s="591"/>
      <c r="V32" s="591"/>
      <c r="W32" s="591">
        <f t="shared" si="39"/>
        <v>0</v>
      </c>
      <c r="X32" s="591"/>
      <c r="Y32" s="591"/>
      <c r="Z32" s="591"/>
      <c r="AA32" s="591"/>
      <c r="AB32" s="591"/>
      <c r="AC32" s="591">
        <f t="shared" si="40"/>
        <v>0</v>
      </c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91"/>
      <c r="AS32" s="711"/>
      <c r="AT32" s="591"/>
      <c r="AU32" s="591"/>
      <c r="AV32" s="711"/>
      <c r="AW32" s="591"/>
      <c r="AX32" s="591"/>
      <c r="AY32" s="591"/>
      <c r="AZ32" s="591"/>
      <c r="BA32" s="591">
        <v>100000</v>
      </c>
      <c r="BB32" s="591"/>
      <c r="BC32" s="591"/>
      <c r="BD32" s="593"/>
      <c r="BE32" s="593"/>
      <c r="BF32" s="593"/>
      <c r="BG32" s="593"/>
      <c r="BH32" s="593"/>
      <c r="BI32" s="11"/>
      <c r="BJ32" s="11"/>
      <c r="BK32" s="11"/>
      <c r="BL32" s="11"/>
      <c r="BM32" s="11"/>
      <c r="BN32" s="11"/>
      <c r="BO32" s="11"/>
      <c r="BP32" s="594">
        <v>590000</v>
      </c>
      <c r="BQ32" s="594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592"/>
      <c r="DF32" s="592"/>
      <c r="DG32" s="592"/>
      <c r="DH32" s="592"/>
      <c r="DI32" s="592"/>
      <c r="DJ32" s="592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592">
        <v>25000000</v>
      </c>
      <c r="EJ32" s="592">
        <v>25000000</v>
      </c>
      <c r="EK32" s="592">
        <v>27136990</v>
      </c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696">
        <f>+F32+I32+L32+U32+X32+AA32+BN32+BT32+BW32+CC32+CF32+CL32+CO32+CU32+CX32+DA32+DD32+DG32+DJ32+DM32+DP32+DS32+DV32+EE32+EH32+EK32+FC32+FF32+FI32</f>
        <v>27136990</v>
      </c>
      <c r="FN32" s="696">
        <f t="shared" si="1"/>
        <v>0</v>
      </c>
      <c r="FO32" s="696">
        <f t="shared" si="2"/>
        <v>0</v>
      </c>
      <c r="FP32" s="696">
        <f t="shared" si="3"/>
        <v>27136990</v>
      </c>
      <c r="FS32" s="696">
        <f>+F32+I32+L32+O32+R32+U32+X32+AA32+AD32+AG32+AJ32+AM32+AP32+AS32+AV32+AY32+BB32+BE32+BH32+BK32+BN32+BQ32+BT32+BW32+BZ32+CC32+CF32+CI32+CL32+CO32+CR32+CU32+CX32+DA32+DD32+DG32+DJ32+DM32+DP32+DS32+DV32+DY32+EB32+EE32+EH32+EK32+EN32+EQ32+ET32+EW32+EZ32+FC32+FF32+FI32+FL32</f>
        <v>27136990</v>
      </c>
    </row>
    <row r="33" spans="1:172" ht="24" customHeight="1" x14ac:dyDescent="0.25">
      <c r="A33" s="9" t="s">
        <v>80</v>
      </c>
      <c r="B33" s="13" t="s">
        <v>81</v>
      </c>
      <c r="C33" s="20" t="s">
        <v>82</v>
      </c>
      <c r="D33" s="591"/>
      <c r="E33" s="591">
        <f t="shared" si="34"/>
        <v>0</v>
      </c>
      <c r="F33" s="591"/>
      <c r="G33" s="591"/>
      <c r="H33" s="591">
        <f t="shared" si="35"/>
        <v>0</v>
      </c>
      <c r="I33" s="591"/>
      <c r="J33" s="591"/>
      <c r="K33" s="591">
        <f t="shared" si="36"/>
        <v>0</v>
      </c>
      <c r="L33" s="591"/>
      <c r="M33" s="591"/>
      <c r="N33" s="591">
        <f t="shared" si="37"/>
        <v>0</v>
      </c>
      <c r="O33" s="591"/>
      <c r="P33" s="591"/>
      <c r="Q33" s="591">
        <f t="shared" si="38"/>
        <v>0</v>
      </c>
      <c r="R33" s="591"/>
      <c r="S33" s="591"/>
      <c r="T33" s="591"/>
      <c r="U33" s="591"/>
      <c r="V33" s="591"/>
      <c r="W33" s="591">
        <f t="shared" si="39"/>
        <v>0</v>
      </c>
      <c r="X33" s="591"/>
      <c r="Y33" s="591"/>
      <c r="Z33" s="591"/>
      <c r="AA33" s="591"/>
      <c r="AB33" s="591"/>
      <c r="AC33" s="591">
        <f t="shared" si="40"/>
        <v>0</v>
      </c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91"/>
      <c r="AS33" s="711"/>
      <c r="AT33" s="591"/>
      <c r="AU33" s="591"/>
      <c r="AV33" s="711"/>
      <c r="AW33" s="591"/>
      <c r="AX33" s="591"/>
      <c r="AY33" s="591"/>
      <c r="AZ33" s="591"/>
      <c r="BA33" s="591"/>
      <c r="BB33" s="591"/>
      <c r="BC33" s="591"/>
      <c r="BD33" s="593"/>
      <c r="BE33" s="593"/>
      <c r="BF33" s="593"/>
      <c r="BG33" s="593"/>
      <c r="BH33" s="593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592"/>
      <c r="DF33" s="592"/>
      <c r="DG33" s="592"/>
      <c r="DH33" s="592"/>
      <c r="DI33" s="592">
        <v>3000000</v>
      </c>
      <c r="DJ33" s="592">
        <v>3000000</v>
      </c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696">
        <f t="shared" si="0"/>
        <v>3000000</v>
      </c>
      <c r="FN33" s="696">
        <f t="shared" si="1"/>
        <v>0</v>
      </c>
      <c r="FO33" s="696">
        <f t="shared" si="2"/>
        <v>0</v>
      </c>
      <c r="FP33" s="696">
        <f t="shared" si="3"/>
        <v>3000000</v>
      </c>
    </row>
    <row r="34" spans="1:172" ht="24" customHeight="1" x14ac:dyDescent="0.25">
      <c r="A34" s="9" t="s">
        <v>83</v>
      </c>
      <c r="B34" s="13" t="s">
        <v>84</v>
      </c>
      <c r="C34" s="20" t="s">
        <v>85</v>
      </c>
      <c r="D34" s="591"/>
      <c r="E34" s="591">
        <f t="shared" si="34"/>
        <v>0</v>
      </c>
      <c r="F34" s="591"/>
      <c r="G34" s="591"/>
      <c r="H34" s="591">
        <f t="shared" si="35"/>
        <v>0</v>
      </c>
      <c r="I34" s="591"/>
      <c r="J34" s="591"/>
      <c r="K34" s="591">
        <f t="shared" si="36"/>
        <v>0</v>
      </c>
      <c r="L34" s="591"/>
      <c r="M34" s="591"/>
      <c r="N34" s="591">
        <f t="shared" si="37"/>
        <v>0</v>
      </c>
      <c r="O34" s="591"/>
      <c r="P34" s="591"/>
      <c r="Q34" s="591">
        <f t="shared" si="38"/>
        <v>0</v>
      </c>
      <c r="R34" s="591"/>
      <c r="S34" s="591"/>
      <c r="T34" s="591"/>
      <c r="U34" s="591"/>
      <c r="V34" s="591"/>
      <c r="W34" s="591">
        <f t="shared" si="39"/>
        <v>0</v>
      </c>
      <c r="X34" s="591"/>
      <c r="Y34" s="591"/>
      <c r="Z34" s="591"/>
      <c r="AA34" s="591"/>
      <c r="AB34" s="591"/>
      <c r="AC34" s="591">
        <f t="shared" si="40"/>
        <v>0</v>
      </c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91"/>
      <c r="AS34" s="711"/>
      <c r="AT34" s="591"/>
      <c r="AU34" s="591"/>
      <c r="AV34" s="711"/>
      <c r="AW34" s="591"/>
      <c r="AX34" s="591"/>
      <c r="AY34" s="591"/>
      <c r="AZ34" s="591"/>
      <c r="BA34" s="591"/>
      <c r="BB34" s="591"/>
      <c r="BC34" s="591"/>
      <c r="BD34" s="593"/>
      <c r="BE34" s="593"/>
      <c r="BF34" s="593"/>
      <c r="BG34" s="593"/>
      <c r="BH34" s="593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592"/>
      <c r="DF34" s="592"/>
      <c r="DG34" s="592"/>
      <c r="DH34" s="592">
        <v>45000000</v>
      </c>
      <c r="DI34" s="592">
        <v>45000000</v>
      </c>
      <c r="DJ34" s="592">
        <v>16905000</v>
      </c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696">
        <f t="shared" si="0"/>
        <v>16905000</v>
      </c>
      <c r="FN34" s="696">
        <f t="shared" si="1"/>
        <v>0</v>
      </c>
      <c r="FO34" s="696">
        <f t="shared" si="2"/>
        <v>0</v>
      </c>
      <c r="FP34" s="696">
        <f t="shared" si="3"/>
        <v>16905000</v>
      </c>
    </row>
    <row r="35" spans="1:172" ht="24" customHeight="1" x14ac:dyDescent="0.25">
      <c r="A35" s="9" t="s">
        <v>86</v>
      </c>
      <c r="B35" s="13" t="s">
        <v>87</v>
      </c>
      <c r="C35" s="20" t="s">
        <v>88</v>
      </c>
      <c r="D35" s="591"/>
      <c r="E35" s="591">
        <f t="shared" si="34"/>
        <v>0</v>
      </c>
      <c r="F35" s="591"/>
      <c r="G35" s="591"/>
      <c r="H35" s="591">
        <f t="shared" si="35"/>
        <v>0</v>
      </c>
      <c r="I35" s="591"/>
      <c r="J35" s="591"/>
      <c r="K35" s="591">
        <f t="shared" si="36"/>
        <v>0</v>
      </c>
      <c r="L35" s="591"/>
      <c r="M35" s="591"/>
      <c r="N35" s="591">
        <f t="shared" si="37"/>
        <v>0</v>
      </c>
      <c r="O35" s="591"/>
      <c r="P35" s="591"/>
      <c r="Q35" s="591">
        <f t="shared" si="38"/>
        <v>0</v>
      </c>
      <c r="R35" s="591"/>
      <c r="S35" s="591"/>
      <c r="T35" s="591"/>
      <c r="U35" s="591"/>
      <c r="V35" s="591"/>
      <c r="W35" s="591">
        <f t="shared" si="39"/>
        <v>0</v>
      </c>
      <c r="X35" s="591"/>
      <c r="Y35" s="591"/>
      <c r="Z35" s="591"/>
      <c r="AA35" s="591"/>
      <c r="AB35" s="591"/>
      <c r="AC35" s="591">
        <f t="shared" si="40"/>
        <v>0</v>
      </c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91"/>
      <c r="AS35" s="711"/>
      <c r="AT35" s="591"/>
      <c r="AU35" s="591"/>
      <c r="AV35" s="711"/>
      <c r="AW35" s="591"/>
      <c r="AX35" s="591"/>
      <c r="AY35" s="591"/>
      <c r="AZ35" s="591"/>
      <c r="BA35" s="591"/>
      <c r="BB35" s="591"/>
      <c r="BC35" s="591"/>
      <c r="BD35" s="593"/>
      <c r="BE35" s="593"/>
      <c r="BF35" s="593"/>
      <c r="BG35" s="593"/>
      <c r="BH35" s="593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592"/>
      <c r="DF35" s="592"/>
      <c r="DG35" s="592"/>
      <c r="DH35" s="592"/>
      <c r="DI35" s="592"/>
      <c r="DJ35" s="592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696">
        <f t="shared" si="0"/>
        <v>0</v>
      </c>
      <c r="FN35" s="696">
        <f t="shared" si="1"/>
        <v>0</v>
      </c>
      <c r="FO35" s="696">
        <f t="shared" si="2"/>
        <v>0</v>
      </c>
      <c r="FP35" s="696">
        <f t="shared" si="3"/>
        <v>0</v>
      </c>
    </row>
    <row r="36" spans="1:172" ht="24" customHeight="1" x14ac:dyDescent="0.25">
      <c r="A36" s="9" t="s">
        <v>89</v>
      </c>
      <c r="B36" s="16" t="s">
        <v>90</v>
      </c>
      <c r="C36" s="20" t="s">
        <v>91</v>
      </c>
      <c r="D36" s="26">
        <f>SUM(D29:D35)</f>
        <v>0</v>
      </c>
      <c r="E36" s="26">
        <f>SUM(E29:E35)</f>
        <v>0</v>
      </c>
      <c r="F36" s="26"/>
      <c r="G36" s="26">
        <f>SUM(G29:G35)</f>
        <v>0</v>
      </c>
      <c r="H36" s="26">
        <f>SUM(H29:H35)</f>
        <v>0</v>
      </c>
      <c r="I36" s="26"/>
      <c r="J36" s="26">
        <f>SUM(J29:J35)</f>
        <v>0</v>
      </c>
      <c r="K36" s="26">
        <f>SUM(K29:K35)</f>
        <v>0</v>
      </c>
      <c r="L36" s="26"/>
      <c r="M36" s="26">
        <f>SUM(M29:M35)</f>
        <v>0</v>
      </c>
      <c r="N36" s="26">
        <f>SUM(N29:N35)</f>
        <v>0</v>
      </c>
      <c r="O36" s="26"/>
      <c r="P36" s="26">
        <f>SUM(P29:P35)</f>
        <v>0</v>
      </c>
      <c r="Q36" s="26">
        <f>SUM(Q29:Q35)</f>
        <v>0</v>
      </c>
      <c r="R36" s="26"/>
      <c r="S36" s="26">
        <f>SUM(S29:S35)</f>
        <v>0</v>
      </c>
      <c r="T36" s="26">
        <f>SUM(T29:T35)</f>
        <v>0</v>
      </c>
      <c r="U36" s="26"/>
      <c r="V36" s="26">
        <f>SUM(V29:V35)</f>
        <v>0</v>
      </c>
      <c r="W36" s="26">
        <f>SUM(W29:W35)</f>
        <v>0</v>
      </c>
      <c r="X36" s="26"/>
      <c r="Y36" s="26">
        <f>SUM(Y29:Y35)</f>
        <v>0</v>
      </c>
      <c r="Z36" s="26">
        <f>SUM(Z29:Z35)</f>
        <v>0</v>
      </c>
      <c r="AA36" s="26"/>
      <c r="AB36" s="26">
        <f>SUM(AB29:AB35)</f>
        <v>0</v>
      </c>
      <c r="AC36" s="26">
        <f>SUM(AC29:AC35)</f>
        <v>0</v>
      </c>
      <c r="AD36" s="26"/>
      <c r="AE36" s="26">
        <f>SUM(AE29:AE35)</f>
        <v>0</v>
      </c>
      <c r="AF36" s="26">
        <f>SUM(AF29:AF35)</f>
        <v>0</v>
      </c>
      <c r="AG36" s="26"/>
      <c r="AH36" s="26">
        <f>SUM(AH29:AH35)</f>
        <v>0</v>
      </c>
      <c r="AI36" s="26">
        <f>SUM(AI29:AI35)</f>
        <v>0</v>
      </c>
      <c r="AJ36" s="26"/>
      <c r="AK36" s="26">
        <f>SUM(AK29:AK35)</f>
        <v>0</v>
      </c>
      <c r="AL36" s="26">
        <f>SUM(AL29:AL35)</f>
        <v>0</v>
      </c>
      <c r="AM36" s="26"/>
      <c r="AN36" s="26">
        <f>SUM(AN29:AN35)</f>
        <v>0</v>
      </c>
      <c r="AO36" s="26">
        <f>SUM(AO29:AO35)</f>
        <v>0</v>
      </c>
      <c r="AP36" s="26"/>
      <c r="AQ36" s="26">
        <f>SUM(AQ29:AQ35)</f>
        <v>0</v>
      </c>
      <c r="AR36" s="26">
        <f>SUM(AR29:AR35)</f>
        <v>0</v>
      </c>
      <c r="AS36" s="710"/>
      <c r="AT36" s="26">
        <f>SUM(AT29:AT35)</f>
        <v>0</v>
      </c>
      <c r="AU36" s="26">
        <f>SUM(AU29:AU35)</f>
        <v>0</v>
      </c>
      <c r="AV36" s="710"/>
      <c r="AW36" s="26">
        <f>SUM(AW29:AW35)</f>
        <v>0</v>
      </c>
      <c r="AX36" s="26">
        <f>SUM(AX29:AX35)</f>
        <v>0</v>
      </c>
      <c r="AY36" s="26"/>
      <c r="AZ36" s="26">
        <f>SUM(AZ29:AZ35)</f>
        <v>0</v>
      </c>
      <c r="BA36" s="26">
        <f>SUM(BA29:BA35)</f>
        <v>100000</v>
      </c>
      <c r="BB36" s="26"/>
      <c r="BC36" s="26">
        <f>SUM(BC29:BC35)</f>
        <v>0</v>
      </c>
      <c r="BD36" s="26">
        <f>SUM(BD29:BD35)</f>
        <v>0</v>
      </c>
      <c r="BE36" s="26"/>
      <c r="BF36" s="26">
        <f>SUM(BF29:BF35)</f>
        <v>0</v>
      </c>
      <c r="BG36" s="26">
        <f>SUM(BG29:BG35)</f>
        <v>0</v>
      </c>
      <c r="BH36" s="26"/>
      <c r="BI36" s="26">
        <f>SUM(BI29:BI35)</f>
        <v>0</v>
      </c>
      <c r="BJ36" s="26">
        <f>SUM(BJ29:BJ35)</f>
        <v>0</v>
      </c>
      <c r="BK36" s="26"/>
      <c r="BL36" s="26">
        <f>SUM(BL29:BL35)</f>
        <v>0</v>
      </c>
      <c r="BM36" s="26">
        <f>SUM(BM29:BM35)</f>
        <v>0</v>
      </c>
      <c r="BN36" s="26"/>
      <c r="BO36" s="26">
        <f>SUM(BO29:BO35)</f>
        <v>0</v>
      </c>
      <c r="BP36" s="26">
        <f>SUM(BP29:BP35)</f>
        <v>590000</v>
      </c>
      <c r="BQ36" s="26">
        <f>SUM(BQ29:BQ35)</f>
        <v>590000</v>
      </c>
      <c r="BR36" s="26">
        <f>SUM(BR29:BR35)</f>
        <v>0</v>
      </c>
      <c r="BS36" s="26">
        <f>SUM(BS29:BS35)</f>
        <v>0</v>
      </c>
      <c r="BT36" s="26"/>
      <c r="BU36" s="26">
        <f>SUM(BU29:BU35)</f>
        <v>0</v>
      </c>
      <c r="BV36" s="26">
        <f>SUM(BV29:BV35)</f>
        <v>0</v>
      </c>
      <c r="BW36" s="26"/>
      <c r="BX36" s="26">
        <f>SUM(BX29:BX35)</f>
        <v>0</v>
      </c>
      <c r="BY36" s="26">
        <f>SUM(BY29:BY35)</f>
        <v>0</v>
      </c>
      <c r="BZ36" s="26"/>
      <c r="CA36" s="26">
        <f>SUM(CA29:CA35)</f>
        <v>0</v>
      </c>
      <c r="CB36" s="26">
        <f>SUM(CB29:CB35)</f>
        <v>0</v>
      </c>
      <c r="CC36" s="26"/>
      <c r="CD36" s="26">
        <f>SUM(CD29:CD35)</f>
        <v>0</v>
      </c>
      <c r="CE36" s="26">
        <f>SUM(CE29:CE35)</f>
        <v>0</v>
      </c>
      <c r="CF36" s="26"/>
      <c r="CG36" s="26">
        <f>SUM(CG29:CG35)</f>
        <v>0</v>
      </c>
      <c r="CH36" s="26">
        <f>SUM(CH29:CH35)</f>
        <v>0</v>
      </c>
      <c r="CI36" s="26"/>
      <c r="CJ36" s="26">
        <f>SUM(CJ29:CJ35)</f>
        <v>0</v>
      </c>
      <c r="CK36" s="26">
        <f>SUM(CK29:CK35)</f>
        <v>0</v>
      </c>
      <c r="CL36" s="26"/>
      <c r="CM36" s="26">
        <f>SUM(CM29:CM35)</f>
        <v>0</v>
      </c>
      <c r="CN36" s="26">
        <f>SUM(CN29:CN35)</f>
        <v>0</v>
      </c>
      <c r="CO36" s="26"/>
      <c r="CP36" s="26">
        <f>SUM(CP29:CP35)</f>
        <v>0</v>
      </c>
      <c r="CQ36" s="26">
        <f>SUM(CQ29:CQ35)</f>
        <v>0</v>
      </c>
      <c r="CR36" s="26"/>
      <c r="CS36" s="26">
        <f>SUM(CS29:CS35)</f>
        <v>0</v>
      </c>
      <c r="CT36" s="26">
        <f>SUM(CT29:CT35)</f>
        <v>0</v>
      </c>
      <c r="CU36" s="26"/>
      <c r="CV36" s="26">
        <f>SUM(CV29:CV35)</f>
        <v>0</v>
      </c>
      <c r="CW36" s="26">
        <f>SUM(CW29:CW35)</f>
        <v>0</v>
      </c>
      <c r="CX36" s="26"/>
      <c r="CY36" s="26">
        <f>SUM(CY29:CY35)</f>
        <v>0</v>
      </c>
      <c r="CZ36" s="26">
        <f>SUM(CZ29:CZ35)</f>
        <v>0</v>
      </c>
      <c r="DA36" s="26"/>
      <c r="DB36" s="26">
        <f>SUM(DB29:DB35)</f>
        <v>0</v>
      </c>
      <c r="DC36" s="26">
        <f>SUM(DC29:DC35)</f>
        <v>0</v>
      </c>
      <c r="DD36" s="26"/>
      <c r="DE36" s="26">
        <f t="shared" ref="DE36:DL36" si="41">SUM(DE29:DE35)</f>
        <v>0</v>
      </c>
      <c r="DF36" s="26">
        <f t="shared" si="41"/>
        <v>0</v>
      </c>
      <c r="DG36" s="26">
        <f t="shared" si="41"/>
        <v>0</v>
      </c>
      <c r="DH36" s="26">
        <f t="shared" si="41"/>
        <v>45000000</v>
      </c>
      <c r="DI36" s="26">
        <f t="shared" si="41"/>
        <v>48000000</v>
      </c>
      <c r="DJ36" s="26">
        <f t="shared" si="41"/>
        <v>19905000</v>
      </c>
      <c r="DK36" s="26">
        <f t="shared" si="41"/>
        <v>0</v>
      </c>
      <c r="DL36" s="26">
        <f t="shared" si="41"/>
        <v>0</v>
      </c>
      <c r="DM36" s="26"/>
      <c r="DN36" s="26">
        <f>SUM(DN29:DN35)</f>
        <v>0</v>
      </c>
      <c r="DO36" s="26">
        <f>SUM(DO29:DO35)</f>
        <v>0</v>
      </c>
      <c r="DP36" s="26"/>
      <c r="DQ36" s="26">
        <f>SUM(DQ29:DQ35)</f>
        <v>0</v>
      </c>
      <c r="DR36" s="26">
        <f>SUM(DR29:DR35)</f>
        <v>0</v>
      </c>
      <c r="DS36" s="26"/>
      <c r="DT36" s="26">
        <f>SUM(DT29:DT35)</f>
        <v>0</v>
      </c>
      <c r="DU36" s="26">
        <f>SUM(DU29:DU35)</f>
        <v>0</v>
      </c>
      <c r="DV36" s="26"/>
      <c r="DW36" s="26">
        <f>SUM(DW29:DW35)</f>
        <v>0</v>
      </c>
      <c r="DX36" s="26">
        <f>SUM(DX29:DX35)</f>
        <v>0</v>
      </c>
      <c r="DY36" s="26"/>
      <c r="DZ36" s="26">
        <f>SUM(DZ29:DZ35)</f>
        <v>0</v>
      </c>
      <c r="EA36" s="26">
        <f>SUM(EA29:EA35)</f>
        <v>0</v>
      </c>
      <c r="EB36" s="26"/>
      <c r="EC36" s="26">
        <f>SUM(EC29:EC35)</f>
        <v>0</v>
      </c>
      <c r="ED36" s="26">
        <f>SUM(ED29:ED35)</f>
        <v>0</v>
      </c>
      <c r="EE36" s="26"/>
      <c r="EF36" s="26">
        <f>SUM(EF29:EF35)</f>
        <v>0</v>
      </c>
      <c r="EG36" s="26">
        <f>SUM(EG29:EG35)</f>
        <v>0</v>
      </c>
      <c r="EH36" s="26"/>
      <c r="EI36" s="26">
        <f>SUM(EI29:EI35)</f>
        <v>25000000</v>
      </c>
      <c r="EJ36" s="26">
        <f>SUM(EJ29:EJ35)</f>
        <v>25000000</v>
      </c>
      <c r="EK36" s="26">
        <f>SUM(EK29:EK35)</f>
        <v>27136990</v>
      </c>
      <c r="EL36" s="26">
        <f>SUM(EL29:EL35)</f>
        <v>0</v>
      </c>
      <c r="EM36" s="26">
        <f>SUM(EM29:EM35)</f>
        <v>0</v>
      </c>
      <c r="EN36" s="26"/>
      <c r="EO36" s="26">
        <f>SUM(EO29:EO35)</f>
        <v>0</v>
      </c>
      <c r="EP36" s="26">
        <f>SUM(EP29:EP35)</f>
        <v>0</v>
      </c>
      <c r="EQ36" s="26"/>
      <c r="ER36" s="26">
        <f>SUM(ER29:ER35)</f>
        <v>0</v>
      </c>
      <c r="ES36" s="26">
        <f>SUM(ES29:ES35)</f>
        <v>0</v>
      </c>
      <c r="ET36" s="26"/>
      <c r="EU36" s="26">
        <f>SUM(EU29:EU35)</f>
        <v>0</v>
      </c>
      <c r="EV36" s="26">
        <f>SUM(EV29:EV35)</f>
        <v>0</v>
      </c>
      <c r="EW36" s="26"/>
      <c r="EX36" s="26">
        <f>SUM(EX29:EX35)</f>
        <v>0</v>
      </c>
      <c r="EY36" s="26">
        <f>SUM(EY29:EY35)</f>
        <v>0</v>
      </c>
      <c r="EZ36" s="26"/>
      <c r="FA36" s="26">
        <f>SUM(FA29:FA35)</f>
        <v>0</v>
      </c>
      <c r="FB36" s="26">
        <f>SUM(FB29:FB35)</f>
        <v>0</v>
      </c>
      <c r="FC36" s="26"/>
      <c r="FD36" s="26">
        <f>SUM(FD29:FD35)</f>
        <v>0</v>
      </c>
      <c r="FE36" s="26">
        <f>SUM(FE29:FE35)</f>
        <v>0</v>
      </c>
      <c r="FF36" s="26"/>
      <c r="FG36" s="26">
        <f>SUM(FG29:FG35)</f>
        <v>0</v>
      </c>
      <c r="FH36" s="26">
        <f>SUM(FH29:FH35)</f>
        <v>0</v>
      </c>
      <c r="FI36" s="26"/>
      <c r="FJ36" s="26">
        <f>SUM(FJ29:FJ35)</f>
        <v>0</v>
      </c>
      <c r="FK36" s="26">
        <f>SUM(FK29:FK35)</f>
        <v>0</v>
      </c>
      <c r="FL36" s="26"/>
      <c r="FM36" s="696">
        <f t="shared" si="0"/>
        <v>47041990</v>
      </c>
      <c r="FN36" s="696">
        <f t="shared" si="1"/>
        <v>590000</v>
      </c>
      <c r="FO36" s="696">
        <f t="shared" si="2"/>
        <v>0</v>
      </c>
      <c r="FP36" s="696">
        <f t="shared" si="3"/>
        <v>47631990</v>
      </c>
    </row>
    <row r="37" spans="1:172" ht="24" customHeight="1" x14ac:dyDescent="0.2">
      <c r="A37" s="9" t="s">
        <v>92</v>
      </c>
      <c r="B37" s="20" t="s">
        <v>93</v>
      </c>
      <c r="C37" s="576" t="s">
        <v>94</v>
      </c>
      <c r="D37" s="577">
        <f>SUM(D39:D43)</f>
        <v>0</v>
      </c>
      <c r="E37" s="577">
        <f>SUM(E39:E43)</f>
        <v>0</v>
      </c>
      <c r="F37" s="577"/>
      <c r="G37" s="577">
        <f>SUM(G39:G43)</f>
        <v>0</v>
      </c>
      <c r="H37" s="577">
        <f>SUM(H39:H43)</f>
        <v>0</v>
      </c>
      <c r="I37" s="577"/>
      <c r="J37" s="577">
        <f>SUM(J39:J43)</f>
        <v>0</v>
      </c>
      <c r="K37" s="577">
        <f>SUM(K39:K43)</f>
        <v>0</v>
      </c>
      <c r="L37" s="577"/>
      <c r="M37" s="577">
        <f>SUM(M39:M43)</f>
        <v>0</v>
      </c>
      <c r="N37" s="577">
        <f>SUM(N39:N43)</f>
        <v>0</v>
      </c>
      <c r="O37" s="577"/>
      <c r="P37" s="577">
        <f>SUM(P39:P43)</f>
        <v>0</v>
      </c>
      <c r="Q37" s="577">
        <f>SUM(Q39:Q43)</f>
        <v>0</v>
      </c>
      <c r="R37" s="577"/>
      <c r="S37" s="577">
        <f>SUM(S39:S43)</f>
        <v>0</v>
      </c>
      <c r="T37" s="577">
        <f>SUM(T39:T43)</f>
        <v>0</v>
      </c>
      <c r="U37" s="577"/>
      <c r="V37" s="577">
        <f>SUM(V39:V43)</f>
        <v>0</v>
      </c>
      <c r="W37" s="577">
        <f>SUM(W39:W43)</f>
        <v>0</v>
      </c>
      <c r="X37" s="577"/>
      <c r="Y37" s="577">
        <f>SUM(Y39:Y43)</f>
        <v>0</v>
      </c>
      <c r="Z37" s="577">
        <f>SUM(Z39:Z43)</f>
        <v>0</v>
      </c>
      <c r="AA37" s="577"/>
      <c r="AB37" s="577">
        <f>SUM(AB39:AB43)</f>
        <v>0</v>
      </c>
      <c r="AC37" s="577">
        <f>SUM(AC39:AC43)</f>
        <v>0</v>
      </c>
      <c r="AD37" s="577"/>
      <c r="AE37" s="577">
        <f>SUM(AE39:AE43)</f>
        <v>0</v>
      </c>
      <c r="AF37" s="577">
        <f>SUM(AF39:AF43)</f>
        <v>0</v>
      </c>
      <c r="AG37" s="577"/>
      <c r="AH37" s="577">
        <f>SUM(AH39:AH43)</f>
        <v>0</v>
      </c>
      <c r="AI37" s="577">
        <f>SUM(AI39:AI43)</f>
        <v>0</v>
      </c>
      <c r="AJ37" s="577"/>
      <c r="AK37" s="577">
        <f>SUM(AK39:AK43)</f>
        <v>0</v>
      </c>
      <c r="AL37" s="577">
        <f>SUM(AL39:AL43)</f>
        <v>0</v>
      </c>
      <c r="AM37" s="577"/>
      <c r="AN37" s="577">
        <f>SUM(AN39:AN43)</f>
        <v>0</v>
      </c>
      <c r="AO37" s="577">
        <f>SUM(AO39:AO43)</f>
        <v>0</v>
      </c>
      <c r="AP37" s="577"/>
      <c r="AQ37" s="577">
        <f>SUM(AQ39:AQ43)</f>
        <v>0</v>
      </c>
      <c r="AR37" s="577">
        <f>SUM(AR39:AR43)</f>
        <v>0</v>
      </c>
      <c r="AS37" s="578"/>
      <c r="AT37" s="577">
        <f>SUM(AT39:AT43)</f>
        <v>0</v>
      </c>
      <c r="AU37" s="577">
        <f>SUM(AU39:AU43)</f>
        <v>0</v>
      </c>
      <c r="AV37" s="578"/>
      <c r="AW37" s="577">
        <f>SUM(AW39:AW43)</f>
        <v>0</v>
      </c>
      <c r="AX37" s="577">
        <f>SUM(AX39:AX43)</f>
        <v>0</v>
      </c>
      <c r="AY37" s="577"/>
      <c r="AZ37" s="577">
        <f>SUM(AZ39:AZ43)</f>
        <v>0</v>
      </c>
      <c r="BA37" s="577">
        <f>SUM(BA39:BA43)</f>
        <v>0</v>
      </c>
      <c r="BB37" s="577"/>
      <c r="BC37" s="577">
        <f>SUM(BC39:BC43)</f>
        <v>0</v>
      </c>
      <c r="BD37" s="577">
        <f>SUM(BD39:BD43)</f>
        <v>0</v>
      </c>
      <c r="BE37" s="577"/>
      <c r="BF37" s="577">
        <f>SUM(BF39:BF43)</f>
        <v>0</v>
      </c>
      <c r="BG37" s="577">
        <f>SUM(BG39:BG43)</f>
        <v>0</v>
      </c>
      <c r="BH37" s="577"/>
      <c r="BI37" s="577">
        <f>SUM(BI39:BI43)</f>
        <v>0</v>
      </c>
      <c r="BJ37" s="577">
        <f>SUM(BJ39:BJ43)</f>
        <v>0</v>
      </c>
      <c r="BK37" s="577"/>
      <c r="BL37" s="577">
        <f>SUM(BL39:BL43)</f>
        <v>0</v>
      </c>
      <c r="BM37" s="577">
        <f>SUM(BM39:BM43)</f>
        <v>0</v>
      </c>
      <c r="BN37" s="577"/>
      <c r="BO37" s="577">
        <f>SUM(BO39:BO43)</f>
        <v>0</v>
      </c>
      <c r="BP37" s="577">
        <f>SUM(BP39:BP43)</f>
        <v>0</v>
      </c>
      <c r="BQ37" s="577"/>
      <c r="BR37" s="577">
        <f>SUM(BR39:BR43)</f>
        <v>0</v>
      </c>
      <c r="BS37" s="577">
        <f>SUM(BS39:BS43)</f>
        <v>0</v>
      </c>
      <c r="BT37" s="577"/>
      <c r="BU37" s="577">
        <f>SUM(BU39:BU43)</f>
        <v>0</v>
      </c>
      <c r="BV37" s="577">
        <f>SUM(BV39:BV43)</f>
        <v>0</v>
      </c>
      <c r="BW37" s="577"/>
      <c r="BX37" s="577">
        <f>SUM(BX39:BX43)</f>
        <v>0</v>
      </c>
      <c r="BY37" s="577">
        <f>SUM(BY39:BY43)</f>
        <v>0</v>
      </c>
      <c r="BZ37" s="577"/>
      <c r="CA37" s="577">
        <f>SUM(CA39:CA43)</f>
        <v>0</v>
      </c>
      <c r="CB37" s="577">
        <f>SUM(CB39:CB43)</f>
        <v>0</v>
      </c>
      <c r="CC37" s="577"/>
      <c r="CD37" s="577">
        <f>SUM(CD39:CD43)</f>
        <v>0</v>
      </c>
      <c r="CE37" s="577">
        <f>SUM(CE39:CE43)</f>
        <v>0</v>
      </c>
      <c r="CF37" s="577"/>
      <c r="CG37" s="577">
        <f>SUM(CG39:CG43)</f>
        <v>0</v>
      </c>
      <c r="CH37" s="577">
        <f>SUM(CH39:CH43)</f>
        <v>0</v>
      </c>
      <c r="CI37" s="577"/>
      <c r="CJ37" s="577">
        <f>SUM(CJ39:CJ43)</f>
        <v>0</v>
      </c>
      <c r="CK37" s="577">
        <f>SUM(CK39:CK43)</f>
        <v>0</v>
      </c>
      <c r="CL37" s="577"/>
      <c r="CM37" s="577">
        <f>SUM(CM39:CM43)</f>
        <v>0</v>
      </c>
      <c r="CN37" s="577">
        <f>SUM(CN39:CN43)</f>
        <v>0</v>
      </c>
      <c r="CO37" s="577"/>
      <c r="CP37" s="577">
        <f>SUM(CP39:CP43)</f>
        <v>0</v>
      </c>
      <c r="CQ37" s="577">
        <f>SUM(CQ39:CQ43)</f>
        <v>0</v>
      </c>
      <c r="CR37" s="577"/>
      <c r="CS37" s="577">
        <f>SUM(CS39:CS43)</f>
        <v>0</v>
      </c>
      <c r="CT37" s="577">
        <f>SUM(CT39:CT43)</f>
        <v>0</v>
      </c>
      <c r="CU37" s="577"/>
      <c r="CV37" s="577">
        <f>SUM(CV39:CV43)</f>
        <v>0</v>
      </c>
      <c r="CW37" s="577">
        <f>SUM(CW39:CW43)</f>
        <v>0</v>
      </c>
      <c r="CX37" s="577"/>
      <c r="CY37" s="577">
        <f>SUM(CY39:CY43)</f>
        <v>0</v>
      </c>
      <c r="CZ37" s="577">
        <f>SUM(CZ39:CZ43)</f>
        <v>0</v>
      </c>
      <c r="DA37" s="577"/>
      <c r="DB37" s="577">
        <f>SUM(DB39:DB43)</f>
        <v>0</v>
      </c>
      <c r="DC37" s="577">
        <f>SUM(DC39:DC43)</f>
        <v>0</v>
      </c>
      <c r="DD37" s="577"/>
      <c r="DE37" s="577">
        <f t="shared" ref="DE37:DL37" si="42">SUM(DE39:DE43)</f>
        <v>0</v>
      </c>
      <c r="DF37" s="577">
        <f t="shared" si="42"/>
        <v>0</v>
      </c>
      <c r="DG37" s="577">
        <f t="shared" si="42"/>
        <v>0</v>
      </c>
      <c r="DH37" s="577">
        <f t="shared" si="42"/>
        <v>0</v>
      </c>
      <c r="DI37" s="577">
        <f t="shared" si="42"/>
        <v>0</v>
      </c>
      <c r="DJ37" s="577">
        <f t="shared" si="42"/>
        <v>0</v>
      </c>
      <c r="DK37" s="577">
        <f t="shared" si="42"/>
        <v>0</v>
      </c>
      <c r="DL37" s="577">
        <f t="shared" si="42"/>
        <v>0</v>
      </c>
      <c r="DM37" s="577"/>
      <c r="DN37" s="577">
        <f>SUM(DN39:DN43)</f>
        <v>0</v>
      </c>
      <c r="DO37" s="577">
        <f>SUM(DO39:DO43)</f>
        <v>0</v>
      </c>
      <c r="DP37" s="577"/>
      <c r="DQ37" s="577">
        <f>SUM(DQ39:DQ43)</f>
        <v>0</v>
      </c>
      <c r="DR37" s="577">
        <f>SUM(DR39:DR43)</f>
        <v>0</v>
      </c>
      <c r="DS37" s="577"/>
      <c r="DT37" s="577">
        <f>SUM(DT39:DT43)</f>
        <v>0</v>
      </c>
      <c r="DU37" s="577">
        <f>SUM(DU39:DU43)</f>
        <v>0</v>
      </c>
      <c r="DV37" s="577"/>
      <c r="DW37" s="577">
        <f>SUM(DW39:DW43)</f>
        <v>0</v>
      </c>
      <c r="DX37" s="577">
        <f>SUM(DX39:DX43)</f>
        <v>0</v>
      </c>
      <c r="DY37" s="577"/>
      <c r="DZ37" s="577">
        <f>SUM(DZ39:DZ43)</f>
        <v>0</v>
      </c>
      <c r="EA37" s="577">
        <f>SUM(EA39:EA43)</f>
        <v>0</v>
      </c>
      <c r="EB37" s="577"/>
      <c r="EC37" s="577">
        <f>SUM(EC39:EC43)</f>
        <v>0</v>
      </c>
      <c r="ED37" s="577">
        <f>SUM(ED39:ED43)</f>
        <v>0</v>
      </c>
      <c r="EE37" s="577"/>
      <c r="EF37" s="577">
        <f>SUM(EF39:EF43)</f>
        <v>0</v>
      </c>
      <c r="EG37" s="577">
        <f>SUM(EG39:EG43)</f>
        <v>0</v>
      </c>
      <c r="EH37" s="577"/>
      <c r="EI37" s="577">
        <f>SUM(EI39:EI43)</f>
        <v>0</v>
      </c>
      <c r="EJ37" s="577">
        <f>SUM(EJ39:EJ43)</f>
        <v>0</v>
      </c>
      <c r="EK37" s="577"/>
      <c r="EL37" s="577">
        <f>SUM(EL39:EL43)</f>
        <v>0</v>
      </c>
      <c r="EM37" s="577">
        <f>SUM(EM39:EM43)</f>
        <v>0</v>
      </c>
      <c r="EN37" s="577"/>
      <c r="EO37" s="577">
        <f>SUM(EO39:EO43)</f>
        <v>0</v>
      </c>
      <c r="EP37" s="577">
        <f>SUM(EP39:EP43)</f>
        <v>0</v>
      </c>
      <c r="EQ37" s="577"/>
      <c r="ER37" s="577">
        <f>SUM(ER39:ER43)</f>
        <v>0</v>
      </c>
      <c r="ES37" s="577">
        <f>SUM(ES39:ES43)</f>
        <v>0</v>
      </c>
      <c r="ET37" s="577"/>
      <c r="EU37" s="577">
        <f>SUM(EU39:EU43)</f>
        <v>0</v>
      </c>
      <c r="EV37" s="577">
        <f>SUM(EV39:EV43)</f>
        <v>0</v>
      </c>
      <c r="EW37" s="577"/>
      <c r="EX37" s="577">
        <f>SUM(EX39:EX43)</f>
        <v>0</v>
      </c>
      <c r="EY37" s="577">
        <f>SUM(EY39:EY43)</f>
        <v>0</v>
      </c>
      <c r="EZ37" s="577"/>
      <c r="FA37" s="577">
        <f>SUM(FA39:FA43)</f>
        <v>0</v>
      </c>
      <c r="FB37" s="577">
        <f>SUM(FB39:FB43)</f>
        <v>0</v>
      </c>
      <c r="FC37" s="577"/>
      <c r="FD37" s="577">
        <f>SUM(FD39:FD43)</f>
        <v>0</v>
      </c>
      <c r="FE37" s="577">
        <f>SUM(FE39:FE43)</f>
        <v>0</v>
      </c>
      <c r="FF37" s="577"/>
      <c r="FG37" s="577">
        <f>SUM(FG39:FG43)</f>
        <v>0</v>
      </c>
      <c r="FH37" s="577">
        <f>SUM(FH39:FH43)</f>
        <v>0</v>
      </c>
      <c r="FI37" s="577"/>
      <c r="FJ37" s="577">
        <f>SUM(FJ39:FJ43)</f>
        <v>0</v>
      </c>
      <c r="FK37" s="577">
        <f>SUM(FK39:FK43)</f>
        <v>0</v>
      </c>
      <c r="FL37" s="577"/>
      <c r="FM37" s="696">
        <f t="shared" si="0"/>
        <v>0</v>
      </c>
      <c r="FN37" s="696">
        <f t="shared" si="1"/>
        <v>0</v>
      </c>
      <c r="FO37" s="696">
        <f t="shared" si="2"/>
        <v>0</v>
      </c>
      <c r="FP37" s="696">
        <f t="shared" si="3"/>
        <v>0</v>
      </c>
    </row>
    <row r="38" spans="1:172" ht="24" customHeight="1" x14ac:dyDescent="0.2">
      <c r="A38" s="9" t="s">
        <v>95</v>
      </c>
      <c r="B38" s="24" t="s">
        <v>1290</v>
      </c>
      <c r="C38" s="576"/>
      <c r="D38" s="577"/>
      <c r="E38" s="577"/>
      <c r="F38" s="577"/>
      <c r="G38" s="577"/>
      <c r="H38" s="577"/>
      <c r="I38" s="577"/>
      <c r="J38" s="577"/>
      <c r="K38" s="577"/>
      <c r="L38" s="577"/>
      <c r="M38" s="577"/>
      <c r="N38" s="577"/>
      <c r="O38" s="577"/>
      <c r="P38" s="577"/>
      <c r="Q38" s="577"/>
      <c r="R38" s="577"/>
      <c r="S38" s="577"/>
      <c r="T38" s="577"/>
      <c r="U38" s="577"/>
      <c r="V38" s="577"/>
      <c r="W38" s="577"/>
      <c r="X38" s="577"/>
      <c r="Y38" s="577"/>
      <c r="Z38" s="577"/>
      <c r="AA38" s="577"/>
      <c r="AB38" s="577"/>
      <c r="AC38" s="577"/>
      <c r="AD38" s="577"/>
      <c r="AE38" s="577"/>
      <c r="AF38" s="577"/>
      <c r="AG38" s="577"/>
      <c r="AH38" s="577"/>
      <c r="AI38" s="577"/>
      <c r="AJ38" s="577"/>
      <c r="AK38" s="577"/>
      <c r="AL38" s="577"/>
      <c r="AM38" s="577"/>
      <c r="AN38" s="577"/>
      <c r="AO38" s="577"/>
      <c r="AP38" s="577"/>
      <c r="AQ38" s="577"/>
      <c r="AR38" s="577"/>
      <c r="AS38" s="578"/>
      <c r="AT38" s="577"/>
      <c r="AU38" s="577"/>
      <c r="AV38" s="578"/>
      <c r="AW38" s="577"/>
      <c r="AX38" s="577"/>
      <c r="AY38" s="577"/>
      <c r="AZ38" s="577"/>
      <c r="BA38" s="577"/>
      <c r="BB38" s="577"/>
      <c r="BC38" s="577"/>
      <c r="BD38" s="577"/>
      <c r="BE38" s="577"/>
      <c r="BF38" s="577"/>
      <c r="BG38" s="577"/>
      <c r="BH38" s="577"/>
      <c r="BI38" s="577"/>
      <c r="BJ38" s="624"/>
      <c r="BK38" s="624"/>
      <c r="BL38" s="624"/>
      <c r="BM38" s="624"/>
      <c r="BN38" s="624"/>
      <c r="BO38" s="624"/>
      <c r="BP38" s="624"/>
      <c r="BQ38" s="624"/>
      <c r="BR38" s="624"/>
      <c r="BS38" s="624"/>
      <c r="BT38" s="624"/>
      <c r="BU38" s="624"/>
      <c r="BV38" s="624"/>
      <c r="BW38" s="624"/>
      <c r="BX38" s="624"/>
      <c r="BY38" s="624"/>
      <c r="BZ38" s="624"/>
      <c r="CA38" s="624"/>
      <c r="CB38" s="624"/>
      <c r="CC38" s="624"/>
      <c r="CD38" s="624"/>
      <c r="CE38" s="624"/>
      <c r="CF38" s="624"/>
      <c r="CG38" s="624"/>
      <c r="CH38" s="624"/>
      <c r="CI38" s="624"/>
      <c r="CJ38" s="624"/>
      <c r="CK38" s="624"/>
      <c r="CL38" s="624"/>
      <c r="CM38" s="624"/>
      <c r="CN38" s="624"/>
      <c r="CO38" s="624"/>
      <c r="CP38" s="624"/>
      <c r="CQ38" s="624"/>
      <c r="CR38" s="624"/>
      <c r="CS38" s="624"/>
      <c r="CT38" s="624"/>
      <c r="CU38" s="624"/>
      <c r="CV38" s="624"/>
      <c r="CW38" s="624"/>
      <c r="CX38" s="624"/>
      <c r="CY38" s="624"/>
      <c r="CZ38" s="624"/>
      <c r="DA38" s="624"/>
      <c r="DB38" s="624"/>
      <c r="DC38" s="624"/>
      <c r="DD38" s="624"/>
      <c r="DE38" s="624"/>
      <c r="DF38" s="624"/>
      <c r="DG38" s="624"/>
      <c r="DH38" s="624"/>
      <c r="DI38" s="624"/>
      <c r="DJ38" s="624"/>
      <c r="DK38" s="624"/>
      <c r="DL38" s="624"/>
      <c r="DM38" s="624"/>
      <c r="DN38" s="624"/>
      <c r="DO38" s="624"/>
      <c r="DP38" s="624"/>
      <c r="DQ38" s="624"/>
      <c r="DR38" s="624"/>
      <c r="DS38" s="624"/>
      <c r="DT38" s="624"/>
      <c r="DU38" s="624"/>
      <c r="DV38" s="624"/>
      <c r="DW38" s="624"/>
      <c r="DX38" s="624"/>
      <c r="DY38" s="624"/>
      <c r="DZ38" s="624"/>
      <c r="EA38" s="624"/>
      <c r="EB38" s="624"/>
      <c r="EC38" s="624"/>
      <c r="ED38" s="624"/>
      <c r="EE38" s="624"/>
      <c r="EF38" s="624"/>
      <c r="EG38" s="624"/>
      <c r="EH38" s="624"/>
      <c r="EI38" s="624"/>
      <c r="EJ38" s="624"/>
      <c r="EK38" s="624"/>
      <c r="EL38" s="624"/>
      <c r="EM38" s="624"/>
      <c r="EN38" s="624"/>
      <c r="EO38" s="624"/>
      <c r="EP38" s="624"/>
      <c r="EQ38" s="624"/>
      <c r="ER38" s="624"/>
      <c r="ES38" s="624"/>
      <c r="ET38" s="624"/>
      <c r="EU38" s="624"/>
      <c r="EV38" s="624"/>
      <c r="EW38" s="624"/>
      <c r="EX38" s="624"/>
      <c r="EY38" s="624"/>
      <c r="EZ38" s="624"/>
      <c r="FA38" s="624"/>
      <c r="FB38" s="624"/>
      <c r="FC38" s="624"/>
      <c r="FD38" s="624"/>
      <c r="FE38" s="624"/>
      <c r="FF38" s="624"/>
      <c r="FG38" s="624"/>
      <c r="FH38" s="624"/>
      <c r="FI38" s="624"/>
      <c r="FJ38" s="577"/>
      <c r="FK38" s="577"/>
      <c r="FL38" s="577"/>
      <c r="FM38" s="696"/>
      <c r="FN38" s="696"/>
      <c r="FO38" s="696"/>
      <c r="FP38" s="696"/>
    </row>
    <row r="39" spans="1:172" ht="24" customHeight="1" x14ac:dyDescent="0.25">
      <c r="A39" s="9" t="s">
        <v>97</v>
      </c>
      <c r="B39" s="24" t="s">
        <v>96</v>
      </c>
      <c r="C39" s="582"/>
      <c r="D39" s="583"/>
      <c r="E39" s="583">
        <f>D39</f>
        <v>0</v>
      </c>
      <c r="F39" s="583"/>
      <c r="G39" s="583"/>
      <c r="H39" s="583">
        <f>G39</f>
        <v>0</v>
      </c>
      <c r="I39" s="583"/>
      <c r="J39" s="583"/>
      <c r="K39" s="583">
        <f>J39</f>
        <v>0</v>
      </c>
      <c r="L39" s="583"/>
      <c r="M39" s="583"/>
      <c r="N39" s="583">
        <f>M39</f>
        <v>0</v>
      </c>
      <c r="O39" s="583"/>
      <c r="P39" s="583"/>
      <c r="Q39" s="583">
        <f>P39</f>
        <v>0</v>
      </c>
      <c r="R39" s="583"/>
      <c r="S39" s="583"/>
      <c r="T39" s="583"/>
      <c r="U39" s="583"/>
      <c r="V39" s="583"/>
      <c r="W39" s="583">
        <f>V39</f>
        <v>0</v>
      </c>
      <c r="X39" s="583"/>
      <c r="Y39" s="583"/>
      <c r="Z39" s="583"/>
      <c r="AA39" s="583"/>
      <c r="AB39" s="583"/>
      <c r="AC39" s="583"/>
      <c r="AD39" s="583"/>
      <c r="AE39" s="583"/>
      <c r="AF39" s="583"/>
      <c r="AG39" s="583"/>
      <c r="AH39" s="583"/>
      <c r="AI39" s="583"/>
      <c r="AJ39" s="583"/>
      <c r="AK39" s="583"/>
      <c r="AL39" s="583"/>
      <c r="AM39" s="583"/>
      <c r="AN39" s="583"/>
      <c r="AO39" s="583"/>
      <c r="AP39" s="583"/>
      <c r="AQ39" s="583"/>
      <c r="AR39" s="583"/>
      <c r="AS39" s="584"/>
      <c r="AT39" s="583"/>
      <c r="AU39" s="583"/>
      <c r="AV39" s="584"/>
      <c r="AW39" s="583"/>
      <c r="AX39" s="583"/>
      <c r="AY39" s="583"/>
      <c r="AZ39" s="583"/>
      <c r="BA39" s="583"/>
      <c r="BB39" s="583"/>
      <c r="BC39" s="583"/>
      <c r="BD39" s="583"/>
      <c r="BE39" s="583"/>
      <c r="BF39" s="583"/>
      <c r="BG39" s="583"/>
      <c r="BH39" s="583"/>
      <c r="BI39" s="595"/>
      <c r="BJ39" s="596"/>
      <c r="BK39" s="596"/>
      <c r="BL39" s="596"/>
      <c r="BM39" s="596"/>
      <c r="BN39" s="596"/>
      <c r="BO39" s="596"/>
      <c r="BP39" s="596"/>
      <c r="BQ39" s="596"/>
      <c r="BR39" s="596"/>
      <c r="BS39" s="596"/>
      <c r="BT39" s="596"/>
      <c r="BU39" s="596"/>
      <c r="BV39" s="596"/>
      <c r="BW39" s="596"/>
      <c r="BX39" s="596"/>
      <c r="BY39" s="596"/>
      <c r="BZ39" s="596"/>
      <c r="CA39" s="596"/>
      <c r="CB39" s="596"/>
      <c r="CC39" s="596"/>
      <c r="CD39" s="596"/>
      <c r="CE39" s="596"/>
      <c r="CF39" s="596"/>
      <c r="CG39" s="596"/>
      <c r="CH39" s="596"/>
      <c r="CI39" s="596"/>
      <c r="CJ39" s="596"/>
      <c r="CK39" s="596"/>
      <c r="CL39" s="596"/>
      <c r="CM39" s="596"/>
      <c r="CN39" s="596"/>
      <c r="CO39" s="596"/>
      <c r="CP39" s="596"/>
      <c r="CQ39" s="596"/>
      <c r="CR39" s="596"/>
      <c r="CS39" s="596"/>
      <c r="CT39" s="596"/>
      <c r="CU39" s="596"/>
      <c r="CV39" s="596"/>
      <c r="CW39" s="596"/>
      <c r="CX39" s="596"/>
      <c r="CY39" s="596"/>
      <c r="CZ39" s="596"/>
      <c r="DA39" s="596"/>
      <c r="DB39" s="596"/>
      <c r="DC39" s="596"/>
      <c r="DD39" s="596"/>
      <c r="DE39" s="597"/>
      <c r="DF39" s="597"/>
      <c r="DG39" s="597"/>
      <c r="DH39" s="597"/>
      <c r="DI39" s="597"/>
      <c r="DJ39" s="597"/>
      <c r="DK39" s="596"/>
      <c r="DL39" s="596"/>
      <c r="DM39" s="596"/>
      <c r="DN39" s="596"/>
      <c r="DO39" s="596"/>
      <c r="DP39" s="596"/>
      <c r="DQ39" s="596"/>
      <c r="DR39" s="596"/>
      <c r="DS39" s="596"/>
      <c r="DT39" s="596"/>
      <c r="DU39" s="596"/>
      <c r="DV39" s="596"/>
      <c r="DW39" s="596"/>
      <c r="DX39" s="596"/>
      <c r="DY39" s="596"/>
      <c r="DZ39" s="596"/>
      <c r="EA39" s="596"/>
      <c r="EB39" s="596"/>
      <c r="EC39" s="596"/>
      <c r="ED39" s="596"/>
      <c r="EE39" s="596"/>
      <c r="EF39" s="596"/>
      <c r="EG39" s="596"/>
      <c r="EH39" s="596"/>
      <c r="EI39" s="596"/>
      <c r="EJ39" s="596"/>
      <c r="EK39" s="596"/>
      <c r="EL39" s="596"/>
      <c r="EM39" s="596"/>
      <c r="EN39" s="596"/>
      <c r="EO39" s="596"/>
      <c r="EP39" s="596"/>
      <c r="EQ39" s="596"/>
      <c r="ER39" s="596"/>
      <c r="ES39" s="596"/>
      <c r="ET39" s="596"/>
      <c r="EU39" s="596"/>
      <c r="EV39" s="596"/>
      <c r="EW39" s="596"/>
      <c r="EX39" s="596"/>
      <c r="EY39" s="596"/>
      <c r="EZ39" s="596"/>
      <c r="FA39" s="596"/>
      <c r="FB39" s="596"/>
      <c r="FC39" s="596"/>
      <c r="FD39" s="596"/>
      <c r="FE39" s="596"/>
      <c r="FF39" s="596"/>
      <c r="FG39" s="596"/>
      <c r="FH39" s="596"/>
      <c r="FI39" s="596"/>
      <c r="FJ39" s="595"/>
      <c r="FK39" s="595"/>
      <c r="FL39" s="595"/>
      <c r="FM39" s="696">
        <f t="shared" si="0"/>
        <v>0</v>
      </c>
      <c r="FN39" s="696">
        <f t="shared" si="1"/>
        <v>0</v>
      </c>
      <c r="FO39" s="696">
        <f t="shared" si="2"/>
        <v>0</v>
      </c>
      <c r="FP39" s="696">
        <f t="shared" si="3"/>
        <v>0</v>
      </c>
    </row>
    <row r="40" spans="1:172" ht="24" customHeight="1" x14ac:dyDescent="0.25">
      <c r="A40" s="9" t="s">
        <v>99</v>
      </c>
      <c r="B40" s="24" t="s">
        <v>98</v>
      </c>
      <c r="C40" s="582"/>
      <c r="D40" s="583"/>
      <c r="E40" s="583">
        <f>D40</f>
        <v>0</v>
      </c>
      <c r="F40" s="583"/>
      <c r="G40" s="583"/>
      <c r="H40" s="583">
        <f>G40</f>
        <v>0</v>
      </c>
      <c r="I40" s="583"/>
      <c r="J40" s="583"/>
      <c r="K40" s="583">
        <f>J40</f>
        <v>0</v>
      </c>
      <c r="L40" s="583"/>
      <c r="M40" s="583"/>
      <c r="N40" s="583">
        <f>M40</f>
        <v>0</v>
      </c>
      <c r="O40" s="583"/>
      <c r="P40" s="583"/>
      <c r="Q40" s="583">
        <f>P40</f>
        <v>0</v>
      </c>
      <c r="R40" s="583"/>
      <c r="S40" s="583"/>
      <c r="T40" s="583"/>
      <c r="U40" s="583"/>
      <c r="V40" s="583"/>
      <c r="W40" s="583">
        <f>V40</f>
        <v>0</v>
      </c>
      <c r="X40" s="583"/>
      <c r="Y40" s="583"/>
      <c r="Z40" s="583"/>
      <c r="AA40" s="583"/>
      <c r="AB40" s="583"/>
      <c r="AC40" s="583"/>
      <c r="AD40" s="583"/>
      <c r="AE40" s="583"/>
      <c r="AF40" s="583"/>
      <c r="AG40" s="583"/>
      <c r="AH40" s="583"/>
      <c r="AI40" s="583"/>
      <c r="AJ40" s="583"/>
      <c r="AK40" s="583"/>
      <c r="AL40" s="583"/>
      <c r="AM40" s="583"/>
      <c r="AN40" s="583"/>
      <c r="AO40" s="583"/>
      <c r="AP40" s="583"/>
      <c r="AQ40" s="583"/>
      <c r="AR40" s="583"/>
      <c r="AS40" s="584"/>
      <c r="AT40" s="583"/>
      <c r="AU40" s="583"/>
      <c r="AV40" s="584"/>
      <c r="AW40" s="583"/>
      <c r="AX40" s="583"/>
      <c r="AY40" s="583"/>
      <c r="AZ40" s="583"/>
      <c r="BA40" s="583"/>
      <c r="BB40" s="583"/>
      <c r="BC40" s="583"/>
      <c r="BD40" s="583"/>
      <c r="BE40" s="583"/>
      <c r="BF40" s="583"/>
      <c r="BG40" s="583"/>
      <c r="BH40" s="583"/>
      <c r="BI40" s="595"/>
      <c r="BJ40" s="596"/>
      <c r="BK40" s="596"/>
      <c r="BL40" s="596"/>
      <c r="BM40" s="596"/>
      <c r="BN40" s="596"/>
      <c r="BO40" s="596"/>
      <c r="BP40" s="596"/>
      <c r="BQ40" s="596"/>
      <c r="BR40" s="596"/>
      <c r="BS40" s="596"/>
      <c r="BT40" s="596"/>
      <c r="BU40" s="596"/>
      <c r="BV40" s="596"/>
      <c r="BW40" s="596"/>
      <c r="BX40" s="596"/>
      <c r="BY40" s="596"/>
      <c r="BZ40" s="596"/>
      <c r="CA40" s="596"/>
      <c r="CB40" s="596"/>
      <c r="CC40" s="596"/>
      <c r="CD40" s="596"/>
      <c r="CE40" s="596"/>
      <c r="CF40" s="596"/>
      <c r="CG40" s="596"/>
      <c r="CH40" s="596"/>
      <c r="CI40" s="596"/>
      <c r="CJ40" s="596"/>
      <c r="CK40" s="596"/>
      <c r="CL40" s="596"/>
      <c r="CM40" s="596"/>
      <c r="CN40" s="596"/>
      <c r="CO40" s="596"/>
      <c r="CP40" s="596"/>
      <c r="CQ40" s="596"/>
      <c r="CR40" s="596"/>
      <c r="CS40" s="596"/>
      <c r="CT40" s="596"/>
      <c r="CU40" s="596"/>
      <c r="CV40" s="596"/>
      <c r="CW40" s="596"/>
      <c r="CX40" s="596"/>
      <c r="CY40" s="596"/>
      <c r="CZ40" s="596"/>
      <c r="DA40" s="596"/>
      <c r="DB40" s="596"/>
      <c r="DC40" s="596"/>
      <c r="DD40" s="596"/>
      <c r="DE40" s="597"/>
      <c r="DF40" s="597"/>
      <c r="DG40" s="597"/>
      <c r="DH40" s="597"/>
      <c r="DI40" s="597"/>
      <c r="DJ40" s="597"/>
      <c r="DK40" s="596"/>
      <c r="DL40" s="596"/>
      <c r="DM40" s="596"/>
      <c r="DN40" s="596"/>
      <c r="DO40" s="596"/>
      <c r="DP40" s="596"/>
      <c r="DQ40" s="596"/>
      <c r="DR40" s="596"/>
      <c r="DS40" s="596"/>
      <c r="DT40" s="596"/>
      <c r="DU40" s="596"/>
      <c r="DV40" s="596"/>
      <c r="DW40" s="596"/>
      <c r="DX40" s="596"/>
      <c r="DY40" s="596"/>
      <c r="DZ40" s="596"/>
      <c r="EA40" s="596"/>
      <c r="EB40" s="596"/>
      <c r="EC40" s="596"/>
      <c r="ED40" s="596"/>
      <c r="EE40" s="596"/>
      <c r="EF40" s="596"/>
      <c r="EG40" s="596"/>
      <c r="EH40" s="596"/>
      <c r="EI40" s="596"/>
      <c r="EJ40" s="596"/>
      <c r="EK40" s="596"/>
      <c r="EL40" s="596"/>
      <c r="EM40" s="596"/>
      <c r="EN40" s="596"/>
      <c r="EO40" s="596"/>
      <c r="EP40" s="596"/>
      <c r="EQ40" s="596"/>
      <c r="ER40" s="596"/>
      <c r="ES40" s="596"/>
      <c r="ET40" s="596"/>
      <c r="EU40" s="596"/>
      <c r="EV40" s="596"/>
      <c r="EW40" s="596"/>
      <c r="EX40" s="596"/>
      <c r="EY40" s="596"/>
      <c r="EZ40" s="596"/>
      <c r="FA40" s="596"/>
      <c r="FB40" s="596"/>
      <c r="FC40" s="596"/>
      <c r="FD40" s="596"/>
      <c r="FE40" s="596"/>
      <c r="FF40" s="596"/>
      <c r="FG40" s="596"/>
      <c r="FH40" s="596"/>
      <c r="FI40" s="596"/>
      <c r="FJ40" s="595"/>
      <c r="FK40" s="595"/>
      <c r="FL40" s="595"/>
      <c r="FM40" s="696">
        <f t="shared" si="0"/>
        <v>0</v>
      </c>
      <c r="FN40" s="696">
        <f t="shared" si="1"/>
        <v>0</v>
      </c>
      <c r="FO40" s="696">
        <f t="shared" si="2"/>
        <v>0</v>
      </c>
      <c r="FP40" s="696">
        <f t="shared" si="3"/>
        <v>0</v>
      </c>
    </row>
    <row r="41" spans="1:172" ht="24" customHeight="1" x14ac:dyDescent="0.25">
      <c r="A41" s="9" t="s">
        <v>101</v>
      </c>
      <c r="B41" s="24" t="s">
        <v>100</v>
      </c>
      <c r="C41" s="582"/>
      <c r="D41" s="583"/>
      <c r="E41" s="583">
        <f>D41</f>
        <v>0</v>
      </c>
      <c r="F41" s="583"/>
      <c r="G41" s="583"/>
      <c r="H41" s="583">
        <f>G41</f>
        <v>0</v>
      </c>
      <c r="I41" s="583"/>
      <c r="J41" s="583"/>
      <c r="K41" s="583">
        <f>J41</f>
        <v>0</v>
      </c>
      <c r="L41" s="583"/>
      <c r="M41" s="583"/>
      <c r="N41" s="583">
        <f>M41</f>
        <v>0</v>
      </c>
      <c r="O41" s="583"/>
      <c r="P41" s="583"/>
      <c r="Q41" s="583">
        <f>P41</f>
        <v>0</v>
      </c>
      <c r="R41" s="583"/>
      <c r="S41" s="583"/>
      <c r="T41" s="583"/>
      <c r="U41" s="583"/>
      <c r="V41" s="583"/>
      <c r="W41" s="583">
        <f>V41</f>
        <v>0</v>
      </c>
      <c r="X41" s="583"/>
      <c r="Y41" s="583"/>
      <c r="Z41" s="583"/>
      <c r="AA41" s="583"/>
      <c r="AB41" s="583"/>
      <c r="AC41" s="583"/>
      <c r="AD41" s="583"/>
      <c r="AE41" s="583"/>
      <c r="AF41" s="583"/>
      <c r="AG41" s="583"/>
      <c r="AH41" s="583"/>
      <c r="AI41" s="583"/>
      <c r="AJ41" s="583"/>
      <c r="AK41" s="583"/>
      <c r="AL41" s="583"/>
      <c r="AM41" s="583"/>
      <c r="AN41" s="583"/>
      <c r="AO41" s="583"/>
      <c r="AP41" s="583"/>
      <c r="AQ41" s="583"/>
      <c r="AR41" s="583"/>
      <c r="AS41" s="584"/>
      <c r="AT41" s="583"/>
      <c r="AU41" s="583"/>
      <c r="AV41" s="584"/>
      <c r="AW41" s="583"/>
      <c r="AX41" s="583"/>
      <c r="AY41" s="583"/>
      <c r="AZ41" s="583"/>
      <c r="BA41" s="583"/>
      <c r="BB41" s="583"/>
      <c r="BC41" s="583"/>
      <c r="BD41" s="583"/>
      <c r="BE41" s="583"/>
      <c r="BF41" s="583"/>
      <c r="BG41" s="583"/>
      <c r="BH41" s="583"/>
      <c r="BI41" s="595"/>
      <c r="BJ41" s="596"/>
      <c r="BK41" s="596"/>
      <c r="BL41" s="596"/>
      <c r="BM41" s="596"/>
      <c r="BN41" s="596"/>
      <c r="BO41" s="596"/>
      <c r="BP41" s="596"/>
      <c r="BQ41" s="596"/>
      <c r="BR41" s="596"/>
      <c r="BS41" s="596"/>
      <c r="BT41" s="596"/>
      <c r="BU41" s="596"/>
      <c r="BV41" s="596"/>
      <c r="BW41" s="596"/>
      <c r="BX41" s="596"/>
      <c r="BY41" s="596"/>
      <c r="BZ41" s="596"/>
      <c r="CA41" s="596"/>
      <c r="CB41" s="596"/>
      <c r="CC41" s="596"/>
      <c r="CD41" s="596"/>
      <c r="CE41" s="596"/>
      <c r="CF41" s="596"/>
      <c r="CG41" s="596"/>
      <c r="CH41" s="596"/>
      <c r="CI41" s="596"/>
      <c r="CJ41" s="596"/>
      <c r="CK41" s="596"/>
      <c r="CL41" s="596"/>
      <c r="CM41" s="596"/>
      <c r="CN41" s="596"/>
      <c r="CO41" s="596"/>
      <c r="CP41" s="596"/>
      <c r="CQ41" s="596"/>
      <c r="CR41" s="596"/>
      <c r="CS41" s="596"/>
      <c r="CT41" s="596"/>
      <c r="CU41" s="596"/>
      <c r="CV41" s="596"/>
      <c r="CW41" s="596"/>
      <c r="CX41" s="596"/>
      <c r="CY41" s="596"/>
      <c r="CZ41" s="596"/>
      <c r="DA41" s="596"/>
      <c r="DB41" s="596"/>
      <c r="DC41" s="596"/>
      <c r="DD41" s="596"/>
      <c r="DE41" s="597"/>
      <c r="DF41" s="597"/>
      <c r="DG41" s="597"/>
      <c r="DH41" s="597"/>
      <c r="DI41" s="597"/>
      <c r="DJ41" s="597"/>
      <c r="DK41" s="596"/>
      <c r="DL41" s="596"/>
      <c r="DM41" s="596"/>
      <c r="DN41" s="596"/>
      <c r="DO41" s="596"/>
      <c r="DP41" s="596"/>
      <c r="DQ41" s="596"/>
      <c r="DR41" s="596"/>
      <c r="DS41" s="596"/>
      <c r="DT41" s="596"/>
      <c r="DU41" s="596"/>
      <c r="DV41" s="596"/>
      <c r="DW41" s="596"/>
      <c r="DX41" s="596"/>
      <c r="DY41" s="596"/>
      <c r="DZ41" s="596"/>
      <c r="EA41" s="596"/>
      <c r="EB41" s="596"/>
      <c r="EC41" s="596"/>
      <c r="ED41" s="596"/>
      <c r="EE41" s="596"/>
      <c r="EF41" s="596"/>
      <c r="EG41" s="596"/>
      <c r="EH41" s="596"/>
      <c r="EI41" s="596"/>
      <c r="EJ41" s="596"/>
      <c r="EK41" s="596"/>
      <c r="EL41" s="596"/>
      <c r="EM41" s="596"/>
      <c r="EN41" s="596"/>
      <c r="EO41" s="596"/>
      <c r="EP41" s="596"/>
      <c r="EQ41" s="596"/>
      <c r="ER41" s="596"/>
      <c r="ES41" s="596"/>
      <c r="ET41" s="596"/>
      <c r="EU41" s="596"/>
      <c r="EV41" s="596"/>
      <c r="EW41" s="596"/>
      <c r="EX41" s="596"/>
      <c r="EY41" s="596"/>
      <c r="EZ41" s="596"/>
      <c r="FA41" s="596"/>
      <c r="FB41" s="596"/>
      <c r="FC41" s="596"/>
      <c r="FD41" s="596"/>
      <c r="FE41" s="596"/>
      <c r="FF41" s="596"/>
      <c r="FG41" s="596"/>
      <c r="FH41" s="596"/>
      <c r="FI41" s="596"/>
      <c r="FJ41" s="595"/>
      <c r="FK41" s="595"/>
      <c r="FL41" s="595"/>
      <c r="FM41" s="696">
        <f t="shared" si="0"/>
        <v>0</v>
      </c>
      <c r="FN41" s="696">
        <f t="shared" si="1"/>
        <v>0</v>
      </c>
      <c r="FO41" s="696">
        <f t="shared" si="2"/>
        <v>0</v>
      </c>
      <c r="FP41" s="696">
        <f t="shared" si="3"/>
        <v>0</v>
      </c>
    </row>
    <row r="42" spans="1:172" ht="24" customHeight="1" x14ac:dyDescent="0.25">
      <c r="A42" s="9" t="s">
        <v>103</v>
      </c>
      <c r="B42" s="24" t="s">
        <v>102</v>
      </c>
      <c r="C42" s="582"/>
      <c r="D42" s="583"/>
      <c r="E42" s="583">
        <f>D42</f>
        <v>0</v>
      </c>
      <c r="F42" s="583"/>
      <c r="G42" s="583"/>
      <c r="H42" s="583">
        <f>G42</f>
        <v>0</v>
      </c>
      <c r="I42" s="583"/>
      <c r="J42" s="583"/>
      <c r="K42" s="583">
        <f>J42</f>
        <v>0</v>
      </c>
      <c r="L42" s="583"/>
      <c r="M42" s="583"/>
      <c r="N42" s="583">
        <f>M42</f>
        <v>0</v>
      </c>
      <c r="O42" s="583"/>
      <c r="P42" s="583"/>
      <c r="Q42" s="583">
        <f>P42</f>
        <v>0</v>
      </c>
      <c r="R42" s="583"/>
      <c r="S42" s="583"/>
      <c r="T42" s="583"/>
      <c r="U42" s="583"/>
      <c r="V42" s="583"/>
      <c r="W42" s="583">
        <f>V42</f>
        <v>0</v>
      </c>
      <c r="X42" s="583"/>
      <c r="Y42" s="583"/>
      <c r="Z42" s="583"/>
      <c r="AA42" s="583"/>
      <c r="AB42" s="583"/>
      <c r="AC42" s="583"/>
      <c r="AD42" s="583"/>
      <c r="AE42" s="583"/>
      <c r="AF42" s="583"/>
      <c r="AG42" s="583"/>
      <c r="AH42" s="583"/>
      <c r="AI42" s="583"/>
      <c r="AJ42" s="583"/>
      <c r="AK42" s="583"/>
      <c r="AL42" s="583"/>
      <c r="AM42" s="583"/>
      <c r="AN42" s="583"/>
      <c r="AO42" s="583"/>
      <c r="AP42" s="583"/>
      <c r="AQ42" s="583"/>
      <c r="AR42" s="583"/>
      <c r="AS42" s="584"/>
      <c r="AT42" s="583"/>
      <c r="AU42" s="583"/>
      <c r="AV42" s="584"/>
      <c r="AW42" s="583"/>
      <c r="AX42" s="583"/>
      <c r="AY42" s="583"/>
      <c r="AZ42" s="583"/>
      <c r="BA42" s="583"/>
      <c r="BB42" s="583"/>
      <c r="BC42" s="583"/>
      <c r="BD42" s="583"/>
      <c r="BE42" s="583"/>
      <c r="BF42" s="583"/>
      <c r="BG42" s="583"/>
      <c r="BH42" s="583"/>
      <c r="BI42" s="595"/>
      <c r="BJ42" s="596"/>
      <c r="BK42" s="596"/>
      <c r="BL42" s="596"/>
      <c r="BM42" s="596"/>
      <c r="BN42" s="596"/>
      <c r="BO42" s="596"/>
      <c r="BP42" s="596"/>
      <c r="BQ42" s="596"/>
      <c r="BR42" s="596"/>
      <c r="BS42" s="596"/>
      <c r="BT42" s="596"/>
      <c r="BU42" s="596"/>
      <c r="BV42" s="596"/>
      <c r="BW42" s="596"/>
      <c r="BX42" s="596"/>
      <c r="BY42" s="596"/>
      <c r="BZ42" s="596"/>
      <c r="CA42" s="596"/>
      <c r="CB42" s="596"/>
      <c r="CC42" s="596"/>
      <c r="CD42" s="596"/>
      <c r="CE42" s="596"/>
      <c r="CF42" s="596"/>
      <c r="CG42" s="596"/>
      <c r="CH42" s="596"/>
      <c r="CI42" s="596"/>
      <c r="CJ42" s="596"/>
      <c r="CK42" s="596"/>
      <c r="CL42" s="596"/>
      <c r="CM42" s="596"/>
      <c r="CN42" s="596"/>
      <c r="CO42" s="596"/>
      <c r="CP42" s="596"/>
      <c r="CQ42" s="596"/>
      <c r="CR42" s="596"/>
      <c r="CS42" s="596"/>
      <c r="CT42" s="596"/>
      <c r="CU42" s="596"/>
      <c r="CV42" s="596"/>
      <c r="CW42" s="596"/>
      <c r="CX42" s="596"/>
      <c r="CY42" s="596"/>
      <c r="CZ42" s="596"/>
      <c r="DA42" s="596"/>
      <c r="DB42" s="596"/>
      <c r="DC42" s="596"/>
      <c r="DD42" s="596"/>
      <c r="DE42" s="597"/>
      <c r="DF42" s="597"/>
      <c r="DG42" s="597"/>
      <c r="DH42" s="597"/>
      <c r="DI42" s="597"/>
      <c r="DJ42" s="597"/>
      <c r="DK42" s="596"/>
      <c r="DL42" s="596"/>
      <c r="DM42" s="596"/>
      <c r="DN42" s="596"/>
      <c r="DO42" s="596"/>
      <c r="DP42" s="596"/>
      <c r="DQ42" s="596"/>
      <c r="DR42" s="596"/>
      <c r="DS42" s="596"/>
      <c r="DT42" s="596"/>
      <c r="DU42" s="596"/>
      <c r="DV42" s="596"/>
      <c r="DW42" s="596"/>
      <c r="DX42" s="596"/>
      <c r="DY42" s="596"/>
      <c r="DZ42" s="596"/>
      <c r="EA42" s="596"/>
      <c r="EB42" s="596"/>
      <c r="EC42" s="596"/>
      <c r="ED42" s="596"/>
      <c r="EE42" s="596"/>
      <c r="EF42" s="596"/>
      <c r="EG42" s="596"/>
      <c r="EH42" s="596"/>
      <c r="EI42" s="596"/>
      <c r="EJ42" s="596"/>
      <c r="EK42" s="596"/>
      <c r="EL42" s="596"/>
      <c r="EM42" s="596"/>
      <c r="EN42" s="596"/>
      <c r="EO42" s="596"/>
      <c r="EP42" s="596"/>
      <c r="EQ42" s="596"/>
      <c r="ER42" s="596"/>
      <c r="ES42" s="596"/>
      <c r="ET42" s="596"/>
      <c r="EU42" s="596"/>
      <c r="EV42" s="596"/>
      <c r="EW42" s="596"/>
      <c r="EX42" s="596"/>
      <c r="EY42" s="596"/>
      <c r="EZ42" s="596"/>
      <c r="FA42" s="596"/>
      <c r="FB42" s="596"/>
      <c r="FC42" s="596"/>
      <c r="FD42" s="596"/>
      <c r="FE42" s="596"/>
      <c r="FF42" s="596"/>
      <c r="FG42" s="596"/>
      <c r="FH42" s="596"/>
      <c r="FI42" s="596"/>
      <c r="FJ42" s="595"/>
      <c r="FK42" s="595"/>
      <c r="FL42" s="595"/>
      <c r="FM42" s="696">
        <f t="shared" si="0"/>
        <v>0</v>
      </c>
      <c r="FN42" s="696">
        <f t="shared" si="1"/>
        <v>0</v>
      </c>
      <c r="FO42" s="696">
        <f t="shared" si="2"/>
        <v>0</v>
      </c>
      <c r="FP42" s="696">
        <f t="shared" si="3"/>
        <v>0</v>
      </c>
    </row>
    <row r="43" spans="1:172" ht="24" customHeight="1" x14ac:dyDescent="0.25">
      <c r="A43" s="9" t="s">
        <v>105</v>
      </c>
      <c r="B43" s="24" t="s">
        <v>104</v>
      </c>
      <c r="C43" s="582"/>
      <c r="D43" s="583"/>
      <c r="E43" s="583">
        <f>D43</f>
        <v>0</v>
      </c>
      <c r="F43" s="583"/>
      <c r="G43" s="583"/>
      <c r="H43" s="583">
        <f>G43</f>
        <v>0</v>
      </c>
      <c r="I43" s="583"/>
      <c r="J43" s="583"/>
      <c r="K43" s="583">
        <f>J43</f>
        <v>0</v>
      </c>
      <c r="L43" s="583"/>
      <c r="M43" s="583"/>
      <c r="N43" s="583">
        <f>M43</f>
        <v>0</v>
      </c>
      <c r="O43" s="583"/>
      <c r="P43" s="583"/>
      <c r="Q43" s="583">
        <f>P43</f>
        <v>0</v>
      </c>
      <c r="R43" s="583"/>
      <c r="S43" s="583"/>
      <c r="T43" s="583"/>
      <c r="U43" s="583"/>
      <c r="V43" s="583"/>
      <c r="W43" s="583">
        <f>V43</f>
        <v>0</v>
      </c>
      <c r="X43" s="583"/>
      <c r="Y43" s="583"/>
      <c r="Z43" s="583"/>
      <c r="AA43" s="583"/>
      <c r="AB43" s="583"/>
      <c r="AC43" s="583"/>
      <c r="AD43" s="583"/>
      <c r="AE43" s="583"/>
      <c r="AF43" s="583"/>
      <c r="AG43" s="583"/>
      <c r="AH43" s="583"/>
      <c r="AI43" s="583"/>
      <c r="AJ43" s="583"/>
      <c r="AK43" s="583"/>
      <c r="AL43" s="583"/>
      <c r="AM43" s="583"/>
      <c r="AN43" s="583"/>
      <c r="AO43" s="583"/>
      <c r="AP43" s="583"/>
      <c r="AQ43" s="583"/>
      <c r="AR43" s="583"/>
      <c r="AS43" s="584"/>
      <c r="AT43" s="583"/>
      <c r="AU43" s="583"/>
      <c r="AV43" s="584"/>
      <c r="AW43" s="583"/>
      <c r="AX43" s="583"/>
      <c r="AY43" s="583"/>
      <c r="AZ43" s="583"/>
      <c r="BA43" s="583"/>
      <c r="BB43" s="583"/>
      <c r="BC43" s="583"/>
      <c r="BD43" s="583"/>
      <c r="BE43" s="583"/>
      <c r="BF43" s="583"/>
      <c r="BG43" s="583"/>
      <c r="BH43" s="583"/>
      <c r="BI43" s="595"/>
      <c r="BJ43" s="596"/>
      <c r="BK43" s="596"/>
      <c r="BL43" s="596"/>
      <c r="BM43" s="596"/>
      <c r="BN43" s="596"/>
      <c r="BO43" s="596"/>
      <c r="BP43" s="596"/>
      <c r="BQ43" s="596"/>
      <c r="BR43" s="596"/>
      <c r="BS43" s="596"/>
      <c r="BT43" s="596"/>
      <c r="BU43" s="596"/>
      <c r="BV43" s="596"/>
      <c r="BW43" s="596"/>
      <c r="BX43" s="596"/>
      <c r="BY43" s="596"/>
      <c r="BZ43" s="596"/>
      <c r="CA43" s="596"/>
      <c r="CB43" s="596"/>
      <c r="CC43" s="596"/>
      <c r="CD43" s="596"/>
      <c r="CE43" s="596"/>
      <c r="CF43" s="596"/>
      <c r="CG43" s="596"/>
      <c r="CH43" s="596"/>
      <c r="CI43" s="596"/>
      <c r="CJ43" s="596"/>
      <c r="CK43" s="596"/>
      <c r="CL43" s="596"/>
      <c r="CM43" s="596"/>
      <c r="CN43" s="596"/>
      <c r="CO43" s="596"/>
      <c r="CP43" s="596"/>
      <c r="CQ43" s="596"/>
      <c r="CR43" s="596"/>
      <c r="CS43" s="596"/>
      <c r="CT43" s="596"/>
      <c r="CU43" s="596"/>
      <c r="CV43" s="596"/>
      <c r="CW43" s="596"/>
      <c r="CX43" s="596"/>
      <c r="CY43" s="596"/>
      <c r="CZ43" s="596"/>
      <c r="DA43" s="596"/>
      <c r="DB43" s="596"/>
      <c r="DC43" s="596"/>
      <c r="DD43" s="596"/>
      <c r="DE43" s="597"/>
      <c r="DF43" s="597"/>
      <c r="DG43" s="597"/>
      <c r="DH43" s="597"/>
      <c r="DI43" s="597"/>
      <c r="DJ43" s="597"/>
      <c r="DK43" s="596"/>
      <c r="DL43" s="596"/>
      <c r="DM43" s="596"/>
      <c r="DN43" s="596"/>
      <c r="DO43" s="596"/>
      <c r="DP43" s="596"/>
      <c r="DQ43" s="596"/>
      <c r="DR43" s="596"/>
      <c r="DS43" s="596"/>
      <c r="DT43" s="596"/>
      <c r="DU43" s="596"/>
      <c r="DV43" s="596"/>
      <c r="DW43" s="596"/>
      <c r="DX43" s="596"/>
      <c r="DY43" s="596"/>
      <c r="DZ43" s="596"/>
      <c r="EA43" s="596"/>
      <c r="EB43" s="596"/>
      <c r="EC43" s="596"/>
      <c r="ED43" s="596"/>
      <c r="EE43" s="596"/>
      <c r="EF43" s="596"/>
      <c r="EG43" s="596"/>
      <c r="EH43" s="596"/>
      <c r="EI43" s="596"/>
      <c r="EJ43" s="596"/>
      <c r="EK43" s="596"/>
      <c r="EL43" s="596"/>
      <c r="EM43" s="596"/>
      <c r="EN43" s="596"/>
      <c r="EO43" s="596"/>
      <c r="EP43" s="596"/>
      <c r="EQ43" s="596"/>
      <c r="ER43" s="596"/>
      <c r="ES43" s="596"/>
      <c r="ET43" s="596"/>
      <c r="EU43" s="596"/>
      <c r="EV43" s="596"/>
      <c r="EW43" s="596"/>
      <c r="EX43" s="596"/>
      <c r="EY43" s="596"/>
      <c r="EZ43" s="596"/>
      <c r="FA43" s="596"/>
      <c r="FB43" s="596"/>
      <c r="FC43" s="596"/>
      <c r="FD43" s="596"/>
      <c r="FE43" s="596"/>
      <c r="FF43" s="596"/>
      <c r="FG43" s="596"/>
      <c r="FH43" s="596"/>
      <c r="FI43" s="596"/>
      <c r="FJ43" s="595"/>
      <c r="FK43" s="595"/>
      <c r="FL43" s="595"/>
      <c r="FM43" s="696">
        <f t="shared" si="0"/>
        <v>0</v>
      </c>
      <c r="FN43" s="696">
        <f t="shared" si="1"/>
        <v>0</v>
      </c>
      <c r="FO43" s="696">
        <f t="shared" si="2"/>
        <v>0</v>
      </c>
      <c r="FP43" s="696">
        <f t="shared" si="3"/>
        <v>0</v>
      </c>
    </row>
    <row r="44" spans="1:172" ht="24" customHeight="1" x14ac:dyDescent="0.2">
      <c r="A44" s="9" t="s">
        <v>107</v>
      </c>
      <c r="B44" s="25" t="s">
        <v>106</v>
      </c>
      <c r="C44" s="576"/>
      <c r="D44" s="577">
        <f>+D29+D31+D32+D34+D39+D41</f>
        <v>0</v>
      </c>
      <c r="E44" s="577">
        <f>+E29+E31+E32+E34+E39+E41</f>
        <v>0</v>
      </c>
      <c r="F44" s="577"/>
      <c r="G44" s="577">
        <f>+G29+G31+G32+G34+G39+G41</f>
        <v>0</v>
      </c>
      <c r="H44" s="577">
        <f>+H29+H31+H32+H34+H39+H41</f>
        <v>0</v>
      </c>
      <c r="I44" s="577"/>
      <c r="J44" s="577">
        <f>+J29+J31+J32+J34+J39+J41</f>
        <v>0</v>
      </c>
      <c r="K44" s="577">
        <f>+K29+K31+K32+K34+K39+K41</f>
        <v>0</v>
      </c>
      <c r="L44" s="577"/>
      <c r="M44" s="577">
        <f>+M29+M31+M32+M34+M39+M41</f>
        <v>0</v>
      </c>
      <c r="N44" s="577">
        <f>+N29+N31+N32+N34+N39+N41</f>
        <v>0</v>
      </c>
      <c r="O44" s="577"/>
      <c r="P44" s="577">
        <f>+P29+P31+P32+P34+P39+P41</f>
        <v>0</v>
      </c>
      <c r="Q44" s="577">
        <f>+Q29+Q31+Q32+Q34+Q39+Q41</f>
        <v>0</v>
      </c>
      <c r="R44" s="577"/>
      <c r="S44" s="577">
        <f>+S29+S31+S32+S34+S39+S41</f>
        <v>0</v>
      </c>
      <c r="T44" s="577">
        <f>+T29+T31+T32+T34+T39+T41</f>
        <v>0</v>
      </c>
      <c r="U44" s="577"/>
      <c r="V44" s="577">
        <f>+V29+V31+V32+V34+V39+V41</f>
        <v>0</v>
      </c>
      <c r="W44" s="577">
        <f>+W29+W31+W32+W34+W39+W41</f>
        <v>0</v>
      </c>
      <c r="X44" s="577"/>
      <c r="Y44" s="577">
        <f>+Y29+Y31+Y32+Y34+Y39+Y41</f>
        <v>0</v>
      </c>
      <c r="Z44" s="577">
        <f>+Z29+Z31+Z32+Z34+Z39+Z41</f>
        <v>0</v>
      </c>
      <c r="AA44" s="577"/>
      <c r="AB44" s="577">
        <f>+AB29+AB31+AB32+AB34+AB39+AB41</f>
        <v>0</v>
      </c>
      <c r="AC44" s="577">
        <f>+AC29+AC31+AC32+AC34+AC39+AC41</f>
        <v>0</v>
      </c>
      <c r="AD44" s="577"/>
      <c r="AE44" s="577">
        <f>+AE29+AE31+AE32+AE34+AE39+AE41</f>
        <v>0</v>
      </c>
      <c r="AF44" s="577">
        <f>+AF29+AF31+AF32+AF34+AF39+AF41</f>
        <v>0</v>
      </c>
      <c r="AG44" s="577"/>
      <c r="AH44" s="577">
        <f>+AH29+AH31+AH32+AH34+AH39+AH41</f>
        <v>0</v>
      </c>
      <c r="AI44" s="577">
        <f>+AI29+AI31+AI32+AI34+AI39+AI41</f>
        <v>0</v>
      </c>
      <c r="AJ44" s="577"/>
      <c r="AK44" s="577">
        <f>+AK29+AK31+AK32+AK34+AK39+AK41</f>
        <v>0</v>
      </c>
      <c r="AL44" s="577">
        <f>+AL29+AL31+AL32+AL34+AL39+AL41</f>
        <v>0</v>
      </c>
      <c r="AM44" s="577"/>
      <c r="AN44" s="577">
        <f>+AN29+AN31+AN32+AN34+AN39+AN41</f>
        <v>0</v>
      </c>
      <c r="AO44" s="577">
        <f>+AO29+AO31+AO32+AO34+AO39+AO41</f>
        <v>0</v>
      </c>
      <c r="AP44" s="577"/>
      <c r="AQ44" s="577">
        <f>+AQ29+AQ31+AQ32+AQ34+AQ39+AQ41</f>
        <v>0</v>
      </c>
      <c r="AR44" s="577">
        <f>+AR29+AR31+AR32+AR34+AR39+AR41</f>
        <v>0</v>
      </c>
      <c r="AS44" s="578"/>
      <c r="AT44" s="577">
        <f>+AT29+AT31+AT32+AT34+AT39+AT41</f>
        <v>0</v>
      </c>
      <c r="AU44" s="577">
        <f>+AU29+AU31+AU32+AU34+AU39+AU41</f>
        <v>0</v>
      </c>
      <c r="AV44" s="578"/>
      <c r="AW44" s="577">
        <f>+AW29+AW31+AW32+AW34+AW39+AW41</f>
        <v>0</v>
      </c>
      <c r="AX44" s="577">
        <f>+AX29+AX31+AX32+AX34+AX39+AX41</f>
        <v>0</v>
      </c>
      <c r="AY44" s="577"/>
      <c r="AZ44" s="577">
        <f>+AZ29+AZ31+AZ32+AZ34+AZ39+AZ41</f>
        <v>0</v>
      </c>
      <c r="BA44" s="577">
        <f>+BA29+BA31+BA32+BA34+BA39+BA41</f>
        <v>100000</v>
      </c>
      <c r="BB44" s="577"/>
      <c r="BC44" s="577">
        <f>+BC29+BC31+BC32+BC34+BC39+BC41</f>
        <v>0</v>
      </c>
      <c r="BD44" s="577">
        <f>+BD29+BD31+BD32+BD34+BD39+BD41</f>
        <v>0</v>
      </c>
      <c r="BE44" s="577"/>
      <c r="BF44" s="577">
        <f>+BF29+BF31+BF32+BF34+BF39+BF41</f>
        <v>0</v>
      </c>
      <c r="BG44" s="577">
        <f>+BG29+BG31+BG32+BG34+BG39+BG41</f>
        <v>0</v>
      </c>
      <c r="BH44" s="577"/>
      <c r="BI44" s="577">
        <f>+BI29+BI31+BI32+BI34+BI39+BI41</f>
        <v>0</v>
      </c>
      <c r="BJ44" s="577">
        <f>+BJ29+BJ31+BJ32+BJ34+BJ39+BJ41</f>
        <v>0</v>
      </c>
      <c r="BK44" s="577"/>
      <c r="BL44" s="577">
        <f>+BL29+BL31+BL32+BL34+BL39+BL41</f>
        <v>0</v>
      </c>
      <c r="BM44" s="577">
        <f>+BM29+BM31+BM32+BM34+BM39+BM41</f>
        <v>0</v>
      </c>
      <c r="BN44" s="577"/>
      <c r="BO44" s="577">
        <f>+BO29+BO31+BO32+BO34+BO39+BO41</f>
        <v>0</v>
      </c>
      <c r="BP44" s="577">
        <f>+BP29+BP31+BP32+BP34+BP39+BP41</f>
        <v>590000</v>
      </c>
      <c r="BQ44" s="577">
        <f>+BQ29+BQ31+BQ32+BQ34+BQ39+BQ41</f>
        <v>590000</v>
      </c>
      <c r="BR44" s="577">
        <f>+BR29+BR31+BR32+BR34+BR39+BR41</f>
        <v>0</v>
      </c>
      <c r="BS44" s="577">
        <f>+BS29+BS31+BS32+BS34+BS39+BS41</f>
        <v>0</v>
      </c>
      <c r="BT44" s="577"/>
      <c r="BU44" s="577">
        <f>+BU29+BU31+BU32+BU34+BU39+BU41</f>
        <v>0</v>
      </c>
      <c r="BV44" s="577">
        <f>+BV29+BV31+BV32+BV34+BV39+BV41</f>
        <v>0</v>
      </c>
      <c r="BW44" s="577"/>
      <c r="BX44" s="577">
        <f>+BX29+BX31+BX32+BX34+BX39+BX41</f>
        <v>0</v>
      </c>
      <c r="BY44" s="577">
        <f>+BY29+BY31+BY32+BY34+BY39+BY41</f>
        <v>0</v>
      </c>
      <c r="BZ44" s="577"/>
      <c r="CA44" s="577">
        <f>+CA29+CA31+CA32+CA34+CA39+CA41</f>
        <v>0</v>
      </c>
      <c r="CB44" s="577">
        <f>+CB29+CB31+CB32+CB34+CB39+CB41</f>
        <v>0</v>
      </c>
      <c r="CC44" s="577"/>
      <c r="CD44" s="577">
        <f>+CD29+CD31+CD32+CD34+CD39+CD41</f>
        <v>0</v>
      </c>
      <c r="CE44" s="577">
        <f>+CE29+CE31+CE32+CE34+CE39+CE41</f>
        <v>0</v>
      </c>
      <c r="CF44" s="577"/>
      <c r="CG44" s="577">
        <f>+CG29+CG31+CG32+CG34+CG39+CG41</f>
        <v>0</v>
      </c>
      <c r="CH44" s="577">
        <f>+CH29+CH31+CH32+CH34+CH39+CH41</f>
        <v>0</v>
      </c>
      <c r="CI44" s="577"/>
      <c r="CJ44" s="577">
        <f>+CJ29+CJ31+CJ32+CJ34+CJ39+CJ41</f>
        <v>0</v>
      </c>
      <c r="CK44" s="577">
        <f>+CK29+CK31+CK32+CK34+CK39+CK41</f>
        <v>0</v>
      </c>
      <c r="CL44" s="577"/>
      <c r="CM44" s="577">
        <f>+CM29+CM31+CM32+CM34+CM39+CM41</f>
        <v>0</v>
      </c>
      <c r="CN44" s="577">
        <f>+CN29+CN31+CN32+CN34+CN39+CN41</f>
        <v>0</v>
      </c>
      <c r="CO44" s="577"/>
      <c r="CP44" s="577">
        <f>+CP29+CP31+CP32+CP34+CP39+CP41</f>
        <v>0</v>
      </c>
      <c r="CQ44" s="577">
        <f>+CQ29+CQ31+CQ32+CQ34+CQ39+CQ41</f>
        <v>0</v>
      </c>
      <c r="CR44" s="577"/>
      <c r="CS44" s="577">
        <f>+CS29+CS31+CS32+CS34+CS39+CS41</f>
        <v>0</v>
      </c>
      <c r="CT44" s="577">
        <f>+CT29+CT31+CT32+CT34+CT39+CT41</f>
        <v>0</v>
      </c>
      <c r="CU44" s="577"/>
      <c r="CV44" s="577">
        <f>+CV29+CV31+CV32+CV34+CV39+CV41</f>
        <v>0</v>
      </c>
      <c r="CW44" s="577">
        <f>+CW29+CW31+CW32+CW34+CW39+CW41</f>
        <v>0</v>
      </c>
      <c r="CX44" s="577"/>
      <c r="CY44" s="577">
        <f>+CY29+CY31+CY32+CY34+CY39+CY41</f>
        <v>0</v>
      </c>
      <c r="CZ44" s="577">
        <f>+CZ29+CZ31+CZ32+CZ34+CZ39+CZ41</f>
        <v>0</v>
      </c>
      <c r="DA44" s="577"/>
      <c r="DB44" s="577">
        <f>+DB29+DB31+DB32+DB34+DB39+DB41</f>
        <v>0</v>
      </c>
      <c r="DC44" s="577">
        <f>+DC29+DC31+DC32+DC34+DC39+DC41</f>
        <v>0</v>
      </c>
      <c r="DD44" s="577"/>
      <c r="DE44" s="577">
        <f t="shared" ref="DE44:DL44" si="43">+DE29+DE31+DE32+DE34+DE39+DE41</f>
        <v>0</v>
      </c>
      <c r="DF44" s="577">
        <f t="shared" si="43"/>
        <v>0</v>
      </c>
      <c r="DG44" s="577">
        <f t="shared" si="43"/>
        <v>0</v>
      </c>
      <c r="DH44" s="577">
        <f t="shared" si="43"/>
        <v>45000000</v>
      </c>
      <c r="DI44" s="577">
        <f t="shared" si="43"/>
        <v>45000000</v>
      </c>
      <c r="DJ44" s="577">
        <f t="shared" si="43"/>
        <v>16905000</v>
      </c>
      <c r="DK44" s="577">
        <f t="shared" si="43"/>
        <v>0</v>
      </c>
      <c r="DL44" s="577">
        <f t="shared" si="43"/>
        <v>0</v>
      </c>
      <c r="DM44" s="577"/>
      <c r="DN44" s="577">
        <f>+DN29+DN31+DN32+DN34+DN39+DN41</f>
        <v>0</v>
      </c>
      <c r="DO44" s="577">
        <f>+DO29+DO31+DO32+DO34+DO39+DO41</f>
        <v>0</v>
      </c>
      <c r="DP44" s="577"/>
      <c r="DQ44" s="577">
        <f>+DQ29+DQ31+DQ32+DQ34+DQ39+DQ41</f>
        <v>0</v>
      </c>
      <c r="DR44" s="577">
        <f>+DR29+DR31+DR32+DR34+DR39+DR41</f>
        <v>0</v>
      </c>
      <c r="DS44" s="577"/>
      <c r="DT44" s="577">
        <f>+DT29+DT31+DT32+DT34+DT39+DT41</f>
        <v>0</v>
      </c>
      <c r="DU44" s="577">
        <f>+DU29+DU31+DU32+DU34+DU39+DU41</f>
        <v>0</v>
      </c>
      <c r="DV44" s="577"/>
      <c r="DW44" s="577">
        <f>+DW29+DW31+DW32+DW34+DW39+DW41</f>
        <v>0</v>
      </c>
      <c r="DX44" s="577">
        <f>+DX29+DX31+DX32+DX34+DX39+DX41</f>
        <v>0</v>
      </c>
      <c r="DY44" s="577"/>
      <c r="DZ44" s="577">
        <f>+DZ29+DZ31+DZ32+DZ34+DZ39+DZ41</f>
        <v>0</v>
      </c>
      <c r="EA44" s="577">
        <f>+EA29+EA31+EA32+EA34+EA39+EA41</f>
        <v>0</v>
      </c>
      <c r="EB44" s="577"/>
      <c r="EC44" s="577">
        <f>+EC29+EC31+EC32+EC34+EC39+EC41</f>
        <v>0</v>
      </c>
      <c r="ED44" s="577">
        <f>+ED29+ED31+ED32+ED34+ED39+ED41</f>
        <v>0</v>
      </c>
      <c r="EE44" s="577"/>
      <c r="EF44" s="577">
        <f>+EF29+EF31+EF32+EF34+EF39+EF41</f>
        <v>0</v>
      </c>
      <c r="EG44" s="577">
        <f>+EG29+EG31+EG32+EG34+EG39+EG41</f>
        <v>0</v>
      </c>
      <c r="EH44" s="577"/>
      <c r="EI44" s="577">
        <f>+EI29+EI31+EI32+EI34+EI39+EI41</f>
        <v>25000000</v>
      </c>
      <c r="EJ44" s="577">
        <f>+EJ29+EJ31+EJ32+EJ34+EJ39+EJ41</f>
        <v>25000000</v>
      </c>
      <c r="EK44" s="577">
        <f>+EK29+EK31+EK32+EK34+EK39+EK41</f>
        <v>27136990</v>
      </c>
      <c r="EL44" s="577">
        <f>+EL29+EL31+EL32+EL34+EL39+EL41</f>
        <v>0</v>
      </c>
      <c r="EM44" s="577">
        <f>+EM29+EM31+EM32+EM34+EM39+EM41</f>
        <v>0</v>
      </c>
      <c r="EN44" s="577"/>
      <c r="EO44" s="577">
        <f>+EO29+EO31+EO32+EO34+EO39+EO41</f>
        <v>0</v>
      </c>
      <c r="EP44" s="577">
        <f>+EP29+EP31+EP32+EP34+EP39+EP41</f>
        <v>0</v>
      </c>
      <c r="EQ44" s="577"/>
      <c r="ER44" s="577">
        <f>+ER29+ER31+ER32+ER34+ER39+ER41</f>
        <v>0</v>
      </c>
      <c r="ES44" s="577">
        <f>+ES29+ES31+ES32+ES34+ES39+ES41</f>
        <v>0</v>
      </c>
      <c r="ET44" s="577"/>
      <c r="EU44" s="577">
        <f>+EU29+EU31+EU32+EU34+EU39+EU41</f>
        <v>0</v>
      </c>
      <c r="EV44" s="577">
        <f>+EV29+EV31+EV32+EV34+EV39+EV41</f>
        <v>0</v>
      </c>
      <c r="EW44" s="577"/>
      <c r="EX44" s="577">
        <f>+EX29+EX31+EX32+EX34+EX39+EX41</f>
        <v>0</v>
      </c>
      <c r="EY44" s="577">
        <f>+EY29+EY31+EY32+EY34+EY39+EY41</f>
        <v>0</v>
      </c>
      <c r="EZ44" s="577"/>
      <c r="FA44" s="577">
        <f>+FA29+FA31+FA32+FA34+FA39+FA41</f>
        <v>0</v>
      </c>
      <c r="FB44" s="577">
        <f>+FB29+FB31+FB32+FB34+FB39+FB41</f>
        <v>0</v>
      </c>
      <c r="FC44" s="577"/>
      <c r="FD44" s="577">
        <f>+FD29+FD31+FD32+FD34+FD39+FD41</f>
        <v>0</v>
      </c>
      <c r="FE44" s="577">
        <f>+FE29+FE31+FE32+FE34+FE39+FE41</f>
        <v>0</v>
      </c>
      <c r="FF44" s="577"/>
      <c r="FG44" s="577">
        <f>+FG29+FG31+FG32+FG34+FG39+FG41</f>
        <v>0</v>
      </c>
      <c r="FH44" s="577">
        <f>+FH29+FH31+FH32+FH34+FH39+FH41</f>
        <v>0</v>
      </c>
      <c r="FI44" s="577"/>
      <c r="FJ44" s="577">
        <f>+FJ29+FJ31+FJ32+FJ34+FJ39+FJ41</f>
        <v>0</v>
      </c>
      <c r="FK44" s="577">
        <f>+FK29+FK31+FK32+FK34+FK39+FK41</f>
        <v>0</v>
      </c>
      <c r="FL44" s="577"/>
      <c r="FM44" s="696">
        <f t="shared" si="0"/>
        <v>44041990</v>
      </c>
      <c r="FN44" s="696">
        <f t="shared" si="1"/>
        <v>590000</v>
      </c>
      <c r="FO44" s="696">
        <f t="shared" si="2"/>
        <v>0</v>
      </c>
      <c r="FP44" s="696">
        <f t="shared" si="3"/>
        <v>44631990</v>
      </c>
    </row>
    <row r="45" spans="1:172" ht="24" customHeight="1" x14ac:dyDescent="0.2">
      <c r="A45" s="9" t="s">
        <v>109</v>
      </c>
      <c r="B45" s="25" t="s">
        <v>108</v>
      </c>
      <c r="C45" s="576"/>
      <c r="D45" s="577">
        <f>+D30+D33+D35+D40+D42+D43</f>
        <v>0</v>
      </c>
      <c r="E45" s="577">
        <f>+E30+E33+E35+E40+E42+E43</f>
        <v>0</v>
      </c>
      <c r="F45" s="577"/>
      <c r="G45" s="577">
        <f>+G30+G33+G35+G40+G42+G43</f>
        <v>0</v>
      </c>
      <c r="H45" s="577">
        <f>+H30+H33+H35+H40+H42+H43</f>
        <v>0</v>
      </c>
      <c r="I45" s="577"/>
      <c r="J45" s="577">
        <f>+J30+J33+J35+J40+J42+J43</f>
        <v>0</v>
      </c>
      <c r="K45" s="577">
        <f>+K30+K33+K35+K40+K42+K43</f>
        <v>0</v>
      </c>
      <c r="L45" s="577"/>
      <c r="M45" s="577">
        <f>+M30+M33+M35+M40+M42+M43</f>
        <v>0</v>
      </c>
      <c r="N45" s="577">
        <f>+N30+N33+N35+N40+N42+N43</f>
        <v>0</v>
      </c>
      <c r="O45" s="577"/>
      <c r="P45" s="577">
        <f>+P30+P33+P35+P40+P42+P43</f>
        <v>0</v>
      </c>
      <c r="Q45" s="577">
        <f>+Q30+Q33+Q35+Q40+Q42+Q43</f>
        <v>0</v>
      </c>
      <c r="R45" s="577"/>
      <c r="S45" s="577">
        <f>+S30+S33+S35+S40+S42+S43</f>
        <v>0</v>
      </c>
      <c r="T45" s="577">
        <f>+T30+T33+T35+T40+T42+T43</f>
        <v>0</v>
      </c>
      <c r="U45" s="577"/>
      <c r="V45" s="577">
        <f>+V30+V33+V35+V40+V42+V43</f>
        <v>0</v>
      </c>
      <c r="W45" s="577">
        <f>+W30+W33+W35+W40+W42+W43</f>
        <v>0</v>
      </c>
      <c r="X45" s="577"/>
      <c r="Y45" s="577">
        <f>+Y30+Y33+Y35+Y40+Y42+Y43</f>
        <v>0</v>
      </c>
      <c r="Z45" s="577">
        <f>+Z30+Z33+Z35+Z40+Z42+Z43</f>
        <v>0</v>
      </c>
      <c r="AA45" s="577"/>
      <c r="AB45" s="577">
        <f>+AB30+AB33+AB35+AB40+AB42+AB43</f>
        <v>0</v>
      </c>
      <c r="AC45" s="577">
        <f>+AC30+AC33+AC35+AC40+AC42+AC43</f>
        <v>0</v>
      </c>
      <c r="AD45" s="577"/>
      <c r="AE45" s="577">
        <f>+AE30+AE33+AE35+AE40+AE42+AE43</f>
        <v>0</v>
      </c>
      <c r="AF45" s="577">
        <f>+AF30+AF33+AF35+AF40+AF42+AF43</f>
        <v>0</v>
      </c>
      <c r="AG45" s="577"/>
      <c r="AH45" s="577">
        <f>+AH30+AH33+AH35+AH40+AH42+AH43</f>
        <v>0</v>
      </c>
      <c r="AI45" s="577">
        <f>+AI30+AI33+AI35+AI40+AI42+AI43</f>
        <v>0</v>
      </c>
      <c r="AJ45" s="577"/>
      <c r="AK45" s="577">
        <f>+AK30+AK33+AK35+AK40+AK42+AK43</f>
        <v>0</v>
      </c>
      <c r="AL45" s="577">
        <f>+AL30+AL33+AL35+AL40+AL42+AL43</f>
        <v>0</v>
      </c>
      <c r="AM45" s="577"/>
      <c r="AN45" s="577">
        <f>+AN30+AN33+AN35+AN40+AN42+AN43</f>
        <v>0</v>
      </c>
      <c r="AO45" s="577">
        <f>+AO30+AO33+AO35+AO40+AO42+AO43</f>
        <v>0</v>
      </c>
      <c r="AP45" s="577"/>
      <c r="AQ45" s="577">
        <f>+AQ30+AQ33+AQ35+AQ40+AQ42+AQ43</f>
        <v>0</v>
      </c>
      <c r="AR45" s="577">
        <f>+AR30+AR33+AR35+AR40+AR42+AR43</f>
        <v>0</v>
      </c>
      <c r="AS45" s="578"/>
      <c r="AT45" s="577">
        <f>+AT30+AT33+AT35+AT40+AT42+AT43</f>
        <v>0</v>
      </c>
      <c r="AU45" s="577">
        <f>+AU30+AU33+AU35+AU40+AU42+AU43</f>
        <v>0</v>
      </c>
      <c r="AV45" s="578"/>
      <c r="AW45" s="577">
        <f>+AW30+AW33+AW35+AW40+AW42+AW43</f>
        <v>0</v>
      </c>
      <c r="AX45" s="577">
        <f>+AX30+AX33+AX35+AX40+AX42+AX43</f>
        <v>0</v>
      </c>
      <c r="AY45" s="577"/>
      <c r="AZ45" s="577">
        <f>+AZ30+AZ33+AZ35+AZ40+AZ42+AZ43</f>
        <v>0</v>
      </c>
      <c r="BA45" s="577">
        <f>+BA30+BA33+BA35+BA40+BA42+BA43</f>
        <v>0</v>
      </c>
      <c r="BB45" s="577"/>
      <c r="BC45" s="577">
        <f>+BC30+BC33+BC35+BC40+BC42+BC43</f>
        <v>0</v>
      </c>
      <c r="BD45" s="577">
        <f>+BD30+BD33+BD35+BD40+BD42+BD43</f>
        <v>0</v>
      </c>
      <c r="BE45" s="577"/>
      <c r="BF45" s="577">
        <f>+BF30+BF33+BF35+BF40+BF42+BF43</f>
        <v>0</v>
      </c>
      <c r="BG45" s="577">
        <f>+BG30+BG33+BG35+BG40+BG42+BG43</f>
        <v>0</v>
      </c>
      <c r="BH45" s="577"/>
      <c r="BI45" s="577">
        <f>+BI30+BI33+BI35+BI40+BI42+BI43</f>
        <v>0</v>
      </c>
      <c r="BJ45" s="577">
        <f>+BJ30+BJ33+BJ35+BJ40+BJ42+BJ43</f>
        <v>0</v>
      </c>
      <c r="BK45" s="577"/>
      <c r="BL45" s="577">
        <f>+BL30+BL33+BL35+BL40+BL42+BL43</f>
        <v>0</v>
      </c>
      <c r="BM45" s="577">
        <f>+BM30+BM33+BM35+BM40+BM42+BM43</f>
        <v>0</v>
      </c>
      <c r="BN45" s="577"/>
      <c r="BO45" s="577">
        <f>+BO30+BO33+BO35+BO40+BO42+BO43</f>
        <v>0</v>
      </c>
      <c r="BP45" s="577">
        <f>+BP30+BP33+BP35+BP40+BP42+BP43</f>
        <v>0</v>
      </c>
      <c r="BQ45" s="577"/>
      <c r="BR45" s="577">
        <f>+BR30+BR33+BR35+BR40+BR42+BR43</f>
        <v>0</v>
      </c>
      <c r="BS45" s="577">
        <f>+BS30+BS33+BS35+BS40+BS42+BS43</f>
        <v>0</v>
      </c>
      <c r="BT45" s="577"/>
      <c r="BU45" s="577">
        <f>+BU30+BU33+BU35+BU40+BU42+BU43</f>
        <v>0</v>
      </c>
      <c r="BV45" s="577">
        <f>+BV30+BV33+BV35+BV40+BV42+BV43</f>
        <v>0</v>
      </c>
      <c r="BW45" s="577"/>
      <c r="BX45" s="577">
        <f>+BX30+BX33+BX35+BX40+BX42+BX43</f>
        <v>0</v>
      </c>
      <c r="BY45" s="577">
        <f>+BY30+BY33+BY35+BY40+BY42+BY43</f>
        <v>0</v>
      </c>
      <c r="BZ45" s="577"/>
      <c r="CA45" s="577">
        <f>+CA30+CA33+CA35+CA40+CA42+CA43</f>
        <v>0</v>
      </c>
      <c r="CB45" s="577">
        <f>+CB30+CB33+CB35+CB40+CB42+CB43</f>
        <v>0</v>
      </c>
      <c r="CC45" s="577"/>
      <c r="CD45" s="577">
        <f>+CD30+CD33+CD35+CD40+CD42+CD43</f>
        <v>0</v>
      </c>
      <c r="CE45" s="577">
        <f>+CE30+CE33+CE35+CE40+CE42+CE43</f>
        <v>0</v>
      </c>
      <c r="CF45" s="577"/>
      <c r="CG45" s="577">
        <f>+CG30+CG33+CG35+CG40+CG42+CG43</f>
        <v>0</v>
      </c>
      <c r="CH45" s="577">
        <f>+CH30+CH33+CH35+CH40+CH42+CH43</f>
        <v>0</v>
      </c>
      <c r="CI45" s="577"/>
      <c r="CJ45" s="577">
        <f>+CJ30+CJ33+CJ35+CJ40+CJ42+CJ43</f>
        <v>0</v>
      </c>
      <c r="CK45" s="577">
        <f>+CK30+CK33+CK35+CK40+CK42+CK43</f>
        <v>0</v>
      </c>
      <c r="CL45" s="577"/>
      <c r="CM45" s="577">
        <f>+CM30+CM33+CM35+CM40+CM42+CM43</f>
        <v>0</v>
      </c>
      <c r="CN45" s="577">
        <f>+CN30+CN33+CN35+CN40+CN42+CN43</f>
        <v>0</v>
      </c>
      <c r="CO45" s="577"/>
      <c r="CP45" s="577">
        <f>+CP30+CP33+CP35+CP40+CP42+CP43</f>
        <v>0</v>
      </c>
      <c r="CQ45" s="577">
        <f>+CQ30+CQ33+CQ35+CQ40+CQ42+CQ43</f>
        <v>0</v>
      </c>
      <c r="CR45" s="577"/>
      <c r="CS45" s="577">
        <f>+CS30+CS33+CS35+CS40+CS42+CS43</f>
        <v>0</v>
      </c>
      <c r="CT45" s="577">
        <f>+CT30+CT33+CT35+CT40+CT42+CT43</f>
        <v>0</v>
      </c>
      <c r="CU45" s="577"/>
      <c r="CV45" s="577">
        <f>+CV30+CV33+CV35+CV40+CV42+CV43</f>
        <v>0</v>
      </c>
      <c r="CW45" s="577">
        <f>+CW30+CW33+CW35+CW40+CW42+CW43</f>
        <v>0</v>
      </c>
      <c r="CX45" s="577"/>
      <c r="CY45" s="577">
        <f>+CY30+CY33+CY35+CY40+CY42+CY43</f>
        <v>0</v>
      </c>
      <c r="CZ45" s="577">
        <f>+CZ30+CZ33+CZ35+CZ40+CZ42+CZ43</f>
        <v>0</v>
      </c>
      <c r="DA45" s="577"/>
      <c r="DB45" s="577">
        <f>+DB30+DB33+DB35+DB40+DB42+DB43</f>
        <v>0</v>
      </c>
      <c r="DC45" s="577">
        <f>+DC30+DC33+DC35+DC40+DC42+DC43</f>
        <v>0</v>
      </c>
      <c r="DD45" s="577"/>
      <c r="DE45" s="577">
        <f t="shared" ref="DE45:DL45" si="44">+DE30+DE33+DE35+DE40+DE42+DE43</f>
        <v>0</v>
      </c>
      <c r="DF45" s="577">
        <f t="shared" si="44"/>
        <v>0</v>
      </c>
      <c r="DG45" s="577">
        <f t="shared" si="44"/>
        <v>0</v>
      </c>
      <c r="DH45" s="577">
        <f t="shared" si="44"/>
        <v>0</v>
      </c>
      <c r="DI45" s="577">
        <f t="shared" si="44"/>
        <v>3000000</v>
      </c>
      <c r="DJ45" s="577">
        <f t="shared" si="44"/>
        <v>3000000</v>
      </c>
      <c r="DK45" s="577">
        <f t="shared" si="44"/>
        <v>0</v>
      </c>
      <c r="DL45" s="577">
        <f t="shared" si="44"/>
        <v>0</v>
      </c>
      <c r="DM45" s="577"/>
      <c r="DN45" s="577">
        <f>+DN30+DN33+DN35+DN40+DN42+DN43</f>
        <v>0</v>
      </c>
      <c r="DO45" s="577">
        <f>+DO30+DO33+DO35+DO40+DO42+DO43</f>
        <v>0</v>
      </c>
      <c r="DP45" s="577"/>
      <c r="DQ45" s="577">
        <f>+DQ30+DQ33+DQ35+DQ40+DQ42+DQ43</f>
        <v>0</v>
      </c>
      <c r="DR45" s="577">
        <f>+DR30+DR33+DR35+DR40+DR42+DR43</f>
        <v>0</v>
      </c>
      <c r="DS45" s="577"/>
      <c r="DT45" s="577">
        <f>+DT30+DT33+DT35+DT40+DT42+DT43</f>
        <v>0</v>
      </c>
      <c r="DU45" s="577">
        <f>+DU30+DU33+DU35+DU40+DU42+DU43</f>
        <v>0</v>
      </c>
      <c r="DV45" s="577"/>
      <c r="DW45" s="577">
        <f>+DW30+DW33+DW35+DW40+DW42+DW43</f>
        <v>0</v>
      </c>
      <c r="DX45" s="577">
        <f>+DX30+DX33+DX35+DX40+DX42+DX43</f>
        <v>0</v>
      </c>
      <c r="DY45" s="577"/>
      <c r="DZ45" s="577">
        <f>+DZ30+DZ33+DZ35+DZ40+DZ42+DZ43</f>
        <v>0</v>
      </c>
      <c r="EA45" s="577">
        <f>+EA30+EA33+EA35+EA40+EA42+EA43</f>
        <v>0</v>
      </c>
      <c r="EB45" s="577"/>
      <c r="EC45" s="577">
        <f>+EC30+EC33+EC35+EC40+EC42+EC43</f>
        <v>0</v>
      </c>
      <c r="ED45" s="577">
        <f>+ED30+ED33+ED35+ED40+ED42+ED43</f>
        <v>0</v>
      </c>
      <c r="EE45" s="577"/>
      <c r="EF45" s="577">
        <f>+EF30+EF33+EF35+EF40+EF42+EF43</f>
        <v>0</v>
      </c>
      <c r="EG45" s="577">
        <f>+EG30+EG33+EG35+EG40+EG42+EG43</f>
        <v>0</v>
      </c>
      <c r="EH45" s="577"/>
      <c r="EI45" s="577">
        <f>+EI30+EI33+EI35+EI40+EI42+EI43</f>
        <v>0</v>
      </c>
      <c r="EJ45" s="577">
        <f>+EJ30+EJ33+EJ35+EJ40+EJ42+EJ43</f>
        <v>0</v>
      </c>
      <c r="EK45" s="577"/>
      <c r="EL45" s="577">
        <f>+EL30+EL33+EL35+EL40+EL42+EL43</f>
        <v>0</v>
      </c>
      <c r="EM45" s="577">
        <f>+EM30+EM33+EM35+EM40+EM42+EM43</f>
        <v>0</v>
      </c>
      <c r="EN45" s="577"/>
      <c r="EO45" s="577">
        <f>+EO30+EO33+EO35+EO40+EO42+EO43</f>
        <v>0</v>
      </c>
      <c r="EP45" s="577">
        <f>+EP30+EP33+EP35+EP40+EP42+EP43</f>
        <v>0</v>
      </c>
      <c r="EQ45" s="577"/>
      <c r="ER45" s="577">
        <f>+ER30+ER33+ER35+ER40+ER42+ER43</f>
        <v>0</v>
      </c>
      <c r="ES45" s="577">
        <f>+ES30+ES33+ES35+ES40+ES42+ES43</f>
        <v>0</v>
      </c>
      <c r="ET45" s="577"/>
      <c r="EU45" s="577">
        <f>+EU30+EU33+EU35+EU40+EU42+EU43</f>
        <v>0</v>
      </c>
      <c r="EV45" s="577">
        <f>+EV30+EV33+EV35+EV40+EV42+EV43</f>
        <v>0</v>
      </c>
      <c r="EW45" s="577"/>
      <c r="EX45" s="577">
        <f>+EX30+EX33+EX35+EX40+EX42+EX43</f>
        <v>0</v>
      </c>
      <c r="EY45" s="577">
        <f>+EY30+EY33+EY35+EY40+EY42+EY43</f>
        <v>0</v>
      </c>
      <c r="EZ45" s="577"/>
      <c r="FA45" s="577">
        <f>+FA30+FA33+FA35+FA40+FA42+FA43</f>
        <v>0</v>
      </c>
      <c r="FB45" s="577">
        <f>+FB30+FB33+FB35+FB40+FB42+FB43</f>
        <v>0</v>
      </c>
      <c r="FC45" s="577"/>
      <c r="FD45" s="577">
        <f>+FD30+FD33+FD35+FD40+FD42+FD43</f>
        <v>0</v>
      </c>
      <c r="FE45" s="577">
        <f>+FE30+FE33+FE35+FE40+FE42+FE43</f>
        <v>0</v>
      </c>
      <c r="FF45" s="577"/>
      <c r="FG45" s="577">
        <f>+FG30+FG33+FG35+FG40+FG42+FG43</f>
        <v>0</v>
      </c>
      <c r="FH45" s="577">
        <f>+FH30+FH33+FH35+FH40+FH42+FH43</f>
        <v>0</v>
      </c>
      <c r="FI45" s="577"/>
      <c r="FJ45" s="577">
        <f>+FJ30+FJ33+FJ35+FJ40+FJ42+FJ43</f>
        <v>0</v>
      </c>
      <c r="FK45" s="577">
        <f>+FK30+FK33+FK35+FK40+FK42+FK43</f>
        <v>0</v>
      </c>
      <c r="FL45" s="577"/>
      <c r="FM45" s="696">
        <f t="shared" si="0"/>
        <v>3000000</v>
      </c>
      <c r="FN45" s="696">
        <f t="shared" si="1"/>
        <v>0</v>
      </c>
      <c r="FO45" s="696">
        <f t="shared" si="2"/>
        <v>0</v>
      </c>
      <c r="FP45" s="696">
        <f t="shared" si="3"/>
        <v>3000000</v>
      </c>
    </row>
    <row r="46" spans="1:172" ht="24" customHeight="1" x14ac:dyDescent="0.2">
      <c r="A46" s="9" t="s">
        <v>111</v>
      </c>
      <c r="B46" s="25" t="s">
        <v>110</v>
      </c>
      <c r="C46" s="576"/>
      <c r="D46" s="598">
        <f>+D44+D45</f>
        <v>0</v>
      </c>
      <c r="E46" s="598">
        <f>+E44+E45</f>
        <v>0</v>
      </c>
      <c r="F46" s="598"/>
      <c r="G46" s="598">
        <f>+G44+G45</f>
        <v>0</v>
      </c>
      <c r="H46" s="598">
        <f>+H44+H45</f>
        <v>0</v>
      </c>
      <c r="I46" s="598"/>
      <c r="J46" s="598">
        <f>+J44+J45</f>
        <v>0</v>
      </c>
      <c r="K46" s="598">
        <f>+K44+K45</f>
        <v>0</v>
      </c>
      <c r="L46" s="598"/>
      <c r="M46" s="598">
        <f>+M44+M45</f>
        <v>0</v>
      </c>
      <c r="N46" s="598">
        <f>+N44+N45</f>
        <v>0</v>
      </c>
      <c r="O46" s="598"/>
      <c r="P46" s="598">
        <f>+P44+P45</f>
        <v>0</v>
      </c>
      <c r="Q46" s="598">
        <f>+Q44+Q45</f>
        <v>0</v>
      </c>
      <c r="R46" s="598"/>
      <c r="S46" s="598">
        <f>+S44+S45</f>
        <v>0</v>
      </c>
      <c r="T46" s="598">
        <f>+T44+T45</f>
        <v>0</v>
      </c>
      <c r="U46" s="598"/>
      <c r="V46" s="598">
        <f>+V44+V45</f>
        <v>0</v>
      </c>
      <c r="W46" s="598">
        <f>+W44+W45</f>
        <v>0</v>
      </c>
      <c r="X46" s="598"/>
      <c r="Y46" s="598">
        <f>+Y44+Y45</f>
        <v>0</v>
      </c>
      <c r="Z46" s="598">
        <f>+Z44+Z45</f>
        <v>0</v>
      </c>
      <c r="AA46" s="598"/>
      <c r="AB46" s="598">
        <f>+AB44+AB45</f>
        <v>0</v>
      </c>
      <c r="AC46" s="598">
        <f>+AC44+AC45</f>
        <v>0</v>
      </c>
      <c r="AD46" s="598"/>
      <c r="AE46" s="598">
        <f>+AE44+AE45</f>
        <v>0</v>
      </c>
      <c r="AF46" s="598">
        <f>+AF44+AF45</f>
        <v>0</v>
      </c>
      <c r="AG46" s="598"/>
      <c r="AH46" s="598">
        <f>+AH44+AH45</f>
        <v>0</v>
      </c>
      <c r="AI46" s="598">
        <f>+AI44+AI45</f>
        <v>0</v>
      </c>
      <c r="AJ46" s="598"/>
      <c r="AK46" s="598">
        <f>+AK44+AK45</f>
        <v>0</v>
      </c>
      <c r="AL46" s="598">
        <f>+AL44+AL45</f>
        <v>0</v>
      </c>
      <c r="AM46" s="598"/>
      <c r="AN46" s="598">
        <f>+AN44+AN45</f>
        <v>0</v>
      </c>
      <c r="AO46" s="598">
        <f>+AO44+AO45</f>
        <v>0</v>
      </c>
      <c r="AP46" s="598"/>
      <c r="AQ46" s="598">
        <f>+AQ44+AQ45</f>
        <v>0</v>
      </c>
      <c r="AR46" s="598">
        <f>+AR44+AR45</f>
        <v>0</v>
      </c>
      <c r="AS46" s="599"/>
      <c r="AT46" s="598">
        <f>+AT44+AT45</f>
        <v>0</v>
      </c>
      <c r="AU46" s="598">
        <f>+AU44+AU45</f>
        <v>0</v>
      </c>
      <c r="AV46" s="599"/>
      <c r="AW46" s="598">
        <f>+AW44+AW45</f>
        <v>0</v>
      </c>
      <c r="AX46" s="598">
        <f>+AX44+AX45</f>
        <v>0</v>
      </c>
      <c r="AY46" s="598"/>
      <c r="AZ46" s="598">
        <f>+AZ44+AZ45</f>
        <v>0</v>
      </c>
      <c r="BA46" s="598">
        <f>+BA44+BA45</f>
        <v>100000</v>
      </c>
      <c r="BB46" s="598"/>
      <c r="BC46" s="598">
        <f>+BC44+BC45</f>
        <v>0</v>
      </c>
      <c r="BD46" s="598">
        <f>+BD44+BD45</f>
        <v>0</v>
      </c>
      <c r="BE46" s="598"/>
      <c r="BF46" s="598">
        <f>+BF44+BF45</f>
        <v>0</v>
      </c>
      <c r="BG46" s="598">
        <f>+BG44+BG45</f>
        <v>0</v>
      </c>
      <c r="BH46" s="598"/>
      <c r="BI46" s="598">
        <f>+BI44+BI45</f>
        <v>0</v>
      </c>
      <c r="BJ46" s="598">
        <f>+BJ44+BJ45</f>
        <v>0</v>
      </c>
      <c r="BK46" s="598"/>
      <c r="BL46" s="598">
        <f>+BL44+BL45</f>
        <v>0</v>
      </c>
      <c r="BM46" s="598">
        <f>+BM44+BM45</f>
        <v>0</v>
      </c>
      <c r="BN46" s="598"/>
      <c r="BO46" s="598">
        <f>+BO44+BO45</f>
        <v>0</v>
      </c>
      <c r="BP46" s="598">
        <f>+BP44+BP45</f>
        <v>590000</v>
      </c>
      <c r="BQ46" s="598">
        <f>+BQ44+BQ45</f>
        <v>590000</v>
      </c>
      <c r="BR46" s="598">
        <f>+BR44+BR45</f>
        <v>0</v>
      </c>
      <c r="BS46" s="598">
        <f>+BS44+BS45</f>
        <v>0</v>
      </c>
      <c r="BT46" s="598"/>
      <c r="BU46" s="598">
        <f>+BU44+BU45</f>
        <v>0</v>
      </c>
      <c r="BV46" s="598">
        <f>+BV44+BV45</f>
        <v>0</v>
      </c>
      <c r="BW46" s="598"/>
      <c r="BX46" s="598">
        <f>+BX44+BX45</f>
        <v>0</v>
      </c>
      <c r="BY46" s="598">
        <f>+BY44+BY45</f>
        <v>0</v>
      </c>
      <c r="BZ46" s="598"/>
      <c r="CA46" s="598">
        <f>+CA44+CA45</f>
        <v>0</v>
      </c>
      <c r="CB46" s="598">
        <f>+CB44+CB45</f>
        <v>0</v>
      </c>
      <c r="CC46" s="598"/>
      <c r="CD46" s="598">
        <f>+CD44+CD45</f>
        <v>0</v>
      </c>
      <c r="CE46" s="598">
        <f>+CE44+CE45</f>
        <v>0</v>
      </c>
      <c r="CF46" s="598"/>
      <c r="CG46" s="598">
        <f>+CG44+CG45</f>
        <v>0</v>
      </c>
      <c r="CH46" s="598">
        <f>+CH44+CH45</f>
        <v>0</v>
      </c>
      <c r="CI46" s="598"/>
      <c r="CJ46" s="598">
        <f>+CJ44+CJ45</f>
        <v>0</v>
      </c>
      <c r="CK46" s="598">
        <f>+CK44+CK45</f>
        <v>0</v>
      </c>
      <c r="CL46" s="598"/>
      <c r="CM46" s="598">
        <f>+CM44+CM45</f>
        <v>0</v>
      </c>
      <c r="CN46" s="598">
        <f>+CN44+CN45</f>
        <v>0</v>
      </c>
      <c r="CO46" s="598"/>
      <c r="CP46" s="598">
        <f>+CP44+CP45</f>
        <v>0</v>
      </c>
      <c r="CQ46" s="598">
        <f>+CQ44+CQ45</f>
        <v>0</v>
      </c>
      <c r="CR46" s="598"/>
      <c r="CS46" s="598">
        <f>+CS44+CS45</f>
        <v>0</v>
      </c>
      <c r="CT46" s="598">
        <f>+CT44+CT45</f>
        <v>0</v>
      </c>
      <c r="CU46" s="598"/>
      <c r="CV46" s="598">
        <f>+CV44+CV45</f>
        <v>0</v>
      </c>
      <c r="CW46" s="598">
        <f>+CW44+CW45</f>
        <v>0</v>
      </c>
      <c r="CX46" s="598"/>
      <c r="CY46" s="598">
        <f>+CY44+CY45</f>
        <v>0</v>
      </c>
      <c r="CZ46" s="598">
        <f>+CZ44+CZ45</f>
        <v>0</v>
      </c>
      <c r="DA46" s="598"/>
      <c r="DB46" s="598">
        <f>+DB44+DB45</f>
        <v>0</v>
      </c>
      <c r="DC46" s="598">
        <f>+DC44+DC45</f>
        <v>0</v>
      </c>
      <c r="DD46" s="598"/>
      <c r="DE46" s="598">
        <f t="shared" ref="DE46:DL46" si="45">+DE44+DE45</f>
        <v>0</v>
      </c>
      <c r="DF46" s="598">
        <f t="shared" si="45"/>
        <v>0</v>
      </c>
      <c r="DG46" s="598">
        <f t="shared" si="45"/>
        <v>0</v>
      </c>
      <c r="DH46" s="598">
        <f t="shared" si="45"/>
        <v>45000000</v>
      </c>
      <c r="DI46" s="598">
        <f t="shared" si="45"/>
        <v>48000000</v>
      </c>
      <c r="DJ46" s="598">
        <f t="shared" si="45"/>
        <v>19905000</v>
      </c>
      <c r="DK46" s="598">
        <f t="shared" si="45"/>
        <v>0</v>
      </c>
      <c r="DL46" s="598">
        <f t="shared" si="45"/>
        <v>0</v>
      </c>
      <c r="DM46" s="598"/>
      <c r="DN46" s="598">
        <f>+DN44+DN45</f>
        <v>0</v>
      </c>
      <c r="DO46" s="598">
        <f>+DO44+DO45</f>
        <v>0</v>
      </c>
      <c r="DP46" s="598"/>
      <c r="DQ46" s="598">
        <f>+DQ44+DQ45</f>
        <v>0</v>
      </c>
      <c r="DR46" s="598">
        <f>+DR44+DR45</f>
        <v>0</v>
      </c>
      <c r="DS46" s="598"/>
      <c r="DT46" s="598">
        <f>+DT44+DT45</f>
        <v>0</v>
      </c>
      <c r="DU46" s="598">
        <f>+DU44+DU45</f>
        <v>0</v>
      </c>
      <c r="DV46" s="598"/>
      <c r="DW46" s="598">
        <f>+DW44+DW45</f>
        <v>0</v>
      </c>
      <c r="DX46" s="598">
        <f>+DX44+DX45</f>
        <v>0</v>
      </c>
      <c r="DY46" s="598"/>
      <c r="DZ46" s="598">
        <f>+DZ44+DZ45</f>
        <v>0</v>
      </c>
      <c r="EA46" s="598">
        <f>+EA44+EA45</f>
        <v>0</v>
      </c>
      <c r="EB46" s="598"/>
      <c r="EC46" s="598">
        <f>+EC44+EC45</f>
        <v>0</v>
      </c>
      <c r="ED46" s="598">
        <f>+ED44+ED45</f>
        <v>0</v>
      </c>
      <c r="EE46" s="598"/>
      <c r="EF46" s="598">
        <f>+EF44+EF45</f>
        <v>0</v>
      </c>
      <c r="EG46" s="598">
        <f>+EG44+EG45</f>
        <v>0</v>
      </c>
      <c r="EH46" s="598"/>
      <c r="EI46" s="598">
        <f>+EI44+EI45</f>
        <v>25000000</v>
      </c>
      <c r="EJ46" s="598">
        <f>+EJ44+EJ45</f>
        <v>25000000</v>
      </c>
      <c r="EK46" s="598">
        <f>+EK44+EK45</f>
        <v>27136990</v>
      </c>
      <c r="EL46" s="598">
        <f>+EL44+EL45</f>
        <v>0</v>
      </c>
      <c r="EM46" s="598">
        <f>+EM44+EM45</f>
        <v>0</v>
      </c>
      <c r="EN46" s="598"/>
      <c r="EO46" s="598">
        <f>+EO44+EO45</f>
        <v>0</v>
      </c>
      <c r="EP46" s="598">
        <f>+EP44+EP45</f>
        <v>0</v>
      </c>
      <c r="EQ46" s="598"/>
      <c r="ER46" s="598">
        <f>+ER44+ER45</f>
        <v>0</v>
      </c>
      <c r="ES46" s="598">
        <f>+ES44+ES45</f>
        <v>0</v>
      </c>
      <c r="ET46" s="598"/>
      <c r="EU46" s="598">
        <f>+EU44+EU45</f>
        <v>0</v>
      </c>
      <c r="EV46" s="598">
        <f>+EV44+EV45</f>
        <v>0</v>
      </c>
      <c r="EW46" s="598"/>
      <c r="EX46" s="598">
        <f>+EX44+EX45</f>
        <v>0</v>
      </c>
      <c r="EY46" s="598">
        <f>+EY44+EY45</f>
        <v>0</v>
      </c>
      <c r="EZ46" s="598"/>
      <c r="FA46" s="598">
        <f>+FA44+FA45</f>
        <v>0</v>
      </c>
      <c r="FB46" s="598">
        <f>+FB44+FB45</f>
        <v>0</v>
      </c>
      <c r="FC46" s="598"/>
      <c r="FD46" s="598">
        <f>+FD44+FD45</f>
        <v>0</v>
      </c>
      <c r="FE46" s="598">
        <f>+FE44+FE45</f>
        <v>0</v>
      </c>
      <c r="FF46" s="598"/>
      <c r="FG46" s="598">
        <f>+FG44+FG45</f>
        <v>0</v>
      </c>
      <c r="FH46" s="598">
        <f>+FH44+FH45</f>
        <v>0</v>
      </c>
      <c r="FI46" s="598"/>
      <c r="FJ46" s="598">
        <f>+FJ44+FJ45</f>
        <v>0</v>
      </c>
      <c r="FK46" s="598">
        <f>+FK44+FK45</f>
        <v>0</v>
      </c>
      <c r="FL46" s="598"/>
      <c r="FM46" s="696">
        <f t="shared" si="0"/>
        <v>47041990</v>
      </c>
      <c r="FN46" s="696">
        <f t="shared" si="1"/>
        <v>590000</v>
      </c>
      <c r="FO46" s="696">
        <f t="shared" si="2"/>
        <v>0</v>
      </c>
      <c r="FP46" s="696">
        <f t="shared" si="3"/>
        <v>47631990</v>
      </c>
    </row>
    <row r="47" spans="1:172" ht="24" customHeight="1" x14ac:dyDescent="0.2">
      <c r="A47" s="9" t="s">
        <v>113</v>
      </c>
      <c r="B47" s="25" t="s">
        <v>112</v>
      </c>
      <c r="C47" s="576"/>
      <c r="D47" s="598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8"/>
      <c r="T47" s="598"/>
      <c r="U47" s="598"/>
      <c r="V47" s="598"/>
      <c r="W47" s="598"/>
      <c r="X47" s="598"/>
      <c r="Y47" s="598"/>
      <c r="Z47" s="598"/>
      <c r="AA47" s="598"/>
      <c r="AB47" s="598"/>
      <c r="AC47" s="598"/>
      <c r="AD47" s="598"/>
      <c r="AE47" s="598"/>
      <c r="AF47" s="598"/>
      <c r="AG47" s="598"/>
      <c r="AH47" s="598"/>
      <c r="AI47" s="598"/>
      <c r="AJ47" s="598"/>
      <c r="AK47" s="598"/>
      <c r="AL47" s="598"/>
      <c r="AM47" s="598"/>
      <c r="AN47" s="598"/>
      <c r="AO47" s="598"/>
      <c r="AP47" s="598"/>
      <c r="AQ47" s="598"/>
      <c r="AR47" s="598"/>
      <c r="AS47" s="599"/>
      <c r="AT47" s="598"/>
      <c r="AU47" s="598"/>
      <c r="AV47" s="599"/>
      <c r="AW47" s="598"/>
      <c r="AX47" s="598"/>
      <c r="AY47" s="598"/>
      <c r="AZ47" s="598"/>
      <c r="BA47" s="598"/>
      <c r="BB47" s="598"/>
      <c r="BC47" s="598"/>
      <c r="BD47" s="598"/>
      <c r="BE47" s="598"/>
      <c r="BF47" s="598"/>
      <c r="BG47" s="598"/>
      <c r="BH47" s="598"/>
      <c r="BI47" s="598"/>
      <c r="BJ47" s="598"/>
      <c r="BK47" s="598"/>
      <c r="BL47" s="598"/>
      <c r="BM47" s="598"/>
      <c r="BN47" s="598"/>
      <c r="BO47" s="598"/>
      <c r="BP47" s="598"/>
      <c r="BQ47" s="598"/>
      <c r="BR47" s="598">
        <v>1</v>
      </c>
      <c r="BS47" s="598">
        <f>BR47</f>
        <v>1</v>
      </c>
      <c r="BT47" s="598">
        <v>1</v>
      </c>
      <c r="BU47" s="598">
        <v>1</v>
      </c>
      <c r="BV47" s="598">
        <f>BU47</f>
        <v>1</v>
      </c>
      <c r="BW47" s="598">
        <v>1</v>
      </c>
      <c r="BX47" s="598"/>
      <c r="BY47" s="598"/>
      <c r="BZ47" s="598"/>
      <c r="CA47" s="598"/>
      <c r="CB47" s="598"/>
      <c r="CC47" s="598"/>
      <c r="CD47" s="598"/>
      <c r="CE47" s="598"/>
      <c r="CF47" s="598"/>
      <c r="CG47" s="598"/>
      <c r="CH47" s="598"/>
      <c r="CI47" s="598"/>
      <c r="CJ47" s="598"/>
      <c r="CK47" s="598"/>
      <c r="CL47" s="598"/>
      <c r="CM47" s="598"/>
      <c r="CN47" s="598"/>
      <c r="CO47" s="598"/>
      <c r="CP47" s="598"/>
      <c r="CQ47" s="598"/>
      <c r="CR47" s="598"/>
      <c r="CS47" s="598"/>
      <c r="CT47" s="598"/>
      <c r="CU47" s="598"/>
      <c r="CV47" s="598"/>
      <c r="CW47" s="598"/>
      <c r="CX47" s="598"/>
      <c r="CY47" s="598"/>
      <c r="CZ47" s="598"/>
      <c r="DA47" s="598"/>
      <c r="DB47" s="598"/>
      <c r="DC47" s="598"/>
      <c r="DD47" s="598"/>
      <c r="DE47" s="599"/>
      <c r="DF47" s="599"/>
      <c r="DG47" s="599"/>
      <c r="DH47" s="599"/>
      <c r="DI47" s="599"/>
      <c r="DJ47" s="599"/>
      <c r="DK47" s="598"/>
      <c r="DL47" s="598"/>
      <c r="DM47" s="598"/>
      <c r="DN47" s="598"/>
      <c r="DO47" s="598"/>
      <c r="DP47" s="598"/>
      <c r="DQ47" s="598"/>
      <c r="DR47" s="598"/>
      <c r="DS47" s="598"/>
      <c r="DT47" s="598"/>
      <c r="DU47" s="598"/>
      <c r="DV47" s="598"/>
      <c r="DW47" s="598"/>
      <c r="DX47" s="598"/>
      <c r="DY47" s="598"/>
      <c r="DZ47" s="598"/>
      <c r="EA47" s="598"/>
      <c r="EB47" s="598"/>
      <c r="EC47" s="598"/>
      <c r="ED47" s="598"/>
      <c r="EE47" s="598"/>
      <c r="EF47" s="598"/>
      <c r="EG47" s="598"/>
      <c r="EH47" s="598"/>
      <c r="EI47" s="598">
        <v>3</v>
      </c>
      <c r="EJ47" s="598">
        <f>EI47</f>
        <v>3</v>
      </c>
      <c r="EK47" s="835">
        <v>1.55</v>
      </c>
      <c r="EL47" s="598"/>
      <c r="EM47" s="598"/>
      <c r="EN47" s="598"/>
      <c r="EO47" s="598"/>
      <c r="EP47" s="598"/>
      <c r="EQ47" s="598"/>
      <c r="ER47" s="598"/>
      <c r="ES47" s="598"/>
      <c r="ET47" s="598"/>
      <c r="EU47" s="598"/>
      <c r="EV47" s="598"/>
      <c r="EW47" s="598"/>
      <c r="EX47" s="598"/>
      <c r="EY47" s="598"/>
      <c r="EZ47" s="598"/>
      <c r="FA47" s="598"/>
      <c r="FB47" s="598"/>
      <c r="FC47" s="598"/>
      <c r="FD47" s="598">
        <v>9</v>
      </c>
      <c r="FE47" s="598">
        <f>FD47</f>
        <v>9</v>
      </c>
      <c r="FF47" s="598">
        <v>3</v>
      </c>
      <c r="FG47" s="598">
        <v>1.5</v>
      </c>
      <c r="FH47" s="577">
        <v>2</v>
      </c>
      <c r="FI47" s="838">
        <v>1.5</v>
      </c>
      <c r="FJ47" s="598"/>
      <c r="FK47" s="598"/>
      <c r="FL47" s="598"/>
      <c r="FM47" s="696">
        <f t="shared" si="0"/>
        <v>8.0500000000000007</v>
      </c>
      <c r="FN47" s="696">
        <f t="shared" si="1"/>
        <v>0</v>
      </c>
      <c r="FO47" s="696">
        <f t="shared" si="2"/>
        <v>0</v>
      </c>
      <c r="FP47" s="696">
        <f t="shared" si="3"/>
        <v>8.0500000000000007</v>
      </c>
    </row>
    <row r="48" spans="1:172" ht="24" customHeight="1" x14ac:dyDescent="0.2">
      <c r="A48" s="9" t="s">
        <v>250</v>
      </c>
      <c r="B48" s="25" t="s">
        <v>114</v>
      </c>
      <c r="C48" s="576"/>
      <c r="D48" s="598">
        <v>159500000</v>
      </c>
      <c r="E48" s="598">
        <f>D48-30500000-129000000</f>
        <v>0</v>
      </c>
      <c r="F48" s="598"/>
      <c r="G48" s="598"/>
      <c r="H48" s="598"/>
      <c r="I48" s="598"/>
      <c r="J48" s="598"/>
      <c r="K48" s="598"/>
      <c r="L48" s="598"/>
      <c r="M48" s="598"/>
      <c r="N48" s="598"/>
      <c r="O48" s="598"/>
      <c r="P48" s="598"/>
      <c r="Q48" s="598"/>
      <c r="R48" s="598"/>
      <c r="S48" s="598"/>
      <c r="T48" s="598"/>
      <c r="U48" s="598"/>
      <c r="V48" s="598"/>
      <c r="W48" s="598"/>
      <c r="X48" s="598"/>
      <c r="Y48" s="598"/>
      <c r="Z48" s="598"/>
      <c r="AA48" s="598"/>
      <c r="AB48" s="598"/>
      <c r="AC48" s="598"/>
      <c r="AD48" s="598"/>
      <c r="AE48" s="598"/>
      <c r="AF48" s="598"/>
      <c r="AG48" s="598"/>
      <c r="AH48" s="598">
        <v>2000000</v>
      </c>
      <c r="AI48" s="598">
        <f>AH48-2000000</f>
        <v>0</v>
      </c>
      <c r="AJ48" s="598"/>
      <c r="AK48" s="598">
        <v>3000000</v>
      </c>
      <c r="AL48" s="598">
        <f>AK48-3000000</f>
        <v>0</v>
      </c>
      <c r="AM48" s="598"/>
      <c r="AN48" s="598">
        <v>33050000</v>
      </c>
      <c r="AO48" s="598">
        <f>AN48-33050000</f>
        <v>0</v>
      </c>
      <c r="AP48" s="598"/>
      <c r="AQ48" s="598"/>
      <c r="AR48" s="598"/>
      <c r="AS48" s="599"/>
      <c r="AT48" s="598"/>
      <c r="AU48" s="598"/>
      <c r="AV48" s="599"/>
      <c r="AW48" s="598"/>
      <c r="AX48" s="598"/>
      <c r="AY48" s="598"/>
      <c r="AZ48" s="598"/>
      <c r="BA48" s="598"/>
      <c r="BB48" s="598"/>
      <c r="BC48" s="598"/>
      <c r="BD48" s="598"/>
      <c r="BE48" s="598"/>
      <c r="BF48" s="598"/>
      <c r="BG48" s="598"/>
      <c r="BH48" s="598"/>
      <c r="BI48" s="598"/>
      <c r="BJ48" s="598"/>
      <c r="BK48" s="598"/>
      <c r="BL48" s="598">
        <v>10400000</v>
      </c>
      <c r="BM48" s="598">
        <f>BL48-10400000</f>
        <v>0</v>
      </c>
      <c r="BN48" s="598"/>
      <c r="BO48" s="598"/>
      <c r="BP48" s="598"/>
      <c r="BQ48" s="598"/>
      <c r="BR48" s="598"/>
      <c r="BS48" s="598"/>
      <c r="BT48" s="598"/>
      <c r="BU48" s="598"/>
      <c r="BV48" s="598"/>
      <c r="BW48" s="598"/>
      <c r="BX48" s="598">
        <v>10175000</v>
      </c>
      <c r="BY48" s="598">
        <f>BX48-10175000</f>
        <v>0</v>
      </c>
      <c r="BZ48" s="598"/>
      <c r="CA48" s="598">
        <v>2000000</v>
      </c>
      <c r="CB48" s="598">
        <f>CA48-2000000</f>
        <v>0</v>
      </c>
      <c r="CC48" s="598"/>
      <c r="CD48" s="598">
        <v>16500000</v>
      </c>
      <c r="CE48" s="598">
        <f>CD48-16500000</f>
        <v>0</v>
      </c>
      <c r="CF48" s="598"/>
      <c r="CG48" s="598">
        <v>750000</v>
      </c>
      <c r="CH48" s="598">
        <f>CG48-750000</f>
        <v>0</v>
      </c>
      <c r="CI48" s="598"/>
      <c r="CJ48" s="598">
        <v>1000000</v>
      </c>
      <c r="CK48" s="598">
        <f>CJ48-1000000</f>
        <v>0</v>
      </c>
      <c r="CL48" s="598"/>
      <c r="CM48" s="598">
        <v>1500000</v>
      </c>
      <c r="CN48" s="598">
        <f>CM48-1500000</f>
        <v>0</v>
      </c>
      <c r="CO48" s="598"/>
      <c r="CP48" s="598">
        <f>'[1]9.sz. Szociális'!G16</f>
        <v>1500000</v>
      </c>
      <c r="CQ48" s="598">
        <f>CP48-1500000</f>
        <v>0</v>
      </c>
      <c r="CR48" s="598"/>
      <c r="CS48" s="598"/>
      <c r="CT48" s="598"/>
      <c r="CU48" s="598"/>
      <c r="CV48" s="598">
        <v>4000000</v>
      </c>
      <c r="CW48" s="598">
        <f>CV48-4000000</f>
        <v>0</v>
      </c>
      <c r="CX48" s="598"/>
      <c r="CY48" s="598">
        <v>33350000</v>
      </c>
      <c r="CZ48" s="598">
        <f>CY48-33350000</f>
        <v>0</v>
      </c>
      <c r="DA48" s="598"/>
      <c r="DB48" s="598">
        <v>4000000</v>
      </c>
      <c r="DC48" s="598">
        <f>DB48-4000000</f>
        <v>0</v>
      </c>
      <c r="DD48" s="598"/>
      <c r="DE48" s="599">
        <v>18675000</v>
      </c>
      <c r="DF48" s="599">
        <f>DE48-18675000</f>
        <v>0</v>
      </c>
      <c r="DG48" s="599"/>
      <c r="DH48" s="599"/>
      <c r="DI48" s="599"/>
      <c r="DJ48" s="599"/>
      <c r="DK48" s="598"/>
      <c r="DL48" s="598"/>
      <c r="DM48" s="598"/>
      <c r="DN48" s="598">
        <v>63000000</v>
      </c>
      <c r="DO48" s="598">
        <f>DN48-63000000</f>
        <v>0</v>
      </c>
      <c r="DP48" s="598"/>
      <c r="DQ48" s="598">
        <v>28737033</v>
      </c>
      <c r="DR48" s="598">
        <f>DQ48-28737033</f>
        <v>0</v>
      </c>
      <c r="DS48" s="598"/>
      <c r="DT48" s="598">
        <v>39330000</v>
      </c>
      <c r="DU48" s="598">
        <f>DT48-39330000</f>
        <v>0</v>
      </c>
      <c r="DV48" s="598"/>
      <c r="DW48" s="598"/>
      <c r="DX48" s="598"/>
      <c r="DY48" s="598"/>
      <c r="DZ48" s="598"/>
      <c r="EA48" s="598"/>
      <c r="EB48" s="598"/>
      <c r="EC48" s="598"/>
      <c r="ED48" s="598"/>
      <c r="EE48" s="598"/>
      <c r="EF48" s="598"/>
      <c r="EG48" s="598"/>
      <c r="EH48" s="598"/>
      <c r="EI48" s="598"/>
      <c r="EJ48" s="598"/>
      <c r="EK48" s="598"/>
      <c r="EL48" s="598">
        <v>12075000</v>
      </c>
      <c r="EM48" s="598">
        <f>EL48-12075000</f>
        <v>0</v>
      </c>
      <c r="EN48" s="598"/>
      <c r="EO48" s="598"/>
      <c r="EP48" s="598"/>
      <c r="EQ48" s="598"/>
      <c r="ER48" s="598"/>
      <c r="ES48" s="598"/>
      <c r="ET48" s="598"/>
      <c r="EU48" s="598"/>
      <c r="EV48" s="598"/>
      <c r="EW48" s="598"/>
      <c r="EX48" s="598"/>
      <c r="EY48" s="598"/>
      <c r="EZ48" s="598"/>
      <c r="FA48" s="598">
        <v>10000000</v>
      </c>
      <c r="FB48" s="598">
        <f>FA48-10000000</f>
        <v>0</v>
      </c>
      <c r="FC48" s="598"/>
      <c r="FD48" s="598"/>
      <c r="FE48" s="598"/>
      <c r="FF48" s="598"/>
      <c r="FG48" s="598">
        <v>5000000</v>
      </c>
      <c r="FH48" s="837">
        <f>FG48-5000000</f>
        <v>0</v>
      </c>
      <c r="FI48" s="598"/>
      <c r="FJ48" s="598"/>
      <c r="FK48" s="598"/>
      <c r="FL48" s="598"/>
      <c r="FM48" s="696">
        <f t="shared" si="0"/>
        <v>0</v>
      </c>
      <c r="FN48" s="696">
        <f t="shared" si="1"/>
        <v>0</v>
      </c>
      <c r="FO48" s="696">
        <f t="shared" si="2"/>
        <v>0</v>
      </c>
      <c r="FP48" s="696">
        <f t="shared" si="3"/>
        <v>0</v>
      </c>
    </row>
    <row r="49" spans="1:168" ht="34.5" customHeight="1" x14ac:dyDescent="0.25">
      <c r="A49" s="3"/>
      <c r="D49" s="12">
        <f>SUM(D48:D48)</f>
        <v>159500000</v>
      </c>
      <c r="E49" s="12"/>
      <c r="F49" s="12"/>
      <c r="G49" s="12">
        <f>SUM(G48:G48)</f>
        <v>0</v>
      </c>
      <c r="H49" s="12"/>
      <c r="I49" s="12"/>
      <c r="J49" s="12">
        <f>SUM(J48:J48)</f>
        <v>0</v>
      </c>
      <c r="K49" s="12"/>
      <c r="L49" s="12"/>
      <c r="M49" s="12">
        <f>SUM(M48:M48)</f>
        <v>0</v>
      </c>
      <c r="N49" s="12"/>
      <c r="O49" s="12"/>
      <c r="P49" s="12"/>
      <c r="Q49" s="12"/>
      <c r="R49" s="12"/>
      <c r="S49" s="12">
        <f>SUM(S48:S48)</f>
        <v>0</v>
      </c>
      <c r="T49" s="12"/>
      <c r="U49" s="12"/>
      <c r="V49" s="12">
        <f>SUM(V48:V48)</f>
        <v>0</v>
      </c>
      <c r="W49" s="12"/>
      <c r="X49" s="12"/>
      <c r="Y49" s="12">
        <f>SUM(Y48:Y48)</f>
        <v>0</v>
      </c>
      <c r="Z49" s="12"/>
      <c r="AA49" s="12"/>
      <c r="AB49" s="12">
        <f>SUM(AB48:AB48)</f>
        <v>0</v>
      </c>
      <c r="AC49" s="12"/>
      <c r="AD49" s="12"/>
      <c r="AE49" s="12">
        <f>SUM(AE48:AE48)</f>
        <v>0</v>
      </c>
      <c r="AF49" s="12"/>
      <c r="AG49" s="12"/>
      <c r="AH49" s="12">
        <f>SUM(AH48:AH48)</f>
        <v>2000000</v>
      </c>
      <c r="AI49" s="12"/>
      <c r="AJ49" s="12"/>
      <c r="AK49" s="12">
        <f>SUM(AK48:AK48)</f>
        <v>3000000</v>
      </c>
      <c r="AL49" s="12"/>
      <c r="AM49" s="12"/>
      <c r="AN49" s="12">
        <f>SUM(AN48:AN48)</f>
        <v>33050000</v>
      </c>
      <c r="AO49" s="12"/>
      <c r="AP49" s="12"/>
      <c r="AQ49" s="12">
        <f>SUM(AQ48:AQ48)</f>
        <v>0</v>
      </c>
      <c r="AR49" s="12"/>
      <c r="AS49" s="601"/>
      <c r="AT49" s="12">
        <f>SUM(AT48:AT48)</f>
        <v>0</v>
      </c>
      <c r="AU49" s="12"/>
      <c r="AV49" s="601"/>
      <c r="AW49" s="12">
        <f>SUM(AW48:AW48)</f>
        <v>0</v>
      </c>
      <c r="AX49" s="12"/>
      <c r="AY49" s="12"/>
      <c r="AZ49" s="12">
        <f>SUM(AZ48:AZ48)</f>
        <v>0</v>
      </c>
      <c r="BA49" s="12"/>
      <c r="BB49" s="12"/>
      <c r="BC49" s="12">
        <f>SUM(BC48:BC48)</f>
        <v>0</v>
      </c>
      <c r="BD49" s="12"/>
      <c r="BE49" s="12"/>
      <c r="BF49" s="12">
        <f>SUM(BF48:BF48)</f>
        <v>0</v>
      </c>
      <c r="BG49" s="12"/>
      <c r="BH49" s="12"/>
      <c r="BI49" s="12">
        <f>SUM(BI48:BI48)</f>
        <v>0</v>
      </c>
      <c r="BJ49" s="12"/>
      <c r="BK49" s="12"/>
      <c r="BL49" s="12">
        <f>SUM(BL48:BL48)</f>
        <v>10400000</v>
      </c>
      <c r="BM49" s="12"/>
      <c r="BN49" s="12"/>
      <c r="BO49" s="12">
        <f>SUM(BO48:BO48)</f>
        <v>0</v>
      </c>
      <c r="BP49" s="12"/>
      <c r="BQ49" s="12"/>
      <c r="BR49" s="12"/>
      <c r="BS49" s="12"/>
      <c r="BT49" s="12"/>
      <c r="BU49" s="12"/>
      <c r="BV49" s="12"/>
      <c r="BW49" s="12"/>
      <c r="BX49" s="12">
        <f>SUM(BX48:BX48)</f>
        <v>10175000</v>
      </c>
      <c r="BY49" s="12"/>
      <c r="BZ49" s="12"/>
      <c r="CA49" s="12">
        <f>SUM(CA48:CA48)</f>
        <v>2000000</v>
      </c>
      <c r="CB49" s="12"/>
      <c r="CC49" s="12"/>
      <c r="CD49" s="12">
        <f>SUM(CD48:CD48)</f>
        <v>16500000</v>
      </c>
      <c r="CE49" s="12"/>
      <c r="CF49" s="12"/>
      <c r="CG49" s="12">
        <f>SUM(CG48:CG48)</f>
        <v>750000</v>
      </c>
      <c r="CH49" s="12"/>
      <c r="CI49" s="12"/>
      <c r="CJ49" s="12"/>
      <c r="CK49" s="12"/>
      <c r="CL49" s="12"/>
      <c r="CM49" s="12">
        <f>SUM(CM48:CM48)</f>
        <v>1500000</v>
      </c>
      <c r="CN49" s="12"/>
      <c r="CO49" s="12"/>
      <c r="CP49" s="12">
        <f>SUM(CP48:CP48)</f>
        <v>1500000</v>
      </c>
      <c r="CQ49" s="12"/>
      <c r="CR49" s="12"/>
      <c r="CS49" s="12">
        <f>SUM(CS48:CS48)</f>
        <v>0</v>
      </c>
      <c r="CT49" s="12"/>
      <c r="CU49" s="12"/>
      <c r="CV49" s="12">
        <f>SUM(CV48:CV48)</f>
        <v>4000000</v>
      </c>
      <c r="CW49" s="12"/>
      <c r="CX49" s="12"/>
      <c r="CY49" s="12">
        <f>SUM(CY48:CY48)</f>
        <v>33350000</v>
      </c>
      <c r="CZ49" s="12"/>
      <c r="DA49" s="12"/>
      <c r="DB49" s="12">
        <f>SUM(DB48:DB48)</f>
        <v>4000000</v>
      </c>
      <c r="DC49" s="12"/>
      <c r="DD49" s="12"/>
      <c r="DE49" s="12">
        <f>SUM(DE48:DE48)</f>
        <v>18675000</v>
      </c>
      <c r="DF49" s="12"/>
      <c r="DG49" s="12"/>
      <c r="DH49" s="12">
        <f>SUM(DH48:DH48)</f>
        <v>0</v>
      </c>
      <c r="DI49" s="12"/>
      <c r="DJ49" s="12"/>
      <c r="DK49" s="12">
        <f>SUM(DK48:DK48)</f>
        <v>0</v>
      </c>
      <c r="DL49" s="12"/>
      <c r="DM49" s="12"/>
      <c r="DN49" s="12">
        <f>SUM(DN48:DN48)</f>
        <v>63000000</v>
      </c>
      <c r="DO49" s="12"/>
      <c r="DP49" s="12"/>
      <c r="DQ49" s="12">
        <f>SUM(DQ48:DQ48)</f>
        <v>28737033</v>
      </c>
      <c r="DR49" s="12"/>
      <c r="DS49" s="12"/>
      <c r="DT49" s="12">
        <f>SUM(DT48:DT48)</f>
        <v>39330000</v>
      </c>
      <c r="DU49" s="12"/>
      <c r="DV49" s="12"/>
      <c r="DW49" s="12">
        <f>SUM(DW48:DW48)</f>
        <v>0</v>
      </c>
      <c r="DX49" s="12"/>
      <c r="DY49" s="12"/>
      <c r="DZ49" s="12">
        <f>SUM(DZ48:DZ48)</f>
        <v>0</v>
      </c>
      <c r="EA49" s="12"/>
      <c r="EB49" s="12"/>
      <c r="EC49" s="12">
        <f>SUM(EC48:EC48)</f>
        <v>0</v>
      </c>
      <c r="ED49" s="12"/>
      <c r="EE49" s="12"/>
      <c r="EF49" s="12">
        <f>SUM(EF48:EF48)</f>
        <v>0</v>
      </c>
      <c r="EG49" s="12"/>
      <c r="EH49" s="12"/>
      <c r="EI49" s="12">
        <f>SUM(EI48:EI48)</f>
        <v>0</v>
      </c>
      <c r="EJ49" s="12"/>
      <c r="EK49" s="12"/>
      <c r="EL49" s="12">
        <f>SUM(EL48:EL48)</f>
        <v>12075000</v>
      </c>
      <c r="EM49" s="12"/>
      <c r="EN49" s="12"/>
      <c r="EO49" s="12">
        <f>SUM(EO48:EO48)</f>
        <v>0</v>
      </c>
      <c r="EP49" s="12"/>
      <c r="EQ49" s="12"/>
      <c r="ER49" s="12">
        <f>SUM(ER48:ER48)</f>
        <v>0</v>
      </c>
      <c r="ES49" s="12"/>
      <c r="ET49" s="12"/>
      <c r="EU49" s="12">
        <f>SUM(EU48:EU48)</f>
        <v>0</v>
      </c>
      <c r="EV49" s="12"/>
      <c r="EW49" s="12"/>
      <c r="EX49" s="12">
        <f>SUM(EX48:EX48)</f>
        <v>0</v>
      </c>
      <c r="EY49" s="12"/>
      <c r="EZ49" s="12"/>
      <c r="FA49" s="12">
        <f>SUM(FA48:FA48)</f>
        <v>10000000</v>
      </c>
      <c r="FB49" s="12"/>
      <c r="FC49" s="12"/>
      <c r="FD49" s="12">
        <f>SUM(FD48:FD48)</f>
        <v>0</v>
      </c>
      <c r="FE49" s="12"/>
      <c r="FF49" s="12"/>
      <c r="FG49" s="12">
        <f>SUM(FG48:FG48)</f>
        <v>5000000</v>
      </c>
      <c r="FH49" s="12"/>
      <c r="FI49" s="12"/>
      <c r="FJ49" s="12">
        <f>SUM(FJ48:FJ48)</f>
        <v>0</v>
      </c>
      <c r="FK49" s="12"/>
    </row>
    <row r="50" spans="1:168" x14ac:dyDescent="0.25">
      <c r="A50" s="3"/>
      <c r="D50" s="12">
        <f>+D29+D31+D32+D34+D37</f>
        <v>0</v>
      </c>
      <c r="E50" s="12"/>
      <c r="F50" s="12"/>
      <c r="G50" s="12">
        <f>+G29+G31+G32+G34+G37</f>
        <v>0</v>
      </c>
      <c r="H50" s="12"/>
      <c r="I50" s="12"/>
      <c r="J50" s="12">
        <f>+J29+J31+J32+J34+J37</f>
        <v>0</v>
      </c>
      <c r="K50" s="12"/>
      <c r="L50" s="12"/>
      <c r="M50" s="12">
        <f>+M29+M31+M32+M34+M37</f>
        <v>0</v>
      </c>
      <c r="N50" s="12"/>
      <c r="O50" s="12"/>
      <c r="P50" s="12"/>
      <c r="Q50" s="12"/>
      <c r="R50" s="12"/>
      <c r="S50" s="12">
        <f>+S29+S31+S32+S34+S37</f>
        <v>0</v>
      </c>
      <c r="T50" s="12"/>
      <c r="U50" s="12"/>
      <c r="V50" s="12">
        <f>+V29+V31+V32+V34+V37</f>
        <v>0</v>
      </c>
      <c r="W50" s="12"/>
      <c r="X50" s="12"/>
      <c r="Y50" s="12">
        <f>+Y29+Y31+Y32+Y34+Y37</f>
        <v>0</v>
      </c>
      <c r="Z50" s="12"/>
      <c r="AA50" s="12"/>
      <c r="AB50" s="12">
        <f>+AB29+AB31+AB32+AB34+AB37</f>
        <v>0</v>
      </c>
      <c r="AC50" s="12"/>
      <c r="AD50" s="12"/>
      <c r="AE50" s="12">
        <f>+AE29+AE31+AE32+AE34+AE37</f>
        <v>0</v>
      </c>
      <c r="AF50" s="12"/>
      <c r="AG50" s="12"/>
      <c r="AH50" s="12">
        <f>+AH29+AH31+AH32+AH34+AH37</f>
        <v>0</v>
      </c>
      <c r="AI50" s="12"/>
      <c r="AJ50" s="12"/>
      <c r="AK50" s="12">
        <f>+AK29+AK31+AK32+AK34+AK37</f>
        <v>0</v>
      </c>
      <c r="AL50" s="12"/>
      <c r="AM50" s="12"/>
      <c r="AN50" s="12">
        <f>+AN29+AN31+AN32+AN34+AN37</f>
        <v>0</v>
      </c>
      <c r="AO50" s="12"/>
      <c r="AP50" s="12"/>
      <c r="AQ50" s="12">
        <f>+AQ29+AQ31+AQ32+AQ34+AQ37</f>
        <v>0</v>
      </c>
      <c r="AR50" s="12"/>
      <c r="AS50" s="601"/>
      <c r="AT50" s="12">
        <f>+AT29+AT31+AT32+AT34+AT37</f>
        <v>0</v>
      </c>
      <c r="AU50" s="12"/>
      <c r="AV50" s="601"/>
      <c r="AW50" s="12">
        <f>+AW29+AW31+AW32+AW34+AW37</f>
        <v>0</v>
      </c>
      <c r="AX50" s="12"/>
      <c r="AY50" s="12"/>
      <c r="AZ50" s="12">
        <f>+AZ29+AZ31+AZ32+AZ34+AZ37</f>
        <v>0</v>
      </c>
      <c r="BA50" s="12"/>
      <c r="BB50" s="12"/>
      <c r="BC50" s="12">
        <f>+BC29+BC31+BC32+BC34+BC37</f>
        <v>0</v>
      </c>
      <c r="BD50" s="12"/>
      <c r="BE50" s="12"/>
      <c r="BF50" s="12">
        <f>+BF29+BF31+BF32+BF34+BF37</f>
        <v>0</v>
      </c>
      <c r="BG50" s="12"/>
      <c r="BH50" s="12"/>
      <c r="BI50" s="12">
        <f>+BI29+BI31+BI32+BI34+BI37</f>
        <v>0</v>
      </c>
      <c r="BJ50" s="12"/>
      <c r="BK50" s="12"/>
      <c r="BL50" s="12">
        <f>+BL29+BL31+BL32+BL34+BL37</f>
        <v>0</v>
      </c>
      <c r="BM50" s="12"/>
      <c r="BN50" s="12"/>
      <c r="BO50" s="12">
        <f>+BO29+BO31+BO32+BO34+BO37</f>
        <v>0</v>
      </c>
      <c r="BP50" s="12"/>
      <c r="BQ50" s="12"/>
      <c r="BR50" s="12"/>
      <c r="BS50" s="12"/>
      <c r="BT50" s="12"/>
      <c r="BU50" s="12"/>
      <c r="BV50" s="12"/>
      <c r="BW50" s="12"/>
      <c r="BX50" s="12">
        <f>+BX29+BX31+BX32+BX34+BX37</f>
        <v>0</v>
      </c>
      <c r="BY50" s="12"/>
      <c r="BZ50" s="12"/>
      <c r="CA50" s="12">
        <f>+CA29+CA31+CA32+CA34+CA37</f>
        <v>0</v>
      </c>
      <c r="CB50" s="12"/>
      <c r="CC50" s="12"/>
      <c r="CD50" s="12">
        <f>+CD29+CD31+CD32+CD34+CD37</f>
        <v>0</v>
      </c>
      <c r="CE50" s="12"/>
      <c r="CF50" s="12"/>
      <c r="CG50" s="12">
        <f>+CG29+CG31+CG32+CG34+CG37</f>
        <v>0</v>
      </c>
      <c r="CH50" s="12"/>
      <c r="CI50" s="12"/>
      <c r="CJ50" s="12"/>
      <c r="CK50" s="12"/>
      <c r="CL50" s="12"/>
      <c r="CM50" s="12">
        <f>+CM29+CM31+CM32+CM34+CM37</f>
        <v>0</v>
      </c>
      <c r="CN50" s="12"/>
      <c r="CO50" s="12"/>
      <c r="CP50" s="12">
        <f>+CP29+CP31+CP32+CP34+CP37</f>
        <v>0</v>
      </c>
      <c r="CQ50" s="12"/>
      <c r="CR50" s="12"/>
      <c r="CS50" s="12">
        <f>+CS29+CS31+CS32+CS34+CS37</f>
        <v>0</v>
      </c>
      <c r="CT50" s="12"/>
      <c r="CU50" s="12"/>
      <c r="CV50" s="12">
        <f>+CV29+CV31+CV32+CV34+CV37</f>
        <v>0</v>
      </c>
      <c r="CW50" s="12"/>
      <c r="CX50" s="12"/>
      <c r="CY50" s="12">
        <f>+CY29+CY31+CY32+CY34+CY37</f>
        <v>0</v>
      </c>
      <c r="CZ50" s="12"/>
      <c r="DA50" s="12"/>
      <c r="DB50" s="12">
        <f>+DB29+DB31+DB32+DB34+DB37</f>
        <v>0</v>
      </c>
      <c r="DC50" s="12"/>
      <c r="DD50" s="12"/>
      <c r="DE50" s="12">
        <f>+DE29+DE31+DE32+DE34+DE37</f>
        <v>0</v>
      </c>
      <c r="DF50" s="12"/>
      <c r="DG50" s="12"/>
      <c r="DH50" s="12"/>
      <c r="DI50" s="12"/>
      <c r="DJ50" s="12"/>
      <c r="DK50" s="12">
        <f>+DK29+DK31+DK32+DK34+DK37</f>
        <v>0</v>
      </c>
      <c r="DL50" s="12"/>
      <c r="DM50" s="12"/>
      <c r="DN50" s="12">
        <f>+DN29+DN31+DN32+DN34+DN37</f>
        <v>0</v>
      </c>
      <c r="DO50" s="12"/>
      <c r="DP50" s="12"/>
      <c r="DQ50" s="12">
        <f>+DQ29+DQ31+DQ32+DQ34+DQ37</f>
        <v>0</v>
      </c>
      <c r="DR50" s="12"/>
      <c r="DS50" s="12"/>
      <c r="DT50" s="12">
        <f>+DT29+DT31+DT32+DT34+DT37</f>
        <v>0</v>
      </c>
      <c r="DU50" s="12"/>
      <c r="DV50" s="12"/>
      <c r="DW50" s="12">
        <f>+DW29+DW31+DW32+DW34+DW37</f>
        <v>0</v>
      </c>
      <c r="DX50" s="12"/>
      <c r="DY50" s="12"/>
      <c r="DZ50" s="12">
        <f>+DZ29+DZ31+DZ32+DZ34+DZ37</f>
        <v>0</v>
      </c>
      <c r="EA50" s="12"/>
      <c r="EB50" s="12"/>
      <c r="EC50" s="12">
        <f>+EC29+EC31+EC32+EC34+EC37</f>
        <v>0</v>
      </c>
      <c r="ED50" s="12"/>
      <c r="EE50" s="12"/>
      <c r="EF50" s="12">
        <f>+EF29+EF31+EF32+EF34+EF37</f>
        <v>0</v>
      </c>
      <c r="EG50" s="12"/>
      <c r="EH50" s="12"/>
      <c r="EI50" s="12">
        <f>+EI29+EI31+EI32+EI34+EI37</f>
        <v>25000000</v>
      </c>
      <c r="EJ50" s="12"/>
      <c r="EK50" s="12"/>
      <c r="EL50" s="12">
        <f>+EL29+EL31+EL32+EL34+EL37</f>
        <v>0</v>
      </c>
      <c r="EM50" s="12"/>
      <c r="EN50" s="12"/>
      <c r="EO50" s="12">
        <f>+EO29+EO31+EO32+EO34+EO37</f>
        <v>0</v>
      </c>
      <c r="EP50" s="12"/>
      <c r="EQ50" s="12"/>
      <c r="ER50" s="12">
        <f>+ER29+ER31+ER32+ER34+ER37</f>
        <v>0</v>
      </c>
      <c r="ES50" s="12"/>
      <c r="ET50" s="12"/>
      <c r="EU50" s="12">
        <f>+EU29+EU31+EU32+EU34+EU37</f>
        <v>0</v>
      </c>
      <c r="EV50" s="12"/>
      <c r="EW50" s="12"/>
      <c r="EX50" s="12">
        <f>+EX29+EX31+EX32+EX34+EX37</f>
        <v>0</v>
      </c>
      <c r="EY50" s="12"/>
      <c r="EZ50" s="12"/>
      <c r="FA50" s="12">
        <f>+FA29+FA31+FA32+FA34+FA37</f>
        <v>0</v>
      </c>
      <c r="FB50" s="12"/>
      <c r="FC50" s="12"/>
      <c r="FD50" s="12">
        <f>+FD29+FD31+FD32+FD34+FD37</f>
        <v>0</v>
      </c>
      <c r="FE50" s="12"/>
      <c r="FF50" s="12"/>
      <c r="FG50" s="12">
        <f>+FG29+FG31+FG32+FG34+FG37</f>
        <v>0</v>
      </c>
      <c r="FH50" s="12"/>
      <c r="FI50" s="12"/>
      <c r="FJ50" s="12">
        <f>+FJ29+FJ31+FJ32+FJ34+FJ37</f>
        <v>0</v>
      </c>
      <c r="FK50" s="12"/>
    </row>
    <row r="51" spans="1:168" x14ac:dyDescent="0.25">
      <c r="A51" s="3"/>
      <c r="D51" s="12">
        <f>+D44</f>
        <v>0</v>
      </c>
      <c r="E51" s="12"/>
      <c r="F51" s="12"/>
      <c r="G51" s="12">
        <f>+G44</f>
        <v>0</v>
      </c>
      <c r="H51" s="12"/>
      <c r="I51" s="12"/>
      <c r="J51" s="12">
        <f>+J44</f>
        <v>0</v>
      </c>
      <c r="K51" s="12"/>
      <c r="L51" s="12"/>
      <c r="M51" s="12">
        <f>+M44</f>
        <v>0</v>
      </c>
      <c r="N51" s="12"/>
      <c r="O51" s="12"/>
      <c r="P51" s="12"/>
      <c r="Q51" s="12"/>
      <c r="R51" s="12"/>
      <c r="S51" s="12">
        <f>+S44</f>
        <v>0</v>
      </c>
      <c r="T51" s="12"/>
      <c r="U51" s="12"/>
      <c r="V51" s="12">
        <f>+V44</f>
        <v>0</v>
      </c>
      <c r="W51" s="12"/>
      <c r="X51" s="12"/>
      <c r="Y51" s="12">
        <f>+Y44</f>
        <v>0</v>
      </c>
      <c r="Z51" s="12"/>
      <c r="AA51" s="12"/>
      <c r="AB51" s="12">
        <f>+AB44</f>
        <v>0</v>
      </c>
      <c r="AC51" s="12"/>
      <c r="AD51" s="12"/>
      <c r="AE51" s="12">
        <f>+AE44</f>
        <v>0</v>
      </c>
      <c r="AF51" s="12"/>
      <c r="AG51" s="12"/>
      <c r="AH51" s="12">
        <f>+AH44</f>
        <v>0</v>
      </c>
      <c r="AI51" s="12"/>
      <c r="AJ51" s="12"/>
      <c r="AK51" s="12">
        <f>+AK44</f>
        <v>0</v>
      </c>
      <c r="AL51" s="12"/>
      <c r="AM51" s="12"/>
      <c r="AN51" s="12">
        <f>+AN44</f>
        <v>0</v>
      </c>
      <c r="AO51" s="12"/>
      <c r="AP51" s="12"/>
      <c r="AQ51" s="12">
        <f>+AQ44</f>
        <v>0</v>
      </c>
      <c r="AR51" s="12"/>
      <c r="AS51" s="601"/>
      <c r="AT51" s="12">
        <f>+AT44</f>
        <v>0</v>
      </c>
      <c r="AU51" s="12"/>
      <c r="AV51" s="601"/>
      <c r="AW51" s="12">
        <f>+AW44</f>
        <v>0</v>
      </c>
      <c r="AX51" s="12"/>
      <c r="AY51" s="12"/>
      <c r="AZ51" s="12">
        <f>+AZ44</f>
        <v>0</v>
      </c>
      <c r="BA51" s="12"/>
      <c r="BB51" s="12"/>
      <c r="BC51" s="12">
        <f>+BC44</f>
        <v>0</v>
      </c>
      <c r="BD51" s="12"/>
      <c r="BE51" s="12"/>
      <c r="BF51" s="12">
        <f>+BF44</f>
        <v>0</v>
      </c>
      <c r="BG51" s="12"/>
      <c r="BH51" s="12"/>
      <c r="BI51" s="12">
        <f>+BI44</f>
        <v>0</v>
      </c>
      <c r="BJ51" s="12"/>
      <c r="BK51" s="12"/>
      <c r="BL51" s="12">
        <f>+BL44</f>
        <v>0</v>
      </c>
      <c r="BM51" s="12"/>
      <c r="BN51" s="12"/>
      <c r="BO51" s="12">
        <f>+BO44</f>
        <v>0</v>
      </c>
      <c r="BP51" s="12"/>
      <c r="BQ51" s="12"/>
      <c r="BR51" s="12"/>
      <c r="BS51" s="12"/>
      <c r="BT51" s="12"/>
      <c r="BU51" s="12"/>
      <c r="BV51" s="12"/>
      <c r="BW51" s="12"/>
      <c r="BX51" s="12">
        <f>+BX44</f>
        <v>0</v>
      </c>
      <c r="BY51" s="12"/>
      <c r="BZ51" s="12"/>
      <c r="CA51" s="12">
        <f>+CA44</f>
        <v>0</v>
      </c>
      <c r="CB51" s="12"/>
      <c r="CC51" s="12"/>
      <c r="CD51" s="12">
        <f>+CD44</f>
        <v>0</v>
      </c>
      <c r="CE51" s="12"/>
      <c r="CF51" s="12"/>
      <c r="CG51" s="12">
        <f>+CG44</f>
        <v>0</v>
      </c>
      <c r="CH51" s="12"/>
      <c r="CI51" s="12"/>
      <c r="CJ51" s="12"/>
      <c r="CK51" s="12"/>
      <c r="CL51" s="12"/>
      <c r="CM51" s="12">
        <f>+CM44</f>
        <v>0</v>
      </c>
      <c r="CN51" s="12"/>
      <c r="CO51" s="12"/>
      <c r="CP51" s="12">
        <f>+CP44</f>
        <v>0</v>
      </c>
      <c r="CQ51" s="12"/>
      <c r="CR51" s="12"/>
      <c r="CS51" s="12">
        <f>+CS44</f>
        <v>0</v>
      </c>
      <c r="CT51" s="12"/>
      <c r="CU51" s="12"/>
      <c r="CV51" s="12">
        <f>+CV44</f>
        <v>0</v>
      </c>
      <c r="CW51" s="12"/>
      <c r="CX51" s="12"/>
      <c r="CY51" s="12">
        <f>+CY44</f>
        <v>0</v>
      </c>
      <c r="CZ51" s="12"/>
      <c r="DA51" s="12"/>
      <c r="DB51" s="12">
        <f>+DB44</f>
        <v>0</v>
      </c>
      <c r="DC51" s="12"/>
      <c r="DD51" s="12"/>
      <c r="DE51" s="12">
        <f>+DE44</f>
        <v>0</v>
      </c>
      <c r="DF51" s="12"/>
      <c r="DG51" s="12"/>
      <c r="DH51" s="12"/>
      <c r="DI51" s="12"/>
      <c r="DJ51" s="12"/>
      <c r="DK51" s="12">
        <f>+DK44</f>
        <v>0</v>
      </c>
      <c r="DL51" s="12"/>
      <c r="DM51" s="12"/>
      <c r="DN51" s="12">
        <f>+DN44</f>
        <v>0</v>
      </c>
      <c r="DO51" s="12"/>
      <c r="DP51" s="12"/>
      <c r="DQ51" s="12">
        <f>+DQ44</f>
        <v>0</v>
      </c>
      <c r="DR51" s="12"/>
      <c r="DS51" s="12"/>
      <c r="DT51" s="12">
        <f>+DT44</f>
        <v>0</v>
      </c>
      <c r="DU51" s="12"/>
      <c r="DV51" s="12"/>
      <c r="DW51" s="12">
        <f>+DW44</f>
        <v>0</v>
      </c>
      <c r="DX51" s="12"/>
      <c r="DY51" s="12"/>
      <c r="DZ51" s="12">
        <f>+DZ44</f>
        <v>0</v>
      </c>
      <c r="EA51" s="12"/>
      <c r="EB51" s="12"/>
      <c r="EC51" s="12">
        <f>+EC44</f>
        <v>0</v>
      </c>
      <c r="ED51" s="12"/>
      <c r="EE51" s="12"/>
      <c r="EF51" s="12">
        <f>+EF44</f>
        <v>0</v>
      </c>
      <c r="EG51" s="12"/>
      <c r="EH51" s="12"/>
      <c r="EI51" s="12">
        <f>+EI44</f>
        <v>25000000</v>
      </c>
      <c r="EJ51" s="12"/>
      <c r="EK51" s="12"/>
      <c r="EL51" s="12">
        <f>+EL44</f>
        <v>0</v>
      </c>
      <c r="EM51" s="12"/>
      <c r="EN51" s="12"/>
      <c r="EO51" s="12">
        <f>+EO44</f>
        <v>0</v>
      </c>
      <c r="EP51" s="12"/>
      <c r="EQ51" s="12"/>
      <c r="ER51" s="12">
        <f>+ER44</f>
        <v>0</v>
      </c>
      <c r="ES51" s="12"/>
      <c r="ET51" s="12"/>
      <c r="EU51" s="12">
        <f>+EU44</f>
        <v>0</v>
      </c>
      <c r="EV51" s="12"/>
      <c r="EW51" s="12"/>
      <c r="EX51" s="12">
        <f>+EX44</f>
        <v>0</v>
      </c>
      <c r="EY51" s="12"/>
      <c r="EZ51" s="12"/>
      <c r="FA51" s="12">
        <f>+FA44</f>
        <v>0</v>
      </c>
      <c r="FB51" s="12"/>
      <c r="FC51" s="12"/>
      <c r="FD51" s="12">
        <f>+FD44</f>
        <v>0</v>
      </c>
      <c r="FE51" s="12"/>
      <c r="FF51" s="12"/>
      <c r="FG51" s="12">
        <f>+FG44</f>
        <v>0</v>
      </c>
      <c r="FH51" s="12"/>
      <c r="FI51" s="12"/>
      <c r="FJ51" s="12">
        <f>+FJ44</f>
        <v>0</v>
      </c>
      <c r="FK51" s="12"/>
    </row>
    <row r="52" spans="1:168" x14ac:dyDescent="0.25">
      <c r="A52" s="3"/>
      <c r="D52" s="12">
        <f>+D50-D51</f>
        <v>0</v>
      </c>
      <c r="E52" s="12"/>
      <c r="F52" s="12"/>
      <c r="G52" s="12">
        <f>+G50-G51</f>
        <v>0</v>
      </c>
      <c r="H52" s="12"/>
      <c r="I52" s="12"/>
      <c r="J52" s="12">
        <f>+J50-J51</f>
        <v>0</v>
      </c>
      <c r="K52" s="12"/>
      <c r="L52" s="12"/>
      <c r="M52" s="12">
        <f>+M50-M51</f>
        <v>0</v>
      </c>
      <c r="N52" s="12"/>
      <c r="O52" s="12"/>
      <c r="P52" s="12"/>
      <c r="Q52" s="12"/>
      <c r="R52" s="12"/>
      <c r="S52" s="12">
        <f>+S50-S51</f>
        <v>0</v>
      </c>
      <c r="T52" s="12"/>
      <c r="U52" s="12"/>
      <c r="V52" s="12">
        <f>+V50-V51</f>
        <v>0</v>
      </c>
      <c r="W52" s="12"/>
      <c r="X52" s="12"/>
      <c r="Y52" s="12">
        <f>+Y50-Y51</f>
        <v>0</v>
      </c>
      <c r="Z52" s="12"/>
      <c r="AA52" s="12"/>
      <c r="AB52" s="12">
        <f>+AB50-AB51</f>
        <v>0</v>
      </c>
      <c r="AC52" s="12"/>
      <c r="AD52" s="12"/>
      <c r="AE52" s="12">
        <f>+AE50-AE51</f>
        <v>0</v>
      </c>
      <c r="AF52" s="12"/>
      <c r="AG52" s="12"/>
      <c r="AH52" s="12">
        <f>+AH50-AH51</f>
        <v>0</v>
      </c>
      <c r="AI52" s="12"/>
      <c r="AJ52" s="12"/>
      <c r="AK52" s="12">
        <f>+AK50-AK51</f>
        <v>0</v>
      </c>
      <c r="AL52" s="12"/>
      <c r="AM52" s="12"/>
      <c r="AN52" s="12">
        <f>+AN50-AN51</f>
        <v>0</v>
      </c>
      <c r="AO52" s="12"/>
      <c r="AP52" s="12"/>
      <c r="AQ52" s="12">
        <f>+AQ50-AQ51</f>
        <v>0</v>
      </c>
      <c r="AR52" s="12"/>
      <c r="AS52" s="601"/>
      <c r="AT52" s="12">
        <f>+AT50-AT51</f>
        <v>0</v>
      </c>
      <c r="AU52" s="12"/>
      <c r="AV52" s="601"/>
      <c r="AW52" s="12">
        <f>+AW50-AW51</f>
        <v>0</v>
      </c>
      <c r="AX52" s="12"/>
      <c r="AY52" s="12"/>
      <c r="AZ52" s="12">
        <f>+AZ50-AZ51</f>
        <v>0</v>
      </c>
      <c r="BA52" s="12"/>
      <c r="BB52" s="12"/>
      <c r="BC52" s="12">
        <f>+BC50-BC51</f>
        <v>0</v>
      </c>
      <c r="BD52" s="12"/>
      <c r="BE52" s="12"/>
      <c r="BF52" s="12">
        <f>+BF50-BF51</f>
        <v>0</v>
      </c>
      <c r="BG52" s="12"/>
      <c r="BH52" s="12"/>
      <c r="BI52" s="12">
        <f>+BI50-BI51</f>
        <v>0</v>
      </c>
      <c r="BJ52" s="12"/>
      <c r="BK52" s="12"/>
      <c r="BL52" s="12">
        <f>+BL50-BL51</f>
        <v>0</v>
      </c>
      <c r="BM52" s="12"/>
      <c r="BN52" s="12"/>
      <c r="BO52" s="12">
        <f>+BO50-BO51</f>
        <v>0</v>
      </c>
      <c r="BP52" s="12"/>
      <c r="BQ52" s="12"/>
      <c r="BR52" s="12"/>
      <c r="BS52" s="12"/>
      <c r="BT52" s="12"/>
      <c r="BU52" s="12"/>
      <c r="BV52" s="12"/>
      <c r="BW52" s="12"/>
      <c r="BX52" s="12">
        <f>+BX50-BX51</f>
        <v>0</v>
      </c>
      <c r="BY52" s="12"/>
      <c r="BZ52" s="12"/>
      <c r="CA52" s="12">
        <f>+CA50-CA51</f>
        <v>0</v>
      </c>
      <c r="CB52" s="12"/>
      <c r="CC52" s="12"/>
      <c r="CD52" s="12">
        <f>+CD50-CD51</f>
        <v>0</v>
      </c>
      <c r="CE52" s="12"/>
      <c r="CF52" s="12"/>
      <c r="CG52" s="12">
        <f>+CG50-CG51</f>
        <v>0</v>
      </c>
      <c r="CH52" s="12"/>
      <c r="CI52" s="12"/>
      <c r="CJ52" s="12"/>
      <c r="CK52" s="12"/>
      <c r="CL52" s="12"/>
      <c r="CM52" s="12">
        <f>+CM50-CM51</f>
        <v>0</v>
      </c>
      <c r="CN52" s="12"/>
      <c r="CO52" s="12"/>
      <c r="CP52" s="12">
        <f>+CP50-CP51</f>
        <v>0</v>
      </c>
      <c r="CQ52" s="12"/>
      <c r="CR52" s="12"/>
      <c r="CS52" s="12">
        <f>+CS50-CS51</f>
        <v>0</v>
      </c>
      <c r="CT52" s="12"/>
      <c r="CU52" s="12"/>
      <c r="CV52" s="12">
        <f>+CV50-CV51</f>
        <v>0</v>
      </c>
      <c r="CW52" s="12"/>
      <c r="CX52" s="12"/>
      <c r="CY52" s="12">
        <f>+CY50-CY51</f>
        <v>0</v>
      </c>
      <c r="CZ52" s="12"/>
      <c r="DA52" s="12"/>
      <c r="DB52" s="12">
        <f>+DB50-DB51</f>
        <v>0</v>
      </c>
      <c r="DC52" s="12"/>
      <c r="DD52" s="12"/>
      <c r="DE52" s="12">
        <f>+DE50-DE51</f>
        <v>0</v>
      </c>
      <c r="DF52" s="12"/>
      <c r="DG52" s="12"/>
      <c r="DH52" s="12"/>
      <c r="DI52" s="12"/>
      <c r="DJ52" s="12"/>
      <c r="DK52" s="12">
        <f>+DK50-DK51</f>
        <v>0</v>
      </c>
      <c r="DL52" s="12"/>
      <c r="DM52" s="12"/>
      <c r="DN52" s="12">
        <f>+DN50-DN51</f>
        <v>0</v>
      </c>
      <c r="DO52" s="12"/>
      <c r="DP52" s="12"/>
      <c r="DQ52" s="12">
        <f>+DQ50-DQ51</f>
        <v>0</v>
      </c>
      <c r="DR52" s="12"/>
      <c r="DS52" s="12"/>
      <c r="DT52" s="12">
        <f>+DT50-DT51</f>
        <v>0</v>
      </c>
      <c r="DU52" s="12"/>
      <c r="DV52" s="12"/>
      <c r="DW52" s="12">
        <f>+DW50-DW51</f>
        <v>0</v>
      </c>
      <c r="DX52" s="12"/>
      <c r="DY52" s="12"/>
      <c r="DZ52" s="12">
        <f>+DZ50-DZ51</f>
        <v>0</v>
      </c>
      <c r="EA52" s="12"/>
      <c r="EB52" s="12"/>
      <c r="EC52" s="12">
        <f>+EC50-EC51</f>
        <v>0</v>
      </c>
      <c r="ED52" s="12"/>
      <c r="EE52" s="12"/>
      <c r="EF52" s="12">
        <f>+EF50-EF51</f>
        <v>0</v>
      </c>
      <c r="EG52" s="12"/>
      <c r="EH52" s="12"/>
      <c r="EI52" s="12">
        <f>+EI50-EI51</f>
        <v>0</v>
      </c>
      <c r="EJ52" s="12"/>
      <c r="EK52" s="12"/>
      <c r="EL52" s="12">
        <f>+EL50-EL51</f>
        <v>0</v>
      </c>
      <c r="EM52" s="12"/>
      <c r="EN52" s="12"/>
      <c r="EO52" s="12">
        <f>+EO50-EO51</f>
        <v>0</v>
      </c>
      <c r="EP52" s="12"/>
      <c r="EQ52" s="12"/>
      <c r="ER52" s="12">
        <f>+ER50-ER51</f>
        <v>0</v>
      </c>
      <c r="ES52" s="12"/>
      <c r="ET52" s="12"/>
      <c r="EU52" s="12">
        <f>+EU50-EU51</f>
        <v>0</v>
      </c>
      <c r="EV52" s="12"/>
      <c r="EW52" s="12"/>
      <c r="EX52" s="12">
        <f>+EX50-EX51</f>
        <v>0</v>
      </c>
      <c r="EY52" s="12"/>
      <c r="EZ52" s="12"/>
      <c r="FA52" s="12">
        <f>+FA50-FA51</f>
        <v>0</v>
      </c>
      <c r="FB52" s="12"/>
      <c r="FC52" s="12"/>
      <c r="FD52" s="12">
        <f>+FD50-FD51</f>
        <v>0</v>
      </c>
      <c r="FE52" s="12"/>
      <c r="FF52" s="12"/>
      <c r="FG52" s="12">
        <f>+FG50-FG51</f>
        <v>0</v>
      </c>
      <c r="FH52" s="12"/>
      <c r="FI52" s="12"/>
      <c r="FJ52" s="12">
        <f>+FJ50-FJ51</f>
        <v>0</v>
      </c>
      <c r="FK52" s="12"/>
    </row>
    <row r="53" spans="1:168" x14ac:dyDescent="0.25">
      <c r="A53" s="3"/>
      <c r="D53" s="12">
        <f>+D20+D21</f>
        <v>39770000</v>
      </c>
      <c r="E53" s="12">
        <f t="shared" ref="E53:BP53" si="46">+E20+E21</f>
        <v>211901682</v>
      </c>
      <c r="F53" s="12">
        <f t="shared" si="46"/>
        <v>199859141</v>
      </c>
      <c r="G53" s="12">
        <f t="shared" si="46"/>
        <v>15500000</v>
      </c>
      <c r="H53" s="12">
        <f t="shared" si="46"/>
        <v>87594672</v>
      </c>
      <c r="I53" s="12">
        <f t="shared" si="46"/>
        <v>81452291</v>
      </c>
      <c r="J53" s="12">
        <f t="shared" si="46"/>
        <v>0</v>
      </c>
      <c r="K53" s="12">
        <f t="shared" si="46"/>
        <v>0</v>
      </c>
      <c r="L53" s="12">
        <f t="shared" si="46"/>
        <v>0</v>
      </c>
      <c r="M53" s="12">
        <f t="shared" si="46"/>
        <v>0</v>
      </c>
      <c r="N53" s="12">
        <f t="shared" si="46"/>
        <v>0</v>
      </c>
      <c r="O53" s="12">
        <f t="shared" si="46"/>
        <v>0</v>
      </c>
      <c r="P53" s="12">
        <f t="shared" si="46"/>
        <v>1000000</v>
      </c>
      <c r="Q53" s="12">
        <f t="shared" si="46"/>
        <v>1892500</v>
      </c>
      <c r="R53" s="12">
        <f t="shared" si="46"/>
        <v>1753134</v>
      </c>
      <c r="S53" s="12">
        <f t="shared" si="46"/>
        <v>0</v>
      </c>
      <c r="T53" s="12">
        <f t="shared" si="46"/>
        <v>1000000</v>
      </c>
      <c r="U53" s="12">
        <f t="shared" si="46"/>
        <v>980000</v>
      </c>
      <c r="V53" s="12">
        <f t="shared" si="46"/>
        <v>18000000</v>
      </c>
      <c r="W53" s="12">
        <f t="shared" si="46"/>
        <v>28544184</v>
      </c>
      <c r="X53" s="12">
        <f t="shared" si="46"/>
        <v>27723964</v>
      </c>
      <c r="Y53" s="12">
        <f t="shared" si="46"/>
        <v>0</v>
      </c>
      <c r="Z53" s="12">
        <f t="shared" si="46"/>
        <v>0</v>
      </c>
      <c r="AA53" s="12">
        <f t="shared" si="46"/>
        <v>0</v>
      </c>
      <c r="AB53" s="12">
        <f t="shared" si="46"/>
        <v>2250000</v>
      </c>
      <c r="AC53" s="12">
        <f t="shared" si="46"/>
        <v>2250000</v>
      </c>
      <c r="AD53" s="12">
        <f t="shared" si="46"/>
        <v>1059600</v>
      </c>
      <c r="AE53" s="12">
        <f t="shared" si="46"/>
        <v>500000</v>
      </c>
      <c r="AF53" s="12">
        <f t="shared" si="46"/>
        <v>1000000</v>
      </c>
      <c r="AG53" s="12">
        <f t="shared" si="46"/>
        <v>750000</v>
      </c>
      <c r="AH53" s="12">
        <f t="shared" si="46"/>
        <v>0</v>
      </c>
      <c r="AI53" s="12">
        <f t="shared" si="46"/>
        <v>2000000</v>
      </c>
      <c r="AJ53" s="12">
        <f t="shared" si="46"/>
        <v>2000000</v>
      </c>
      <c r="AK53" s="12">
        <f t="shared" si="46"/>
        <v>5656409</v>
      </c>
      <c r="AL53" s="12">
        <f t="shared" si="46"/>
        <v>8656409</v>
      </c>
      <c r="AM53" s="12">
        <f t="shared" si="46"/>
        <v>4082511</v>
      </c>
      <c r="AN53" s="12">
        <f t="shared" si="46"/>
        <v>434404592</v>
      </c>
      <c r="AO53" s="12">
        <f t="shared" si="46"/>
        <v>566910592</v>
      </c>
      <c r="AP53" s="12">
        <f t="shared" si="46"/>
        <v>550856930</v>
      </c>
      <c r="AQ53" s="12">
        <f t="shared" si="46"/>
        <v>228000</v>
      </c>
      <c r="AR53" s="12">
        <f t="shared" si="46"/>
        <v>4148000</v>
      </c>
      <c r="AS53" s="12">
        <f t="shared" si="46"/>
        <v>4070000</v>
      </c>
      <c r="AT53" s="12">
        <f t="shared" si="46"/>
        <v>0</v>
      </c>
      <c r="AU53" s="12">
        <f t="shared" si="46"/>
        <v>1990000</v>
      </c>
      <c r="AV53" s="12">
        <f t="shared" si="46"/>
        <v>1990000</v>
      </c>
      <c r="AW53" s="12">
        <f t="shared" si="46"/>
        <v>0</v>
      </c>
      <c r="AX53" s="12">
        <f t="shared" si="46"/>
        <v>700000</v>
      </c>
      <c r="AY53" s="12">
        <f t="shared" si="46"/>
        <v>700000</v>
      </c>
      <c r="AZ53" s="12">
        <f t="shared" si="46"/>
        <v>0</v>
      </c>
      <c r="BA53" s="12">
        <f t="shared" si="46"/>
        <v>13409000</v>
      </c>
      <c r="BB53" s="12">
        <f t="shared" si="46"/>
        <v>13405000</v>
      </c>
      <c r="BC53" s="12">
        <f t="shared" si="46"/>
        <v>0</v>
      </c>
      <c r="BD53" s="12">
        <f t="shared" si="46"/>
        <v>1660000</v>
      </c>
      <c r="BE53" s="12">
        <f t="shared" si="46"/>
        <v>1660000</v>
      </c>
      <c r="BF53" s="12">
        <f t="shared" si="46"/>
        <v>3600000</v>
      </c>
      <c r="BG53" s="12">
        <f t="shared" si="46"/>
        <v>3600000</v>
      </c>
      <c r="BH53" s="12">
        <f t="shared" si="46"/>
        <v>3600000</v>
      </c>
      <c r="BI53" s="12">
        <f t="shared" si="46"/>
        <v>70000</v>
      </c>
      <c r="BJ53" s="12">
        <f t="shared" si="46"/>
        <v>1080000</v>
      </c>
      <c r="BK53" s="12">
        <f t="shared" si="46"/>
        <v>1080000</v>
      </c>
      <c r="BL53" s="12">
        <f t="shared" si="46"/>
        <v>25600000</v>
      </c>
      <c r="BM53" s="12">
        <f t="shared" si="46"/>
        <v>36000000</v>
      </c>
      <c r="BN53" s="12">
        <f t="shared" si="46"/>
        <v>35916000</v>
      </c>
      <c r="BO53" s="12">
        <f t="shared" si="46"/>
        <v>3000000</v>
      </c>
      <c r="BP53" s="12">
        <f t="shared" si="46"/>
        <v>3160000</v>
      </c>
      <c r="BQ53" s="12">
        <f t="shared" ref="BQ53:EB53" si="47">+BQ20+BQ21</f>
        <v>3100000</v>
      </c>
      <c r="BR53" s="12">
        <f t="shared" si="47"/>
        <v>74975047</v>
      </c>
      <c r="BS53" s="12">
        <f t="shared" si="47"/>
        <v>74929016</v>
      </c>
      <c r="BT53" s="12">
        <f t="shared" si="47"/>
        <v>68395471</v>
      </c>
      <c r="BU53" s="12">
        <f t="shared" si="47"/>
        <v>4042988</v>
      </c>
      <c r="BV53" s="12">
        <f t="shared" si="47"/>
        <v>9866930</v>
      </c>
      <c r="BW53" s="12">
        <f t="shared" si="47"/>
        <v>9756548</v>
      </c>
      <c r="BX53" s="12">
        <f t="shared" si="47"/>
        <v>11175000</v>
      </c>
      <c r="BY53" s="12">
        <f t="shared" si="47"/>
        <v>17550000</v>
      </c>
      <c r="BZ53" s="12">
        <f t="shared" si="47"/>
        <v>17550000</v>
      </c>
      <c r="CA53" s="12">
        <f t="shared" si="47"/>
        <v>2000000</v>
      </c>
      <c r="CB53" s="12">
        <f t="shared" si="47"/>
        <v>2600000</v>
      </c>
      <c r="CC53" s="12">
        <f t="shared" si="47"/>
        <v>766215</v>
      </c>
      <c r="CD53" s="12">
        <f t="shared" si="47"/>
        <v>16500000</v>
      </c>
      <c r="CE53" s="12">
        <f t="shared" si="47"/>
        <v>30040000</v>
      </c>
      <c r="CF53" s="12">
        <f t="shared" si="47"/>
        <v>26100697</v>
      </c>
      <c r="CG53" s="12">
        <f t="shared" si="47"/>
        <v>750000</v>
      </c>
      <c r="CH53" s="12">
        <f t="shared" si="47"/>
        <v>1850000</v>
      </c>
      <c r="CI53" s="12">
        <f t="shared" si="47"/>
        <v>1447307</v>
      </c>
      <c r="CJ53" s="12">
        <f t="shared" si="47"/>
        <v>1000000</v>
      </c>
      <c r="CK53" s="12">
        <f t="shared" si="47"/>
        <v>2000000</v>
      </c>
      <c r="CL53" s="12">
        <f t="shared" si="47"/>
        <v>1775018</v>
      </c>
      <c r="CM53" s="12">
        <f t="shared" si="47"/>
        <v>1504500</v>
      </c>
      <c r="CN53" s="12">
        <f t="shared" si="47"/>
        <v>5545500</v>
      </c>
      <c r="CO53" s="12">
        <f t="shared" si="47"/>
        <v>3109838</v>
      </c>
      <c r="CP53" s="12">
        <f t="shared" si="47"/>
        <v>1500000</v>
      </c>
      <c r="CQ53" s="12">
        <f t="shared" si="47"/>
        <v>3000000</v>
      </c>
      <c r="CR53" s="12">
        <f t="shared" si="47"/>
        <v>2102900</v>
      </c>
      <c r="CS53" s="12">
        <f t="shared" si="47"/>
        <v>500000</v>
      </c>
      <c r="CT53" s="12">
        <f t="shared" si="47"/>
        <v>600000</v>
      </c>
      <c r="CU53" s="12">
        <f t="shared" si="47"/>
        <v>600000</v>
      </c>
      <c r="CV53" s="12">
        <f t="shared" si="47"/>
        <v>7200000</v>
      </c>
      <c r="CW53" s="12">
        <f t="shared" si="47"/>
        <v>14492689</v>
      </c>
      <c r="CX53" s="12">
        <f t="shared" si="47"/>
        <v>13253570</v>
      </c>
      <c r="CY53" s="12">
        <f t="shared" si="47"/>
        <v>186312420</v>
      </c>
      <c r="CZ53" s="12">
        <f t="shared" si="47"/>
        <v>260791265</v>
      </c>
      <c r="DA53" s="12">
        <f t="shared" si="47"/>
        <v>260478845</v>
      </c>
      <c r="DB53" s="12">
        <f t="shared" si="47"/>
        <v>22000000</v>
      </c>
      <c r="DC53" s="12">
        <f t="shared" si="47"/>
        <v>30286082</v>
      </c>
      <c r="DD53" s="12">
        <f t="shared" si="47"/>
        <v>30209882</v>
      </c>
      <c r="DE53" s="12">
        <f t="shared" si="47"/>
        <v>28675000</v>
      </c>
      <c r="DF53" s="12">
        <f t="shared" si="47"/>
        <v>24828500</v>
      </c>
      <c r="DG53" s="12">
        <f t="shared" si="47"/>
        <v>24828500</v>
      </c>
      <c r="DH53" s="12">
        <f t="shared" si="47"/>
        <v>0</v>
      </c>
      <c r="DI53" s="12">
        <f t="shared" si="47"/>
        <v>0</v>
      </c>
      <c r="DJ53" s="12">
        <f t="shared" si="47"/>
        <v>0</v>
      </c>
      <c r="DK53" s="12">
        <f t="shared" si="47"/>
        <v>38000000</v>
      </c>
      <c r="DL53" s="12">
        <f t="shared" si="47"/>
        <v>16993842</v>
      </c>
      <c r="DM53" s="12">
        <f t="shared" si="47"/>
        <v>16712738</v>
      </c>
      <c r="DN53" s="12">
        <f t="shared" si="47"/>
        <v>85900000</v>
      </c>
      <c r="DO53" s="12">
        <f t="shared" si="47"/>
        <v>168122918</v>
      </c>
      <c r="DP53" s="12">
        <f t="shared" si="47"/>
        <v>168122918</v>
      </c>
      <c r="DQ53" s="12">
        <f t="shared" si="47"/>
        <v>45262967</v>
      </c>
      <c r="DR53" s="12">
        <f t="shared" si="47"/>
        <v>88306582</v>
      </c>
      <c r="DS53" s="12">
        <f t="shared" si="47"/>
        <v>79830259</v>
      </c>
      <c r="DT53" s="12">
        <f t="shared" si="47"/>
        <v>30696414</v>
      </c>
      <c r="DU53" s="12">
        <f t="shared" si="47"/>
        <v>62686818</v>
      </c>
      <c r="DV53" s="12">
        <f t="shared" si="47"/>
        <v>31553731</v>
      </c>
      <c r="DW53" s="12">
        <f t="shared" si="47"/>
        <v>1968000</v>
      </c>
      <c r="DX53" s="12">
        <f t="shared" si="47"/>
        <v>2218000</v>
      </c>
      <c r="DY53" s="12">
        <f t="shared" si="47"/>
        <v>1890639</v>
      </c>
      <c r="DZ53" s="12">
        <f t="shared" si="47"/>
        <v>4300000</v>
      </c>
      <c r="EA53" s="12">
        <f t="shared" si="47"/>
        <v>2718734</v>
      </c>
      <c r="EB53" s="12">
        <f t="shared" si="47"/>
        <v>2177900</v>
      </c>
      <c r="EC53" s="12">
        <f t="shared" ref="EC53:FL53" si="48">+EC20+EC21</f>
        <v>7000000</v>
      </c>
      <c r="ED53" s="12">
        <f t="shared" si="48"/>
        <v>12847744</v>
      </c>
      <c r="EE53" s="12">
        <f t="shared" si="48"/>
        <v>12446480</v>
      </c>
      <c r="EF53" s="12">
        <f t="shared" si="48"/>
        <v>4000000</v>
      </c>
      <c r="EG53" s="12">
        <f t="shared" si="48"/>
        <v>3619000</v>
      </c>
      <c r="EH53" s="12">
        <f t="shared" si="48"/>
        <v>3290300</v>
      </c>
      <c r="EI53" s="12">
        <f t="shared" si="48"/>
        <v>27130410</v>
      </c>
      <c r="EJ53" s="12">
        <f t="shared" si="48"/>
        <v>65571616</v>
      </c>
      <c r="EK53" s="12">
        <f t="shared" si="48"/>
        <v>62786336</v>
      </c>
      <c r="EL53" s="12">
        <f t="shared" si="48"/>
        <v>23759000</v>
      </c>
      <c r="EM53" s="12">
        <f t="shared" si="48"/>
        <v>35834000</v>
      </c>
      <c r="EN53" s="12">
        <f t="shared" si="48"/>
        <v>35834000</v>
      </c>
      <c r="EO53" s="12">
        <f t="shared" si="48"/>
        <v>1575000</v>
      </c>
      <c r="EP53" s="12">
        <f t="shared" si="48"/>
        <v>1575000</v>
      </c>
      <c r="EQ53" s="12">
        <f t="shared" si="48"/>
        <v>1574800</v>
      </c>
      <c r="ER53" s="12">
        <f t="shared" si="48"/>
        <v>55740618</v>
      </c>
      <c r="ES53" s="12">
        <f t="shared" si="48"/>
        <v>143425587</v>
      </c>
      <c r="ET53" s="12">
        <f t="shared" si="48"/>
        <v>131612384</v>
      </c>
      <c r="EU53" s="12">
        <f t="shared" si="48"/>
        <v>0</v>
      </c>
      <c r="EV53" s="12">
        <f t="shared" si="48"/>
        <v>0</v>
      </c>
      <c r="EW53" s="12">
        <f t="shared" si="48"/>
        <v>0</v>
      </c>
      <c r="EX53" s="12">
        <f t="shared" si="48"/>
        <v>0</v>
      </c>
      <c r="EY53" s="12">
        <f t="shared" si="48"/>
        <v>105000</v>
      </c>
      <c r="EZ53" s="12">
        <f t="shared" si="48"/>
        <v>105000</v>
      </c>
      <c r="FA53" s="12">
        <f t="shared" si="48"/>
        <v>5000000</v>
      </c>
      <c r="FB53" s="12">
        <f t="shared" si="48"/>
        <v>15075281</v>
      </c>
      <c r="FC53" s="12">
        <f t="shared" si="48"/>
        <v>15075281</v>
      </c>
      <c r="FD53" s="12">
        <f t="shared" si="48"/>
        <v>30999844</v>
      </c>
      <c r="FE53" s="12">
        <f t="shared" si="48"/>
        <v>25366062</v>
      </c>
      <c r="FF53" s="12">
        <f t="shared" si="48"/>
        <v>24736213</v>
      </c>
      <c r="FG53" s="12">
        <f t="shared" si="48"/>
        <v>18409277</v>
      </c>
      <c r="FH53" s="12">
        <f t="shared" si="48"/>
        <v>24699262</v>
      </c>
      <c r="FI53" s="12">
        <f t="shared" si="48"/>
        <v>19938008</v>
      </c>
      <c r="FJ53" s="12">
        <f t="shared" si="48"/>
        <v>500000</v>
      </c>
      <c r="FK53" s="12">
        <f t="shared" si="48"/>
        <v>550065</v>
      </c>
      <c r="FL53" s="12">
        <f t="shared" si="48"/>
        <v>550065</v>
      </c>
    </row>
    <row r="54" spans="1:168" x14ac:dyDescent="0.25">
      <c r="A54" s="3"/>
      <c r="D54" s="12">
        <f>+D28-D53</f>
        <v>0</v>
      </c>
      <c r="E54" s="12">
        <f t="shared" ref="E54:BP54" si="49">+E28-E53</f>
        <v>0</v>
      </c>
      <c r="F54" s="12">
        <f t="shared" si="49"/>
        <v>0</v>
      </c>
      <c r="G54" s="12">
        <f t="shared" si="49"/>
        <v>0</v>
      </c>
      <c r="H54" s="12">
        <f t="shared" si="49"/>
        <v>0</v>
      </c>
      <c r="I54" s="12">
        <f t="shared" si="49"/>
        <v>0</v>
      </c>
      <c r="J54" s="12">
        <f t="shared" si="49"/>
        <v>0</v>
      </c>
      <c r="K54" s="12">
        <f t="shared" si="49"/>
        <v>0</v>
      </c>
      <c r="L54" s="12">
        <f t="shared" si="49"/>
        <v>0</v>
      </c>
      <c r="M54" s="12">
        <f t="shared" si="49"/>
        <v>0</v>
      </c>
      <c r="N54" s="12">
        <f t="shared" si="49"/>
        <v>0</v>
      </c>
      <c r="O54" s="12">
        <f t="shared" si="49"/>
        <v>0</v>
      </c>
      <c r="P54" s="12">
        <f t="shared" si="49"/>
        <v>0</v>
      </c>
      <c r="Q54" s="12">
        <f t="shared" si="49"/>
        <v>0</v>
      </c>
      <c r="R54" s="12">
        <f t="shared" si="49"/>
        <v>0</v>
      </c>
      <c r="S54" s="12">
        <f t="shared" si="49"/>
        <v>0</v>
      </c>
      <c r="T54" s="12">
        <f t="shared" si="49"/>
        <v>0</v>
      </c>
      <c r="U54" s="12">
        <f t="shared" si="49"/>
        <v>0</v>
      </c>
      <c r="V54" s="12">
        <f t="shared" si="49"/>
        <v>0</v>
      </c>
      <c r="W54" s="12">
        <f t="shared" si="49"/>
        <v>0</v>
      </c>
      <c r="X54" s="12">
        <f t="shared" si="49"/>
        <v>0</v>
      </c>
      <c r="Y54" s="12">
        <f t="shared" si="49"/>
        <v>0</v>
      </c>
      <c r="Z54" s="12">
        <f t="shared" si="49"/>
        <v>0</v>
      </c>
      <c r="AA54" s="12">
        <f t="shared" si="49"/>
        <v>0</v>
      </c>
      <c r="AB54" s="12">
        <f t="shared" si="49"/>
        <v>0</v>
      </c>
      <c r="AC54" s="12">
        <f t="shared" si="49"/>
        <v>0</v>
      </c>
      <c r="AD54" s="12">
        <f t="shared" si="49"/>
        <v>0</v>
      </c>
      <c r="AE54" s="12">
        <f t="shared" si="49"/>
        <v>0</v>
      </c>
      <c r="AF54" s="12">
        <f t="shared" si="49"/>
        <v>0</v>
      </c>
      <c r="AG54" s="12">
        <f t="shared" si="49"/>
        <v>0</v>
      </c>
      <c r="AH54" s="12">
        <f t="shared" si="49"/>
        <v>0</v>
      </c>
      <c r="AI54" s="12">
        <f t="shared" si="49"/>
        <v>0</v>
      </c>
      <c r="AJ54" s="12">
        <f t="shared" si="49"/>
        <v>0</v>
      </c>
      <c r="AK54" s="12">
        <f t="shared" si="49"/>
        <v>0</v>
      </c>
      <c r="AL54" s="12">
        <f t="shared" si="49"/>
        <v>0</v>
      </c>
      <c r="AM54" s="12">
        <f t="shared" si="49"/>
        <v>0</v>
      </c>
      <c r="AN54" s="12">
        <f t="shared" si="49"/>
        <v>0</v>
      </c>
      <c r="AO54" s="12">
        <f t="shared" si="49"/>
        <v>0</v>
      </c>
      <c r="AP54" s="12">
        <f t="shared" si="49"/>
        <v>0</v>
      </c>
      <c r="AQ54" s="12">
        <f t="shared" si="49"/>
        <v>0</v>
      </c>
      <c r="AR54" s="12">
        <f t="shared" si="49"/>
        <v>0</v>
      </c>
      <c r="AS54" s="12">
        <f t="shared" si="49"/>
        <v>0</v>
      </c>
      <c r="AT54" s="12">
        <f t="shared" si="49"/>
        <v>0</v>
      </c>
      <c r="AU54" s="12">
        <f t="shared" si="49"/>
        <v>0</v>
      </c>
      <c r="AV54" s="12">
        <f t="shared" si="49"/>
        <v>0</v>
      </c>
      <c r="AW54" s="12">
        <f t="shared" si="49"/>
        <v>0</v>
      </c>
      <c r="AX54" s="12">
        <f t="shared" si="49"/>
        <v>0</v>
      </c>
      <c r="AY54" s="12">
        <f t="shared" si="49"/>
        <v>0</v>
      </c>
      <c r="AZ54" s="12">
        <f t="shared" si="49"/>
        <v>0</v>
      </c>
      <c r="BA54" s="12">
        <f t="shared" si="49"/>
        <v>0</v>
      </c>
      <c r="BB54" s="12">
        <f t="shared" si="49"/>
        <v>0</v>
      </c>
      <c r="BC54" s="12">
        <f t="shared" si="49"/>
        <v>0</v>
      </c>
      <c r="BD54" s="12">
        <f t="shared" si="49"/>
        <v>0</v>
      </c>
      <c r="BE54" s="12">
        <f t="shared" si="49"/>
        <v>0</v>
      </c>
      <c r="BF54" s="12">
        <f t="shared" si="49"/>
        <v>0</v>
      </c>
      <c r="BG54" s="12">
        <f t="shared" si="49"/>
        <v>0</v>
      </c>
      <c r="BH54" s="12">
        <f t="shared" si="49"/>
        <v>0</v>
      </c>
      <c r="BI54" s="12">
        <f t="shared" si="49"/>
        <v>0</v>
      </c>
      <c r="BJ54" s="12">
        <f t="shared" si="49"/>
        <v>0</v>
      </c>
      <c r="BK54" s="12">
        <f t="shared" si="49"/>
        <v>0</v>
      </c>
      <c r="BL54" s="12">
        <f t="shared" si="49"/>
        <v>0</v>
      </c>
      <c r="BM54" s="12">
        <f t="shared" si="49"/>
        <v>0</v>
      </c>
      <c r="BN54" s="12">
        <f t="shared" si="49"/>
        <v>0</v>
      </c>
      <c r="BO54" s="12">
        <f t="shared" si="49"/>
        <v>0</v>
      </c>
      <c r="BP54" s="12">
        <f t="shared" si="49"/>
        <v>0</v>
      </c>
      <c r="BQ54" s="12">
        <f t="shared" ref="BQ54:EB54" si="50">+BQ28-BQ53</f>
        <v>0</v>
      </c>
      <c r="BR54" s="12">
        <f t="shared" si="50"/>
        <v>0</v>
      </c>
      <c r="BS54" s="12">
        <f t="shared" si="50"/>
        <v>0</v>
      </c>
      <c r="BT54" s="12">
        <f t="shared" si="50"/>
        <v>0</v>
      </c>
      <c r="BU54" s="12">
        <f t="shared" si="50"/>
        <v>0</v>
      </c>
      <c r="BV54" s="12">
        <f t="shared" si="50"/>
        <v>0</v>
      </c>
      <c r="BW54" s="12">
        <f t="shared" si="50"/>
        <v>0</v>
      </c>
      <c r="BX54" s="12">
        <f t="shared" si="50"/>
        <v>0</v>
      </c>
      <c r="BY54" s="12">
        <f t="shared" si="50"/>
        <v>0</v>
      </c>
      <c r="BZ54" s="12">
        <f t="shared" si="50"/>
        <v>0</v>
      </c>
      <c r="CA54" s="12">
        <f t="shared" si="50"/>
        <v>0</v>
      </c>
      <c r="CB54" s="12">
        <f t="shared" si="50"/>
        <v>0</v>
      </c>
      <c r="CC54" s="12">
        <f t="shared" si="50"/>
        <v>0</v>
      </c>
      <c r="CD54" s="12">
        <f t="shared" si="50"/>
        <v>0</v>
      </c>
      <c r="CE54" s="12">
        <f t="shared" si="50"/>
        <v>0</v>
      </c>
      <c r="CF54" s="12">
        <f t="shared" si="50"/>
        <v>0</v>
      </c>
      <c r="CG54" s="12">
        <f t="shared" si="50"/>
        <v>0</v>
      </c>
      <c r="CH54" s="12">
        <f t="shared" si="50"/>
        <v>0</v>
      </c>
      <c r="CI54" s="12">
        <f t="shared" si="50"/>
        <v>0</v>
      </c>
      <c r="CJ54" s="12">
        <f t="shared" si="50"/>
        <v>0</v>
      </c>
      <c r="CK54" s="12">
        <f t="shared" si="50"/>
        <v>0</v>
      </c>
      <c r="CL54" s="12">
        <f t="shared" si="50"/>
        <v>0</v>
      </c>
      <c r="CM54" s="12">
        <f t="shared" si="50"/>
        <v>0</v>
      </c>
      <c r="CN54" s="12">
        <f t="shared" si="50"/>
        <v>0</v>
      </c>
      <c r="CO54" s="12">
        <f t="shared" si="50"/>
        <v>0</v>
      </c>
      <c r="CP54" s="12">
        <f t="shared" si="50"/>
        <v>0</v>
      </c>
      <c r="CQ54" s="12">
        <f t="shared" si="50"/>
        <v>0</v>
      </c>
      <c r="CR54" s="12">
        <f t="shared" si="50"/>
        <v>0</v>
      </c>
      <c r="CS54" s="12">
        <f t="shared" si="50"/>
        <v>0</v>
      </c>
      <c r="CT54" s="12">
        <f t="shared" si="50"/>
        <v>0</v>
      </c>
      <c r="CU54" s="12">
        <f t="shared" si="50"/>
        <v>0</v>
      </c>
      <c r="CV54" s="12">
        <f t="shared" si="50"/>
        <v>0</v>
      </c>
      <c r="CW54" s="12">
        <f t="shared" si="50"/>
        <v>0</v>
      </c>
      <c r="CX54" s="12">
        <f t="shared" si="50"/>
        <v>0</v>
      </c>
      <c r="CY54" s="12">
        <f t="shared" si="50"/>
        <v>0</v>
      </c>
      <c r="CZ54" s="12">
        <f t="shared" si="50"/>
        <v>0</v>
      </c>
      <c r="DA54" s="12">
        <f t="shared" si="50"/>
        <v>0</v>
      </c>
      <c r="DB54" s="12">
        <f t="shared" si="50"/>
        <v>0</v>
      </c>
      <c r="DC54" s="12">
        <f t="shared" si="50"/>
        <v>0</v>
      </c>
      <c r="DD54" s="12">
        <f t="shared" si="50"/>
        <v>0</v>
      </c>
      <c r="DE54" s="12">
        <f t="shared" si="50"/>
        <v>0</v>
      </c>
      <c r="DF54" s="12">
        <f t="shared" si="50"/>
        <v>0</v>
      </c>
      <c r="DG54" s="12">
        <f t="shared" si="50"/>
        <v>0</v>
      </c>
      <c r="DH54" s="12">
        <f t="shared" si="50"/>
        <v>0</v>
      </c>
      <c r="DI54" s="12">
        <f t="shared" si="50"/>
        <v>0</v>
      </c>
      <c r="DJ54" s="12">
        <f t="shared" si="50"/>
        <v>0</v>
      </c>
      <c r="DK54" s="12">
        <f t="shared" si="50"/>
        <v>0</v>
      </c>
      <c r="DL54" s="12">
        <f t="shared" si="50"/>
        <v>0</v>
      </c>
      <c r="DM54" s="12">
        <f t="shared" si="50"/>
        <v>0</v>
      </c>
      <c r="DN54" s="12">
        <f t="shared" si="50"/>
        <v>0</v>
      </c>
      <c r="DO54" s="12">
        <f t="shared" si="50"/>
        <v>0</v>
      </c>
      <c r="DP54" s="12">
        <f t="shared" si="50"/>
        <v>0</v>
      </c>
      <c r="DQ54" s="12">
        <f t="shared" si="50"/>
        <v>0</v>
      </c>
      <c r="DR54" s="12">
        <f t="shared" si="50"/>
        <v>0</v>
      </c>
      <c r="DS54" s="12">
        <f t="shared" si="50"/>
        <v>0</v>
      </c>
      <c r="DT54" s="12">
        <f t="shared" si="50"/>
        <v>0</v>
      </c>
      <c r="DU54" s="12">
        <f t="shared" si="50"/>
        <v>0</v>
      </c>
      <c r="DV54" s="12">
        <f t="shared" si="50"/>
        <v>0</v>
      </c>
      <c r="DW54" s="12">
        <f t="shared" si="50"/>
        <v>0</v>
      </c>
      <c r="DX54" s="12">
        <f t="shared" si="50"/>
        <v>0</v>
      </c>
      <c r="DY54" s="12">
        <f t="shared" si="50"/>
        <v>0</v>
      </c>
      <c r="DZ54" s="12">
        <f t="shared" si="50"/>
        <v>0</v>
      </c>
      <c r="EA54" s="12">
        <f t="shared" si="50"/>
        <v>0</v>
      </c>
      <c r="EB54" s="12">
        <f t="shared" si="50"/>
        <v>0</v>
      </c>
      <c r="EC54" s="12">
        <f t="shared" ref="EC54:FL54" si="51">+EC28-EC53</f>
        <v>0</v>
      </c>
      <c r="ED54" s="12">
        <f t="shared" si="51"/>
        <v>0</v>
      </c>
      <c r="EE54" s="12">
        <f t="shared" si="51"/>
        <v>0</v>
      </c>
      <c r="EF54" s="12">
        <f t="shared" si="51"/>
        <v>0</v>
      </c>
      <c r="EG54" s="12">
        <f t="shared" si="51"/>
        <v>0</v>
      </c>
      <c r="EH54" s="12">
        <f t="shared" si="51"/>
        <v>0</v>
      </c>
      <c r="EI54" s="12">
        <f t="shared" si="51"/>
        <v>0</v>
      </c>
      <c r="EJ54" s="12">
        <f t="shared" si="51"/>
        <v>0</v>
      </c>
      <c r="EK54" s="12">
        <f t="shared" si="51"/>
        <v>0</v>
      </c>
      <c r="EL54" s="12">
        <f t="shared" si="51"/>
        <v>0</v>
      </c>
      <c r="EM54" s="12">
        <f t="shared" si="51"/>
        <v>0</v>
      </c>
      <c r="EN54" s="12">
        <f t="shared" si="51"/>
        <v>0</v>
      </c>
      <c r="EO54" s="12">
        <f t="shared" si="51"/>
        <v>0</v>
      </c>
      <c r="EP54" s="12">
        <f t="shared" si="51"/>
        <v>0</v>
      </c>
      <c r="EQ54" s="12">
        <f t="shared" si="51"/>
        <v>0</v>
      </c>
      <c r="ER54" s="12">
        <f t="shared" si="51"/>
        <v>0</v>
      </c>
      <c r="ES54" s="12">
        <f t="shared" si="51"/>
        <v>0</v>
      </c>
      <c r="ET54" s="12">
        <f t="shared" si="51"/>
        <v>0</v>
      </c>
      <c r="EU54" s="12">
        <f t="shared" si="51"/>
        <v>0</v>
      </c>
      <c r="EV54" s="12">
        <f t="shared" si="51"/>
        <v>0</v>
      </c>
      <c r="EW54" s="12">
        <f t="shared" si="51"/>
        <v>0</v>
      </c>
      <c r="EX54" s="12">
        <f t="shared" si="51"/>
        <v>0</v>
      </c>
      <c r="EY54" s="12">
        <f t="shared" si="51"/>
        <v>0</v>
      </c>
      <c r="EZ54" s="12">
        <f t="shared" si="51"/>
        <v>0</v>
      </c>
      <c r="FA54" s="12">
        <f t="shared" si="51"/>
        <v>0</v>
      </c>
      <c r="FB54" s="12">
        <f t="shared" si="51"/>
        <v>0</v>
      </c>
      <c r="FC54" s="12">
        <f t="shared" si="51"/>
        <v>0</v>
      </c>
      <c r="FD54" s="12">
        <f t="shared" si="51"/>
        <v>0</v>
      </c>
      <c r="FE54" s="12">
        <f t="shared" si="51"/>
        <v>0</v>
      </c>
      <c r="FF54" s="12">
        <f t="shared" si="51"/>
        <v>0</v>
      </c>
      <c r="FG54" s="12">
        <f t="shared" si="51"/>
        <v>0</v>
      </c>
      <c r="FH54" s="12">
        <f t="shared" si="51"/>
        <v>0</v>
      </c>
      <c r="FI54" s="12">
        <f t="shared" si="51"/>
        <v>0</v>
      </c>
      <c r="FJ54" s="12">
        <f t="shared" si="51"/>
        <v>0</v>
      </c>
      <c r="FK54" s="12">
        <f t="shared" si="51"/>
        <v>0</v>
      </c>
      <c r="FL54" s="12">
        <f t="shared" si="51"/>
        <v>0</v>
      </c>
    </row>
    <row r="55" spans="1:168" x14ac:dyDescent="0.25">
      <c r="FG55" s="836"/>
    </row>
    <row r="59" spans="1:168" x14ac:dyDescent="0.25">
      <c r="A59" s="3"/>
      <c r="AH59" s="602" t="e">
        <f>+#REF!+#REF!+#REF!+#REF!+#REF!</f>
        <v>#REF!</v>
      </c>
      <c r="AI59" s="602"/>
      <c r="AJ59" s="602"/>
    </row>
  </sheetData>
  <mergeCells count="226">
    <mergeCell ref="A2:C2"/>
    <mergeCell ref="A3:A6"/>
    <mergeCell ref="B3:C3"/>
    <mergeCell ref="D3:F3"/>
    <mergeCell ref="G3:I3"/>
    <mergeCell ref="J3:L3"/>
    <mergeCell ref="AE3:AG3"/>
    <mergeCell ref="AH3:AJ3"/>
    <mergeCell ref="AK3:AM3"/>
    <mergeCell ref="AK4:AM4"/>
    <mergeCell ref="AN3:AP3"/>
    <mergeCell ref="AQ3:AS3"/>
    <mergeCell ref="AT3:AV3"/>
    <mergeCell ref="M3:O3"/>
    <mergeCell ref="P3:R3"/>
    <mergeCell ref="S3:U3"/>
    <mergeCell ref="V3:X3"/>
    <mergeCell ref="Y3:AA3"/>
    <mergeCell ref="AB3:AD3"/>
    <mergeCell ref="BO3:BQ3"/>
    <mergeCell ref="BR3:BT3"/>
    <mergeCell ref="BU3:BW3"/>
    <mergeCell ref="BX3:BZ3"/>
    <mergeCell ref="CA3:CC3"/>
    <mergeCell ref="CD3:CF3"/>
    <mergeCell ref="AW3:AY3"/>
    <mergeCell ref="AZ3:BB3"/>
    <mergeCell ref="BC3:BE3"/>
    <mergeCell ref="BF3:BH3"/>
    <mergeCell ref="BI3:BK3"/>
    <mergeCell ref="BL3:BN3"/>
    <mergeCell ref="DE3:DG3"/>
    <mergeCell ref="DH3:DJ3"/>
    <mergeCell ref="DK3:DM3"/>
    <mergeCell ref="DN3:DP3"/>
    <mergeCell ref="CG3:CI3"/>
    <mergeCell ref="CJ3:CL3"/>
    <mergeCell ref="CM3:CO3"/>
    <mergeCell ref="CP3:CR3"/>
    <mergeCell ref="CS3:CU3"/>
    <mergeCell ref="CV3:CX3"/>
    <mergeCell ref="FA3:FC3"/>
    <mergeCell ref="FD3:FF3"/>
    <mergeCell ref="FG3:FI3"/>
    <mergeCell ref="FJ3:FL3"/>
    <mergeCell ref="B4:C4"/>
    <mergeCell ref="D4:F4"/>
    <mergeCell ref="G4:I4"/>
    <mergeCell ref="J4:L4"/>
    <mergeCell ref="M4:O4"/>
    <mergeCell ref="P4:R4"/>
    <mergeCell ref="EI3:EK3"/>
    <mergeCell ref="EL3:EN3"/>
    <mergeCell ref="EO3:EQ3"/>
    <mergeCell ref="ER3:ET3"/>
    <mergeCell ref="EU3:EW3"/>
    <mergeCell ref="EX3:EZ3"/>
    <mergeCell ref="DQ3:DS3"/>
    <mergeCell ref="DT3:DV3"/>
    <mergeCell ref="DW3:DY3"/>
    <mergeCell ref="DZ3:EB3"/>
    <mergeCell ref="EC3:EE3"/>
    <mergeCell ref="EF3:EH3"/>
    <mergeCell ref="CY3:DA3"/>
    <mergeCell ref="DB3:DD3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BU4:BW4"/>
    <mergeCell ref="BX4:BZ4"/>
    <mergeCell ref="CA4:CC4"/>
    <mergeCell ref="CD4:CF4"/>
    <mergeCell ref="CG4:CI4"/>
    <mergeCell ref="CJ4:CL4"/>
    <mergeCell ref="BC4:BE4"/>
    <mergeCell ref="BF4:BH4"/>
    <mergeCell ref="BI4:BK4"/>
    <mergeCell ref="BL4:BN4"/>
    <mergeCell ref="BO4:BQ4"/>
    <mergeCell ref="BR4:BT4"/>
    <mergeCell ref="DK4:DM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FG4:FI4"/>
    <mergeCell ref="FJ4:FL4"/>
    <mergeCell ref="B5:C5"/>
    <mergeCell ref="D5:F6"/>
    <mergeCell ref="G5:I6"/>
    <mergeCell ref="J5:L6"/>
    <mergeCell ref="M5:O6"/>
    <mergeCell ref="P5:R6"/>
    <mergeCell ref="S5:U6"/>
    <mergeCell ref="V5:X6"/>
    <mergeCell ref="EO4:EQ4"/>
    <mergeCell ref="ER4:ET4"/>
    <mergeCell ref="EU4:EW4"/>
    <mergeCell ref="EX4:EZ4"/>
    <mergeCell ref="FA4:FC4"/>
    <mergeCell ref="FD4:FF4"/>
    <mergeCell ref="DW4:DY4"/>
    <mergeCell ref="DZ4:EB4"/>
    <mergeCell ref="EC4:EE4"/>
    <mergeCell ref="EF4:EH4"/>
    <mergeCell ref="EI4:EK4"/>
    <mergeCell ref="EL4:EN4"/>
    <mergeCell ref="DE4:DG4"/>
    <mergeCell ref="DH4:DJ4"/>
    <mergeCell ref="AQ5:AS6"/>
    <mergeCell ref="AT5:AV6"/>
    <mergeCell ref="AW5:AY6"/>
    <mergeCell ref="AZ5:BB6"/>
    <mergeCell ref="BC5:BE6"/>
    <mergeCell ref="BF5:BH6"/>
    <mergeCell ref="Y5:AA6"/>
    <mergeCell ref="AB5:AD6"/>
    <mergeCell ref="AE5:AG6"/>
    <mergeCell ref="AH5:AJ6"/>
    <mergeCell ref="AK5:AM6"/>
    <mergeCell ref="AN5:AP6"/>
    <mergeCell ref="CJ5:CL6"/>
    <mergeCell ref="CM5:CO6"/>
    <mergeCell ref="CP5:CR6"/>
    <mergeCell ref="BI5:BK6"/>
    <mergeCell ref="BL5:BN6"/>
    <mergeCell ref="BO5:BQ6"/>
    <mergeCell ref="BR5:BT6"/>
    <mergeCell ref="BU5:BW6"/>
    <mergeCell ref="BX5:BZ6"/>
    <mergeCell ref="FD5:FF6"/>
    <mergeCell ref="FG5:FI6"/>
    <mergeCell ref="FJ5:FL6"/>
    <mergeCell ref="EC5:EE6"/>
    <mergeCell ref="EF5:EH6"/>
    <mergeCell ref="EI5:EK6"/>
    <mergeCell ref="EL5:EN6"/>
    <mergeCell ref="EO5:EQ6"/>
    <mergeCell ref="ER5:ET6"/>
    <mergeCell ref="D7:F7"/>
    <mergeCell ref="G7:I7"/>
    <mergeCell ref="J7:L7"/>
    <mergeCell ref="M7:O7"/>
    <mergeCell ref="P7:R7"/>
    <mergeCell ref="S7:U7"/>
    <mergeCell ref="EU5:EW6"/>
    <mergeCell ref="EX5:EZ6"/>
    <mergeCell ref="FA5:FC6"/>
    <mergeCell ref="DK5:DM6"/>
    <mergeCell ref="DN5:DP6"/>
    <mergeCell ref="DQ5:DS6"/>
    <mergeCell ref="DT5:DV6"/>
    <mergeCell ref="DW5:DY6"/>
    <mergeCell ref="DZ5:EB6"/>
    <mergeCell ref="CS5:CU6"/>
    <mergeCell ref="CV5:CX6"/>
    <mergeCell ref="CY5:DA6"/>
    <mergeCell ref="DB5:DD6"/>
    <mergeCell ref="DE5:DG6"/>
    <mergeCell ref="DH5:DJ6"/>
    <mergeCell ref="CA5:CC6"/>
    <mergeCell ref="CD5:CF6"/>
    <mergeCell ref="CG5:CI6"/>
    <mergeCell ref="AN7:AP7"/>
    <mergeCell ref="AQ7:AS7"/>
    <mergeCell ref="AT7:AV7"/>
    <mergeCell ref="AW7:AY7"/>
    <mergeCell ref="AZ7:BB7"/>
    <mergeCell ref="BC7:BE7"/>
    <mergeCell ref="V7:X7"/>
    <mergeCell ref="Y7:AA7"/>
    <mergeCell ref="AB7:AD7"/>
    <mergeCell ref="AE7:AG7"/>
    <mergeCell ref="AH7:AJ7"/>
    <mergeCell ref="AK7:AM7"/>
    <mergeCell ref="BX7:BZ7"/>
    <mergeCell ref="CA7:CC7"/>
    <mergeCell ref="CD7:CF7"/>
    <mergeCell ref="CG7:CI7"/>
    <mergeCell ref="CJ7:CL7"/>
    <mergeCell ref="CM7:CO7"/>
    <mergeCell ref="BF7:BH7"/>
    <mergeCell ref="BI7:BK7"/>
    <mergeCell ref="BL7:BN7"/>
    <mergeCell ref="BO7:BQ7"/>
    <mergeCell ref="BR7:BT7"/>
    <mergeCell ref="BU7:BW7"/>
    <mergeCell ref="DH7:DJ7"/>
    <mergeCell ref="DK7:DM7"/>
    <mergeCell ref="DN7:DP7"/>
    <mergeCell ref="DQ7:DS7"/>
    <mergeCell ref="DT7:DV7"/>
    <mergeCell ref="DW7:DY7"/>
    <mergeCell ref="CP7:CR7"/>
    <mergeCell ref="CS7:CU7"/>
    <mergeCell ref="CV7:CX7"/>
    <mergeCell ref="CY7:DA7"/>
    <mergeCell ref="DB7:DD7"/>
    <mergeCell ref="DE7:DG7"/>
    <mergeCell ref="FJ7:FL7"/>
    <mergeCell ref="EX27:EZ27"/>
    <mergeCell ref="ER7:ET7"/>
    <mergeCell ref="EU7:EW7"/>
    <mergeCell ref="EX7:EZ7"/>
    <mergeCell ref="FA7:FC7"/>
    <mergeCell ref="FD7:FF7"/>
    <mergeCell ref="FG7:FI7"/>
    <mergeCell ref="DZ7:EB7"/>
    <mergeCell ref="EC7:EE7"/>
    <mergeCell ref="EF7:EH7"/>
    <mergeCell ref="EI7:EK7"/>
    <mergeCell ref="EL7:EN7"/>
    <mergeCell ref="EO7:EQ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>
    <oddHeader>&amp;CDunaharaszti Város Önkormányzat 2017. évi zárszámadás&amp;R&amp;A</oddHeader>
    <oddFooter>&amp;C&amp;P/&amp;N</oddFooter>
  </headerFooter>
  <colBreaks count="13" manualBreakCount="13">
    <brk id="15" max="47" man="1"/>
    <brk id="27" max="47" man="1"/>
    <brk id="39" max="47" man="1"/>
    <brk id="51" max="47" man="1"/>
    <brk id="63" max="47" man="1"/>
    <brk id="75" max="47" man="1"/>
    <brk id="87" max="47" man="1"/>
    <brk id="99" max="47" man="1"/>
    <brk id="111" max="47" man="1"/>
    <brk id="123" max="47" man="1"/>
    <brk id="135" max="47" man="1"/>
    <brk id="147" max="47" man="1"/>
    <brk id="159" max="47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view="pageBreakPreview" zoomScaleNormal="100" zoomScaleSheetLayoutView="100" workbookViewId="0">
      <selection activeCell="D73" sqref="D73"/>
    </sheetView>
  </sheetViews>
  <sheetFormatPr defaultRowHeight="12.75" x14ac:dyDescent="0.2"/>
  <cols>
    <col min="1" max="1" width="5" style="304" customWidth="1"/>
    <col min="2" max="2" width="52.42578125" style="33" customWidth="1"/>
    <col min="3" max="3" width="16.5703125" style="79" customWidth="1"/>
    <col min="4" max="4" width="16.28515625" style="79" customWidth="1"/>
    <col min="5" max="6" width="17.5703125" style="33" customWidth="1"/>
    <col min="7" max="7" width="19.28515625" style="33" customWidth="1"/>
    <col min="8" max="8" width="12.7109375" style="33" customWidth="1"/>
    <col min="9" max="16384" width="9.140625" style="33"/>
  </cols>
  <sheetData>
    <row r="1" spans="1:8" ht="29.25" customHeight="1" x14ac:dyDescent="0.2">
      <c r="A1" s="1018" t="s">
        <v>474</v>
      </c>
      <c r="B1" s="1018"/>
      <c r="C1" s="1018"/>
      <c r="D1" s="1018"/>
      <c r="E1" s="1018"/>
      <c r="F1" s="1018"/>
      <c r="G1" s="1018"/>
      <c r="H1" s="1018"/>
    </row>
    <row r="2" spans="1:8" x14ac:dyDescent="0.2">
      <c r="H2" s="80" t="s">
        <v>0</v>
      </c>
    </row>
    <row r="3" spans="1:8" ht="53.25" customHeight="1" x14ac:dyDescent="0.2">
      <c r="A3" s="36" t="s">
        <v>475</v>
      </c>
      <c r="B3" s="36" t="s">
        <v>123</v>
      </c>
      <c r="C3" s="36" t="s">
        <v>154</v>
      </c>
      <c r="D3" s="36" t="s">
        <v>7</v>
      </c>
      <c r="E3" s="36" t="s">
        <v>476</v>
      </c>
      <c r="F3" s="305" t="s">
        <v>477</v>
      </c>
      <c r="G3" s="36" t="s">
        <v>478</v>
      </c>
      <c r="H3" s="36" t="s">
        <v>5</v>
      </c>
    </row>
    <row r="4" spans="1:8" ht="19.149999999999999" customHeight="1" x14ac:dyDescent="0.2">
      <c r="A4" s="1123" t="s">
        <v>479</v>
      </c>
      <c r="B4" s="1124"/>
      <c r="C4" s="1124"/>
      <c r="D4" s="1124"/>
      <c r="E4" s="1124"/>
      <c r="F4" s="1124"/>
      <c r="G4" s="1124"/>
      <c r="H4" s="1125"/>
    </row>
    <row r="5" spans="1:8" ht="20.25" customHeight="1" x14ac:dyDescent="0.2">
      <c r="A5" s="1023" t="s">
        <v>480</v>
      </c>
      <c r="B5" s="1024"/>
      <c r="C5" s="306">
        <f>SUM(C6:C11)</f>
        <v>35950000</v>
      </c>
      <c r="D5" s="306">
        <f>SUM(D6:D11)</f>
        <v>3636015</v>
      </c>
      <c r="E5" s="306">
        <f>SUM(E6:E11)</f>
        <v>56700000</v>
      </c>
      <c r="F5" s="306">
        <f>SUM(F6:F11)</f>
        <v>0</v>
      </c>
      <c r="G5" s="307"/>
      <c r="H5" s="308"/>
    </row>
    <row r="6" spans="1:8" ht="25.5" x14ac:dyDescent="0.2">
      <c r="A6" s="43" t="s">
        <v>15</v>
      </c>
      <c r="B6" s="46" t="s">
        <v>481</v>
      </c>
      <c r="C6" s="165">
        <v>2300000</v>
      </c>
      <c r="D6" s="165">
        <v>1010300</v>
      </c>
      <c r="E6" s="165">
        <v>10000000</v>
      </c>
      <c r="F6" s="165">
        <f>E6-10000000</f>
        <v>0</v>
      </c>
      <c r="G6" s="92" t="s">
        <v>482</v>
      </c>
      <c r="H6" s="309" t="s">
        <v>11</v>
      </c>
    </row>
    <row r="7" spans="1:8" ht="25.5" x14ac:dyDescent="0.2">
      <c r="A7" s="101" t="s">
        <v>16</v>
      </c>
      <c r="B7" s="245" t="s">
        <v>483</v>
      </c>
      <c r="C7" s="226">
        <v>3000000</v>
      </c>
      <c r="D7" s="165">
        <v>0</v>
      </c>
      <c r="E7" s="234">
        <v>6000000</v>
      </c>
      <c r="F7" s="165">
        <f>E7-6000000</f>
        <v>0</v>
      </c>
      <c r="G7" s="102" t="s">
        <v>482</v>
      </c>
      <c r="H7" s="310" t="s">
        <v>11</v>
      </c>
    </row>
    <row r="8" spans="1:8" ht="25.5" x14ac:dyDescent="0.2">
      <c r="A8" s="101" t="s">
        <v>17</v>
      </c>
      <c r="B8" s="245" t="s">
        <v>484</v>
      </c>
      <c r="C8" s="226">
        <v>11050000</v>
      </c>
      <c r="D8" s="165">
        <v>0</v>
      </c>
      <c r="E8" s="234">
        <v>6100000</v>
      </c>
      <c r="F8" s="165">
        <f>E8-6100000</f>
        <v>0</v>
      </c>
      <c r="G8" s="102" t="s">
        <v>482</v>
      </c>
      <c r="H8" s="310" t="s">
        <v>11</v>
      </c>
    </row>
    <row r="9" spans="1:8" ht="25.5" x14ac:dyDescent="0.2">
      <c r="A9" s="101" t="s">
        <v>18</v>
      </c>
      <c r="B9" s="245" t="s">
        <v>485</v>
      </c>
      <c r="C9" s="226">
        <v>5000000</v>
      </c>
      <c r="D9" s="165">
        <v>48891</v>
      </c>
      <c r="E9" s="234">
        <v>30000000</v>
      </c>
      <c r="F9" s="165">
        <f>E9-30000000</f>
        <v>0</v>
      </c>
      <c r="G9" s="102" t="s">
        <v>482</v>
      </c>
      <c r="H9" s="310" t="s">
        <v>11</v>
      </c>
    </row>
    <row r="10" spans="1:8" ht="18.75" customHeight="1" x14ac:dyDescent="0.2">
      <c r="A10" s="101" t="s">
        <v>19</v>
      </c>
      <c r="B10" s="245" t="s">
        <v>486</v>
      </c>
      <c r="C10" s="226">
        <v>4600000</v>
      </c>
      <c r="D10" s="165">
        <v>269829</v>
      </c>
      <c r="E10" s="234">
        <v>4600000</v>
      </c>
      <c r="F10" s="165">
        <f>E10-4600000</f>
        <v>0</v>
      </c>
      <c r="G10" s="102" t="s">
        <v>482</v>
      </c>
      <c r="H10" s="310" t="s">
        <v>11</v>
      </c>
    </row>
    <row r="11" spans="1:8" ht="20.25" customHeight="1" x14ac:dyDescent="0.2">
      <c r="A11" s="195" t="s">
        <v>20</v>
      </c>
      <c r="B11" s="251" t="s">
        <v>487</v>
      </c>
      <c r="C11" s="242">
        <v>10000000</v>
      </c>
      <c r="D11" s="242">
        <v>2306995</v>
      </c>
      <c r="E11" s="242">
        <v>0</v>
      </c>
      <c r="F11" s="242">
        <f>E11</f>
        <v>0</v>
      </c>
      <c r="G11" s="152" t="s">
        <v>482</v>
      </c>
      <c r="H11" s="311" t="s">
        <v>11</v>
      </c>
    </row>
    <row r="12" spans="1:8" ht="20.25" customHeight="1" x14ac:dyDescent="0.2">
      <c r="A12" s="312"/>
      <c r="B12" s="313" t="s">
        <v>488</v>
      </c>
      <c r="C12" s="314">
        <f>SUM(C13:C18)</f>
        <v>17560762</v>
      </c>
      <c r="D12" s="314">
        <f>SUM(D13:D18)</f>
        <v>12351104</v>
      </c>
      <c r="E12" s="314">
        <f>SUM(E13:E18)</f>
        <v>0</v>
      </c>
      <c r="F12" s="314">
        <f>SUM(F13:F18)</f>
        <v>0</v>
      </c>
      <c r="G12" s="34"/>
      <c r="H12" s="315"/>
    </row>
    <row r="13" spans="1:8" ht="18.75" customHeight="1" x14ac:dyDescent="0.2">
      <c r="A13" s="149" t="s">
        <v>15</v>
      </c>
      <c r="B13" s="316" t="s">
        <v>489</v>
      </c>
      <c r="C13" s="317">
        <v>2044893</v>
      </c>
      <c r="D13" s="317">
        <v>2044893</v>
      </c>
      <c r="E13" s="317">
        <v>0</v>
      </c>
      <c r="F13" s="317"/>
      <c r="G13" s="86" t="s">
        <v>482</v>
      </c>
      <c r="H13" s="318" t="s">
        <v>11</v>
      </c>
    </row>
    <row r="14" spans="1:8" ht="18.75" customHeight="1" x14ac:dyDescent="0.2">
      <c r="A14" s="145" t="s">
        <v>16</v>
      </c>
      <c r="B14" s="63" t="s">
        <v>490</v>
      </c>
      <c r="C14" s="319">
        <v>659324</v>
      </c>
      <c r="D14" s="319">
        <v>659324</v>
      </c>
      <c r="E14" s="319">
        <v>0</v>
      </c>
      <c r="F14" s="320"/>
      <c r="G14" s="142" t="s">
        <v>482</v>
      </c>
      <c r="H14" s="318" t="s">
        <v>11</v>
      </c>
    </row>
    <row r="15" spans="1:8" ht="18.75" customHeight="1" x14ac:dyDescent="0.2">
      <c r="A15" s="145" t="s">
        <v>17</v>
      </c>
      <c r="B15" s="63" t="s">
        <v>491</v>
      </c>
      <c r="C15" s="319">
        <v>8078525</v>
      </c>
      <c r="D15" s="319">
        <v>2868867</v>
      </c>
      <c r="E15" s="319">
        <v>0</v>
      </c>
      <c r="F15" s="319"/>
      <c r="G15" s="131" t="s">
        <v>482</v>
      </c>
      <c r="H15" s="318" t="s">
        <v>11</v>
      </c>
    </row>
    <row r="16" spans="1:8" ht="18.75" customHeight="1" x14ac:dyDescent="0.2">
      <c r="A16" s="145" t="s">
        <v>18</v>
      </c>
      <c r="B16" s="63" t="s">
        <v>492</v>
      </c>
      <c r="C16" s="319">
        <v>511208</v>
      </c>
      <c r="D16" s="319">
        <v>511208</v>
      </c>
      <c r="E16" s="319">
        <v>0</v>
      </c>
      <c r="F16" s="319"/>
      <c r="G16" s="131" t="s">
        <v>482</v>
      </c>
      <c r="H16" s="318" t="s">
        <v>11</v>
      </c>
    </row>
    <row r="17" spans="1:8" ht="18.75" customHeight="1" x14ac:dyDescent="0.2">
      <c r="A17" s="145" t="s">
        <v>19</v>
      </c>
      <c r="B17" s="63" t="s">
        <v>493</v>
      </c>
      <c r="C17" s="319">
        <v>859632</v>
      </c>
      <c r="D17" s="319">
        <v>859632</v>
      </c>
      <c r="E17" s="319">
        <v>0</v>
      </c>
      <c r="F17" s="319"/>
      <c r="G17" s="131" t="s">
        <v>482</v>
      </c>
      <c r="H17" s="318" t="s">
        <v>11</v>
      </c>
    </row>
    <row r="18" spans="1:8" ht="18.75" customHeight="1" x14ac:dyDescent="0.2">
      <c r="A18" s="150" t="s">
        <v>20</v>
      </c>
      <c r="B18" s="321" t="s">
        <v>494</v>
      </c>
      <c r="C18" s="322">
        <v>5407180</v>
      </c>
      <c r="D18" s="322">
        <v>5407180</v>
      </c>
      <c r="E18" s="322">
        <v>0</v>
      </c>
      <c r="F18" s="322"/>
      <c r="G18" s="151" t="s">
        <v>482</v>
      </c>
      <c r="H18" s="323" t="s">
        <v>11</v>
      </c>
    </row>
    <row r="19" spans="1:8" ht="18.75" customHeight="1" x14ac:dyDescent="0.2">
      <c r="A19" s="312"/>
      <c r="B19" s="313" t="s">
        <v>495</v>
      </c>
      <c r="C19" s="314">
        <f>C20</f>
        <v>0</v>
      </c>
      <c r="D19" s="314"/>
      <c r="E19" s="314">
        <f>E20</f>
        <v>0</v>
      </c>
      <c r="F19" s="314"/>
      <c r="G19" s="34"/>
      <c r="H19" s="315"/>
    </row>
    <row r="20" spans="1:8" ht="18.75" customHeight="1" x14ac:dyDescent="0.2">
      <c r="A20" s="192"/>
      <c r="B20" s="324"/>
      <c r="C20" s="325"/>
      <c r="D20" s="325"/>
      <c r="E20" s="325"/>
      <c r="F20" s="326"/>
      <c r="G20" s="151" t="s">
        <v>482</v>
      </c>
      <c r="H20" s="323" t="s">
        <v>11</v>
      </c>
    </row>
    <row r="21" spans="1:8" ht="20.25" customHeight="1" x14ac:dyDescent="0.2">
      <c r="A21" s="1123" t="s">
        <v>496</v>
      </c>
      <c r="B21" s="1124"/>
      <c r="C21" s="1124"/>
      <c r="D21" s="1124"/>
      <c r="E21" s="1124"/>
      <c r="F21" s="1124"/>
      <c r="G21" s="1124"/>
      <c r="H21" s="1125"/>
    </row>
    <row r="22" spans="1:8" s="42" customFormat="1" ht="20.25" customHeight="1" x14ac:dyDescent="0.2">
      <c r="A22" s="1023" t="s">
        <v>497</v>
      </c>
      <c r="B22" s="1024"/>
      <c r="C22" s="306">
        <f>+C23</f>
        <v>0</v>
      </c>
      <c r="D22" s="306">
        <f>+D23</f>
        <v>0</v>
      </c>
      <c r="E22" s="306">
        <f>+E23</f>
        <v>0</v>
      </c>
      <c r="F22" s="306">
        <f>+F23</f>
        <v>0</v>
      </c>
      <c r="G22" s="327"/>
      <c r="H22" s="328"/>
    </row>
    <row r="23" spans="1:8" ht="20.25" customHeight="1" x14ac:dyDescent="0.2">
      <c r="A23" s="329"/>
      <c r="B23" s="330"/>
      <c r="C23" s="73">
        <v>0</v>
      </c>
      <c r="D23" s="73"/>
      <c r="E23" s="73">
        <v>0</v>
      </c>
      <c r="F23" s="73"/>
      <c r="G23" s="135"/>
      <c r="H23" s="331"/>
    </row>
    <row r="24" spans="1:8" ht="20.25" customHeight="1" x14ac:dyDescent="0.2">
      <c r="A24" s="332"/>
      <c r="B24" s="333"/>
      <c r="C24" s="334"/>
      <c r="D24" s="334"/>
      <c r="E24" s="334"/>
      <c r="F24" s="334"/>
      <c r="G24" s="335"/>
      <c r="H24" s="336"/>
    </row>
    <row r="25" spans="1:8" s="42" customFormat="1" ht="20.25" customHeight="1" x14ac:dyDescent="0.2">
      <c r="A25" s="1023" t="s">
        <v>498</v>
      </c>
      <c r="B25" s="1024"/>
      <c r="C25" s="306">
        <f>SUM(C26:C38)</f>
        <v>52059573</v>
      </c>
      <c r="D25" s="306">
        <f>SUM(D26:D38)</f>
        <v>65495009</v>
      </c>
      <c r="E25" s="306">
        <f>SUM(E26:E38)</f>
        <v>59300000</v>
      </c>
      <c r="F25" s="306">
        <f>SUM(F26:F38)</f>
        <v>0</v>
      </c>
      <c r="G25" s="327"/>
      <c r="H25" s="328"/>
    </row>
    <row r="26" spans="1:8" ht="18.75" customHeight="1" x14ac:dyDescent="0.2">
      <c r="A26" s="43" t="s">
        <v>15</v>
      </c>
      <c r="B26" s="45" t="s">
        <v>499</v>
      </c>
      <c r="C26" s="47">
        <v>0</v>
      </c>
      <c r="D26" s="47">
        <v>300000</v>
      </c>
      <c r="E26" s="47">
        <v>300000</v>
      </c>
      <c r="F26" s="47">
        <f>E26-300000</f>
        <v>0</v>
      </c>
      <c r="G26" s="92" t="s">
        <v>500</v>
      </c>
      <c r="H26" s="309" t="s">
        <v>11</v>
      </c>
    </row>
    <row r="27" spans="1:8" ht="18.75" customHeight="1" x14ac:dyDescent="0.2">
      <c r="A27" s="100" t="s">
        <v>16</v>
      </c>
      <c r="B27" s="50" t="s">
        <v>501</v>
      </c>
      <c r="C27" s="52">
        <v>0</v>
      </c>
      <c r="D27" s="47">
        <v>955485</v>
      </c>
      <c r="E27" s="52">
        <v>2000000</v>
      </c>
      <c r="F27" s="47">
        <f>E27-2000000</f>
        <v>0</v>
      </c>
      <c r="G27" s="97" t="s">
        <v>482</v>
      </c>
      <c r="H27" s="337" t="s">
        <v>11</v>
      </c>
    </row>
    <row r="28" spans="1:8" ht="18.75" customHeight="1" x14ac:dyDescent="0.2">
      <c r="A28" s="100" t="s">
        <v>17</v>
      </c>
      <c r="B28" s="247" t="s">
        <v>502</v>
      </c>
      <c r="C28" s="52">
        <v>38125996</v>
      </c>
      <c r="D28" s="47">
        <v>33372072</v>
      </c>
      <c r="E28" s="52">
        <f>35000000</f>
        <v>35000000</v>
      </c>
      <c r="F28" s="47">
        <f>E28-35000000</f>
        <v>0</v>
      </c>
      <c r="G28" s="97" t="s">
        <v>482</v>
      </c>
      <c r="H28" s="337" t="s">
        <v>11</v>
      </c>
    </row>
    <row r="29" spans="1:8" ht="18.75" customHeight="1" x14ac:dyDescent="0.2">
      <c r="A29" s="100" t="s">
        <v>18</v>
      </c>
      <c r="B29" s="50" t="s">
        <v>503</v>
      </c>
      <c r="C29" s="52">
        <v>0</v>
      </c>
      <c r="D29" s="47">
        <v>0</v>
      </c>
      <c r="E29" s="52">
        <v>0</v>
      </c>
      <c r="F29" s="47">
        <f t="shared" ref="F29:F38" si="0">E29</f>
        <v>0</v>
      </c>
      <c r="G29" s="97" t="s">
        <v>482</v>
      </c>
      <c r="H29" s="337" t="s">
        <v>11</v>
      </c>
    </row>
    <row r="30" spans="1:8" ht="33" customHeight="1" x14ac:dyDescent="0.2">
      <c r="A30" s="100" t="s">
        <v>19</v>
      </c>
      <c r="B30" s="50" t="s">
        <v>504</v>
      </c>
      <c r="C30" s="52">
        <v>0</v>
      </c>
      <c r="D30" s="47">
        <v>0</v>
      </c>
      <c r="E30" s="52">
        <v>2000000</v>
      </c>
      <c r="F30" s="47">
        <f>E30-2000000</f>
        <v>0</v>
      </c>
      <c r="G30" s="338" t="s">
        <v>505</v>
      </c>
      <c r="H30" s="337" t="s">
        <v>11</v>
      </c>
    </row>
    <row r="31" spans="1:8" ht="21.75" customHeight="1" x14ac:dyDescent="0.2">
      <c r="A31" s="100" t="s">
        <v>20</v>
      </c>
      <c r="B31" s="50" t="s">
        <v>506</v>
      </c>
      <c r="C31" s="52">
        <v>0</v>
      </c>
      <c r="D31" s="47">
        <v>0</v>
      </c>
      <c r="E31" s="52">
        <v>20000000</v>
      </c>
      <c r="F31" s="47">
        <f>E31-20000000</f>
        <v>0</v>
      </c>
      <c r="G31" s="97" t="s">
        <v>482</v>
      </c>
      <c r="H31" s="337" t="s">
        <v>11</v>
      </c>
    </row>
    <row r="32" spans="1:8" ht="28.5" customHeight="1" x14ac:dyDescent="0.2">
      <c r="A32" s="100" t="s">
        <v>21</v>
      </c>
      <c r="B32" s="50" t="s">
        <v>507</v>
      </c>
      <c r="C32" s="52">
        <v>1500000</v>
      </c>
      <c r="D32" s="47">
        <v>0</v>
      </c>
      <c r="E32" s="52">
        <v>0</v>
      </c>
      <c r="F32" s="47">
        <f t="shared" si="0"/>
        <v>0</v>
      </c>
      <c r="G32" s="338" t="s">
        <v>505</v>
      </c>
      <c r="H32" s="337" t="s">
        <v>11</v>
      </c>
    </row>
    <row r="33" spans="1:8" ht="18.75" customHeight="1" x14ac:dyDescent="0.2">
      <c r="A33" s="100" t="s">
        <v>22</v>
      </c>
      <c r="B33" s="50" t="s">
        <v>508</v>
      </c>
      <c r="C33" s="52">
        <v>2000000</v>
      </c>
      <c r="D33" s="47">
        <v>2000000</v>
      </c>
      <c r="E33" s="52">
        <v>0</v>
      </c>
      <c r="F33" s="47">
        <f t="shared" si="0"/>
        <v>0</v>
      </c>
      <c r="G33" s="97" t="s">
        <v>482</v>
      </c>
      <c r="H33" s="337" t="s">
        <v>11</v>
      </c>
    </row>
    <row r="34" spans="1:8" ht="18.75" customHeight="1" x14ac:dyDescent="0.2">
      <c r="A34" s="100" t="s">
        <v>36</v>
      </c>
      <c r="B34" s="57" t="s">
        <v>509</v>
      </c>
      <c r="C34" s="59">
        <v>4000000</v>
      </c>
      <c r="D34" s="47">
        <v>376690</v>
      </c>
      <c r="E34" s="52">
        <v>0</v>
      </c>
      <c r="F34" s="47">
        <f t="shared" si="0"/>
        <v>0</v>
      </c>
      <c r="G34" s="102" t="s">
        <v>482</v>
      </c>
      <c r="H34" s="310" t="s">
        <v>11</v>
      </c>
    </row>
    <row r="35" spans="1:8" ht="18.75" customHeight="1" x14ac:dyDescent="0.2">
      <c r="A35" s="100" t="s">
        <v>39</v>
      </c>
      <c r="B35" s="63" t="s">
        <v>510</v>
      </c>
      <c r="C35" s="52">
        <v>906145</v>
      </c>
      <c r="D35" s="47">
        <v>15456703</v>
      </c>
      <c r="E35" s="52"/>
      <c r="F35" s="47">
        <f t="shared" si="0"/>
        <v>0</v>
      </c>
      <c r="G35" s="102" t="s">
        <v>482</v>
      </c>
      <c r="H35" s="310" t="s">
        <v>11</v>
      </c>
    </row>
    <row r="36" spans="1:8" ht="18.75" customHeight="1" x14ac:dyDescent="0.2">
      <c r="A36" s="100" t="s">
        <v>42</v>
      </c>
      <c r="B36" s="57" t="s">
        <v>511</v>
      </c>
      <c r="C36" s="59">
        <v>5527432</v>
      </c>
      <c r="D36" s="47">
        <v>0</v>
      </c>
      <c r="E36" s="52">
        <v>0</v>
      </c>
      <c r="F36" s="47">
        <f>E36</f>
        <v>0</v>
      </c>
      <c r="G36" s="102" t="s">
        <v>482</v>
      </c>
      <c r="H36" s="310" t="s">
        <v>11</v>
      </c>
    </row>
    <row r="37" spans="1:8" ht="18.75" customHeight="1" x14ac:dyDescent="0.2">
      <c r="A37" s="100" t="s">
        <v>45</v>
      </c>
      <c r="B37" s="57" t="s">
        <v>1479</v>
      </c>
      <c r="C37" s="59"/>
      <c r="D37" s="47">
        <v>13034059</v>
      </c>
      <c r="E37" s="52"/>
      <c r="F37" s="47"/>
      <c r="G37" s="102" t="s">
        <v>482</v>
      </c>
      <c r="H37" s="310" t="s">
        <v>11</v>
      </c>
    </row>
    <row r="38" spans="1:8" ht="28.5" customHeight="1" x14ac:dyDescent="0.2">
      <c r="A38" s="100" t="s">
        <v>47</v>
      </c>
      <c r="B38" s="58" t="s">
        <v>512</v>
      </c>
      <c r="C38" s="59">
        <v>0</v>
      </c>
      <c r="D38" s="47">
        <v>0</v>
      </c>
      <c r="E38" s="52">
        <v>0</v>
      </c>
      <c r="F38" s="47">
        <f t="shared" si="0"/>
        <v>0</v>
      </c>
      <c r="G38" s="102" t="s">
        <v>482</v>
      </c>
      <c r="H38" s="310" t="s">
        <v>11</v>
      </c>
    </row>
    <row r="39" spans="1:8" ht="20.25" customHeight="1" x14ac:dyDescent="0.2">
      <c r="A39" s="332"/>
      <c r="B39" s="333"/>
      <c r="C39" s="334"/>
      <c r="D39" s="334"/>
      <c r="E39" s="334"/>
      <c r="F39" s="334"/>
      <c r="G39" s="335"/>
      <c r="H39" s="339"/>
    </row>
    <row r="40" spans="1:8" s="42" customFormat="1" ht="20.25" customHeight="1" x14ac:dyDescent="0.2">
      <c r="A40" s="1120" t="s">
        <v>513</v>
      </c>
      <c r="B40" s="1058"/>
      <c r="C40" s="340">
        <f>C41</f>
        <v>0</v>
      </c>
      <c r="D40" s="340">
        <f>D41</f>
        <v>4250000</v>
      </c>
      <c r="E40" s="340">
        <f>E41</f>
        <v>28000000</v>
      </c>
      <c r="F40" s="340">
        <f>F41</f>
        <v>0</v>
      </c>
      <c r="G40" s="341"/>
      <c r="H40" s="342"/>
    </row>
    <row r="41" spans="1:8" ht="25.5" x14ac:dyDescent="0.2">
      <c r="A41" s="121" t="s">
        <v>15</v>
      </c>
      <c r="B41" s="343" t="s">
        <v>514</v>
      </c>
      <c r="C41" s="188">
        <f>(10000000+18000000)-28000000</f>
        <v>0</v>
      </c>
      <c r="D41" s="188">
        <v>4250000</v>
      </c>
      <c r="E41" s="188">
        <v>28000000</v>
      </c>
      <c r="F41" s="188">
        <f>E41-28000000</f>
        <v>0</v>
      </c>
      <c r="G41" s="123" t="s">
        <v>482</v>
      </c>
      <c r="H41" s="344" t="s">
        <v>11</v>
      </c>
    </row>
    <row r="42" spans="1:8" ht="23.25" customHeight="1" x14ac:dyDescent="0.2"/>
    <row r="43" spans="1:8" ht="20.25" customHeight="1" x14ac:dyDescent="0.2">
      <c r="A43" s="1023" t="s">
        <v>515</v>
      </c>
      <c r="B43" s="1024"/>
      <c r="C43" s="306">
        <f>SUM(C44:C49)</f>
        <v>18000000</v>
      </c>
      <c r="D43" s="306">
        <f>SUM(D44:D49)</f>
        <v>1865000</v>
      </c>
      <c r="E43" s="306">
        <f>SUM(E44:E49)</f>
        <v>0</v>
      </c>
      <c r="F43" s="306">
        <f>SUM(F44:F49)</f>
        <v>0</v>
      </c>
      <c r="G43" s="1121"/>
      <c r="H43" s="1122"/>
    </row>
    <row r="44" spans="1:8" ht="34.5" customHeight="1" x14ac:dyDescent="0.2">
      <c r="A44" s="43" t="s">
        <v>15</v>
      </c>
      <c r="B44" s="46" t="s">
        <v>516</v>
      </c>
      <c r="C44" s="165">
        <v>15500000</v>
      </c>
      <c r="D44" s="165">
        <v>1500000</v>
      </c>
      <c r="E44" s="47">
        <v>0</v>
      </c>
      <c r="F44" s="47">
        <f t="shared" ref="F44:F49" si="1">E44</f>
        <v>0</v>
      </c>
      <c r="G44" s="92" t="s">
        <v>500</v>
      </c>
      <c r="H44" s="309" t="s">
        <v>11</v>
      </c>
    </row>
    <row r="45" spans="1:8" ht="25.5" x14ac:dyDescent="0.2">
      <c r="A45" s="100" t="s">
        <v>16</v>
      </c>
      <c r="B45" s="247" t="s">
        <v>517</v>
      </c>
      <c r="C45" s="234">
        <v>500000</v>
      </c>
      <c r="D45" s="165">
        <v>0</v>
      </c>
      <c r="E45" s="52">
        <v>0</v>
      </c>
      <c r="F45" s="47">
        <f t="shared" si="1"/>
        <v>0</v>
      </c>
      <c r="G45" s="338" t="s">
        <v>505</v>
      </c>
      <c r="H45" s="337" t="s">
        <v>11</v>
      </c>
    </row>
    <row r="46" spans="1:8" ht="24" customHeight="1" x14ac:dyDescent="0.2">
      <c r="A46" s="100" t="s">
        <v>17</v>
      </c>
      <c r="B46" s="247" t="s">
        <v>518</v>
      </c>
      <c r="C46" s="52">
        <v>500000</v>
      </c>
      <c r="D46" s="165">
        <v>0</v>
      </c>
      <c r="E46" s="52">
        <v>0</v>
      </c>
      <c r="F46" s="47">
        <f t="shared" si="1"/>
        <v>0</v>
      </c>
      <c r="G46" s="97" t="s">
        <v>500</v>
      </c>
      <c r="H46" s="337" t="s">
        <v>11</v>
      </c>
    </row>
    <row r="47" spans="1:8" ht="24" customHeight="1" x14ac:dyDescent="0.2">
      <c r="A47" s="100" t="s">
        <v>18</v>
      </c>
      <c r="B47" s="245" t="s">
        <v>519</v>
      </c>
      <c r="C47" s="59">
        <v>1000000</v>
      </c>
      <c r="D47" s="165">
        <v>0</v>
      </c>
      <c r="E47" s="59"/>
      <c r="F47" s="47">
        <f t="shared" si="1"/>
        <v>0</v>
      </c>
      <c r="G47" s="102" t="s">
        <v>482</v>
      </c>
      <c r="H47" s="310" t="s">
        <v>11</v>
      </c>
    </row>
    <row r="48" spans="1:8" ht="29.25" customHeight="1" x14ac:dyDescent="0.2">
      <c r="A48" s="100" t="s">
        <v>19</v>
      </c>
      <c r="B48" s="247" t="s">
        <v>520</v>
      </c>
      <c r="C48" s="52">
        <v>500000</v>
      </c>
      <c r="D48" s="234">
        <v>0</v>
      </c>
      <c r="E48" s="52">
        <v>0</v>
      </c>
      <c r="F48" s="52">
        <f t="shared" si="1"/>
        <v>0</v>
      </c>
      <c r="G48" s="338" t="s">
        <v>505</v>
      </c>
      <c r="H48" s="337" t="s">
        <v>11</v>
      </c>
    </row>
    <row r="49" spans="1:8" ht="30" customHeight="1" x14ac:dyDescent="0.2">
      <c r="A49" s="134" t="s">
        <v>20</v>
      </c>
      <c r="B49" s="345" t="s">
        <v>521</v>
      </c>
      <c r="C49" s="346">
        <v>0</v>
      </c>
      <c r="D49" s="347">
        <v>365000</v>
      </c>
      <c r="E49" s="346">
        <v>0</v>
      </c>
      <c r="F49" s="346">
        <f t="shared" si="1"/>
        <v>0</v>
      </c>
      <c r="G49" s="348" t="s">
        <v>505</v>
      </c>
      <c r="H49" s="349" t="s">
        <v>11</v>
      </c>
    </row>
    <row r="50" spans="1:8" ht="18.75" customHeight="1" x14ac:dyDescent="0.2">
      <c r="A50" s="350"/>
      <c r="B50" s="351"/>
      <c r="C50" s="352"/>
      <c r="D50" s="352"/>
      <c r="E50" s="353"/>
      <c r="F50" s="353"/>
      <c r="G50" s="354"/>
      <c r="H50" s="355"/>
    </row>
    <row r="51" spans="1:8" s="42" customFormat="1" ht="20.25" customHeight="1" x14ac:dyDescent="0.2">
      <c r="A51" s="1023" t="s">
        <v>522</v>
      </c>
      <c r="B51" s="1024"/>
      <c r="C51" s="306">
        <f>SUM(C52:C65)</f>
        <v>258958866</v>
      </c>
      <c r="D51" s="306">
        <f>SUM(D52:D65)</f>
        <v>736565342</v>
      </c>
      <c r="E51" s="306">
        <f>SUM(E52:E65)</f>
        <v>45722000</v>
      </c>
      <c r="F51" s="306">
        <f>SUM(F52:F65)</f>
        <v>0</v>
      </c>
      <c r="G51" s="327"/>
      <c r="H51" s="328"/>
    </row>
    <row r="52" spans="1:8" s="42" customFormat="1" ht="19.5" customHeight="1" x14ac:dyDescent="0.2">
      <c r="A52" s="43" t="s">
        <v>15</v>
      </c>
      <c r="B52" s="46" t="s">
        <v>523</v>
      </c>
      <c r="C52" s="165">
        <v>5800000</v>
      </c>
      <c r="D52" s="165">
        <v>0</v>
      </c>
      <c r="E52" s="47">
        <v>0</v>
      </c>
      <c r="F52" s="47">
        <f>E52</f>
        <v>0</v>
      </c>
      <c r="G52" s="92" t="s">
        <v>482</v>
      </c>
      <c r="H52" s="309" t="s">
        <v>11</v>
      </c>
    </row>
    <row r="53" spans="1:8" s="42" customFormat="1" ht="19.5" customHeight="1" x14ac:dyDescent="0.2">
      <c r="A53" s="100" t="s">
        <v>16</v>
      </c>
      <c r="B53" s="247" t="s">
        <v>524</v>
      </c>
      <c r="C53" s="234">
        <v>0</v>
      </c>
      <c r="D53" s="165">
        <v>4722000</v>
      </c>
      <c r="E53" s="52">
        <v>11722000</v>
      </c>
      <c r="F53" s="47">
        <f>E53-11722000</f>
        <v>0</v>
      </c>
      <c r="G53" s="97" t="s">
        <v>482</v>
      </c>
      <c r="H53" s="310" t="s">
        <v>11</v>
      </c>
    </row>
    <row r="54" spans="1:8" s="42" customFormat="1" ht="19.5" customHeight="1" x14ac:dyDescent="0.2">
      <c r="A54" s="101" t="s">
        <v>17</v>
      </c>
      <c r="B54" s="245" t="s">
        <v>525</v>
      </c>
      <c r="C54" s="226">
        <v>70655516</v>
      </c>
      <c r="D54" s="165">
        <v>70655516</v>
      </c>
      <c r="E54" s="52">
        <v>0</v>
      </c>
      <c r="F54" s="47">
        <f t="shared" ref="F54:F65" si="2">E54</f>
        <v>0</v>
      </c>
      <c r="G54" s="97" t="s">
        <v>482</v>
      </c>
      <c r="H54" s="310" t="s">
        <v>11</v>
      </c>
    </row>
    <row r="55" spans="1:8" s="42" customFormat="1" ht="20.25" customHeight="1" x14ac:dyDescent="0.2">
      <c r="A55" s="100" t="s">
        <v>18</v>
      </c>
      <c r="B55" s="247" t="s">
        <v>526</v>
      </c>
      <c r="C55" s="52">
        <v>7000000</v>
      </c>
      <c r="D55" s="165">
        <v>23009132</v>
      </c>
      <c r="E55" s="52">
        <v>34000000</v>
      </c>
      <c r="F55" s="47">
        <f>E55-34000000</f>
        <v>0</v>
      </c>
      <c r="G55" s="97" t="s">
        <v>482</v>
      </c>
      <c r="H55" s="310" t="s">
        <v>11</v>
      </c>
    </row>
    <row r="56" spans="1:8" s="42" customFormat="1" ht="19.5" customHeight="1" x14ac:dyDescent="0.2">
      <c r="A56" s="100" t="s">
        <v>19</v>
      </c>
      <c r="B56" s="247" t="s">
        <v>527</v>
      </c>
      <c r="C56" s="234">
        <v>314831</v>
      </c>
      <c r="D56" s="165">
        <v>314831</v>
      </c>
      <c r="E56" s="52">
        <v>0</v>
      </c>
      <c r="F56" s="47">
        <f t="shared" si="2"/>
        <v>0</v>
      </c>
      <c r="G56" s="97" t="s">
        <v>482</v>
      </c>
      <c r="H56" s="310" t="s">
        <v>11</v>
      </c>
    </row>
    <row r="57" spans="1:8" s="42" customFormat="1" ht="19.5" customHeight="1" x14ac:dyDescent="0.2">
      <c r="A57" s="100" t="s">
        <v>20</v>
      </c>
      <c r="B57" s="247" t="s">
        <v>528</v>
      </c>
      <c r="C57" s="234">
        <v>507808</v>
      </c>
      <c r="D57" s="165">
        <v>507808</v>
      </c>
      <c r="E57" s="52">
        <v>0</v>
      </c>
      <c r="F57" s="47">
        <f t="shared" si="2"/>
        <v>0</v>
      </c>
      <c r="G57" s="97" t="s">
        <v>482</v>
      </c>
      <c r="H57" s="310" t="s">
        <v>11</v>
      </c>
    </row>
    <row r="58" spans="1:8" s="42" customFormat="1" ht="19.5" customHeight="1" x14ac:dyDescent="0.2">
      <c r="A58" s="100" t="s">
        <v>21</v>
      </c>
      <c r="B58" s="247" t="s">
        <v>529</v>
      </c>
      <c r="C58" s="234">
        <v>0</v>
      </c>
      <c r="D58" s="165">
        <v>0</v>
      </c>
      <c r="E58" s="52">
        <v>0</v>
      </c>
      <c r="F58" s="47">
        <f t="shared" si="2"/>
        <v>0</v>
      </c>
      <c r="G58" s="97" t="s">
        <v>482</v>
      </c>
      <c r="H58" s="310" t="s">
        <v>11</v>
      </c>
    </row>
    <row r="59" spans="1:8" s="42" customFormat="1" ht="19.5" customHeight="1" x14ac:dyDescent="0.2">
      <c r="A59" s="100" t="s">
        <v>22</v>
      </c>
      <c r="B59" s="63" t="s">
        <v>530</v>
      </c>
      <c r="C59" s="226">
        <v>905711</v>
      </c>
      <c r="D59" s="165">
        <v>905711</v>
      </c>
      <c r="E59" s="52"/>
      <c r="F59" s="47">
        <f t="shared" si="2"/>
        <v>0</v>
      </c>
      <c r="G59" s="97" t="s">
        <v>482</v>
      </c>
      <c r="H59" s="310" t="s">
        <v>11</v>
      </c>
    </row>
    <row r="60" spans="1:8" s="42" customFormat="1" ht="19.5" customHeight="1" x14ac:dyDescent="0.2">
      <c r="A60" s="100" t="s">
        <v>36</v>
      </c>
      <c r="B60" s="247" t="s">
        <v>531</v>
      </c>
      <c r="C60" s="234">
        <v>45000000</v>
      </c>
      <c r="D60" s="165">
        <v>28095000</v>
      </c>
      <c r="E60" s="52">
        <v>0</v>
      </c>
      <c r="F60" s="47">
        <f t="shared" si="2"/>
        <v>0</v>
      </c>
      <c r="G60" s="97" t="s">
        <v>482</v>
      </c>
      <c r="H60" s="337" t="s">
        <v>11</v>
      </c>
    </row>
    <row r="61" spans="1:8" s="42" customFormat="1" ht="19.5" customHeight="1" x14ac:dyDescent="0.2">
      <c r="A61" s="110" t="s">
        <v>39</v>
      </c>
      <c r="B61" s="356" t="s">
        <v>532</v>
      </c>
      <c r="C61" s="255">
        <v>128775000</v>
      </c>
      <c r="D61" s="226">
        <v>0</v>
      </c>
      <c r="E61" s="59">
        <v>0</v>
      </c>
      <c r="F61" s="59">
        <f>E61</f>
        <v>0</v>
      </c>
      <c r="G61" s="97" t="s">
        <v>482</v>
      </c>
      <c r="H61" s="337" t="s">
        <v>11</v>
      </c>
    </row>
    <row r="62" spans="1:8" s="42" customFormat="1" ht="19.5" customHeight="1" x14ac:dyDescent="0.2">
      <c r="A62" s="100" t="s">
        <v>42</v>
      </c>
      <c r="B62" s="247" t="s">
        <v>533</v>
      </c>
      <c r="C62" s="234"/>
      <c r="D62" s="234">
        <v>14329704</v>
      </c>
      <c r="E62" s="59"/>
      <c r="F62" s="59"/>
      <c r="G62" s="97" t="s">
        <v>482</v>
      </c>
      <c r="H62" s="337" t="s">
        <v>11</v>
      </c>
    </row>
    <row r="63" spans="1:8" s="42" customFormat="1" ht="19.5" customHeight="1" x14ac:dyDescent="0.2">
      <c r="A63" s="100" t="s">
        <v>45</v>
      </c>
      <c r="B63" s="46" t="s">
        <v>534</v>
      </c>
      <c r="C63" s="165"/>
      <c r="D63" s="234">
        <v>0</v>
      </c>
      <c r="E63" s="59"/>
      <c r="F63" s="59"/>
      <c r="G63" s="97" t="s">
        <v>482</v>
      </c>
      <c r="H63" s="337" t="s">
        <v>11</v>
      </c>
    </row>
    <row r="64" spans="1:8" s="42" customFormat="1" ht="19.5" customHeight="1" x14ac:dyDescent="0.2">
      <c r="A64" s="100" t="s">
        <v>47</v>
      </c>
      <c r="B64" s="357" t="s">
        <v>535</v>
      </c>
      <c r="C64" s="165"/>
      <c r="D64" s="255">
        <v>459030696</v>
      </c>
      <c r="E64" s="59"/>
      <c r="F64" s="59"/>
      <c r="G64" s="97" t="s">
        <v>482</v>
      </c>
      <c r="H64" s="337" t="s">
        <v>11</v>
      </c>
    </row>
    <row r="65" spans="1:8" s="42" customFormat="1" ht="19.5" customHeight="1" x14ac:dyDescent="0.2">
      <c r="A65" s="195" t="s">
        <v>50</v>
      </c>
      <c r="B65" s="321" t="s">
        <v>536</v>
      </c>
      <c r="C65" s="347"/>
      <c r="D65" s="242">
        <v>134994944</v>
      </c>
      <c r="E65" s="65">
        <v>0</v>
      </c>
      <c r="F65" s="65">
        <f t="shared" si="2"/>
        <v>0</v>
      </c>
      <c r="G65" s="152" t="s">
        <v>482</v>
      </c>
      <c r="H65" s="311" t="s">
        <v>11</v>
      </c>
    </row>
    <row r="66" spans="1:8" ht="21" customHeight="1" x14ac:dyDescent="0.2">
      <c r="E66" s="79"/>
      <c r="F66" s="79"/>
    </row>
    <row r="67" spans="1:8" ht="20.25" customHeight="1" x14ac:dyDescent="0.2">
      <c r="A67" s="1023" t="s">
        <v>537</v>
      </c>
      <c r="B67" s="1024"/>
      <c r="C67" s="306">
        <f>C68</f>
        <v>0</v>
      </c>
      <c r="D67" s="306"/>
      <c r="E67" s="306">
        <f>E68</f>
        <v>0</v>
      </c>
      <c r="F67" s="306"/>
      <c r="G67" s="327"/>
      <c r="H67" s="328"/>
    </row>
    <row r="68" spans="1:8" ht="27.75" customHeight="1" x14ac:dyDescent="0.2">
      <c r="A68" s="195" t="s">
        <v>15</v>
      </c>
      <c r="B68" s="358" t="s">
        <v>538</v>
      </c>
      <c r="C68" s="65">
        <v>0</v>
      </c>
      <c r="D68" s="65"/>
      <c r="E68" s="65">
        <v>0</v>
      </c>
      <c r="F68" s="65"/>
      <c r="G68" s="359" t="s">
        <v>539</v>
      </c>
      <c r="H68" s="311" t="s">
        <v>11</v>
      </c>
    </row>
    <row r="69" spans="1:8" ht="20.25" customHeight="1" x14ac:dyDescent="0.2">
      <c r="A69" s="350"/>
      <c r="B69" s="353"/>
      <c r="C69" s="352"/>
      <c r="D69" s="352"/>
      <c r="E69" s="352"/>
      <c r="F69" s="352"/>
      <c r="G69" s="360"/>
      <c r="H69" s="355"/>
    </row>
    <row r="70" spans="1:8" s="42" customFormat="1" ht="20.25" customHeight="1" x14ac:dyDescent="0.2">
      <c r="A70" s="1023" t="s">
        <v>540</v>
      </c>
      <c r="B70" s="1024"/>
      <c r="C70" s="306">
        <f>SUM(C71:C72)</f>
        <v>12500000</v>
      </c>
      <c r="D70" s="306">
        <f>SUM(D71:D72)</f>
        <v>11253294</v>
      </c>
      <c r="E70" s="306">
        <f>SUM(E71:E72)</f>
        <v>18100000</v>
      </c>
      <c r="F70" s="306">
        <f>SUM(F71:F72)</f>
        <v>0</v>
      </c>
      <c r="G70" s="361"/>
      <c r="H70" s="328"/>
    </row>
    <row r="71" spans="1:8" ht="19.5" customHeight="1" x14ac:dyDescent="0.2">
      <c r="A71" s="43" t="s">
        <v>15</v>
      </c>
      <c r="B71" s="45" t="s">
        <v>541</v>
      </c>
      <c r="C71" s="47">
        <v>10000000</v>
      </c>
      <c r="D71" s="47">
        <v>11253294</v>
      </c>
      <c r="E71" s="47">
        <v>15000000</v>
      </c>
      <c r="F71" s="47">
        <f>E71-15000000</f>
        <v>0</v>
      </c>
      <c r="G71" s="92" t="s">
        <v>500</v>
      </c>
      <c r="H71" s="309" t="s">
        <v>11</v>
      </c>
    </row>
    <row r="72" spans="1:8" ht="19.5" customHeight="1" x14ac:dyDescent="0.2">
      <c r="A72" s="100" t="s">
        <v>16</v>
      </c>
      <c r="B72" s="50" t="s">
        <v>542</v>
      </c>
      <c r="C72" s="52">
        <v>2500000</v>
      </c>
      <c r="D72" s="47">
        <v>0</v>
      </c>
      <c r="E72" s="52">
        <v>3100000</v>
      </c>
      <c r="F72" s="47">
        <f>E72-3100000</f>
        <v>0</v>
      </c>
      <c r="G72" s="97" t="s">
        <v>482</v>
      </c>
      <c r="H72" s="337" t="s">
        <v>11</v>
      </c>
    </row>
    <row r="73" spans="1:8" s="365" customFormat="1" ht="24" customHeight="1" x14ac:dyDescent="0.25">
      <c r="A73" s="1117" t="s">
        <v>543</v>
      </c>
      <c r="B73" s="1118"/>
      <c r="C73" s="362">
        <f>+C70+C67+C51+C43+C40+C25+C22+C5+C12+C19</f>
        <v>395029201</v>
      </c>
      <c r="D73" s="362">
        <f>+D70+D67+D51+D43+D40+D25+D22+D5+D12+D19</f>
        <v>835415764</v>
      </c>
      <c r="E73" s="362">
        <f>+E70+E67+E51+E43+E40+E25+E22+E5+E12+E19</f>
        <v>207822000</v>
      </c>
      <c r="F73" s="362">
        <f>+F70+F67+F51+F43+F40+F25+F22+F5+F12+F19</f>
        <v>0</v>
      </c>
      <c r="G73" s="363"/>
      <c r="H73" s="364"/>
    </row>
    <row r="74" spans="1:8" x14ac:dyDescent="0.2">
      <c r="A74" s="366"/>
      <c r="B74" s="301"/>
      <c r="C74" s="367"/>
      <c r="D74" s="367"/>
      <c r="E74" s="301"/>
      <c r="F74" s="301"/>
      <c r="G74" s="301"/>
      <c r="H74" s="301"/>
    </row>
    <row r="75" spans="1:8" ht="74.25" customHeight="1" x14ac:dyDescent="0.2">
      <c r="A75" s="1119" t="s">
        <v>544</v>
      </c>
      <c r="B75" s="1119"/>
      <c r="C75" s="1119"/>
      <c r="D75" s="1119"/>
      <c r="E75" s="1119"/>
      <c r="F75" s="1119"/>
      <c r="G75" s="1119"/>
      <c r="H75" s="1119"/>
    </row>
    <row r="76" spans="1:8" ht="12.75" customHeight="1" x14ac:dyDescent="0.2">
      <c r="A76" s="368"/>
      <c r="B76" s="368"/>
      <c r="C76" s="368"/>
      <c r="D76" s="368"/>
      <c r="E76" s="368"/>
      <c r="F76" s="368"/>
      <c r="G76" s="368"/>
      <c r="H76" s="368"/>
    </row>
    <row r="77" spans="1:8" ht="12.75" customHeight="1" x14ac:dyDescent="0.2">
      <c r="A77" s="368"/>
      <c r="B77" s="368"/>
      <c r="C77" s="368"/>
      <c r="D77" s="368"/>
      <c r="E77" s="368"/>
      <c r="F77" s="368"/>
      <c r="G77" s="368"/>
      <c r="H77" s="368"/>
    </row>
    <row r="78" spans="1:8" ht="12.75" customHeight="1" x14ac:dyDescent="0.2">
      <c r="A78" s="368"/>
      <c r="B78" s="368"/>
      <c r="C78" s="368"/>
      <c r="D78" s="368"/>
      <c r="E78" s="368"/>
      <c r="F78" s="368"/>
      <c r="G78" s="368"/>
      <c r="H78" s="368"/>
    </row>
    <row r="81" spans="4:4" x14ac:dyDescent="0.2">
      <c r="D81" s="79">
        <f>+D73-D70</f>
        <v>824162470</v>
      </c>
    </row>
  </sheetData>
  <mergeCells count="14">
    <mergeCell ref="A25:B25"/>
    <mergeCell ref="A1:H1"/>
    <mergeCell ref="A4:H4"/>
    <mergeCell ref="A5:B5"/>
    <mergeCell ref="A21:H21"/>
    <mergeCell ref="A22:B22"/>
    <mergeCell ref="A73:B73"/>
    <mergeCell ref="A75:H75"/>
    <mergeCell ref="A40:B40"/>
    <mergeCell ref="A43:B43"/>
    <mergeCell ref="G43:H43"/>
    <mergeCell ref="A51:B51"/>
    <mergeCell ref="A67:B67"/>
    <mergeCell ref="A70:B7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&amp;CDunaharaszti Város Önkormányzat 2017. évi zárszámadás&amp;R&amp;A</oddHeader>
    <oddFooter>&amp;C&amp;P/&amp;N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1"/>
  <sheetViews>
    <sheetView view="pageBreakPreview" zoomScaleNormal="100" zoomScaleSheetLayoutView="100" workbookViewId="0">
      <selection activeCell="F19" sqref="F19"/>
    </sheetView>
  </sheetViews>
  <sheetFormatPr defaultColWidth="10.42578125" defaultRowHeight="12.75" x14ac:dyDescent="0.2"/>
  <cols>
    <col min="1" max="1" width="3.140625" style="209" bestFit="1" customWidth="1"/>
    <col min="2" max="2" width="4" style="209" customWidth="1"/>
    <col min="3" max="3" width="10.42578125" style="209" customWidth="1"/>
    <col min="4" max="4" width="53.5703125" style="209" customWidth="1"/>
    <col min="5" max="7" width="19.7109375" style="209" customWidth="1"/>
    <col min="8" max="8" width="20.5703125" style="209" customWidth="1"/>
    <col min="9" max="9" width="20.140625" style="209" customWidth="1"/>
    <col min="10" max="16384" width="10.42578125" style="209"/>
  </cols>
  <sheetData>
    <row r="1" spans="1:11" ht="24.75" customHeight="1" x14ac:dyDescent="0.2">
      <c r="A1" s="1018" t="s">
        <v>29</v>
      </c>
      <c r="B1" s="1018"/>
      <c r="C1" s="1018"/>
      <c r="D1" s="1018"/>
      <c r="E1" s="1018"/>
      <c r="F1" s="1018"/>
      <c r="G1" s="1018"/>
      <c r="H1" s="1018"/>
      <c r="I1" s="1018"/>
    </row>
    <row r="2" spans="1:11" ht="15.75" customHeight="1" x14ac:dyDescent="0.2">
      <c r="A2" s="33"/>
      <c r="B2" s="33"/>
      <c r="C2" s="33"/>
      <c r="D2" s="33"/>
      <c r="E2" s="80"/>
      <c r="F2" s="80"/>
      <c r="G2" s="80"/>
      <c r="H2" s="80"/>
      <c r="I2" s="80" t="s">
        <v>0</v>
      </c>
    </row>
    <row r="3" spans="1:11" ht="51" customHeight="1" x14ac:dyDescent="0.2">
      <c r="A3" s="1131" t="s">
        <v>475</v>
      </c>
      <c r="B3" s="1134" t="s">
        <v>123</v>
      </c>
      <c r="C3" s="1134"/>
      <c r="D3" s="1134"/>
      <c r="E3" s="370" t="s">
        <v>6</v>
      </c>
      <c r="F3" s="370" t="s">
        <v>7</v>
      </c>
      <c r="G3" s="370" t="s">
        <v>788</v>
      </c>
      <c r="H3" s="36" t="s">
        <v>476</v>
      </c>
      <c r="I3" s="36" t="s">
        <v>477</v>
      </c>
      <c r="J3" s="137"/>
      <c r="K3" s="354"/>
    </row>
    <row r="4" spans="1:11" ht="31.5" customHeight="1" x14ac:dyDescent="0.2">
      <c r="A4" s="1132"/>
      <c r="B4" s="1135" t="s">
        <v>121</v>
      </c>
      <c r="C4" s="1097" t="s">
        <v>545</v>
      </c>
      <c r="D4" s="371" t="s">
        <v>546</v>
      </c>
      <c r="E4" s="1077" t="s">
        <v>795</v>
      </c>
      <c r="F4" s="1078"/>
      <c r="G4" s="1079"/>
      <c r="H4" s="1077" t="s">
        <v>547</v>
      </c>
      <c r="I4" s="1126" t="s">
        <v>547</v>
      </c>
      <c r="J4" s="372"/>
      <c r="K4" s="372"/>
    </row>
    <row r="5" spans="1:11" ht="27.75" customHeight="1" x14ac:dyDescent="0.2">
      <c r="A5" s="1133"/>
      <c r="B5" s="1136"/>
      <c r="C5" s="1097"/>
      <c r="D5" s="371" t="s">
        <v>548</v>
      </c>
      <c r="E5" s="1080"/>
      <c r="F5" s="1081"/>
      <c r="G5" s="1082"/>
      <c r="H5" s="1080"/>
      <c r="I5" s="1127"/>
    </row>
    <row r="6" spans="1:11" s="222" customFormat="1" ht="27.75" customHeight="1" x14ac:dyDescent="0.2">
      <c r="A6" s="1130" t="s">
        <v>549</v>
      </c>
      <c r="B6" s="1130"/>
      <c r="C6" s="1130"/>
      <c r="D6" s="1130"/>
      <c r="E6" s="373">
        <f>SUM(E7:E19)</f>
        <v>24854500</v>
      </c>
      <c r="F6" s="373">
        <f>SUM(F7:F19)</f>
        <v>49935500</v>
      </c>
      <c r="G6" s="373">
        <f>SUM(G7:G19)</f>
        <v>39354328</v>
      </c>
      <c r="H6" s="374">
        <f>SUM(H7:H19)</f>
        <v>24850000</v>
      </c>
      <c r="I6" s="374">
        <f>SUM(I7:I19)</f>
        <v>0</v>
      </c>
    </row>
    <row r="7" spans="1:11" ht="23.25" customHeight="1" x14ac:dyDescent="0.2">
      <c r="A7" s="375" t="s">
        <v>15</v>
      </c>
      <c r="B7" s="376" t="s">
        <v>550</v>
      </c>
      <c r="C7" s="377" t="s">
        <v>551</v>
      </c>
      <c r="D7" s="378" t="s">
        <v>552</v>
      </c>
      <c r="E7" s="379">
        <v>2000000</v>
      </c>
      <c r="F7" s="379">
        <v>2600000</v>
      </c>
      <c r="G7" s="379">
        <v>766215</v>
      </c>
      <c r="H7" s="379">
        <v>2000000</v>
      </c>
      <c r="I7" s="380">
        <f>H7-2000000</f>
        <v>0</v>
      </c>
    </row>
    <row r="8" spans="1:11" ht="24" customHeight="1" x14ac:dyDescent="0.2">
      <c r="A8" s="381" t="s">
        <v>16</v>
      </c>
      <c r="B8" s="382">
        <v>215</v>
      </c>
      <c r="C8" s="383" t="s">
        <v>551</v>
      </c>
      <c r="D8" s="241" t="s">
        <v>553</v>
      </c>
      <c r="E8" s="384">
        <v>1000000</v>
      </c>
      <c r="F8" s="384">
        <v>3700000</v>
      </c>
      <c r="G8" s="384">
        <v>3554955</v>
      </c>
      <c r="H8" s="384">
        <v>1000000</v>
      </c>
      <c r="I8" s="385">
        <f>H8-1000000</f>
        <v>0</v>
      </c>
    </row>
    <row r="9" spans="1:11" ht="19.5" customHeight="1" x14ac:dyDescent="0.2">
      <c r="A9" s="381" t="s">
        <v>17</v>
      </c>
      <c r="B9" s="386" t="s">
        <v>554</v>
      </c>
      <c r="C9" s="267" t="s">
        <v>551</v>
      </c>
      <c r="D9" s="236" t="s">
        <v>555</v>
      </c>
      <c r="E9" s="133">
        <v>12000000</v>
      </c>
      <c r="F9" s="384">
        <v>20590000</v>
      </c>
      <c r="G9" s="384">
        <f>23109205-G10</f>
        <v>18727705</v>
      </c>
      <c r="H9" s="384">
        <v>12000000</v>
      </c>
      <c r="I9" s="385">
        <f>H9-12000000</f>
        <v>0</v>
      </c>
    </row>
    <row r="10" spans="1:11" ht="27" customHeight="1" x14ac:dyDescent="0.2">
      <c r="A10" s="381" t="s">
        <v>18</v>
      </c>
      <c r="B10" s="386" t="s">
        <v>554</v>
      </c>
      <c r="C10" s="267" t="s">
        <v>551</v>
      </c>
      <c r="D10" s="236" t="s">
        <v>556</v>
      </c>
      <c r="E10" s="133">
        <v>2000000</v>
      </c>
      <c r="F10" s="384">
        <v>4450000</v>
      </c>
      <c r="G10" s="384">
        <v>4381500</v>
      </c>
      <c r="H10" s="384">
        <v>2000000</v>
      </c>
      <c r="I10" s="385">
        <f>H10-2000000</f>
        <v>0</v>
      </c>
    </row>
    <row r="11" spans="1:11" ht="22.5" customHeight="1" x14ac:dyDescent="0.2">
      <c r="A11" s="381" t="s">
        <v>19</v>
      </c>
      <c r="B11" s="386" t="s">
        <v>554</v>
      </c>
      <c r="C11" s="267" t="s">
        <v>557</v>
      </c>
      <c r="D11" s="236" t="s">
        <v>558</v>
      </c>
      <c r="E11" s="384">
        <v>2000000</v>
      </c>
      <c r="F11" s="384">
        <v>4000000</v>
      </c>
      <c r="G11" s="384">
        <v>2904000</v>
      </c>
      <c r="H11" s="384">
        <v>2000000</v>
      </c>
      <c r="I11" s="385">
        <f>H11-2000000</f>
        <v>0</v>
      </c>
    </row>
    <row r="12" spans="1:11" ht="24" customHeight="1" x14ac:dyDescent="0.2">
      <c r="A12" s="381" t="s">
        <v>20</v>
      </c>
      <c r="B12" s="386" t="s">
        <v>554</v>
      </c>
      <c r="C12" s="267" t="s">
        <v>559</v>
      </c>
      <c r="D12" s="236" t="s">
        <v>560</v>
      </c>
      <c r="E12" s="384">
        <v>500000</v>
      </c>
      <c r="F12" s="384">
        <v>1000000</v>
      </c>
      <c r="G12" s="384">
        <v>87492</v>
      </c>
      <c r="H12" s="384">
        <v>500000</v>
      </c>
      <c r="I12" s="385">
        <f>H12-500000</f>
        <v>0</v>
      </c>
    </row>
    <row r="13" spans="1:11" ht="24" customHeight="1" x14ac:dyDescent="0.2">
      <c r="A13" s="381" t="s">
        <v>21</v>
      </c>
      <c r="B13" s="386" t="s">
        <v>561</v>
      </c>
      <c r="C13" s="267" t="s">
        <v>562</v>
      </c>
      <c r="D13" s="236" t="s">
        <v>563</v>
      </c>
      <c r="E13" s="384">
        <v>750000</v>
      </c>
      <c r="F13" s="384">
        <v>1850000</v>
      </c>
      <c r="G13" s="384">
        <v>1447307</v>
      </c>
      <c r="H13" s="384">
        <v>750000</v>
      </c>
      <c r="I13" s="385">
        <f>H13-750000</f>
        <v>0</v>
      </c>
    </row>
    <row r="14" spans="1:11" ht="24" customHeight="1" x14ac:dyDescent="0.2">
      <c r="A14" s="381" t="s">
        <v>22</v>
      </c>
      <c r="B14" s="386" t="s">
        <v>564</v>
      </c>
      <c r="C14" s="267" t="s">
        <v>551</v>
      </c>
      <c r="D14" s="236" t="s">
        <v>565</v>
      </c>
      <c r="E14" s="384">
        <v>1000000</v>
      </c>
      <c r="F14" s="384">
        <v>2000000</v>
      </c>
      <c r="G14" s="384">
        <v>1775018</v>
      </c>
      <c r="H14" s="384">
        <v>1000000</v>
      </c>
      <c r="I14" s="385">
        <f>H14-1000000</f>
        <v>0</v>
      </c>
    </row>
    <row r="15" spans="1:11" ht="32.25" customHeight="1" x14ac:dyDescent="0.2">
      <c r="A15" s="381" t="s">
        <v>36</v>
      </c>
      <c r="B15" s="386" t="s">
        <v>566</v>
      </c>
      <c r="C15" s="267" t="s">
        <v>559</v>
      </c>
      <c r="D15" s="236" t="s">
        <v>567</v>
      </c>
      <c r="E15" s="384">
        <v>1504500</v>
      </c>
      <c r="F15" s="384">
        <v>3004500</v>
      </c>
      <c r="G15" s="384">
        <v>568838</v>
      </c>
      <c r="H15" s="384">
        <v>1500000</v>
      </c>
      <c r="I15" s="385">
        <f>H15-1500000</f>
        <v>0</v>
      </c>
    </row>
    <row r="16" spans="1:11" ht="32.25" customHeight="1" x14ac:dyDescent="0.2">
      <c r="A16" s="381" t="s">
        <v>39</v>
      </c>
      <c r="B16" s="386" t="s">
        <v>566</v>
      </c>
      <c r="C16" s="237" t="s">
        <v>1463</v>
      </c>
      <c r="D16" s="807" t="s">
        <v>1464</v>
      </c>
      <c r="E16" s="384"/>
      <c r="F16" s="384">
        <v>2541000</v>
      </c>
      <c r="G16" s="384">
        <v>2541000</v>
      </c>
      <c r="H16" s="384"/>
      <c r="I16" s="385"/>
    </row>
    <row r="17" spans="1:11" ht="24.75" customHeight="1" x14ac:dyDescent="0.2">
      <c r="A17" s="381" t="s">
        <v>39</v>
      </c>
      <c r="B17" s="386" t="s">
        <v>568</v>
      </c>
      <c r="C17" s="267" t="s">
        <v>559</v>
      </c>
      <c r="D17" s="236" t="s">
        <v>569</v>
      </c>
      <c r="E17" s="384">
        <v>1500000</v>
      </c>
      <c r="F17" s="384">
        <v>3000000</v>
      </c>
      <c r="G17" s="384">
        <v>2102900</v>
      </c>
      <c r="H17" s="384">
        <v>1500000</v>
      </c>
      <c r="I17" s="385">
        <f>H17-1500000</f>
        <v>0</v>
      </c>
    </row>
    <row r="18" spans="1:11" ht="24.75" customHeight="1" x14ac:dyDescent="0.2">
      <c r="A18" s="381" t="s">
        <v>42</v>
      </c>
      <c r="B18" s="387">
        <v>211</v>
      </c>
      <c r="C18" s="267" t="s">
        <v>557</v>
      </c>
      <c r="D18" s="236" t="s">
        <v>570</v>
      </c>
      <c r="E18" s="384">
        <v>250000</v>
      </c>
      <c r="F18" s="384">
        <v>500000</v>
      </c>
      <c r="G18" s="384">
        <v>418000</v>
      </c>
      <c r="H18" s="384">
        <v>250000</v>
      </c>
      <c r="I18" s="385">
        <f>H18-250000</f>
        <v>0</v>
      </c>
    </row>
    <row r="19" spans="1:11" ht="34.5" customHeight="1" x14ac:dyDescent="0.2">
      <c r="A19" s="388" t="s">
        <v>45</v>
      </c>
      <c r="B19" s="389">
        <v>212</v>
      </c>
      <c r="C19" s="390" t="s">
        <v>559</v>
      </c>
      <c r="D19" s="391" t="s">
        <v>571</v>
      </c>
      <c r="E19" s="392">
        <v>350000</v>
      </c>
      <c r="F19" s="392">
        <v>700000</v>
      </c>
      <c r="G19" s="392">
        <v>79398</v>
      </c>
      <c r="H19" s="392">
        <v>350000</v>
      </c>
      <c r="I19" s="393">
        <f>H19-350000</f>
        <v>0</v>
      </c>
    </row>
    <row r="20" spans="1:11" x14ac:dyDescent="0.2">
      <c r="D20" s="394"/>
    </row>
    <row r="21" spans="1:11" x14ac:dyDescent="0.2">
      <c r="A21" s="33"/>
      <c r="B21" s="33"/>
      <c r="C21" s="33"/>
      <c r="D21" s="33"/>
      <c r="E21" s="80"/>
      <c r="F21" s="80"/>
      <c r="G21" s="80"/>
      <c r="H21" s="80"/>
      <c r="I21" s="80" t="s">
        <v>0</v>
      </c>
    </row>
    <row r="22" spans="1:11" ht="53.25" customHeight="1" x14ac:dyDescent="0.2">
      <c r="A22" s="1131" t="s">
        <v>475</v>
      </c>
      <c r="B22" s="1134" t="s">
        <v>123</v>
      </c>
      <c r="C22" s="1134"/>
      <c r="D22" s="1134"/>
      <c r="E22" s="370" t="s">
        <v>6</v>
      </c>
      <c r="F22" s="370" t="s">
        <v>7</v>
      </c>
      <c r="G22" s="370" t="s">
        <v>788</v>
      </c>
      <c r="H22" s="36" t="s">
        <v>476</v>
      </c>
      <c r="I22" s="36" t="s">
        <v>477</v>
      </c>
      <c r="J22" s="137"/>
      <c r="K22" s="354"/>
    </row>
    <row r="23" spans="1:11" ht="22.5" customHeight="1" x14ac:dyDescent="0.2">
      <c r="A23" s="1132"/>
      <c r="B23" s="1135" t="s">
        <v>121</v>
      </c>
      <c r="C23" s="1097" t="s">
        <v>545</v>
      </c>
      <c r="D23" s="371" t="s">
        <v>546</v>
      </c>
      <c r="E23" s="1077" t="s">
        <v>796</v>
      </c>
      <c r="F23" s="1078"/>
      <c r="G23" s="1079"/>
      <c r="H23" s="1077" t="s">
        <v>572</v>
      </c>
      <c r="I23" s="1126" t="s">
        <v>572</v>
      </c>
    </row>
    <row r="24" spans="1:11" ht="22.5" customHeight="1" x14ac:dyDescent="0.2">
      <c r="A24" s="1133"/>
      <c r="B24" s="1136"/>
      <c r="C24" s="1097"/>
      <c r="D24" s="371" t="s">
        <v>548</v>
      </c>
      <c r="E24" s="1080"/>
      <c r="F24" s="1081"/>
      <c r="G24" s="1082"/>
      <c r="H24" s="1080"/>
      <c r="I24" s="1127"/>
    </row>
    <row r="25" spans="1:11" ht="23.25" customHeight="1" x14ac:dyDescent="0.2">
      <c r="A25" s="1098" t="s">
        <v>573</v>
      </c>
      <c r="B25" s="1099"/>
      <c r="C25" s="1099"/>
      <c r="D25" s="1128"/>
      <c r="E25" s="395">
        <f>SUM(E26)</f>
        <v>100000</v>
      </c>
      <c r="F25" s="395">
        <f>SUM(F26)</f>
        <v>100000</v>
      </c>
      <c r="G25" s="395"/>
      <c r="H25" s="395"/>
      <c r="I25" s="396"/>
    </row>
    <row r="26" spans="1:11" ht="23.25" customHeight="1" x14ac:dyDescent="0.2">
      <c r="A26" s="397" t="s">
        <v>15</v>
      </c>
      <c r="B26" s="398" t="s">
        <v>413</v>
      </c>
      <c r="C26" s="215" t="s">
        <v>574</v>
      </c>
      <c r="D26" s="399" t="s">
        <v>575</v>
      </c>
      <c r="E26" s="400">
        <v>100000</v>
      </c>
      <c r="F26" s="400">
        <v>100000</v>
      </c>
      <c r="G26" s="400"/>
      <c r="H26" s="401"/>
      <c r="I26" s="402"/>
    </row>
    <row r="27" spans="1:11" ht="30" customHeight="1" x14ac:dyDescent="0.2">
      <c r="A27" s="1129" t="s">
        <v>576</v>
      </c>
      <c r="B27" s="1129"/>
      <c r="C27" s="1129"/>
      <c r="D27" s="1129"/>
      <c r="E27" s="403">
        <f>+E25+E6</f>
        <v>24954500</v>
      </c>
      <c r="F27" s="403">
        <f>+F25+F6</f>
        <v>50035500</v>
      </c>
      <c r="G27" s="403">
        <f>+G25+G6</f>
        <v>39354328</v>
      </c>
      <c r="H27" s="403">
        <f>+H25+H6</f>
        <v>24850000</v>
      </c>
      <c r="I27" s="403">
        <f>+I25+I6</f>
        <v>0</v>
      </c>
    </row>
    <row r="31" spans="1:11" x14ac:dyDescent="0.2">
      <c r="G31" s="209">
        <f>+'3. sz.Városi szintű összesen'!O11</f>
        <v>39354328</v>
      </c>
    </row>
  </sheetData>
  <mergeCells count="18">
    <mergeCell ref="A1:I1"/>
    <mergeCell ref="A3:A5"/>
    <mergeCell ref="B3:D3"/>
    <mergeCell ref="B4:B5"/>
    <mergeCell ref="C4:C5"/>
    <mergeCell ref="H4:H5"/>
    <mergeCell ref="I4:I5"/>
    <mergeCell ref="E4:G5"/>
    <mergeCell ref="A6:D6"/>
    <mergeCell ref="A22:A24"/>
    <mergeCell ref="B22:D22"/>
    <mergeCell ref="B23:B24"/>
    <mergeCell ref="C23:C24"/>
    <mergeCell ref="H23:H24"/>
    <mergeCell ref="I23:I24"/>
    <mergeCell ref="A25:D25"/>
    <mergeCell ref="A27:D27"/>
    <mergeCell ref="E23:G24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75" orientation="landscape" r:id="rId1"/>
  <headerFooter>
    <oddHeader>&amp;CDunaharaszti Város Önkormányzat 2017. évi zárszámadás&amp;R&amp;A</oddHeader>
    <oddFooter>&amp;C&amp;P/&amp;N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view="pageBreakPreview" zoomScale="90" zoomScaleNormal="100" zoomScaleSheetLayoutView="90" workbookViewId="0">
      <selection activeCell="H15" sqref="H15"/>
    </sheetView>
  </sheetViews>
  <sheetFormatPr defaultRowHeight="12.75" x14ac:dyDescent="0.2"/>
  <cols>
    <col min="1" max="1" width="3.42578125" style="209" customWidth="1"/>
    <col min="2" max="2" width="4.28515625" style="209" customWidth="1"/>
    <col min="3" max="3" width="48.5703125" style="209" customWidth="1"/>
    <col min="4" max="4" width="18.5703125" style="209" customWidth="1"/>
    <col min="5" max="6" width="18.42578125" style="209" customWidth="1"/>
    <col min="7" max="7" width="17" style="209" customWidth="1"/>
    <col min="8" max="9" width="19.42578125" style="209" customWidth="1"/>
    <col min="10" max="10" width="14.5703125" style="209" customWidth="1"/>
    <col min="11" max="11" width="20" style="209" customWidth="1"/>
    <col min="12" max="12" width="9.140625" style="209"/>
    <col min="13" max="13" width="14.140625" style="209" bestFit="1" customWidth="1"/>
    <col min="14" max="16384" width="9.140625" style="209"/>
  </cols>
  <sheetData>
    <row r="1" spans="1:13" ht="27.75" customHeight="1" x14ac:dyDescent="0.2">
      <c r="A1" s="1140" t="s">
        <v>577</v>
      </c>
      <c r="B1" s="1140"/>
      <c r="C1" s="1140"/>
      <c r="D1" s="1140"/>
      <c r="E1" s="1140"/>
      <c r="F1" s="1140"/>
      <c r="G1" s="1140"/>
      <c r="H1" s="1140"/>
      <c r="I1" s="1140"/>
      <c r="J1" s="1140"/>
    </row>
    <row r="2" spans="1:13" ht="24.75" customHeight="1" x14ac:dyDescent="0.2">
      <c r="J2" s="404" t="s">
        <v>0</v>
      </c>
    </row>
    <row r="3" spans="1:13" ht="36" customHeight="1" x14ac:dyDescent="0.2">
      <c r="A3" s="1141" t="s">
        <v>578</v>
      </c>
      <c r="B3" s="1141" t="s">
        <v>579</v>
      </c>
      <c r="C3" s="1126" t="s">
        <v>123</v>
      </c>
      <c r="D3" s="1143" t="s">
        <v>580</v>
      </c>
      <c r="E3" s="1144"/>
      <c r="F3" s="1144"/>
      <c r="G3" s="1144"/>
      <c r="H3" s="1145"/>
      <c r="I3" s="405"/>
      <c r="J3" s="1097" t="s">
        <v>5</v>
      </c>
    </row>
    <row r="4" spans="1:13" ht="36" customHeight="1" x14ac:dyDescent="0.2">
      <c r="A4" s="1141"/>
      <c r="B4" s="1141"/>
      <c r="C4" s="1142"/>
      <c r="D4" s="406" t="s">
        <v>6</v>
      </c>
      <c r="E4" s="377" t="s">
        <v>7</v>
      </c>
      <c r="F4" s="377" t="s">
        <v>788</v>
      </c>
      <c r="G4" s="377" t="s">
        <v>6</v>
      </c>
      <c r="H4" s="407" t="s">
        <v>7</v>
      </c>
      <c r="I4" s="571" t="s">
        <v>788</v>
      </c>
      <c r="J4" s="1097"/>
    </row>
    <row r="5" spans="1:13" ht="29.25" customHeight="1" x14ac:dyDescent="0.2">
      <c r="A5" s="1141"/>
      <c r="B5" s="1141"/>
      <c r="C5" s="1127"/>
      <c r="D5" s="1146" t="s">
        <v>581</v>
      </c>
      <c r="E5" s="1147"/>
      <c r="F5" s="1148"/>
      <c r="G5" s="1149" t="s">
        <v>582</v>
      </c>
      <c r="H5" s="1081"/>
      <c r="I5" s="1082"/>
      <c r="J5" s="1097"/>
      <c r="K5" s="408" t="s">
        <v>128</v>
      </c>
    </row>
    <row r="6" spans="1:13" ht="32.25" customHeight="1" x14ac:dyDescent="0.2">
      <c r="A6" s="375" t="s">
        <v>15</v>
      </c>
      <c r="B6" s="409" t="s">
        <v>583</v>
      </c>
      <c r="C6" s="410" t="s">
        <v>584</v>
      </c>
      <c r="D6" s="411">
        <v>472569625</v>
      </c>
      <c r="E6" s="411">
        <v>483402083</v>
      </c>
      <c r="F6" s="411">
        <v>445601584</v>
      </c>
      <c r="G6" s="411">
        <v>16043820</v>
      </c>
      <c r="H6" s="411">
        <v>15716610</v>
      </c>
      <c r="I6" s="572">
        <v>15716610</v>
      </c>
      <c r="J6" s="412" t="s">
        <v>11</v>
      </c>
      <c r="K6" s="413">
        <f>D6+G6</f>
        <v>488613445</v>
      </c>
      <c r="M6" s="233">
        <f>+F6+I6</f>
        <v>461318194</v>
      </c>
    </row>
    <row r="7" spans="1:13" ht="32.25" customHeight="1" x14ac:dyDescent="0.2">
      <c r="A7" s="381" t="s">
        <v>16</v>
      </c>
      <c r="B7" s="414" t="s">
        <v>583</v>
      </c>
      <c r="C7" s="266" t="s">
        <v>417</v>
      </c>
      <c r="D7" s="268">
        <v>129000701</v>
      </c>
      <c r="E7" s="268">
        <v>139780009</v>
      </c>
      <c r="F7" s="268">
        <v>125355037</v>
      </c>
      <c r="G7" s="268">
        <v>0</v>
      </c>
      <c r="H7" s="268">
        <v>519359</v>
      </c>
      <c r="I7" s="269">
        <v>519359</v>
      </c>
      <c r="J7" s="415" t="s">
        <v>11</v>
      </c>
      <c r="K7" s="413">
        <f t="shared" ref="K7:K14" si="0">D7+G7</f>
        <v>129000701</v>
      </c>
      <c r="M7" s="233">
        <f t="shared" ref="M7:M14" si="1">+F7+I7</f>
        <v>125874396</v>
      </c>
    </row>
    <row r="8" spans="1:13" ht="32.25" customHeight="1" x14ac:dyDescent="0.2">
      <c r="A8" s="381" t="s">
        <v>17</v>
      </c>
      <c r="B8" s="414" t="s">
        <v>583</v>
      </c>
      <c r="C8" s="266" t="s">
        <v>585</v>
      </c>
      <c r="D8" s="268">
        <v>338133284</v>
      </c>
      <c r="E8" s="268">
        <v>349245983</v>
      </c>
      <c r="F8" s="268">
        <v>335468500</v>
      </c>
      <c r="G8" s="268">
        <v>0</v>
      </c>
      <c r="H8" s="268">
        <v>2587067</v>
      </c>
      <c r="I8" s="269">
        <v>2551867</v>
      </c>
      <c r="J8" s="415" t="s">
        <v>11</v>
      </c>
      <c r="K8" s="413">
        <f t="shared" si="0"/>
        <v>338133284</v>
      </c>
      <c r="M8" s="233">
        <f t="shared" si="1"/>
        <v>338020367</v>
      </c>
    </row>
    <row r="9" spans="1:13" ht="32.25" customHeight="1" x14ac:dyDescent="0.2">
      <c r="A9" s="381" t="s">
        <v>18</v>
      </c>
      <c r="B9" s="414" t="s">
        <v>583</v>
      </c>
      <c r="C9" s="266" t="s">
        <v>586</v>
      </c>
      <c r="D9" s="268">
        <v>412796085</v>
      </c>
      <c r="E9" s="268">
        <v>328299857</v>
      </c>
      <c r="F9" s="268">
        <v>319345730</v>
      </c>
      <c r="G9" s="268">
        <v>0</v>
      </c>
      <c r="H9" s="268">
        <v>2646974</v>
      </c>
      <c r="I9" s="269">
        <v>2096556</v>
      </c>
      <c r="J9" s="415" t="s">
        <v>11</v>
      </c>
      <c r="K9" s="413">
        <f t="shared" si="0"/>
        <v>412796085</v>
      </c>
      <c r="M9" s="233">
        <f t="shared" si="1"/>
        <v>321442286</v>
      </c>
    </row>
    <row r="10" spans="1:13" ht="32.25" customHeight="1" x14ac:dyDescent="0.2">
      <c r="A10" s="381" t="s">
        <v>19</v>
      </c>
      <c r="B10" s="414" t="s">
        <v>583</v>
      </c>
      <c r="C10" s="266" t="s">
        <v>1458</v>
      </c>
      <c r="D10" s="268"/>
      <c r="E10" s="268">
        <v>88969282</v>
      </c>
      <c r="F10" s="268">
        <v>80118654</v>
      </c>
      <c r="G10" s="268"/>
      <c r="H10" s="268">
        <v>1399290</v>
      </c>
      <c r="I10" s="269">
        <v>1399290</v>
      </c>
      <c r="J10" s="415"/>
      <c r="K10" s="413"/>
      <c r="M10" s="233">
        <f t="shared" si="1"/>
        <v>81517944</v>
      </c>
    </row>
    <row r="11" spans="1:13" ht="32.25" customHeight="1" x14ac:dyDescent="0.2">
      <c r="A11" s="381" t="s">
        <v>20</v>
      </c>
      <c r="B11" s="414" t="s">
        <v>583</v>
      </c>
      <c r="C11" s="266" t="s">
        <v>587</v>
      </c>
      <c r="D11" s="268">
        <v>426431295</v>
      </c>
      <c r="E11" s="268">
        <v>426253668</v>
      </c>
      <c r="F11" s="268">
        <v>369545426</v>
      </c>
      <c r="G11" s="268">
        <v>0</v>
      </c>
      <c r="H11" s="268">
        <v>3138240</v>
      </c>
      <c r="I11" s="269">
        <v>3037862</v>
      </c>
      <c r="J11" s="415" t="s">
        <v>11</v>
      </c>
      <c r="K11" s="413">
        <f t="shared" si="0"/>
        <v>426431295</v>
      </c>
      <c r="M11" s="233">
        <f t="shared" si="1"/>
        <v>372583288</v>
      </c>
    </row>
    <row r="12" spans="1:13" ht="32.25" customHeight="1" x14ac:dyDescent="0.2">
      <c r="A12" s="381" t="s">
        <v>21</v>
      </c>
      <c r="B12" s="414" t="s">
        <v>583</v>
      </c>
      <c r="C12" s="266" t="s">
        <v>588</v>
      </c>
      <c r="D12" s="268">
        <v>63857385</v>
      </c>
      <c r="E12" s="268">
        <v>50661003</v>
      </c>
      <c r="F12" s="268">
        <v>48875200</v>
      </c>
      <c r="G12" s="268">
        <v>0</v>
      </c>
      <c r="H12" s="268">
        <v>1601376</v>
      </c>
      <c r="I12" s="269">
        <v>1601376</v>
      </c>
      <c r="J12" s="415" t="s">
        <v>11</v>
      </c>
      <c r="K12" s="413">
        <f t="shared" si="0"/>
        <v>63857385</v>
      </c>
      <c r="M12" s="233">
        <f t="shared" si="1"/>
        <v>50476576</v>
      </c>
    </row>
    <row r="13" spans="1:13" ht="32.25" customHeight="1" x14ac:dyDescent="0.2">
      <c r="A13" s="381" t="s">
        <v>22</v>
      </c>
      <c r="B13" s="414" t="s">
        <v>583</v>
      </c>
      <c r="C13" s="266" t="s">
        <v>1459</v>
      </c>
      <c r="D13" s="239"/>
      <c r="E13" s="239">
        <v>30267346</v>
      </c>
      <c r="F13" s="239">
        <v>28988305</v>
      </c>
      <c r="G13" s="239"/>
      <c r="H13" s="239">
        <v>1747013</v>
      </c>
      <c r="I13" s="803">
        <v>337890</v>
      </c>
      <c r="J13" s="804"/>
      <c r="K13" s="413"/>
      <c r="M13" s="233">
        <f t="shared" si="1"/>
        <v>29326195</v>
      </c>
    </row>
    <row r="14" spans="1:13" ht="32.25" customHeight="1" x14ac:dyDescent="0.2">
      <c r="A14" s="381" t="s">
        <v>36</v>
      </c>
      <c r="B14" s="416" t="s">
        <v>583</v>
      </c>
      <c r="C14" s="417" t="s">
        <v>589</v>
      </c>
      <c r="D14" s="418">
        <v>50893340</v>
      </c>
      <c r="E14" s="418">
        <v>55635105</v>
      </c>
      <c r="F14" s="418">
        <v>49237047</v>
      </c>
      <c r="G14" s="418">
        <v>0</v>
      </c>
      <c r="H14" s="418">
        <v>815089</v>
      </c>
      <c r="I14" s="573">
        <v>675516</v>
      </c>
      <c r="J14" s="419" t="s">
        <v>11</v>
      </c>
      <c r="K14" s="413">
        <f t="shared" si="0"/>
        <v>50893340</v>
      </c>
      <c r="M14" s="233">
        <f t="shared" si="1"/>
        <v>49912563</v>
      </c>
    </row>
    <row r="15" spans="1:13" s="272" customFormat="1" ht="32.25" customHeight="1" x14ac:dyDescent="0.25">
      <c r="A15" s="1137" t="s">
        <v>590</v>
      </c>
      <c r="B15" s="1138"/>
      <c r="C15" s="1139"/>
      <c r="D15" s="420">
        <f t="shared" ref="D15:I15" si="2">SUM(D6:D14)</f>
        <v>1893681715</v>
      </c>
      <c r="E15" s="420">
        <f t="shared" si="2"/>
        <v>1952514336</v>
      </c>
      <c r="F15" s="420">
        <f t="shared" si="2"/>
        <v>1802535483</v>
      </c>
      <c r="G15" s="420">
        <f t="shared" si="2"/>
        <v>16043820</v>
      </c>
      <c r="H15" s="420">
        <f t="shared" si="2"/>
        <v>30171018</v>
      </c>
      <c r="I15" s="420">
        <f t="shared" si="2"/>
        <v>27936326</v>
      </c>
      <c r="J15" s="421"/>
      <c r="K15" s="422">
        <f>D15+G15</f>
        <v>1909725535</v>
      </c>
      <c r="M15" s="233">
        <f>+F15+I15</f>
        <v>1830471809</v>
      </c>
    </row>
    <row r="16" spans="1:13" x14ac:dyDescent="0.2">
      <c r="K16" s="233"/>
    </row>
    <row r="18" spans="4:9" x14ac:dyDescent="0.2">
      <c r="F18" s="209">
        <f>+'1.3 sz.Önkormányzat 2017.B'!BW23</f>
        <v>1802535483</v>
      </c>
      <c r="I18" s="209">
        <f>+'1.3 sz.Önkormányzat 2017.B'!BW24</f>
        <v>27936326</v>
      </c>
    </row>
    <row r="19" spans="4:9" x14ac:dyDescent="0.2">
      <c r="D19" s="209">
        <v>1726077</v>
      </c>
      <c r="F19" s="233">
        <f>+F18-F15</f>
        <v>0</v>
      </c>
      <c r="I19" s="233">
        <f>+I15-I18</f>
        <v>0</v>
      </c>
    </row>
    <row r="20" spans="4:9" x14ac:dyDescent="0.2">
      <c r="D20" s="233"/>
      <c r="E20" s="233"/>
      <c r="F20" s="233"/>
    </row>
  </sheetData>
  <mergeCells count="9">
    <mergeCell ref="A15:C15"/>
    <mergeCell ref="A1:J1"/>
    <mergeCell ref="A3:A5"/>
    <mergeCell ref="B3:B5"/>
    <mergeCell ref="C3:C5"/>
    <mergeCell ref="D3:H3"/>
    <mergeCell ref="J3:J5"/>
    <mergeCell ref="D5:F5"/>
    <mergeCell ref="G5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&amp;CDunaharaszti Város Önkormányzat 2017. évi zárszámadás&amp;R&amp;A</oddHead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5"/>
  <sheetViews>
    <sheetView view="pageLayout" topLeftCell="B1" zoomScaleNormal="100" zoomScaleSheetLayoutView="71" workbookViewId="0">
      <selection activeCell="D99" sqref="D99"/>
    </sheetView>
  </sheetViews>
  <sheetFormatPr defaultColWidth="8.85546875" defaultRowHeight="12.75" x14ac:dyDescent="0.2"/>
  <cols>
    <col min="1" max="1" width="13.5703125" style="423" customWidth="1"/>
    <col min="2" max="2" width="123.7109375" style="423" customWidth="1"/>
    <col min="3" max="3" width="14.85546875" style="423" customWidth="1"/>
    <col min="4" max="4" width="15" style="423" customWidth="1"/>
    <col min="5" max="5" width="17.140625" style="423" customWidth="1"/>
    <col min="6" max="6" width="16.28515625" style="423" customWidth="1"/>
    <col min="7" max="7" width="18" style="423" customWidth="1"/>
    <col min="8" max="8" width="17.5703125" style="423" customWidth="1"/>
    <col min="9" max="9" width="10.85546875" style="423" bestFit="1" customWidth="1"/>
    <col min="10" max="16384" width="8.85546875" style="423"/>
  </cols>
  <sheetData>
    <row r="1" spans="1:8" ht="33" customHeight="1" x14ac:dyDescent="0.2">
      <c r="A1" s="1195" t="s">
        <v>591</v>
      </c>
      <c r="B1" s="1195"/>
      <c r="C1" s="1195"/>
      <c r="D1" s="1195"/>
      <c r="E1" s="1195"/>
      <c r="F1" s="1195"/>
      <c r="G1" s="1195"/>
      <c r="H1" s="1195"/>
    </row>
    <row r="2" spans="1:8" ht="18.75" customHeight="1" x14ac:dyDescent="0.2">
      <c r="A2"/>
      <c r="B2"/>
      <c r="C2"/>
      <c r="D2"/>
      <c r="E2"/>
      <c r="F2"/>
      <c r="G2"/>
    </row>
    <row r="3" spans="1:8" ht="48" customHeight="1" x14ac:dyDescent="0.25">
      <c r="A3" s="424" t="s">
        <v>592</v>
      </c>
      <c r="B3" s="425" t="s">
        <v>123</v>
      </c>
      <c r="C3" s="426" t="s">
        <v>593</v>
      </c>
      <c r="D3" s="426" t="s">
        <v>594</v>
      </c>
      <c r="E3" s="426" t="s">
        <v>595</v>
      </c>
      <c r="F3" s="426" t="s">
        <v>596</v>
      </c>
      <c r="G3" s="427" t="s">
        <v>597</v>
      </c>
      <c r="H3" s="428" t="s">
        <v>598</v>
      </c>
    </row>
    <row r="4" spans="1:8" ht="27.75" customHeight="1" x14ac:dyDescent="0.2">
      <c r="A4" s="1196" t="s">
        <v>599</v>
      </c>
      <c r="B4" s="1197"/>
      <c r="C4" s="1197"/>
      <c r="D4" s="1197"/>
      <c r="E4" s="1197"/>
      <c r="F4" s="1197"/>
      <c r="G4" s="1197"/>
      <c r="H4" s="1197"/>
    </row>
    <row r="5" spans="1:8" ht="23.25" customHeight="1" x14ac:dyDescent="0.2">
      <c r="A5" s="429" t="s">
        <v>600</v>
      </c>
      <c r="B5" s="430" t="s">
        <v>601</v>
      </c>
      <c r="C5" s="1198">
        <f>+G7+G9</f>
        <v>373322678</v>
      </c>
      <c r="D5" s="1198"/>
      <c r="E5" s="1198"/>
      <c r="F5" s="1198"/>
      <c r="G5" s="1199"/>
      <c r="H5" s="431">
        <f>C5</f>
        <v>373322678</v>
      </c>
    </row>
    <row r="6" spans="1:8" ht="15.75" x14ac:dyDescent="0.25">
      <c r="A6" s="432" t="s">
        <v>600</v>
      </c>
      <c r="B6" s="433" t="s">
        <v>602</v>
      </c>
      <c r="C6" s="1200">
        <f>+G32</f>
        <v>906145</v>
      </c>
      <c r="D6" s="1201"/>
      <c r="E6" s="1201"/>
      <c r="F6" s="1201"/>
      <c r="G6" s="1201"/>
      <c r="H6" s="434">
        <f>C6</f>
        <v>906145</v>
      </c>
    </row>
    <row r="7" spans="1:8" ht="18" customHeight="1" x14ac:dyDescent="0.25">
      <c r="A7" s="435" t="s">
        <v>603</v>
      </c>
      <c r="B7" s="436" t="s">
        <v>604</v>
      </c>
      <c r="C7" s="437">
        <v>41.93</v>
      </c>
      <c r="D7" s="437">
        <f>C7</f>
        <v>41.93</v>
      </c>
      <c r="E7" s="438">
        <v>4580000</v>
      </c>
      <c r="F7" s="438"/>
      <c r="G7" s="439">
        <f>+C7*E7</f>
        <v>192039400</v>
      </c>
      <c r="H7" s="440">
        <f>D7*E7</f>
        <v>192039400</v>
      </c>
    </row>
    <row r="8" spans="1:8" ht="15.75" x14ac:dyDescent="0.25">
      <c r="A8" s="435" t="s">
        <v>605</v>
      </c>
      <c r="B8" s="441" t="s">
        <v>606</v>
      </c>
      <c r="C8" s="437"/>
      <c r="D8" s="437"/>
      <c r="E8" s="438"/>
      <c r="F8" s="438"/>
      <c r="G8" s="439">
        <v>0</v>
      </c>
      <c r="H8" s="442">
        <f>C8</f>
        <v>0</v>
      </c>
    </row>
    <row r="9" spans="1:8" ht="15.75" x14ac:dyDescent="0.2">
      <c r="A9" s="435" t="s">
        <v>607</v>
      </c>
      <c r="B9" s="443" t="s">
        <v>608</v>
      </c>
      <c r="C9" s="444"/>
      <c r="D9" s="437"/>
      <c r="E9" s="438"/>
      <c r="F9" s="438"/>
      <c r="G9" s="439">
        <f>+G11+G13+G15+G17+G19+G21+G23</f>
        <v>181283278</v>
      </c>
      <c r="H9" s="440">
        <f>+H11+H13+H15+H17+H19+H21+H23</f>
        <v>181283278</v>
      </c>
    </row>
    <row r="10" spans="1:8" ht="15.75" x14ac:dyDescent="0.25">
      <c r="A10" s="435" t="s">
        <v>609</v>
      </c>
      <c r="B10" s="443" t="s">
        <v>610</v>
      </c>
      <c r="C10" s="444"/>
      <c r="D10" s="437"/>
      <c r="E10" s="438"/>
      <c r="F10" s="438"/>
      <c r="G10" s="439">
        <f>+G12+G14+G16+G18</f>
        <v>0</v>
      </c>
      <c r="H10" s="442">
        <f>C10</f>
        <v>0</v>
      </c>
    </row>
    <row r="11" spans="1:8" ht="15.75" x14ac:dyDescent="0.25">
      <c r="A11" s="435" t="s">
        <v>611</v>
      </c>
      <c r="B11" s="443" t="s">
        <v>612</v>
      </c>
      <c r="C11" s="445">
        <v>1091.4000000000001</v>
      </c>
      <c r="D11" s="437">
        <f>C11</f>
        <v>1091.4000000000001</v>
      </c>
      <c r="E11" s="438">
        <v>22300</v>
      </c>
      <c r="F11" s="438"/>
      <c r="G11" s="439">
        <f>+C11*E11</f>
        <v>24338220.000000004</v>
      </c>
      <c r="H11" s="442">
        <f>D11*E11</f>
        <v>24338220.000000004</v>
      </c>
    </row>
    <row r="12" spans="1:8" ht="15.75" x14ac:dyDescent="0.25">
      <c r="A12" s="435" t="s">
        <v>613</v>
      </c>
      <c r="B12" s="443" t="s">
        <v>614</v>
      </c>
      <c r="C12" s="444"/>
      <c r="D12" s="437"/>
      <c r="E12" s="438"/>
      <c r="F12" s="438"/>
      <c r="G12" s="439">
        <v>0</v>
      </c>
      <c r="H12" s="442">
        <f>C12</f>
        <v>0</v>
      </c>
    </row>
    <row r="13" spans="1:8" ht="15.75" x14ac:dyDescent="0.25">
      <c r="A13" s="435" t="s">
        <v>615</v>
      </c>
      <c r="B13" s="443" t="s">
        <v>616</v>
      </c>
      <c r="C13" s="444">
        <v>143.69999999999999</v>
      </c>
      <c r="D13" s="437">
        <f>C13</f>
        <v>143.69999999999999</v>
      </c>
      <c r="E13" s="438">
        <v>400000</v>
      </c>
      <c r="F13" s="438"/>
      <c r="G13" s="439">
        <f t="shared" ref="G13:G23" si="0">+C13*E13</f>
        <v>57479999.999999993</v>
      </c>
      <c r="H13" s="442">
        <f>D13*E13</f>
        <v>57479999.999999993</v>
      </c>
    </row>
    <row r="14" spans="1:8" ht="15.75" x14ac:dyDescent="0.25">
      <c r="A14" s="435" t="s">
        <v>617</v>
      </c>
      <c r="B14" s="443" t="s">
        <v>618</v>
      </c>
      <c r="C14" s="444"/>
      <c r="D14" s="437"/>
      <c r="E14" s="438"/>
      <c r="F14" s="438"/>
      <c r="G14" s="439">
        <v>0</v>
      </c>
      <c r="H14" s="442">
        <f>C14</f>
        <v>0</v>
      </c>
    </row>
    <row r="15" spans="1:8" ht="15.75" x14ac:dyDescent="0.25">
      <c r="A15" s="435" t="s">
        <v>619</v>
      </c>
      <c r="B15" s="443" t="s">
        <v>620</v>
      </c>
      <c r="C15" s="444">
        <v>86377</v>
      </c>
      <c r="D15" s="437">
        <f>C15</f>
        <v>86377</v>
      </c>
      <c r="E15" s="438">
        <v>104</v>
      </c>
      <c r="F15" s="438"/>
      <c r="G15" s="439">
        <f t="shared" si="0"/>
        <v>8983208</v>
      </c>
      <c r="H15" s="442">
        <f>D15*E15</f>
        <v>8983208</v>
      </c>
    </row>
    <row r="16" spans="1:8" ht="15.75" x14ac:dyDescent="0.25">
      <c r="A16" s="435" t="s">
        <v>621</v>
      </c>
      <c r="B16" s="443" t="s">
        <v>622</v>
      </c>
      <c r="C16" s="444"/>
      <c r="D16" s="437"/>
      <c r="E16" s="438"/>
      <c r="F16" s="438"/>
      <c r="G16" s="439">
        <v>0</v>
      </c>
      <c r="H16" s="442">
        <f>C16</f>
        <v>0</v>
      </c>
    </row>
    <row r="17" spans="1:8" ht="15.75" x14ac:dyDescent="0.25">
      <c r="A17" s="435" t="s">
        <v>623</v>
      </c>
      <c r="B17" s="443" t="s">
        <v>624</v>
      </c>
      <c r="C17" s="444">
        <v>108.06</v>
      </c>
      <c r="D17" s="437">
        <f>C17</f>
        <v>108.06</v>
      </c>
      <c r="E17" s="438">
        <v>295000</v>
      </c>
      <c r="F17" s="438"/>
      <c r="G17" s="439">
        <f t="shared" si="0"/>
        <v>31877700</v>
      </c>
      <c r="H17" s="442">
        <f>D17*E17</f>
        <v>31877700</v>
      </c>
    </row>
    <row r="18" spans="1:8" ht="15.75" x14ac:dyDescent="0.25">
      <c r="A18" s="435" t="s">
        <v>625</v>
      </c>
      <c r="B18" s="443" t="s">
        <v>626</v>
      </c>
      <c r="C18" s="444"/>
      <c r="D18" s="437"/>
      <c r="E18" s="438"/>
      <c r="F18" s="438"/>
      <c r="G18" s="439">
        <v>0</v>
      </c>
      <c r="H18" s="442">
        <f>C18</f>
        <v>0</v>
      </c>
    </row>
    <row r="19" spans="1:8" ht="15.75" x14ac:dyDescent="0.25">
      <c r="A19" s="435" t="s">
        <v>627</v>
      </c>
      <c r="B19" s="443" t="s">
        <v>628</v>
      </c>
      <c r="C19" s="444">
        <v>21596</v>
      </c>
      <c r="D19" s="437">
        <f>C19</f>
        <v>21596</v>
      </c>
      <c r="E19" s="438">
        <v>2700</v>
      </c>
      <c r="F19" s="438"/>
      <c r="G19" s="439">
        <f t="shared" si="0"/>
        <v>58309200</v>
      </c>
      <c r="H19" s="442">
        <f>D19*E19</f>
        <v>58309200</v>
      </c>
    </row>
    <row r="20" spans="1:8" ht="15.75" x14ac:dyDescent="0.25">
      <c r="A20" s="435" t="s">
        <v>629</v>
      </c>
      <c r="B20" s="443" t="s">
        <v>630</v>
      </c>
      <c r="C20" s="444"/>
      <c r="D20" s="437"/>
      <c r="E20" s="438"/>
      <c r="F20" s="438"/>
      <c r="G20" s="439">
        <v>0</v>
      </c>
      <c r="H20" s="442">
        <f>C20</f>
        <v>0</v>
      </c>
    </row>
    <row r="21" spans="1:8" ht="15.75" x14ac:dyDescent="0.25">
      <c r="A21" s="435" t="s">
        <v>631</v>
      </c>
      <c r="B21" s="443" t="s">
        <v>632</v>
      </c>
      <c r="C21" s="444">
        <v>49</v>
      </c>
      <c r="D21" s="437">
        <f>C21</f>
        <v>49</v>
      </c>
      <c r="E21" s="438">
        <v>2550</v>
      </c>
      <c r="F21" s="438"/>
      <c r="G21" s="439">
        <f t="shared" si="0"/>
        <v>124950</v>
      </c>
      <c r="H21" s="442">
        <f>D21*E21</f>
        <v>124950</v>
      </c>
    </row>
    <row r="22" spans="1:8" ht="15.75" x14ac:dyDescent="0.25">
      <c r="A22" s="435" t="s">
        <v>633</v>
      </c>
      <c r="B22" s="443" t="s">
        <v>634</v>
      </c>
      <c r="C22" s="444"/>
      <c r="D22" s="437"/>
      <c r="E22" s="438"/>
      <c r="F22" s="438"/>
      <c r="G22" s="439">
        <v>0</v>
      </c>
      <c r="H22" s="442">
        <f>C22</f>
        <v>0</v>
      </c>
    </row>
    <row r="23" spans="1:8" ht="15.75" x14ac:dyDescent="0.25">
      <c r="A23" s="435" t="s">
        <v>635</v>
      </c>
      <c r="B23" s="443" t="s">
        <v>636</v>
      </c>
      <c r="C23" s="444">
        <v>1</v>
      </c>
      <c r="D23" s="437">
        <f>C23</f>
        <v>1</v>
      </c>
      <c r="E23" s="438">
        <v>170000</v>
      </c>
      <c r="F23" s="438"/>
      <c r="G23" s="439">
        <f t="shared" si="0"/>
        <v>170000</v>
      </c>
      <c r="H23" s="442">
        <f>D23*E23</f>
        <v>170000</v>
      </c>
    </row>
    <row r="24" spans="1:8" ht="15.75" x14ac:dyDescent="0.25">
      <c r="A24" s="435" t="s">
        <v>637</v>
      </c>
      <c r="B24" s="443" t="s">
        <v>638</v>
      </c>
      <c r="C24" s="444"/>
      <c r="D24" s="437"/>
      <c r="E24" s="438"/>
      <c r="F24" s="438"/>
      <c r="G24" s="439">
        <v>0</v>
      </c>
      <c r="H24" s="442">
        <f>C24</f>
        <v>0</v>
      </c>
    </row>
    <row r="25" spans="1:8" ht="15.75" x14ac:dyDescent="0.25">
      <c r="A25" s="435" t="s">
        <v>639</v>
      </c>
      <c r="B25" s="443" t="s">
        <v>640</v>
      </c>
      <c r="C25" s="444"/>
      <c r="D25" s="437"/>
      <c r="E25" s="438"/>
      <c r="F25" s="438"/>
      <c r="G25" s="439">
        <v>0</v>
      </c>
      <c r="H25" s="442">
        <f>C25</f>
        <v>0</v>
      </c>
    </row>
    <row r="26" spans="1:8" ht="15.75" x14ac:dyDescent="0.2">
      <c r="A26" s="446" t="s">
        <v>641</v>
      </c>
      <c r="B26" s="447" t="s">
        <v>642</v>
      </c>
      <c r="C26" s="448"/>
      <c r="D26" s="437"/>
      <c r="E26" s="449"/>
      <c r="F26" s="449"/>
      <c r="G26" s="450">
        <v>640405137</v>
      </c>
      <c r="H26" s="451">
        <v>640405137</v>
      </c>
    </row>
    <row r="27" spans="1:8" ht="15.75" x14ac:dyDescent="0.25">
      <c r="A27" s="435" t="s">
        <v>643</v>
      </c>
      <c r="B27" s="443" t="s">
        <v>644</v>
      </c>
      <c r="C27" s="452"/>
      <c r="D27" s="437"/>
      <c r="E27" s="438"/>
      <c r="F27" s="438"/>
      <c r="G27" s="439">
        <v>0</v>
      </c>
      <c r="H27" s="442">
        <f>C27</f>
        <v>0</v>
      </c>
    </row>
    <row r="28" spans="1:8" ht="15.75" x14ac:dyDescent="0.2">
      <c r="A28" s="453" t="s">
        <v>645</v>
      </c>
      <c r="B28" s="454" t="s">
        <v>646</v>
      </c>
      <c r="C28" s="452"/>
      <c r="D28" s="437"/>
      <c r="E28" s="438"/>
      <c r="F28" s="438"/>
      <c r="G28" s="455">
        <f>+(G26-C5)*0.7</f>
        <v>186957721.29999998</v>
      </c>
      <c r="H28" s="456">
        <f>(H26-H5)*0.7</f>
        <v>186957721.29999998</v>
      </c>
    </row>
    <row r="29" spans="1:8" ht="15.75" x14ac:dyDescent="0.25">
      <c r="A29" s="435" t="s">
        <v>647</v>
      </c>
      <c r="B29" s="443" t="s">
        <v>648</v>
      </c>
      <c r="C29" s="452"/>
      <c r="D29" s="437"/>
      <c r="E29" s="438"/>
      <c r="F29" s="438"/>
      <c r="G29" s="439">
        <v>0</v>
      </c>
      <c r="H29" s="442">
        <f>C29</f>
        <v>0</v>
      </c>
    </row>
    <row r="30" spans="1:8" ht="15.75" x14ac:dyDescent="0.25">
      <c r="A30" s="435" t="s">
        <v>649</v>
      </c>
      <c r="B30" s="443" t="s">
        <v>650</v>
      </c>
      <c r="C30" s="452"/>
      <c r="D30" s="437"/>
      <c r="E30" s="438"/>
      <c r="F30" s="438"/>
      <c r="G30" s="439">
        <v>0</v>
      </c>
      <c r="H30" s="442">
        <f>C30</f>
        <v>0</v>
      </c>
    </row>
    <row r="31" spans="1:8" ht="15.75" x14ac:dyDescent="0.25">
      <c r="A31" s="435" t="s">
        <v>651</v>
      </c>
      <c r="B31" s="443" t="s">
        <v>652</v>
      </c>
      <c r="C31" s="452"/>
      <c r="D31" s="437"/>
      <c r="E31" s="438"/>
      <c r="F31" s="438"/>
      <c r="G31" s="439">
        <v>0</v>
      </c>
      <c r="H31" s="442">
        <f>C31</f>
        <v>0</v>
      </c>
    </row>
    <row r="32" spans="1:8" ht="15.75" x14ac:dyDescent="0.2">
      <c r="A32" s="457" t="s">
        <v>653</v>
      </c>
      <c r="B32" s="458" t="s">
        <v>654</v>
      </c>
      <c r="C32" s="459"/>
      <c r="D32" s="459"/>
      <c r="E32" s="460"/>
      <c r="F32" s="460"/>
      <c r="G32" s="461">
        <v>906145</v>
      </c>
      <c r="H32" s="462">
        <v>906145</v>
      </c>
    </row>
    <row r="33" spans="1:8" ht="15.75" x14ac:dyDescent="0.25">
      <c r="A33" s="463" t="s">
        <v>655</v>
      </c>
      <c r="B33" s="464" t="s">
        <v>656</v>
      </c>
      <c r="C33" s="1202">
        <f>+C34+C42+C47</f>
        <v>530562066.66666669</v>
      </c>
      <c r="D33" s="1202"/>
      <c r="E33" s="1202"/>
      <c r="F33" s="1202"/>
      <c r="G33" s="1200"/>
      <c r="H33" s="434">
        <v>531788415</v>
      </c>
    </row>
    <row r="34" spans="1:8" ht="20.25" customHeight="1" x14ac:dyDescent="0.2">
      <c r="A34" s="465" t="s">
        <v>657</v>
      </c>
      <c r="B34" s="466" t="s">
        <v>658</v>
      </c>
      <c r="C34" s="1193">
        <f>+G36+G37+G39+G40+G41</f>
        <v>441308566.66666669</v>
      </c>
      <c r="D34" s="1193"/>
      <c r="E34" s="1193"/>
      <c r="F34" s="1193"/>
      <c r="G34" s="1194"/>
      <c r="H34" s="467">
        <v>440380400</v>
      </c>
    </row>
    <row r="35" spans="1:8" ht="15" x14ac:dyDescent="0.25">
      <c r="A35" s="468"/>
      <c r="B35" s="469" t="s">
        <v>659</v>
      </c>
      <c r="C35" s="470"/>
      <c r="D35" s="470"/>
      <c r="E35" s="470"/>
      <c r="F35" s="470"/>
      <c r="G35" s="471">
        <f>+G36+G37</f>
        <v>293594666.66666669</v>
      </c>
      <c r="H35" s="472">
        <f>+H36+H37</f>
        <v>293594666.66666669</v>
      </c>
    </row>
    <row r="36" spans="1:8" ht="15" x14ac:dyDescent="0.25">
      <c r="A36" s="473"/>
      <c r="B36" s="474" t="s">
        <v>660</v>
      </c>
      <c r="C36" s="475">
        <v>80</v>
      </c>
      <c r="D36" s="475">
        <f>C36</f>
        <v>80</v>
      </c>
      <c r="E36" s="476">
        <v>4469900</v>
      </c>
      <c r="F36" s="476">
        <f>+E36/12*8</f>
        <v>2979933.3333333335</v>
      </c>
      <c r="G36" s="477">
        <f>+C36*F36</f>
        <v>238394666.66666669</v>
      </c>
      <c r="H36" s="478">
        <f>D36*F36</f>
        <v>238394666.66666669</v>
      </c>
    </row>
    <row r="37" spans="1:8" ht="15" x14ac:dyDescent="0.25">
      <c r="A37" s="473"/>
      <c r="B37" s="474" t="s">
        <v>661</v>
      </c>
      <c r="C37" s="475">
        <v>46</v>
      </c>
      <c r="D37" s="475">
        <f>C37</f>
        <v>46</v>
      </c>
      <c r="E37" s="476">
        <v>1800000</v>
      </c>
      <c r="F37" s="476">
        <f>+E37/12*8</f>
        <v>1200000</v>
      </c>
      <c r="G37" s="477">
        <f>+C37*F37</f>
        <v>55200000</v>
      </c>
      <c r="H37" s="478">
        <f>D37*F37</f>
        <v>55200000</v>
      </c>
    </row>
    <row r="38" spans="1:8" ht="15" x14ac:dyDescent="0.25">
      <c r="A38" s="473"/>
      <c r="B38" s="469" t="s">
        <v>662</v>
      </c>
      <c r="C38" s="470"/>
      <c r="D38" s="470"/>
      <c r="E38" s="470"/>
      <c r="F38" s="470"/>
      <c r="G38" s="471">
        <f>+G39+G40+G41</f>
        <v>147713900</v>
      </c>
      <c r="H38" s="472">
        <v>146785733</v>
      </c>
    </row>
    <row r="39" spans="1:8" ht="15" x14ac:dyDescent="0.25">
      <c r="A39" s="473"/>
      <c r="B39" s="474" t="s">
        <v>660</v>
      </c>
      <c r="C39" s="475">
        <v>78.599999999999994</v>
      </c>
      <c r="D39" s="475">
        <f>C39</f>
        <v>78.599999999999994</v>
      </c>
      <c r="E39" s="476">
        <v>4469900</v>
      </c>
      <c r="F39" s="476">
        <f>+E39/12*4</f>
        <v>1489966.6666666667</v>
      </c>
      <c r="G39" s="477">
        <f>+C39*F39</f>
        <v>117111380</v>
      </c>
      <c r="H39" s="478">
        <v>115621413</v>
      </c>
    </row>
    <row r="40" spans="1:8" ht="15" x14ac:dyDescent="0.25">
      <c r="A40" s="473"/>
      <c r="B40" s="474" t="s">
        <v>663</v>
      </c>
      <c r="C40" s="475">
        <v>78.599999999999994</v>
      </c>
      <c r="D40" s="475">
        <f>C40</f>
        <v>78.599999999999994</v>
      </c>
      <c r="E40" s="476">
        <v>38200</v>
      </c>
      <c r="F40" s="476"/>
      <c r="G40" s="477">
        <f>+C40*E40</f>
        <v>3002520</v>
      </c>
      <c r="H40" s="478">
        <v>2964320</v>
      </c>
    </row>
    <row r="41" spans="1:8" ht="15" x14ac:dyDescent="0.25">
      <c r="A41" s="473"/>
      <c r="B41" s="474" t="s">
        <v>661</v>
      </c>
      <c r="C41" s="475">
        <v>46</v>
      </c>
      <c r="D41" s="475">
        <f>C41</f>
        <v>46</v>
      </c>
      <c r="E41" s="476">
        <v>1800000</v>
      </c>
      <c r="F41" s="476">
        <f>+E41/12*4</f>
        <v>600000</v>
      </c>
      <c r="G41" s="477">
        <f>+C41*F41</f>
        <v>27600000</v>
      </c>
      <c r="H41" s="478">
        <v>28200000</v>
      </c>
    </row>
    <row r="42" spans="1:8" ht="15" x14ac:dyDescent="0.25">
      <c r="A42" s="479" t="s">
        <v>664</v>
      </c>
      <c r="B42" s="480" t="s">
        <v>665</v>
      </c>
      <c r="C42" s="1167">
        <f>SUM(G43:G46)</f>
        <v>75735900</v>
      </c>
      <c r="D42" s="1167"/>
      <c r="E42" s="1167"/>
      <c r="F42" s="1167"/>
      <c r="G42" s="1168"/>
      <c r="H42" s="481">
        <v>75245700</v>
      </c>
    </row>
    <row r="43" spans="1:8" ht="15" x14ac:dyDescent="0.25">
      <c r="A43" s="468"/>
      <c r="B43" s="482" t="s">
        <v>666</v>
      </c>
      <c r="C43" s="475">
        <v>111</v>
      </c>
      <c r="D43" s="475">
        <f>C43</f>
        <v>111</v>
      </c>
      <c r="E43" s="476">
        <v>81700</v>
      </c>
      <c r="F43" s="476">
        <f>+E43/12*8</f>
        <v>54466.666666666664</v>
      </c>
      <c r="G43" s="477">
        <f>+C43*F43</f>
        <v>6045800</v>
      </c>
      <c r="H43" s="478">
        <f>D43*F43</f>
        <v>6045800</v>
      </c>
    </row>
    <row r="44" spans="1:8" ht="15" x14ac:dyDescent="0.25">
      <c r="A44" s="468"/>
      <c r="B44" s="482" t="s">
        <v>667</v>
      </c>
      <c r="C44" s="475">
        <v>816</v>
      </c>
      <c r="D44" s="475">
        <f>C44</f>
        <v>816</v>
      </c>
      <c r="E44" s="476">
        <v>81700</v>
      </c>
      <c r="F44" s="476">
        <f>+E44/12*8</f>
        <v>54466.666666666664</v>
      </c>
      <c r="G44" s="477">
        <f>+C44*F44</f>
        <v>44444800</v>
      </c>
      <c r="H44" s="478">
        <f>D44*F44</f>
        <v>44444800</v>
      </c>
    </row>
    <row r="45" spans="1:8" ht="15" x14ac:dyDescent="0.25">
      <c r="A45" s="468"/>
      <c r="B45" s="482" t="s">
        <v>668</v>
      </c>
      <c r="C45" s="475">
        <v>111</v>
      </c>
      <c r="D45" s="475">
        <f>C45</f>
        <v>111</v>
      </c>
      <c r="E45" s="476">
        <v>81700</v>
      </c>
      <c r="F45" s="476">
        <f>+E45/12*4</f>
        <v>27233.333333333332</v>
      </c>
      <c r="G45" s="477">
        <f>+C45*F45</f>
        <v>3022900</v>
      </c>
      <c r="H45" s="478">
        <f>D45*F45</f>
        <v>3022900</v>
      </c>
    </row>
    <row r="46" spans="1:8" ht="15" x14ac:dyDescent="0.25">
      <c r="A46" s="473"/>
      <c r="B46" s="482" t="s">
        <v>669</v>
      </c>
      <c r="C46" s="475">
        <v>816</v>
      </c>
      <c r="D46" s="475">
        <f>C46</f>
        <v>816</v>
      </c>
      <c r="E46" s="476">
        <v>81700</v>
      </c>
      <c r="F46" s="476">
        <f>+E46/12*4</f>
        <v>27233.333333333332</v>
      </c>
      <c r="G46" s="477">
        <f>+C46*F46</f>
        <v>22222400</v>
      </c>
      <c r="H46" s="478">
        <v>21732200</v>
      </c>
    </row>
    <row r="47" spans="1:8" ht="15" x14ac:dyDescent="0.25">
      <c r="A47" s="479" t="s">
        <v>670</v>
      </c>
      <c r="B47" s="480" t="s">
        <v>671</v>
      </c>
      <c r="C47" s="1169">
        <f>+G48+G52</f>
        <v>13517600</v>
      </c>
      <c r="D47" s="1169"/>
      <c r="E47" s="1169"/>
      <c r="F47" s="1169"/>
      <c r="G47" s="1170"/>
      <c r="H47" s="481">
        <v>14645141</v>
      </c>
    </row>
    <row r="48" spans="1:8" ht="15" x14ac:dyDescent="0.25">
      <c r="A48" s="483"/>
      <c r="B48" s="484" t="s">
        <v>672</v>
      </c>
      <c r="C48" s="475"/>
      <c r="D48" s="475"/>
      <c r="E48" s="476"/>
      <c r="F48" s="476"/>
      <c r="G48" s="471">
        <f>+G49+G50</f>
        <v>13517600</v>
      </c>
      <c r="H48" s="472">
        <v>14645141</v>
      </c>
    </row>
    <row r="49" spans="1:8" ht="15" x14ac:dyDescent="0.25">
      <c r="A49" s="483" t="s">
        <v>673</v>
      </c>
      <c r="B49" s="485" t="s">
        <v>674</v>
      </c>
      <c r="C49" s="486">
        <v>14</v>
      </c>
      <c r="D49" s="486">
        <f>C49</f>
        <v>14</v>
      </c>
      <c r="E49" s="487">
        <v>418900</v>
      </c>
      <c r="F49" s="487"/>
      <c r="G49" s="488">
        <f>+C49*E49</f>
        <v>5864600</v>
      </c>
      <c r="H49" s="478">
        <f>D49*E49</f>
        <v>5864600</v>
      </c>
    </row>
    <row r="50" spans="1:8" ht="15" x14ac:dyDescent="0.25">
      <c r="A50" s="483" t="s">
        <v>675</v>
      </c>
      <c r="B50" s="485" t="s">
        <v>676</v>
      </c>
      <c r="C50" s="486">
        <v>5</v>
      </c>
      <c r="D50" s="486">
        <f>C50</f>
        <v>5</v>
      </c>
      <c r="E50" s="487">
        <v>1530600</v>
      </c>
      <c r="F50" s="487"/>
      <c r="G50" s="488">
        <f>+C50*E50</f>
        <v>7653000</v>
      </c>
      <c r="H50" s="478">
        <v>2303952</v>
      </c>
    </row>
    <row r="51" spans="1:8" ht="15" x14ac:dyDescent="0.25">
      <c r="A51" s="483"/>
      <c r="B51" s="485" t="s">
        <v>677</v>
      </c>
      <c r="C51" s="486"/>
      <c r="D51" s="486"/>
      <c r="E51" s="487"/>
      <c r="F51" s="487"/>
      <c r="G51" s="489"/>
      <c r="H51" s="478">
        <v>6476589</v>
      </c>
    </row>
    <row r="52" spans="1:8" ht="15" x14ac:dyDescent="0.25">
      <c r="A52" s="483"/>
      <c r="B52" s="482" t="s">
        <v>678</v>
      </c>
      <c r="C52" s="475"/>
      <c r="D52" s="475"/>
      <c r="E52" s="476"/>
      <c r="F52" s="476"/>
      <c r="G52" s="471">
        <f>+G53+G54</f>
        <v>0</v>
      </c>
      <c r="H52" s="478">
        <f t="shared" ref="H52:H57" si="1">C52</f>
        <v>0</v>
      </c>
    </row>
    <row r="53" spans="1:8" ht="15" x14ac:dyDescent="0.25">
      <c r="A53" s="483" t="s">
        <v>679</v>
      </c>
      <c r="B53" s="482" t="s">
        <v>674</v>
      </c>
      <c r="C53" s="475">
        <v>0</v>
      </c>
      <c r="D53" s="475"/>
      <c r="E53" s="475">
        <v>0</v>
      </c>
      <c r="F53" s="476"/>
      <c r="G53" s="477">
        <f>+C53*E53</f>
        <v>0</v>
      </c>
      <c r="H53" s="478">
        <f t="shared" si="1"/>
        <v>0</v>
      </c>
    </row>
    <row r="54" spans="1:8" ht="15" x14ac:dyDescent="0.25">
      <c r="A54" s="483" t="s">
        <v>680</v>
      </c>
      <c r="B54" s="482" t="s">
        <v>676</v>
      </c>
      <c r="C54" s="475">
        <v>0</v>
      </c>
      <c r="D54" s="475"/>
      <c r="E54" s="475">
        <v>0</v>
      </c>
      <c r="F54" s="476"/>
      <c r="G54" s="477">
        <f>+C54*E54</f>
        <v>0</v>
      </c>
      <c r="H54" s="478">
        <f t="shared" si="1"/>
        <v>0</v>
      </c>
    </row>
    <row r="55" spans="1:8" ht="15" x14ac:dyDescent="0.25">
      <c r="A55" s="483"/>
      <c r="B55" s="859" t="s">
        <v>1514</v>
      </c>
      <c r="C55" s="475"/>
      <c r="D55" s="475"/>
      <c r="E55" s="475"/>
      <c r="F55" s="476"/>
      <c r="G55" s="477"/>
      <c r="H55" s="495">
        <v>1517174</v>
      </c>
    </row>
    <row r="56" spans="1:8" ht="20.25" customHeight="1" x14ac:dyDescent="0.2">
      <c r="A56" s="490" t="s">
        <v>681</v>
      </c>
      <c r="B56" s="491" t="s">
        <v>682</v>
      </c>
      <c r="C56" s="1171">
        <f>+G57+C58+G69+C71+G75</f>
        <v>189580805</v>
      </c>
      <c r="D56" s="1171"/>
      <c r="E56" s="1171"/>
      <c r="F56" s="1171"/>
      <c r="G56" s="1172"/>
      <c r="H56" s="492">
        <v>197139432</v>
      </c>
    </row>
    <row r="57" spans="1:8" ht="15" x14ac:dyDescent="0.25">
      <c r="A57" s="479" t="s">
        <v>683</v>
      </c>
      <c r="B57" s="493" t="s">
        <v>684</v>
      </c>
      <c r="C57" s="1173"/>
      <c r="D57" s="1174"/>
      <c r="E57" s="1174"/>
      <c r="F57" s="1175"/>
      <c r="G57" s="494">
        <v>0</v>
      </c>
      <c r="H57" s="495">
        <f t="shared" si="1"/>
        <v>0</v>
      </c>
    </row>
    <row r="58" spans="1:8" ht="15" x14ac:dyDescent="0.25">
      <c r="A58" s="479" t="s">
        <v>685</v>
      </c>
      <c r="B58" s="480" t="s">
        <v>686</v>
      </c>
      <c r="C58" s="1176">
        <f>+C59+C66+G61+G62+G65</f>
        <v>57575700</v>
      </c>
      <c r="D58" s="1176"/>
      <c r="E58" s="1176"/>
      <c r="F58" s="1176"/>
      <c r="G58" s="1177"/>
      <c r="H58" s="495">
        <v>56911380</v>
      </c>
    </row>
    <row r="59" spans="1:8" ht="15" x14ac:dyDescent="0.25">
      <c r="A59" s="479" t="s">
        <v>687</v>
      </c>
      <c r="B59" s="480" t="s">
        <v>688</v>
      </c>
      <c r="C59" s="1178">
        <f>+G60</f>
        <v>12900000</v>
      </c>
      <c r="D59" s="1178"/>
      <c r="E59" s="1178"/>
      <c r="F59" s="1178"/>
      <c r="G59" s="1179"/>
      <c r="H59" s="481">
        <v>12900000</v>
      </c>
    </row>
    <row r="60" spans="1:8" ht="15" customHeight="1" x14ac:dyDescent="0.25">
      <c r="A60" s="483" t="s">
        <v>687</v>
      </c>
      <c r="B60" s="482" t="s">
        <v>689</v>
      </c>
      <c r="C60" s="496">
        <v>4.3</v>
      </c>
      <c r="D60" s="496">
        <f>C60</f>
        <v>4.3</v>
      </c>
      <c r="E60" s="476">
        <v>3000000</v>
      </c>
      <c r="F60" s="476"/>
      <c r="G60" s="477">
        <f>+C60*E60</f>
        <v>12900000</v>
      </c>
      <c r="H60" s="478">
        <f>D60*E60</f>
        <v>12900000</v>
      </c>
    </row>
    <row r="61" spans="1:8" ht="15" x14ac:dyDescent="0.25">
      <c r="A61" s="483" t="s">
        <v>690</v>
      </c>
      <c r="B61" s="482" t="s">
        <v>691</v>
      </c>
      <c r="C61" s="475">
        <v>95</v>
      </c>
      <c r="D61" s="496">
        <f>C61</f>
        <v>95</v>
      </c>
      <c r="E61" s="476">
        <v>55360</v>
      </c>
      <c r="F61" s="476"/>
      <c r="G61" s="477">
        <f>C61*E61</f>
        <v>5259200</v>
      </c>
      <c r="H61" s="478">
        <v>4594880</v>
      </c>
    </row>
    <row r="62" spans="1:8" ht="15" x14ac:dyDescent="0.25">
      <c r="A62" s="483" t="s">
        <v>692</v>
      </c>
      <c r="B62" s="482" t="s">
        <v>693</v>
      </c>
      <c r="C62" s="1180"/>
      <c r="D62" s="1181"/>
      <c r="E62" s="1181"/>
      <c r="F62" s="1182"/>
      <c r="G62" s="477">
        <f>+G63+G64</f>
        <v>4575000</v>
      </c>
      <c r="H62" s="497">
        <f>+H63+H64</f>
        <v>4575000</v>
      </c>
    </row>
    <row r="63" spans="1:8" ht="15" x14ac:dyDescent="0.25">
      <c r="A63" s="483" t="s">
        <v>694</v>
      </c>
      <c r="B63" s="498" t="s">
        <v>695</v>
      </c>
      <c r="C63" s="475">
        <v>15</v>
      </c>
      <c r="D63" s="475">
        <f>C63</f>
        <v>15</v>
      </c>
      <c r="E63" s="499">
        <v>25000</v>
      </c>
      <c r="F63" s="476"/>
      <c r="G63" s="477">
        <f>+C63*E63</f>
        <v>375000</v>
      </c>
      <c r="H63" s="478">
        <f>D63*E63</f>
        <v>375000</v>
      </c>
    </row>
    <row r="64" spans="1:8" ht="15" x14ac:dyDescent="0.25">
      <c r="A64" s="483" t="s">
        <v>696</v>
      </c>
      <c r="B64" s="498" t="s">
        <v>697</v>
      </c>
      <c r="C64" s="475">
        <v>20</v>
      </c>
      <c r="D64" s="475">
        <f>C64</f>
        <v>20</v>
      </c>
      <c r="E64" s="499">
        <v>210000</v>
      </c>
      <c r="F64" s="476"/>
      <c r="G64" s="477">
        <f>+C64*E64</f>
        <v>4200000</v>
      </c>
      <c r="H64" s="478">
        <f>D64*E64</f>
        <v>4200000</v>
      </c>
    </row>
    <row r="65" spans="1:8" ht="15" x14ac:dyDescent="0.25">
      <c r="A65" s="483" t="s">
        <v>698</v>
      </c>
      <c r="B65" s="482" t="s">
        <v>699</v>
      </c>
      <c r="C65" s="475">
        <v>25</v>
      </c>
      <c r="D65" s="475">
        <f>C65</f>
        <v>25</v>
      </c>
      <c r="E65" s="476">
        <v>109000</v>
      </c>
      <c r="F65" s="476"/>
      <c r="G65" s="477">
        <f>C65*E65</f>
        <v>2725000</v>
      </c>
      <c r="H65" s="478">
        <f>D65*E65</f>
        <v>2725000</v>
      </c>
    </row>
    <row r="66" spans="1:8" ht="15" x14ac:dyDescent="0.25">
      <c r="A66" s="479" t="s">
        <v>700</v>
      </c>
      <c r="B66" s="480" t="s">
        <v>701</v>
      </c>
      <c r="C66" s="1183">
        <f>+G67</f>
        <v>32116500</v>
      </c>
      <c r="D66" s="1183"/>
      <c r="E66" s="1183"/>
      <c r="F66" s="1183"/>
      <c r="G66" s="1184"/>
      <c r="H66" s="481">
        <f>C66</f>
        <v>32116500</v>
      </c>
    </row>
    <row r="67" spans="1:8" ht="15" x14ac:dyDescent="0.25">
      <c r="A67" s="500" t="s">
        <v>702</v>
      </c>
      <c r="B67" s="474" t="s">
        <v>703</v>
      </c>
      <c r="C67" s="501">
        <v>65</v>
      </c>
      <c r="D67" s="501">
        <f>C67</f>
        <v>65</v>
      </c>
      <c r="E67" s="476">
        <v>494100</v>
      </c>
      <c r="F67" s="476"/>
      <c r="G67" s="477">
        <f>+C67*E67</f>
        <v>32116500</v>
      </c>
      <c r="H67" s="478">
        <f>D67*E67</f>
        <v>32116500</v>
      </c>
    </row>
    <row r="68" spans="1:8" ht="15" x14ac:dyDescent="0.25">
      <c r="A68" s="500"/>
      <c r="B68" s="859" t="s">
        <v>1514</v>
      </c>
      <c r="C68" s="860"/>
      <c r="D68" s="861"/>
      <c r="E68" s="862"/>
      <c r="F68" s="863"/>
      <c r="G68" s="477"/>
      <c r="H68" s="495">
        <v>6116829</v>
      </c>
    </row>
    <row r="69" spans="1:8" ht="30" x14ac:dyDescent="0.25">
      <c r="A69" s="465" t="s">
        <v>704</v>
      </c>
      <c r="B69" s="502" t="s">
        <v>705</v>
      </c>
      <c r="C69" s="1185"/>
      <c r="D69" s="1186"/>
      <c r="E69" s="1186"/>
      <c r="F69" s="1187"/>
      <c r="G69" s="503">
        <f>+G70</f>
        <v>651510</v>
      </c>
      <c r="H69" s="504">
        <f>H70</f>
        <v>0</v>
      </c>
    </row>
    <row r="70" spans="1:8" ht="15" x14ac:dyDescent="0.25">
      <c r="A70" s="483" t="s">
        <v>706</v>
      </c>
      <c r="B70" s="482" t="s">
        <v>707</v>
      </c>
      <c r="C70" s="505">
        <v>0.25</v>
      </c>
      <c r="D70" s="505">
        <f>C70</f>
        <v>0.25</v>
      </c>
      <c r="E70" s="476">
        <v>2606040</v>
      </c>
      <c r="F70" s="476"/>
      <c r="G70" s="477">
        <f>+C70*E70</f>
        <v>651510</v>
      </c>
      <c r="H70" s="478">
        <v>0</v>
      </c>
    </row>
    <row r="71" spans="1:8" ht="15" x14ac:dyDescent="0.25">
      <c r="A71" s="479" t="s">
        <v>708</v>
      </c>
      <c r="B71" s="480" t="s">
        <v>709</v>
      </c>
      <c r="C71" s="1188">
        <f>G72+G73+G74</f>
        <v>128336075</v>
      </c>
      <c r="D71" s="1188"/>
      <c r="E71" s="1188"/>
      <c r="F71" s="1188"/>
      <c r="G71" s="1189"/>
      <c r="H71" s="495">
        <v>131093703</v>
      </c>
    </row>
    <row r="72" spans="1:8" ht="15" x14ac:dyDescent="0.25">
      <c r="A72" s="483" t="s">
        <v>710</v>
      </c>
      <c r="B72" s="482" t="s">
        <v>711</v>
      </c>
      <c r="C72" s="506">
        <v>44.87</v>
      </c>
      <c r="D72" s="506">
        <v>44.82</v>
      </c>
      <c r="E72" s="476">
        <v>1632000</v>
      </c>
      <c r="F72" s="476"/>
      <c r="G72" s="477">
        <f>+E72*C72</f>
        <v>73227840</v>
      </c>
      <c r="H72" s="478">
        <v>70518720</v>
      </c>
    </row>
    <row r="73" spans="1:8" ht="15" x14ac:dyDescent="0.25">
      <c r="A73" s="507" t="s">
        <v>712</v>
      </c>
      <c r="B73" s="485" t="s">
        <v>713</v>
      </c>
      <c r="C73" s="1190"/>
      <c r="D73" s="1191"/>
      <c r="E73" s="1191"/>
      <c r="F73" s="1192"/>
      <c r="G73" s="488">
        <v>54637700</v>
      </c>
      <c r="H73" s="508">
        <v>60058563</v>
      </c>
    </row>
    <row r="74" spans="1:8" ht="15" x14ac:dyDescent="0.25">
      <c r="A74" s="483" t="s">
        <v>714</v>
      </c>
      <c r="B74" s="509" t="s">
        <v>715</v>
      </c>
      <c r="C74" s="501">
        <v>1651</v>
      </c>
      <c r="D74" s="501">
        <v>1567</v>
      </c>
      <c r="E74" s="476">
        <v>285</v>
      </c>
      <c r="F74" s="476"/>
      <c r="G74" s="510">
        <f>+C74*E74</f>
        <v>470535</v>
      </c>
      <c r="H74" s="478">
        <v>516420</v>
      </c>
    </row>
    <row r="75" spans="1:8" ht="15" x14ac:dyDescent="0.25">
      <c r="A75" s="511" t="s">
        <v>716</v>
      </c>
      <c r="B75" s="512" t="s">
        <v>717</v>
      </c>
      <c r="C75" s="475">
        <v>2</v>
      </c>
      <c r="D75" s="501">
        <f>C75</f>
        <v>2</v>
      </c>
      <c r="E75" s="513">
        <v>1508760</v>
      </c>
      <c r="F75" s="514"/>
      <c r="G75" s="514">
        <f>+C75*E75</f>
        <v>3017520</v>
      </c>
      <c r="H75" s="495">
        <f>D75*E75</f>
        <v>3017520</v>
      </c>
    </row>
    <row r="76" spans="1:8" ht="21.75" customHeight="1" x14ac:dyDescent="0.2">
      <c r="A76" s="465" t="s">
        <v>718</v>
      </c>
      <c r="B76" s="491" t="s">
        <v>719</v>
      </c>
      <c r="C76" s="1165">
        <f>+G77+C78</f>
        <v>24619440</v>
      </c>
      <c r="D76" s="1166"/>
      <c r="E76" s="1166"/>
      <c r="F76" s="1166"/>
      <c r="G76" s="1166"/>
      <c r="H76" s="515">
        <f>C76+H78</f>
        <v>25161020</v>
      </c>
    </row>
    <row r="77" spans="1:8" ht="15" x14ac:dyDescent="0.25">
      <c r="A77" s="483" t="s">
        <v>720</v>
      </c>
      <c r="B77" s="482" t="s">
        <v>721</v>
      </c>
      <c r="C77" s="516">
        <v>21596</v>
      </c>
      <c r="D77" s="516">
        <f>C77</f>
        <v>21596</v>
      </c>
      <c r="E77" s="476">
        <v>1140</v>
      </c>
      <c r="F77" s="474"/>
      <c r="G77" s="477">
        <f>+C77*E77</f>
        <v>24619440</v>
      </c>
      <c r="H77" s="478">
        <f>D77*E77</f>
        <v>24619440</v>
      </c>
    </row>
    <row r="78" spans="1:8" ht="15" x14ac:dyDescent="0.25">
      <c r="A78" s="517" t="s">
        <v>722</v>
      </c>
      <c r="B78" s="518" t="s">
        <v>723</v>
      </c>
      <c r="C78" s="1154"/>
      <c r="D78" s="1155"/>
      <c r="E78" s="1155"/>
      <c r="F78" s="1155"/>
      <c r="G78" s="519"/>
      <c r="H78" s="712">
        <v>541580</v>
      </c>
    </row>
    <row r="79" spans="1:8" ht="15.75" x14ac:dyDescent="0.25">
      <c r="A79" s="1156" t="s">
        <v>724</v>
      </c>
      <c r="B79" s="1157"/>
      <c r="C79" s="1158">
        <f>+C6+C33+C56+C76</f>
        <v>745668456.66666675</v>
      </c>
      <c r="D79" s="1159"/>
      <c r="E79" s="1159"/>
      <c r="F79" s="1159"/>
      <c r="G79" s="1159"/>
      <c r="H79" s="520">
        <f>H76+H56+H33+H6</f>
        <v>754995012</v>
      </c>
    </row>
    <row r="80" spans="1:8" ht="15.75" x14ac:dyDescent="0.25">
      <c r="A80" s="521"/>
      <c r="B80" s="521"/>
      <c r="C80" s="522" t="s">
        <v>725</v>
      </c>
      <c r="D80" s="522"/>
      <c r="E80" s="522"/>
      <c r="F80" s="522"/>
      <c r="G80" s="522"/>
    </row>
    <row r="81" spans="1:9" ht="15.75" x14ac:dyDescent="0.25">
      <c r="A81" s="1160" t="s">
        <v>726</v>
      </c>
      <c r="B81" s="1160"/>
      <c r="C81" s="1160"/>
      <c r="D81" s="1160"/>
      <c r="E81" s="1160"/>
      <c r="F81" s="1160"/>
      <c r="G81" s="1160"/>
      <c r="H81" s="1160"/>
    </row>
    <row r="82" spans="1:9" ht="45" x14ac:dyDescent="0.25">
      <c r="A82" s="523" t="s">
        <v>592</v>
      </c>
      <c r="B82" s="524" t="s">
        <v>123</v>
      </c>
      <c r="C82" s="525" t="s">
        <v>593</v>
      </c>
      <c r="D82" s="525" t="s">
        <v>727</v>
      </c>
      <c r="E82" s="525" t="s">
        <v>595</v>
      </c>
      <c r="F82" s="525" t="s">
        <v>596</v>
      </c>
      <c r="G82" s="525" t="s">
        <v>597</v>
      </c>
      <c r="H82" s="525" t="s">
        <v>598</v>
      </c>
    </row>
    <row r="83" spans="1:9" ht="15.75" x14ac:dyDescent="0.25">
      <c r="A83" s="526"/>
      <c r="B83" s="527" t="s">
        <v>728</v>
      </c>
      <c r="C83" s="528"/>
      <c r="D83" s="528"/>
      <c r="E83" s="528"/>
      <c r="F83" s="528"/>
      <c r="G83" s="528"/>
      <c r="H83" s="529">
        <v>45576470</v>
      </c>
    </row>
    <row r="84" spans="1:9" ht="15.75" x14ac:dyDescent="0.25">
      <c r="A84" s="530"/>
      <c r="B84" s="531" t="s">
        <v>729</v>
      </c>
      <c r="C84" s="532"/>
      <c r="D84" s="532"/>
      <c r="E84" s="532"/>
      <c r="F84" s="532"/>
      <c r="G84" s="532"/>
      <c r="H84" s="533">
        <v>2541000</v>
      </c>
    </row>
    <row r="85" spans="1:9" ht="15.75" x14ac:dyDescent="0.25">
      <c r="A85" s="534"/>
      <c r="B85" s="535" t="s">
        <v>730</v>
      </c>
      <c r="C85" s="536"/>
      <c r="D85" s="536"/>
      <c r="E85" s="536"/>
      <c r="F85" s="536"/>
      <c r="G85" s="536"/>
      <c r="H85" s="537">
        <v>5951404</v>
      </c>
    </row>
    <row r="86" spans="1:9" ht="15.75" x14ac:dyDescent="0.25">
      <c r="A86" s="1161" t="s">
        <v>731</v>
      </c>
      <c r="B86" s="1162"/>
      <c r="C86" s="538"/>
      <c r="D86" s="538"/>
      <c r="E86" s="538"/>
      <c r="F86" s="538"/>
      <c r="G86" s="538"/>
      <c r="H86" s="539">
        <f>SUM(H83:H85)</f>
        <v>54068874</v>
      </c>
    </row>
    <row r="87" spans="1:9" ht="15.75" x14ac:dyDescent="0.25">
      <c r="A87" s="521"/>
      <c r="B87" s="521"/>
      <c r="C87" s="522"/>
      <c r="D87" s="522"/>
      <c r="E87" s="522"/>
      <c r="F87" s="522"/>
      <c r="G87" s="522"/>
    </row>
    <row r="88" spans="1:9" ht="45" x14ac:dyDescent="0.25">
      <c r="A88" s="523" t="s">
        <v>592</v>
      </c>
      <c r="B88" s="524" t="s">
        <v>123</v>
      </c>
      <c r="C88" s="525" t="s">
        <v>593</v>
      </c>
      <c r="D88" s="525" t="s">
        <v>727</v>
      </c>
      <c r="E88" s="525" t="s">
        <v>595</v>
      </c>
      <c r="F88" s="525" t="s">
        <v>596</v>
      </c>
      <c r="G88" s="525" t="s">
        <v>597</v>
      </c>
      <c r="H88" s="525" t="s">
        <v>598</v>
      </c>
    </row>
    <row r="89" spans="1:9" ht="15" x14ac:dyDescent="0.25">
      <c r="A89" s="523"/>
      <c r="B89" s="809" t="s">
        <v>1480</v>
      </c>
      <c r="C89" s="810"/>
      <c r="D89" s="810"/>
      <c r="E89" s="810"/>
      <c r="F89" s="810"/>
      <c r="G89" s="810"/>
      <c r="H89" s="811">
        <f>7416775+474720</f>
        <v>7891495</v>
      </c>
    </row>
    <row r="90" spans="1:9" ht="15.75" x14ac:dyDescent="0.25">
      <c r="A90" s="1163" t="s">
        <v>128</v>
      </c>
      <c r="B90" s="1164"/>
      <c r="C90" s="538"/>
      <c r="H90" s="812">
        <f>SUM(H89:H89)</f>
        <v>7891495</v>
      </c>
    </row>
    <row r="91" spans="1:9" ht="18.75" x14ac:dyDescent="0.3">
      <c r="A91" s="1151" t="s">
        <v>732</v>
      </c>
      <c r="B91" s="1151"/>
      <c r="C91" s="1152">
        <f>+C79</f>
        <v>745668456.66666675</v>
      </c>
      <c r="D91" s="1152"/>
      <c r="E91" s="1153"/>
      <c r="F91" s="1153"/>
      <c r="G91" s="1153"/>
      <c r="H91" s="540">
        <f>H79+H86+H90</f>
        <v>816955381</v>
      </c>
      <c r="I91" s="423">
        <f>+'[2]1.sz.Önkormányzat 2017.B'!E29</f>
        <v>761907257</v>
      </c>
    </row>
    <row r="94" spans="1:9" ht="27" customHeight="1" x14ac:dyDescent="0.2">
      <c r="A94" s="1150" t="s">
        <v>733</v>
      </c>
      <c r="B94" s="1150"/>
      <c r="C94" s="1150"/>
      <c r="D94" s="1150"/>
      <c r="E94" s="1150"/>
      <c r="F94" s="1150"/>
      <c r="G94" s="1150"/>
    </row>
    <row r="95" spans="1:9" ht="18.75" x14ac:dyDescent="0.3">
      <c r="A95" s="1151" t="s">
        <v>646</v>
      </c>
      <c r="B95" s="1151"/>
      <c r="C95" s="1152">
        <v>186957722</v>
      </c>
      <c r="D95" s="1152"/>
      <c r="E95" s="1153"/>
      <c r="F95" s="1153"/>
      <c r="G95" s="1153"/>
      <c r="H95" s="540">
        <f>C95</f>
        <v>186957722</v>
      </c>
    </row>
  </sheetData>
  <mergeCells count="29">
    <mergeCell ref="C34:G34"/>
    <mergeCell ref="A1:H1"/>
    <mergeCell ref="A4:H4"/>
    <mergeCell ref="C5:G5"/>
    <mergeCell ref="C6:G6"/>
    <mergeCell ref="C33:G33"/>
    <mergeCell ref="C76:G76"/>
    <mergeCell ref="C42:G42"/>
    <mergeCell ref="C47:G47"/>
    <mergeCell ref="C56:G56"/>
    <mergeCell ref="C57:F57"/>
    <mergeCell ref="C58:G58"/>
    <mergeCell ref="C59:G59"/>
    <mergeCell ref="C62:F62"/>
    <mergeCell ref="C66:G66"/>
    <mergeCell ref="C69:F69"/>
    <mergeCell ref="C71:G71"/>
    <mergeCell ref="C73:F73"/>
    <mergeCell ref="A94:G94"/>
    <mergeCell ref="A95:B95"/>
    <mergeCell ref="C95:G95"/>
    <mergeCell ref="C78:F78"/>
    <mergeCell ref="A79:B79"/>
    <mergeCell ref="C79:G79"/>
    <mergeCell ref="A81:H81"/>
    <mergeCell ref="A86:B86"/>
    <mergeCell ref="A91:B91"/>
    <mergeCell ref="C91:G91"/>
    <mergeCell ref="A90:B9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0" orientation="landscape" verticalDpi="300" r:id="rId1"/>
  <headerFooter>
    <oddHeader>&amp;CDunaharaszti Város Önkormányzat 2017. évi zárszámadás&amp;R&amp;A</oddHeader>
    <oddFooter>&amp;C&amp;P/&amp;N</oddFooter>
  </headerFooter>
  <rowBreaks count="1" manualBreakCount="1">
    <brk id="55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56"/>
  <sheetViews>
    <sheetView tabSelected="1" view="pageBreakPreview" topLeftCell="A41" zoomScale="76" zoomScaleNormal="100" zoomScaleSheetLayoutView="76" workbookViewId="0">
      <selection activeCell="A2" sqref="A2:XFD2"/>
    </sheetView>
  </sheetViews>
  <sheetFormatPr defaultRowHeight="12.75" x14ac:dyDescent="0.2"/>
  <cols>
    <col min="1" max="1" width="45.42578125" customWidth="1"/>
    <col min="3" max="6" width="16" customWidth="1"/>
    <col min="7" max="7" width="15.5703125" customWidth="1"/>
    <col min="8" max="8" width="22.140625" bestFit="1" customWidth="1"/>
    <col min="9" max="9" width="17.85546875" customWidth="1"/>
    <col min="10" max="10" width="20.140625" customWidth="1"/>
  </cols>
  <sheetData>
    <row r="1" spans="1:10" ht="41.25" customHeight="1" x14ac:dyDescent="0.2">
      <c r="A1" s="1204" t="s">
        <v>734</v>
      </c>
      <c r="B1" s="1204"/>
      <c r="C1" s="1204"/>
      <c r="D1" s="1204"/>
      <c r="E1" s="1204"/>
      <c r="F1" s="1204"/>
      <c r="G1" s="1204"/>
      <c r="H1" s="1204"/>
      <c r="I1" s="1204"/>
      <c r="J1" s="1204"/>
    </row>
    <row r="2" spans="1:10" s="543" customFormat="1" ht="109.5" customHeight="1" x14ac:dyDescent="0.25">
      <c r="A2" s="541" t="s">
        <v>735</v>
      </c>
      <c r="B2" s="541" t="s">
        <v>736</v>
      </c>
      <c r="C2" s="542" t="s">
        <v>737</v>
      </c>
      <c r="D2" s="542" t="s">
        <v>738</v>
      </c>
      <c r="E2" s="542" t="s">
        <v>739</v>
      </c>
      <c r="F2" s="542" t="s">
        <v>1518</v>
      </c>
      <c r="G2" s="542" t="s">
        <v>740</v>
      </c>
      <c r="H2" s="542" t="s">
        <v>741</v>
      </c>
      <c r="I2" s="542" t="s">
        <v>742</v>
      </c>
      <c r="J2" s="542" t="s">
        <v>1517</v>
      </c>
    </row>
    <row r="3" spans="1:10" s="547" customFormat="1" ht="31.5" customHeight="1" x14ac:dyDescent="0.25">
      <c r="A3" s="544" t="s">
        <v>743</v>
      </c>
      <c r="B3" s="545"/>
      <c r="C3" s="546">
        <f t="shared" ref="C3:J3" si="0">SUM(C4:C11)</f>
        <v>25</v>
      </c>
      <c r="D3" s="546">
        <f t="shared" si="0"/>
        <v>17</v>
      </c>
      <c r="E3" s="546">
        <f t="shared" si="0"/>
        <v>0</v>
      </c>
      <c r="F3" s="546">
        <v>0</v>
      </c>
      <c r="G3" s="546">
        <f t="shared" si="0"/>
        <v>15.05</v>
      </c>
      <c r="H3" s="546">
        <f t="shared" si="0"/>
        <v>15.05</v>
      </c>
      <c r="I3" s="546">
        <f t="shared" si="0"/>
        <v>17</v>
      </c>
      <c r="J3" s="546">
        <f t="shared" si="0"/>
        <v>20.2</v>
      </c>
    </row>
    <row r="4" spans="1:10" s="543" customFormat="1" ht="25.5" customHeight="1" x14ac:dyDescent="0.25">
      <c r="A4" s="548" t="s">
        <v>744</v>
      </c>
      <c r="B4" s="549" t="s">
        <v>745</v>
      </c>
      <c r="C4" s="550">
        <v>1</v>
      </c>
      <c r="D4" s="550">
        <f>C4</f>
        <v>1</v>
      </c>
      <c r="E4" s="551">
        <v>0</v>
      </c>
      <c r="F4" s="551"/>
      <c r="G4" s="550">
        <v>1</v>
      </c>
      <c r="H4" s="550">
        <v>1</v>
      </c>
      <c r="I4" s="550">
        <v>1</v>
      </c>
      <c r="J4" s="550">
        <v>1</v>
      </c>
    </row>
    <row r="5" spans="1:10" s="543" customFormat="1" ht="25.5" customHeight="1" x14ac:dyDescent="0.25">
      <c r="A5" s="548" t="s">
        <v>746</v>
      </c>
      <c r="B5" s="552" t="s">
        <v>747</v>
      </c>
      <c r="C5" s="550">
        <v>1</v>
      </c>
      <c r="D5" s="550">
        <f t="shared" ref="D5:D10" si="1">C5</f>
        <v>1</v>
      </c>
      <c r="E5" s="551">
        <v>0</v>
      </c>
      <c r="F5" s="551"/>
      <c r="G5" s="550">
        <v>1</v>
      </c>
      <c r="H5" s="550">
        <v>1</v>
      </c>
      <c r="I5" s="550">
        <v>1</v>
      </c>
      <c r="J5" s="550">
        <v>1</v>
      </c>
    </row>
    <row r="6" spans="1:10" s="543" customFormat="1" ht="25.5" customHeight="1" x14ac:dyDescent="0.25">
      <c r="A6" s="548" t="s">
        <v>748</v>
      </c>
      <c r="B6" s="549" t="s">
        <v>391</v>
      </c>
      <c r="C6" s="550">
        <v>3</v>
      </c>
      <c r="D6" s="550">
        <f t="shared" si="1"/>
        <v>3</v>
      </c>
      <c r="E6" s="551">
        <v>0</v>
      </c>
      <c r="F6" s="551"/>
      <c r="G6" s="550">
        <v>1.55</v>
      </c>
      <c r="H6" s="550">
        <v>1.55</v>
      </c>
      <c r="I6" s="550">
        <v>3</v>
      </c>
      <c r="J6" s="550">
        <v>1.55</v>
      </c>
    </row>
    <row r="7" spans="1:10" s="543" customFormat="1" ht="25.5" customHeight="1" x14ac:dyDescent="0.25">
      <c r="A7" s="548" t="s">
        <v>749</v>
      </c>
      <c r="B7" s="549" t="s">
        <v>750</v>
      </c>
      <c r="C7" s="550">
        <v>9</v>
      </c>
      <c r="D7" s="550">
        <v>3</v>
      </c>
      <c r="E7" s="551">
        <v>0</v>
      </c>
      <c r="F7" s="551"/>
      <c r="G7" s="550">
        <v>3</v>
      </c>
      <c r="H7" s="550">
        <v>3</v>
      </c>
      <c r="I7" s="550">
        <v>3</v>
      </c>
      <c r="J7" s="550">
        <v>8.15</v>
      </c>
    </row>
    <row r="8" spans="1:10" s="543" customFormat="1" ht="30.75" customHeight="1" x14ac:dyDescent="0.25">
      <c r="A8" s="548" t="s">
        <v>751</v>
      </c>
      <c r="B8" s="549" t="s">
        <v>377</v>
      </c>
      <c r="C8" s="550">
        <v>2</v>
      </c>
      <c r="D8" s="550">
        <f t="shared" si="1"/>
        <v>2</v>
      </c>
      <c r="E8" s="551">
        <v>0</v>
      </c>
      <c r="F8" s="551"/>
      <c r="G8" s="550">
        <v>1.5</v>
      </c>
      <c r="H8" s="550">
        <v>1.5</v>
      </c>
      <c r="I8" s="550">
        <v>2</v>
      </c>
      <c r="J8" s="550">
        <v>1.5</v>
      </c>
    </row>
    <row r="9" spans="1:10" s="543" customFormat="1" ht="25.5" customHeight="1" x14ac:dyDescent="0.25">
      <c r="A9" s="548" t="s">
        <v>752</v>
      </c>
      <c r="B9" s="549" t="s">
        <v>399</v>
      </c>
      <c r="C9" s="550">
        <v>3</v>
      </c>
      <c r="D9" s="550">
        <v>0</v>
      </c>
      <c r="E9" s="551">
        <v>0</v>
      </c>
      <c r="F9" s="551"/>
      <c r="G9" s="550">
        <v>0</v>
      </c>
      <c r="H9" s="550">
        <v>0</v>
      </c>
      <c r="I9" s="550">
        <v>0</v>
      </c>
      <c r="J9" s="834">
        <v>0</v>
      </c>
    </row>
    <row r="10" spans="1:10" s="543" customFormat="1" ht="25.5" customHeight="1" x14ac:dyDescent="0.25">
      <c r="A10" s="548" t="s">
        <v>753</v>
      </c>
      <c r="B10" s="549" t="s">
        <v>403</v>
      </c>
      <c r="C10" s="550">
        <v>2</v>
      </c>
      <c r="D10" s="550">
        <f t="shared" si="1"/>
        <v>2</v>
      </c>
      <c r="E10" s="551">
        <v>0</v>
      </c>
      <c r="F10" s="551"/>
      <c r="G10" s="550">
        <v>2</v>
      </c>
      <c r="H10" s="550">
        <v>2</v>
      </c>
      <c r="I10" s="550">
        <v>2</v>
      </c>
      <c r="J10" s="550">
        <v>2</v>
      </c>
    </row>
    <row r="11" spans="1:10" s="543" customFormat="1" ht="25.5" customHeight="1" x14ac:dyDescent="0.25">
      <c r="A11" s="548" t="s">
        <v>754</v>
      </c>
      <c r="B11" s="549" t="s">
        <v>755</v>
      </c>
      <c r="C11" s="550">
        <v>4</v>
      </c>
      <c r="D11" s="550">
        <v>5</v>
      </c>
      <c r="E11" s="551">
        <v>0</v>
      </c>
      <c r="F11" s="551"/>
      <c r="G11" s="550">
        <v>5</v>
      </c>
      <c r="H11" s="550">
        <v>5</v>
      </c>
      <c r="I11" s="550">
        <v>5</v>
      </c>
      <c r="J11" s="550">
        <v>5</v>
      </c>
    </row>
    <row r="12" spans="1:10" s="547" customFormat="1" ht="29.25" customHeight="1" x14ac:dyDescent="0.25">
      <c r="A12" s="544" t="s">
        <v>584</v>
      </c>
      <c r="B12" s="545"/>
      <c r="C12" s="546">
        <f t="shared" ref="C12:J12" si="2">SUM(C13:C15)</f>
        <v>54</v>
      </c>
      <c r="D12" s="546">
        <f t="shared" si="2"/>
        <v>55</v>
      </c>
      <c r="E12" s="546">
        <f t="shared" si="2"/>
        <v>2</v>
      </c>
      <c r="F12" s="546">
        <v>2</v>
      </c>
      <c r="G12" s="546">
        <f t="shared" si="2"/>
        <v>55</v>
      </c>
      <c r="H12" s="546">
        <f t="shared" si="2"/>
        <v>55</v>
      </c>
      <c r="I12" s="546">
        <f t="shared" si="2"/>
        <v>57</v>
      </c>
      <c r="J12" s="546">
        <f t="shared" si="2"/>
        <v>49.4</v>
      </c>
    </row>
    <row r="13" spans="1:10" s="543" customFormat="1" ht="25.5" customHeight="1" x14ac:dyDescent="0.25">
      <c r="A13" s="548" t="s">
        <v>756</v>
      </c>
      <c r="B13" s="549" t="s">
        <v>149</v>
      </c>
      <c r="C13" s="550">
        <v>46</v>
      </c>
      <c r="D13" s="550">
        <v>47</v>
      </c>
      <c r="E13" s="550">
        <v>2</v>
      </c>
      <c r="F13" s="550"/>
      <c r="G13" s="550">
        <v>47</v>
      </c>
      <c r="H13" s="550">
        <v>47</v>
      </c>
      <c r="I13" s="550">
        <v>49</v>
      </c>
      <c r="J13" s="834">
        <v>42.4</v>
      </c>
    </row>
    <row r="14" spans="1:10" s="543" customFormat="1" ht="25.5" customHeight="1" x14ac:dyDescent="0.25">
      <c r="A14" s="548" t="s">
        <v>757</v>
      </c>
      <c r="B14" s="549" t="s">
        <v>410</v>
      </c>
      <c r="C14" s="550">
        <v>6</v>
      </c>
      <c r="D14" s="550">
        <f>C14</f>
        <v>6</v>
      </c>
      <c r="E14" s="551">
        <v>0</v>
      </c>
      <c r="F14" s="551"/>
      <c r="G14" s="550">
        <v>6</v>
      </c>
      <c r="H14" s="550">
        <v>6</v>
      </c>
      <c r="I14" s="550">
        <v>6</v>
      </c>
      <c r="J14" s="834">
        <v>6</v>
      </c>
    </row>
    <row r="15" spans="1:10" s="543" customFormat="1" ht="25.5" customHeight="1" x14ac:dyDescent="0.25">
      <c r="A15" s="548" t="s">
        <v>758</v>
      </c>
      <c r="B15" s="549" t="s">
        <v>413</v>
      </c>
      <c r="C15" s="550">
        <v>2</v>
      </c>
      <c r="D15" s="550">
        <f>C15</f>
        <v>2</v>
      </c>
      <c r="E15" s="551">
        <v>0</v>
      </c>
      <c r="F15" s="551"/>
      <c r="G15" s="550">
        <f>1+1</f>
        <v>2</v>
      </c>
      <c r="H15" s="550">
        <f>1+1</f>
        <v>2</v>
      </c>
      <c r="I15" s="550">
        <f>1+1</f>
        <v>2</v>
      </c>
      <c r="J15" s="834">
        <v>1</v>
      </c>
    </row>
    <row r="16" spans="1:10" s="547" customFormat="1" ht="25.5" customHeight="1" x14ac:dyDescent="0.25">
      <c r="A16" s="544" t="s">
        <v>417</v>
      </c>
      <c r="B16" s="545"/>
      <c r="C16" s="546">
        <f t="shared" ref="C16:J16" si="3">SUM(C17:C18)</f>
        <v>26</v>
      </c>
      <c r="D16" s="546">
        <f t="shared" si="3"/>
        <v>27</v>
      </c>
      <c r="E16" s="546">
        <f t="shared" si="3"/>
        <v>0</v>
      </c>
      <c r="F16" s="546">
        <v>0</v>
      </c>
      <c r="G16" s="546">
        <f t="shared" si="3"/>
        <v>27</v>
      </c>
      <c r="H16" s="546">
        <f t="shared" si="3"/>
        <v>27</v>
      </c>
      <c r="I16" s="546">
        <f t="shared" si="3"/>
        <v>27</v>
      </c>
      <c r="J16" s="546">
        <f t="shared" si="3"/>
        <v>26.2</v>
      </c>
    </row>
    <row r="17" spans="1:10" s="543" customFormat="1" ht="25.5" customHeight="1" x14ac:dyDescent="0.25">
      <c r="A17" s="548" t="s">
        <v>759</v>
      </c>
      <c r="B17" s="549" t="s">
        <v>149</v>
      </c>
      <c r="C17" s="550">
        <v>4</v>
      </c>
      <c r="D17" s="550">
        <f>C17</f>
        <v>4</v>
      </c>
      <c r="E17" s="551">
        <v>0</v>
      </c>
      <c r="F17" s="551"/>
      <c r="G17" s="550">
        <v>4</v>
      </c>
      <c r="H17" s="550">
        <v>4</v>
      </c>
      <c r="I17" s="550">
        <v>4</v>
      </c>
      <c r="J17" s="834">
        <v>4</v>
      </c>
    </row>
    <row r="18" spans="1:10" s="543" customFormat="1" ht="25.5" customHeight="1" x14ac:dyDescent="0.25">
      <c r="A18" s="548" t="s">
        <v>760</v>
      </c>
      <c r="B18" s="549" t="s">
        <v>410</v>
      </c>
      <c r="C18" s="550">
        <v>22</v>
      </c>
      <c r="D18" s="550">
        <v>23</v>
      </c>
      <c r="E18" s="551">
        <v>0</v>
      </c>
      <c r="F18" s="551"/>
      <c r="G18" s="550">
        <v>23</v>
      </c>
      <c r="H18" s="550">
        <v>23</v>
      </c>
      <c r="I18" s="550">
        <v>23</v>
      </c>
      <c r="J18" s="834">
        <v>22.2</v>
      </c>
    </row>
    <row r="19" spans="1:10" s="547" customFormat="1" ht="25.5" customHeight="1" x14ac:dyDescent="0.25">
      <c r="A19" s="544" t="s">
        <v>586</v>
      </c>
      <c r="B19" s="545"/>
      <c r="C19" s="546">
        <f t="shared" ref="C19:J19" si="4">SUM(C20:C23)</f>
        <v>78</v>
      </c>
      <c r="D19" s="546">
        <f t="shared" si="4"/>
        <v>44</v>
      </c>
      <c r="E19" s="546">
        <f t="shared" si="4"/>
        <v>0</v>
      </c>
      <c r="F19" s="546">
        <v>0</v>
      </c>
      <c r="G19" s="546">
        <f t="shared" si="4"/>
        <v>44</v>
      </c>
      <c r="H19" s="546">
        <f t="shared" si="4"/>
        <v>44</v>
      </c>
      <c r="I19" s="546">
        <f t="shared" si="4"/>
        <v>46</v>
      </c>
      <c r="J19" s="546">
        <f t="shared" si="4"/>
        <v>59.8</v>
      </c>
    </row>
    <row r="20" spans="1:10" s="543" customFormat="1" ht="25.5" customHeight="1" x14ac:dyDescent="0.25">
      <c r="A20" s="548" t="s">
        <v>761</v>
      </c>
      <c r="B20" s="549" t="s">
        <v>149</v>
      </c>
      <c r="C20" s="550">
        <v>43</v>
      </c>
      <c r="D20" s="550">
        <v>44</v>
      </c>
      <c r="E20" s="551">
        <v>0</v>
      </c>
      <c r="F20" s="551"/>
      <c r="G20" s="550">
        <v>44</v>
      </c>
      <c r="H20" s="550">
        <v>44</v>
      </c>
      <c r="I20" s="550">
        <v>46</v>
      </c>
      <c r="J20" s="834">
        <v>59.8</v>
      </c>
    </row>
    <row r="21" spans="1:10" s="543" customFormat="1" ht="25.5" customHeight="1" x14ac:dyDescent="0.25">
      <c r="A21" s="548" t="s">
        <v>762</v>
      </c>
      <c r="B21" s="549" t="s">
        <v>410</v>
      </c>
      <c r="C21" s="550">
        <v>13</v>
      </c>
      <c r="D21" s="550">
        <v>0</v>
      </c>
      <c r="E21" s="551">
        <v>0</v>
      </c>
      <c r="F21" s="551"/>
      <c r="G21" s="550">
        <v>0</v>
      </c>
      <c r="H21" s="550">
        <v>0</v>
      </c>
      <c r="I21" s="550">
        <v>0</v>
      </c>
      <c r="J21" s="834">
        <v>0</v>
      </c>
    </row>
    <row r="22" spans="1:10" s="543" customFormat="1" ht="25.5" customHeight="1" x14ac:dyDescent="0.25">
      <c r="A22" s="548" t="s">
        <v>763</v>
      </c>
      <c r="B22" s="549" t="s">
        <v>413</v>
      </c>
      <c r="C22" s="550">
        <v>22</v>
      </c>
      <c r="D22" s="550">
        <v>0</v>
      </c>
      <c r="E22" s="551">
        <v>0</v>
      </c>
      <c r="F22" s="551"/>
      <c r="G22" s="550">
        <v>0</v>
      </c>
      <c r="H22" s="550">
        <v>0</v>
      </c>
      <c r="I22" s="550">
        <v>0</v>
      </c>
      <c r="J22" s="834">
        <v>0</v>
      </c>
    </row>
    <row r="23" spans="1:10" s="543" customFormat="1" ht="35.25" customHeight="1" x14ac:dyDescent="0.25">
      <c r="A23" s="548" t="s">
        <v>764</v>
      </c>
      <c r="B23" s="549" t="s">
        <v>430</v>
      </c>
      <c r="C23" s="551">
        <v>0</v>
      </c>
      <c r="D23" s="551">
        <f>C23</f>
        <v>0</v>
      </c>
      <c r="E23" s="551">
        <v>0</v>
      </c>
      <c r="F23" s="551"/>
      <c r="G23" s="551">
        <v>0</v>
      </c>
      <c r="H23" s="551">
        <v>0</v>
      </c>
      <c r="I23" s="551">
        <v>0</v>
      </c>
      <c r="J23" s="551"/>
    </row>
    <row r="24" spans="1:10" s="543" customFormat="1" ht="35.25" customHeight="1" x14ac:dyDescent="0.25">
      <c r="A24" s="544" t="s">
        <v>1458</v>
      </c>
      <c r="B24" s="545"/>
      <c r="C24" s="546">
        <f t="shared" ref="C24:E24" si="5">SUM(C25:C26)</f>
        <v>0</v>
      </c>
      <c r="D24" s="546">
        <f t="shared" si="5"/>
        <v>37</v>
      </c>
      <c r="E24" s="546">
        <f t="shared" si="5"/>
        <v>0</v>
      </c>
      <c r="F24" s="546"/>
      <c r="G24" s="546">
        <f t="shared" ref="G24:I24" si="6">SUM(G25:G26)</f>
        <v>37</v>
      </c>
      <c r="H24" s="546">
        <f t="shared" si="6"/>
        <v>37</v>
      </c>
      <c r="I24" s="546">
        <f t="shared" si="6"/>
        <v>37</v>
      </c>
      <c r="J24" s="868">
        <f>SUM(J25:J26)</f>
        <v>29.299999999999997</v>
      </c>
    </row>
    <row r="25" spans="1:10" s="543" customFormat="1" ht="35.25" customHeight="1" x14ac:dyDescent="0.25">
      <c r="A25" s="548" t="s">
        <v>762</v>
      </c>
      <c r="B25" s="549" t="s">
        <v>410</v>
      </c>
      <c r="C25" s="551">
        <v>0</v>
      </c>
      <c r="D25" s="550">
        <v>14</v>
      </c>
      <c r="E25" s="551">
        <v>0</v>
      </c>
      <c r="F25" s="550"/>
      <c r="G25" s="550">
        <v>14</v>
      </c>
      <c r="H25" s="550">
        <v>14</v>
      </c>
      <c r="I25" s="550">
        <v>14</v>
      </c>
      <c r="J25" s="867">
        <v>12.025</v>
      </c>
    </row>
    <row r="26" spans="1:10" s="543" customFormat="1" ht="35.25" customHeight="1" x14ac:dyDescent="0.25">
      <c r="A26" s="548" t="s">
        <v>763</v>
      </c>
      <c r="B26" s="549" t="s">
        <v>149</v>
      </c>
      <c r="C26" s="551">
        <v>0</v>
      </c>
      <c r="D26" s="550">
        <v>23</v>
      </c>
      <c r="E26" s="551">
        <v>0</v>
      </c>
      <c r="F26" s="550"/>
      <c r="G26" s="550">
        <v>23</v>
      </c>
      <c r="H26" s="550">
        <v>23</v>
      </c>
      <c r="I26" s="550">
        <v>23</v>
      </c>
      <c r="J26" s="867">
        <v>17.274999999999999</v>
      </c>
    </row>
    <row r="27" spans="1:10" s="547" customFormat="1" ht="25.5" customHeight="1" x14ac:dyDescent="0.25">
      <c r="A27" s="544" t="s">
        <v>585</v>
      </c>
      <c r="B27" s="553"/>
      <c r="C27" s="546">
        <f t="shared" ref="C27:J27" si="7">SUM(C28:C30)</f>
        <v>67</v>
      </c>
      <c r="D27" s="546">
        <f t="shared" si="7"/>
        <v>69</v>
      </c>
      <c r="E27" s="546">
        <f t="shared" si="7"/>
        <v>0</v>
      </c>
      <c r="F27" s="546">
        <v>0</v>
      </c>
      <c r="G27" s="546">
        <f t="shared" si="7"/>
        <v>66.75</v>
      </c>
      <c r="H27" s="546">
        <f t="shared" si="7"/>
        <v>66.75</v>
      </c>
      <c r="I27" s="546">
        <f t="shared" si="7"/>
        <v>72</v>
      </c>
      <c r="J27" s="546">
        <f t="shared" si="7"/>
        <v>65.8</v>
      </c>
    </row>
    <row r="28" spans="1:10" s="543" customFormat="1" ht="25.5" customHeight="1" x14ac:dyDescent="0.25">
      <c r="A28" s="548" t="s">
        <v>765</v>
      </c>
      <c r="B28" s="549" t="s">
        <v>149</v>
      </c>
      <c r="C28" s="550">
        <v>42</v>
      </c>
      <c r="D28" s="550">
        <v>43</v>
      </c>
      <c r="E28" s="551">
        <v>0</v>
      </c>
      <c r="F28" s="551"/>
      <c r="G28" s="550">
        <v>41</v>
      </c>
      <c r="H28" s="550">
        <v>41</v>
      </c>
      <c r="I28" s="550">
        <v>45</v>
      </c>
      <c r="J28" s="834">
        <v>46</v>
      </c>
    </row>
    <row r="29" spans="1:10" s="543" customFormat="1" ht="25.5" customHeight="1" x14ac:dyDescent="0.25">
      <c r="A29" s="548" t="s">
        <v>766</v>
      </c>
      <c r="B29" s="549" t="s">
        <v>410</v>
      </c>
      <c r="C29" s="550">
        <v>21</v>
      </c>
      <c r="D29" s="550">
        <v>22</v>
      </c>
      <c r="E29" s="551">
        <v>0</v>
      </c>
      <c r="F29" s="551"/>
      <c r="G29" s="550">
        <v>21.75</v>
      </c>
      <c r="H29" s="550">
        <v>21.75</v>
      </c>
      <c r="I29" s="550">
        <v>23</v>
      </c>
      <c r="J29" s="834">
        <v>19.8</v>
      </c>
    </row>
    <row r="30" spans="1:10" s="543" customFormat="1" ht="39.75" customHeight="1" x14ac:dyDescent="0.25">
      <c r="A30" s="548" t="s">
        <v>767</v>
      </c>
      <c r="B30" s="549" t="s">
        <v>413</v>
      </c>
      <c r="C30" s="550">
        <v>4</v>
      </c>
      <c r="D30" s="550">
        <f>C30</f>
        <v>4</v>
      </c>
      <c r="E30" s="551">
        <v>0</v>
      </c>
      <c r="F30" s="551"/>
      <c r="G30" s="550">
        <v>4</v>
      </c>
      <c r="H30" s="550">
        <v>4</v>
      </c>
      <c r="I30" s="550">
        <v>4</v>
      </c>
      <c r="J30" s="550">
        <v>0</v>
      </c>
    </row>
    <row r="31" spans="1:10" s="547" customFormat="1" ht="15" x14ac:dyDescent="0.25">
      <c r="A31" s="544" t="s">
        <v>587</v>
      </c>
      <c r="B31" s="554"/>
      <c r="C31" s="546">
        <f t="shared" ref="C31:J31" si="8">SUM(C32:C43)</f>
        <v>31</v>
      </c>
      <c r="D31" s="546">
        <f t="shared" si="8"/>
        <v>33</v>
      </c>
      <c r="E31" s="546">
        <f t="shared" si="8"/>
        <v>1</v>
      </c>
      <c r="F31" s="546">
        <v>1</v>
      </c>
      <c r="G31" s="546">
        <f t="shared" si="8"/>
        <v>31.274999999999999</v>
      </c>
      <c r="H31" s="546">
        <f t="shared" si="8"/>
        <v>31.274999999999999</v>
      </c>
      <c r="I31" s="546">
        <f t="shared" si="8"/>
        <v>33</v>
      </c>
      <c r="J31" s="546">
        <f t="shared" si="8"/>
        <v>27.8</v>
      </c>
    </row>
    <row r="32" spans="1:10" s="543" customFormat="1" ht="25.5" customHeight="1" x14ac:dyDescent="0.25">
      <c r="A32" s="548" t="s">
        <v>768</v>
      </c>
      <c r="B32" s="549" t="s">
        <v>149</v>
      </c>
      <c r="C32" s="550">
        <v>5</v>
      </c>
      <c r="D32" s="550">
        <v>6</v>
      </c>
      <c r="E32" s="550">
        <v>1</v>
      </c>
      <c r="F32" s="550"/>
      <c r="G32" s="550">
        <v>6</v>
      </c>
      <c r="H32" s="550">
        <v>6</v>
      </c>
      <c r="I32" s="550">
        <v>6</v>
      </c>
      <c r="J32" s="834">
        <v>5.7750000000000004</v>
      </c>
    </row>
    <row r="33" spans="1:10" s="543" customFormat="1" ht="25.5" customHeight="1" x14ac:dyDescent="0.25">
      <c r="A33" s="548" t="s">
        <v>769</v>
      </c>
      <c r="B33" s="549" t="s">
        <v>410</v>
      </c>
      <c r="C33" s="550">
        <v>1</v>
      </c>
      <c r="D33" s="550">
        <f t="shared" ref="D33:D43" si="9">C33</f>
        <v>1</v>
      </c>
      <c r="E33" s="551">
        <v>0</v>
      </c>
      <c r="F33" s="551"/>
      <c r="G33" s="550">
        <v>1</v>
      </c>
      <c r="H33" s="550">
        <v>1</v>
      </c>
      <c r="I33" s="550">
        <v>1</v>
      </c>
      <c r="J33" s="834">
        <v>1</v>
      </c>
    </row>
    <row r="34" spans="1:10" s="543" customFormat="1" ht="25.5" customHeight="1" x14ac:dyDescent="0.25">
      <c r="A34" s="548" t="s">
        <v>770</v>
      </c>
      <c r="B34" s="549" t="s">
        <v>413</v>
      </c>
      <c r="C34" s="550">
        <v>5</v>
      </c>
      <c r="D34" s="550">
        <v>6</v>
      </c>
      <c r="E34" s="551">
        <v>0</v>
      </c>
      <c r="F34" s="551"/>
      <c r="G34" s="550">
        <v>5.25</v>
      </c>
      <c r="H34" s="550">
        <v>5.25</v>
      </c>
      <c r="I34" s="550">
        <v>6</v>
      </c>
      <c r="J34" s="834">
        <v>2.5</v>
      </c>
    </row>
    <row r="35" spans="1:10" s="543" customFormat="1" ht="32.25" customHeight="1" x14ac:dyDescent="0.25">
      <c r="A35" s="548" t="s">
        <v>771</v>
      </c>
      <c r="B35" s="549" t="s">
        <v>430</v>
      </c>
      <c r="C35" s="550">
        <v>2</v>
      </c>
      <c r="D35" s="550">
        <f t="shared" si="9"/>
        <v>2</v>
      </c>
      <c r="E35" s="551">
        <v>0</v>
      </c>
      <c r="F35" s="551"/>
      <c r="G35" s="550">
        <v>2</v>
      </c>
      <c r="H35" s="550">
        <v>2</v>
      </c>
      <c r="I35" s="550">
        <v>2</v>
      </c>
      <c r="J35" s="834">
        <v>2</v>
      </c>
    </row>
    <row r="36" spans="1:10" s="543" customFormat="1" ht="25.5" customHeight="1" x14ac:dyDescent="0.25">
      <c r="A36" s="548" t="s">
        <v>772</v>
      </c>
      <c r="B36" s="549" t="s">
        <v>773</v>
      </c>
      <c r="C36" s="550">
        <v>1</v>
      </c>
      <c r="D36" s="550">
        <f t="shared" si="9"/>
        <v>1</v>
      </c>
      <c r="E36" s="551">
        <v>0</v>
      </c>
      <c r="F36" s="551"/>
      <c r="G36" s="550">
        <v>0.52500000000000002</v>
      </c>
      <c r="H36" s="550">
        <v>0.52500000000000002</v>
      </c>
      <c r="I36" s="550">
        <v>1</v>
      </c>
      <c r="J36" s="813">
        <v>1.5249999999999999</v>
      </c>
    </row>
    <row r="37" spans="1:10" s="543" customFormat="1" ht="35.25" customHeight="1" x14ac:dyDescent="0.25">
      <c r="A37" s="548" t="s">
        <v>774</v>
      </c>
      <c r="B37" s="549" t="s">
        <v>131</v>
      </c>
      <c r="C37" s="550">
        <v>2</v>
      </c>
      <c r="D37" s="550">
        <f t="shared" si="9"/>
        <v>2</v>
      </c>
      <c r="E37" s="551">
        <v>0</v>
      </c>
      <c r="F37" s="551"/>
      <c r="G37" s="550">
        <v>1.75</v>
      </c>
      <c r="H37" s="550">
        <v>1.75</v>
      </c>
      <c r="I37" s="550">
        <v>2</v>
      </c>
      <c r="J37" s="813">
        <v>1</v>
      </c>
    </row>
    <row r="38" spans="1:10" s="543" customFormat="1" ht="25.5" customHeight="1" x14ac:dyDescent="0.25">
      <c r="A38" s="548" t="s">
        <v>775</v>
      </c>
      <c r="B38" s="549" t="s">
        <v>134</v>
      </c>
      <c r="C38" s="550">
        <v>2</v>
      </c>
      <c r="D38" s="550">
        <f t="shared" si="9"/>
        <v>2</v>
      </c>
      <c r="E38" s="551">
        <v>0</v>
      </c>
      <c r="F38" s="551"/>
      <c r="G38" s="550">
        <v>2</v>
      </c>
      <c r="H38" s="550">
        <v>2</v>
      </c>
      <c r="I38" s="550">
        <v>2</v>
      </c>
      <c r="J38" s="813">
        <v>2</v>
      </c>
    </row>
    <row r="39" spans="1:10" s="543" customFormat="1" ht="30" customHeight="1" x14ac:dyDescent="0.25">
      <c r="A39" s="548" t="s">
        <v>776</v>
      </c>
      <c r="B39" s="549" t="s">
        <v>145</v>
      </c>
      <c r="C39" s="550">
        <v>8</v>
      </c>
      <c r="D39" s="550">
        <f t="shared" si="9"/>
        <v>8</v>
      </c>
      <c r="E39" s="551">
        <v>0</v>
      </c>
      <c r="F39" s="551"/>
      <c r="G39" s="550">
        <v>8</v>
      </c>
      <c r="H39" s="550">
        <v>8</v>
      </c>
      <c r="I39" s="550">
        <v>8</v>
      </c>
      <c r="J39" s="813">
        <v>9</v>
      </c>
    </row>
    <row r="40" spans="1:10" s="543" customFormat="1" ht="25.5" customHeight="1" x14ac:dyDescent="0.25">
      <c r="A40" s="548" t="s">
        <v>777</v>
      </c>
      <c r="B40" s="549" t="s">
        <v>268</v>
      </c>
      <c r="C40" s="550">
        <v>3</v>
      </c>
      <c r="D40" s="550">
        <f t="shared" si="9"/>
        <v>3</v>
      </c>
      <c r="E40" s="551">
        <v>0</v>
      </c>
      <c r="F40" s="551"/>
      <c r="G40" s="550">
        <v>3</v>
      </c>
      <c r="H40" s="550">
        <v>3</v>
      </c>
      <c r="I40" s="550">
        <v>3</v>
      </c>
      <c r="J40" s="813">
        <v>2</v>
      </c>
    </row>
    <row r="41" spans="1:10" s="543" customFormat="1" ht="25.5" customHeight="1" x14ac:dyDescent="0.25">
      <c r="A41" s="548" t="s">
        <v>778</v>
      </c>
      <c r="B41" s="549" t="s">
        <v>139</v>
      </c>
      <c r="C41" s="550">
        <v>0</v>
      </c>
      <c r="D41" s="550">
        <f t="shared" si="9"/>
        <v>0</v>
      </c>
      <c r="E41" s="551">
        <v>0</v>
      </c>
      <c r="F41" s="551"/>
      <c r="G41" s="550">
        <v>0</v>
      </c>
      <c r="H41" s="550">
        <v>0</v>
      </c>
      <c r="I41" s="550">
        <v>0</v>
      </c>
      <c r="J41" s="813">
        <v>0</v>
      </c>
    </row>
    <row r="42" spans="1:10" s="543" customFormat="1" ht="25.5" customHeight="1" x14ac:dyDescent="0.25">
      <c r="A42" s="548" t="s">
        <v>779</v>
      </c>
      <c r="B42" s="549" t="s">
        <v>142</v>
      </c>
      <c r="C42" s="550">
        <v>2</v>
      </c>
      <c r="D42" s="550">
        <f t="shared" si="9"/>
        <v>2</v>
      </c>
      <c r="E42" s="551">
        <v>0</v>
      </c>
      <c r="F42" s="551"/>
      <c r="G42" s="550">
        <v>1.75</v>
      </c>
      <c r="H42" s="550">
        <v>1.75</v>
      </c>
      <c r="I42" s="550">
        <v>2</v>
      </c>
      <c r="J42" s="813">
        <v>1</v>
      </c>
    </row>
    <row r="43" spans="1:10" s="543" customFormat="1" ht="24.75" customHeight="1" x14ac:dyDescent="0.25">
      <c r="A43" s="555" t="s">
        <v>780</v>
      </c>
      <c r="B43" s="549" t="s">
        <v>176</v>
      </c>
      <c r="C43" s="551">
        <v>0</v>
      </c>
      <c r="D43" s="551">
        <f t="shared" si="9"/>
        <v>0</v>
      </c>
      <c r="E43" s="551">
        <v>0</v>
      </c>
      <c r="F43" s="551"/>
      <c r="G43" s="551">
        <v>0</v>
      </c>
      <c r="H43" s="551">
        <v>0</v>
      </c>
      <c r="I43" s="551">
        <v>0</v>
      </c>
      <c r="J43" s="814"/>
    </row>
    <row r="44" spans="1:10" s="547" customFormat="1" ht="32.25" customHeight="1" x14ac:dyDescent="0.25">
      <c r="A44" s="544" t="s">
        <v>781</v>
      </c>
      <c r="B44" s="554"/>
      <c r="C44" s="546">
        <f t="shared" ref="C44:J44" si="10">SUM(C45:C46)</f>
        <v>11</v>
      </c>
      <c r="D44" s="546">
        <f t="shared" si="10"/>
        <v>0</v>
      </c>
      <c r="E44" s="546">
        <f t="shared" si="10"/>
        <v>0</v>
      </c>
      <c r="F44" s="546">
        <v>0</v>
      </c>
      <c r="G44" s="546">
        <f t="shared" si="10"/>
        <v>0</v>
      </c>
      <c r="H44" s="546">
        <f t="shared" si="10"/>
        <v>0</v>
      </c>
      <c r="I44" s="546">
        <f t="shared" si="10"/>
        <v>0</v>
      </c>
      <c r="J44" s="546">
        <f t="shared" si="10"/>
        <v>0</v>
      </c>
    </row>
    <row r="45" spans="1:10" s="543" customFormat="1" ht="25.5" customHeight="1" x14ac:dyDescent="0.25">
      <c r="A45" s="548" t="s">
        <v>782</v>
      </c>
      <c r="B45" s="549" t="s">
        <v>413</v>
      </c>
      <c r="C45" s="550">
        <v>8</v>
      </c>
      <c r="D45" s="550">
        <v>0</v>
      </c>
      <c r="E45" s="551">
        <v>0</v>
      </c>
      <c r="F45" s="551"/>
      <c r="G45" s="550">
        <v>0</v>
      </c>
      <c r="H45" s="550">
        <v>0</v>
      </c>
      <c r="I45" s="550">
        <v>0</v>
      </c>
      <c r="J45" s="834">
        <v>0</v>
      </c>
    </row>
    <row r="46" spans="1:10" s="543" customFormat="1" ht="25.5" customHeight="1" x14ac:dyDescent="0.25">
      <c r="A46" s="548" t="s">
        <v>783</v>
      </c>
      <c r="B46" s="549" t="s">
        <v>430</v>
      </c>
      <c r="C46" s="550">
        <v>3</v>
      </c>
      <c r="D46" s="550">
        <v>0</v>
      </c>
      <c r="E46" s="551">
        <v>0</v>
      </c>
      <c r="F46" s="551"/>
      <c r="G46" s="550">
        <v>0</v>
      </c>
      <c r="H46" s="550">
        <v>0</v>
      </c>
      <c r="I46" s="550">
        <v>0</v>
      </c>
      <c r="J46" s="834">
        <v>0</v>
      </c>
    </row>
    <row r="47" spans="1:10" s="543" customFormat="1" ht="25.5" customHeight="1" x14ac:dyDescent="0.25">
      <c r="A47" s="544" t="s">
        <v>1481</v>
      </c>
      <c r="B47" s="554"/>
      <c r="C47" s="546">
        <f t="shared" ref="C47:I47" si="11">SUM(C48:C48)</f>
        <v>0</v>
      </c>
      <c r="D47" s="546">
        <f t="shared" si="11"/>
        <v>7</v>
      </c>
      <c r="E47" s="546">
        <f t="shared" si="11"/>
        <v>0</v>
      </c>
      <c r="F47" s="546"/>
      <c r="G47" s="546">
        <f t="shared" si="11"/>
        <v>7</v>
      </c>
      <c r="H47" s="546">
        <f t="shared" si="11"/>
        <v>7</v>
      </c>
      <c r="I47" s="546">
        <f t="shared" si="11"/>
        <v>7</v>
      </c>
      <c r="J47" s="546">
        <f>SUM(J48:J48)</f>
        <v>9</v>
      </c>
    </row>
    <row r="48" spans="1:10" s="543" customFormat="1" ht="25.5" customHeight="1" x14ac:dyDescent="0.25">
      <c r="A48" s="548" t="s">
        <v>782</v>
      </c>
      <c r="B48" s="549" t="s">
        <v>413</v>
      </c>
      <c r="C48" s="550">
        <v>0</v>
      </c>
      <c r="D48" s="550">
        <v>7</v>
      </c>
      <c r="E48" s="551">
        <v>0</v>
      </c>
      <c r="F48" s="550"/>
      <c r="G48" s="550">
        <v>7</v>
      </c>
      <c r="H48" s="550">
        <v>7</v>
      </c>
      <c r="I48" s="550">
        <v>7</v>
      </c>
      <c r="J48" s="834">
        <v>9</v>
      </c>
    </row>
    <row r="49" spans="1:10" s="543" customFormat="1" ht="25.5" customHeight="1" x14ac:dyDescent="0.25">
      <c r="A49" s="544" t="s">
        <v>1459</v>
      </c>
      <c r="B49" s="554"/>
      <c r="C49" s="546">
        <f t="shared" ref="C49:E49" si="12">SUM(C50:C52)</f>
        <v>0</v>
      </c>
      <c r="D49" s="546">
        <f t="shared" si="12"/>
        <v>9</v>
      </c>
      <c r="E49" s="546">
        <f t="shared" si="12"/>
        <v>0</v>
      </c>
      <c r="F49" s="546"/>
      <c r="G49" s="546">
        <f t="shared" ref="G49:I49" si="13">SUM(G50:G52)</f>
        <v>8.5</v>
      </c>
      <c r="H49" s="546">
        <f t="shared" si="13"/>
        <v>8.5</v>
      </c>
      <c r="I49" s="546">
        <f t="shared" si="13"/>
        <v>9</v>
      </c>
      <c r="J49" s="546">
        <f>SUM(J50:J52)</f>
        <v>8.5</v>
      </c>
    </row>
    <row r="50" spans="1:10" s="543" customFormat="1" ht="25.5" customHeight="1" x14ac:dyDescent="0.25">
      <c r="A50" s="548" t="s">
        <v>752</v>
      </c>
      <c r="B50" s="549" t="s">
        <v>149</v>
      </c>
      <c r="C50" s="551">
        <v>0</v>
      </c>
      <c r="D50" s="550">
        <v>3</v>
      </c>
      <c r="E50" s="551">
        <v>0</v>
      </c>
      <c r="F50" s="550"/>
      <c r="G50" s="550">
        <v>3</v>
      </c>
      <c r="H50" s="550">
        <v>3</v>
      </c>
      <c r="I50" s="550">
        <v>3</v>
      </c>
      <c r="J50" s="834">
        <v>2.5</v>
      </c>
    </row>
    <row r="51" spans="1:10" s="543" customFormat="1" ht="25.5" customHeight="1" x14ac:dyDescent="0.25">
      <c r="A51" s="548" t="s">
        <v>783</v>
      </c>
      <c r="B51" s="549" t="s">
        <v>410</v>
      </c>
      <c r="C51" s="551">
        <v>0</v>
      </c>
      <c r="D51" s="550">
        <v>6</v>
      </c>
      <c r="E51" s="551">
        <v>0</v>
      </c>
      <c r="F51" s="550"/>
      <c r="G51" s="550">
        <v>5.5</v>
      </c>
      <c r="H51" s="550">
        <v>5.5</v>
      </c>
      <c r="I51" s="550">
        <v>6</v>
      </c>
      <c r="J51" s="834">
        <v>6</v>
      </c>
    </row>
    <row r="52" spans="1:10" s="543" customFormat="1" ht="25.5" customHeight="1" x14ac:dyDescent="0.25">
      <c r="A52" s="548" t="s">
        <v>1482</v>
      </c>
      <c r="B52" s="549" t="s">
        <v>413</v>
      </c>
      <c r="C52" s="551">
        <v>0</v>
      </c>
      <c r="D52" s="551">
        <v>0</v>
      </c>
      <c r="E52" s="551">
        <v>0</v>
      </c>
      <c r="F52" s="551"/>
      <c r="G52" s="551">
        <v>0</v>
      </c>
      <c r="H52" s="551">
        <v>0</v>
      </c>
      <c r="I52" s="551">
        <v>0</v>
      </c>
      <c r="J52" s="834"/>
    </row>
    <row r="53" spans="1:10" s="547" customFormat="1" ht="31.5" customHeight="1" x14ac:dyDescent="0.25">
      <c r="A53" s="544" t="s">
        <v>784</v>
      </c>
      <c r="B53" s="554"/>
      <c r="C53" s="546">
        <f t="shared" ref="C53:J53" si="14">SUM(C54:C55)</f>
        <v>9</v>
      </c>
      <c r="D53" s="546">
        <f t="shared" si="14"/>
        <v>9</v>
      </c>
      <c r="E53" s="546">
        <f t="shared" si="14"/>
        <v>3</v>
      </c>
      <c r="F53" s="546">
        <v>3</v>
      </c>
      <c r="G53" s="546">
        <f t="shared" si="14"/>
        <v>6</v>
      </c>
      <c r="H53" s="546">
        <f t="shared" si="14"/>
        <v>6</v>
      </c>
      <c r="I53" s="546">
        <f t="shared" si="14"/>
        <v>6</v>
      </c>
      <c r="J53" s="546">
        <f t="shared" si="14"/>
        <v>6</v>
      </c>
    </row>
    <row r="54" spans="1:10" s="543" customFormat="1" ht="25.5" customHeight="1" x14ac:dyDescent="0.25">
      <c r="A54" s="548" t="s">
        <v>785</v>
      </c>
      <c r="B54" s="549" t="s">
        <v>149</v>
      </c>
      <c r="C54" s="550">
        <v>5</v>
      </c>
      <c r="D54" s="550">
        <f>C54</f>
        <v>5</v>
      </c>
      <c r="E54" s="550">
        <v>1</v>
      </c>
      <c r="F54" s="550"/>
      <c r="G54" s="550">
        <v>4</v>
      </c>
      <c r="H54" s="550">
        <v>4</v>
      </c>
      <c r="I54" s="550">
        <v>4</v>
      </c>
      <c r="J54" s="550">
        <v>4</v>
      </c>
    </row>
    <row r="55" spans="1:10" s="543" customFormat="1" ht="25.5" customHeight="1" x14ac:dyDescent="0.25">
      <c r="A55" s="548" t="s">
        <v>786</v>
      </c>
      <c r="B55" s="549" t="s">
        <v>410</v>
      </c>
      <c r="C55" s="550">
        <v>4</v>
      </c>
      <c r="D55" s="550">
        <f>C55</f>
        <v>4</v>
      </c>
      <c r="E55" s="550">
        <v>2</v>
      </c>
      <c r="F55" s="550"/>
      <c r="G55" s="550">
        <v>2</v>
      </c>
      <c r="H55" s="550">
        <v>2</v>
      </c>
      <c r="I55" s="550">
        <v>2</v>
      </c>
      <c r="J55" s="550">
        <v>2</v>
      </c>
    </row>
    <row r="56" spans="1:10" s="557" customFormat="1" ht="42" customHeight="1" x14ac:dyDescent="0.2">
      <c r="A56" s="1203" t="s">
        <v>787</v>
      </c>
      <c r="B56" s="1203"/>
      <c r="C56" s="556">
        <f>+C3+C12+C19+C16+C27+C31+C44+C53</f>
        <v>301</v>
      </c>
      <c r="D56" s="556">
        <f>+D3+D12+D19+D16+D27+D31+D44+D53+D47+D49+D24</f>
        <v>307</v>
      </c>
      <c r="E56" s="556">
        <f>+E3+E12+E19+E16+E27+E31+E44+E53+E47+E49+E24</f>
        <v>6</v>
      </c>
      <c r="F56" s="556">
        <f>+F3+F12+F19+F16+F27+F31+F44+F53+F47+F49+F24</f>
        <v>6</v>
      </c>
      <c r="G56" s="556">
        <f t="shared" ref="G56:J56" si="15">+G3+G12+G19+G16+G27+G31+G44+G53+G47+G49+G24</f>
        <v>297.57500000000005</v>
      </c>
      <c r="H56" s="556">
        <f t="shared" si="15"/>
        <v>297.57500000000005</v>
      </c>
      <c r="I56" s="556">
        <f t="shared" si="15"/>
        <v>311</v>
      </c>
      <c r="J56" s="556">
        <f t="shared" si="15"/>
        <v>302</v>
      </c>
    </row>
  </sheetData>
  <mergeCells count="2">
    <mergeCell ref="A56:B56"/>
    <mergeCell ref="A1:J1"/>
  </mergeCell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46" orientation="portrait" r:id="rId1"/>
  <headerFooter>
    <oddHeader>&amp;CDunaharaszti Város Önkormányzat 2017. évi zárszámadás&amp;R&amp;A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V59"/>
  <sheetViews>
    <sheetView view="pageBreakPreview" topLeftCell="FL1" zoomScale="40" zoomScaleNormal="100" zoomScaleSheetLayoutView="40" workbookViewId="0">
      <selection activeCell="GP58" sqref="GP58"/>
    </sheetView>
  </sheetViews>
  <sheetFormatPr defaultRowHeight="15.75" x14ac:dyDescent="0.25"/>
  <cols>
    <col min="1" max="1" width="7.140625" style="28" customWidth="1"/>
    <col min="2" max="2" width="65.5703125" style="3" customWidth="1"/>
    <col min="3" max="3" width="7.42578125" style="600" customWidth="1"/>
    <col min="4" max="116" width="19.5703125" style="3" customWidth="1"/>
    <col min="117" max="125" width="19.5703125" style="365" customWidth="1"/>
    <col min="126" max="146" width="19.5703125" style="604" customWidth="1"/>
    <col min="147" max="197" width="19.5703125" style="365" customWidth="1"/>
    <col min="198" max="198" width="17.140625" customWidth="1"/>
    <col min="199" max="199" width="18.28515625" customWidth="1"/>
    <col min="200" max="200" width="14.28515625" customWidth="1"/>
    <col min="201" max="201" width="17.28515625" bestFit="1" customWidth="1"/>
    <col min="202" max="202" width="20.42578125" customWidth="1"/>
    <col min="204" max="204" width="14.5703125" bestFit="1" customWidth="1"/>
  </cols>
  <sheetData>
    <row r="1" spans="1:202" x14ac:dyDescent="0.25">
      <c r="A1" s="2"/>
      <c r="B1" s="2"/>
      <c r="C1" s="574"/>
      <c r="D1" s="4"/>
      <c r="E1" s="4" t="s">
        <v>0</v>
      </c>
      <c r="F1" s="4"/>
      <c r="G1" s="4"/>
      <c r="H1" s="4"/>
      <c r="I1" s="4"/>
      <c r="K1" s="4" t="s">
        <v>0</v>
      </c>
      <c r="L1" s="4"/>
      <c r="P1" s="4"/>
      <c r="Q1" s="4" t="s">
        <v>0</v>
      </c>
      <c r="R1" s="4"/>
      <c r="W1" s="4" t="s">
        <v>0</v>
      </c>
      <c r="X1" s="4"/>
      <c r="Y1" s="4"/>
      <c r="Z1" s="4"/>
      <c r="AA1" s="4"/>
      <c r="AB1" s="4"/>
      <c r="AC1" s="4" t="s">
        <v>0</v>
      </c>
      <c r="AD1" s="4"/>
      <c r="AI1" s="4" t="s">
        <v>0</v>
      </c>
      <c r="AJ1" s="4"/>
      <c r="AN1" s="4"/>
      <c r="AO1" s="4" t="s">
        <v>0</v>
      </c>
      <c r="AP1" s="4"/>
      <c r="AQ1" s="4"/>
      <c r="AR1" s="4"/>
      <c r="AS1" s="4"/>
      <c r="AU1" s="4" t="s">
        <v>0</v>
      </c>
      <c r="AV1" s="4"/>
      <c r="BA1" s="4" t="s">
        <v>0</v>
      </c>
      <c r="BB1" s="4"/>
      <c r="BC1" s="4"/>
      <c r="BD1" s="4"/>
      <c r="BE1" s="4"/>
      <c r="BF1" s="4"/>
      <c r="BG1" s="4" t="s">
        <v>0</v>
      </c>
      <c r="BH1" s="4"/>
      <c r="BM1" s="4" t="s">
        <v>0</v>
      </c>
      <c r="BN1" s="4"/>
      <c r="BO1" s="4"/>
      <c r="BP1" s="4"/>
      <c r="BQ1" s="4"/>
      <c r="BR1" s="4"/>
      <c r="BS1" s="4" t="s">
        <v>0</v>
      </c>
      <c r="BT1" s="4"/>
      <c r="BX1" s="4"/>
      <c r="BY1" s="4" t="s">
        <v>0</v>
      </c>
      <c r="BZ1" s="4"/>
      <c r="CA1" s="4"/>
      <c r="CB1" s="4"/>
      <c r="CC1" s="4"/>
      <c r="CE1" s="4" t="s">
        <v>0</v>
      </c>
      <c r="CF1" s="4"/>
      <c r="CG1" s="4"/>
      <c r="CH1" s="4"/>
      <c r="CI1" s="4"/>
      <c r="CK1" s="4" t="s">
        <v>0</v>
      </c>
      <c r="CL1" s="4"/>
      <c r="CM1" s="4"/>
      <c r="CN1" s="4"/>
      <c r="CO1" s="4"/>
      <c r="CP1" s="4"/>
      <c r="CQ1" s="4" t="s">
        <v>0</v>
      </c>
      <c r="CR1" s="4"/>
      <c r="CW1" s="4" t="s">
        <v>0</v>
      </c>
      <c r="CX1" s="4"/>
      <c r="CY1" s="4"/>
      <c r="CZ1" s="4"/>
      <c r="DB1" s="4" t="s">
        <v>0</v>
      </c>
      <c r="DC1" s="4"/>
      <c r="DH1" s="4" t="s">
        <v>0</v>
      </c>
      <c r="DI1" s="4"/>
      <c r="DJ1" s="4"/>
      <c r="DK1" s="4"/>
      <c r="DL1" s="4"/>
      <c r="DM1" s="4"/>
      <c r="DN1" s="4" t="s">
        <v>0</v>
      </c>
      <c r="DO1" s="4"/>
      <c r="DP1" s="4"/>
      <c r="DQ1" s="4"/>
      <c r="DR1" s="4"/>
      <c r="DS1" s="4"/>
      <c r="DT1" s="4" t="s">
        <v>0</v>
      </c>
      <c r="DU1" s="4"/>
      <c r="DV1" s="4"/>
      <c r="DW1" s="4"/>
      <c r="DX1" s="4"/>
      <c r="DY1" s="4"/>
      <c r="DZ1" s="4" t="s">
        <v>0</v>
      </c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 t="s">
        <v>0</v>
      </c>
      <c r="ES1" s="4"/>
      <c r="ET1" s="3"/>
      <c r="EU1" s="3"/>
      <c r="EV1" s="3"/>
      <c r="EW1" s="4"/>
      <c r="EX1" s="4" t="s">
        <v>0</v>
      </c>
      <c r="EY1" s="4"/>
      <c r="EZ1" s="4"/>
      <c r="FA1" s="4"/>
      <c r="FB1" s="4"/>
      <c r="FC1" s="3"/>
      <c r="FD1" s="4" t="s">
        <v>0</v>
      </c>
      <c r="FE1" s="4"/>
      <c r="FF1" s="4"/>
      <c r="FG1" s="4"/>
      <c r="FH1" s="4"/>
      <c r="FI1" s="4"/>
      <c r="FJ1" s="4" t="s">
        <v>0</v>
      </c>
      <c r="FK1" s="4"/>
      <c r="FL1" s="4"/>
      <c r="FM1" s="4"/>
      <c r="FN1" s="4"/>
      <c r="FO1" s="3"/>
      <c r="FP1" s="4" t="s">
        <v>0</v>
      </c>
      <c r="FQ1" s="4"/>
      <c r="FR1" s="3"/>
      <c r="FS1" s="3"/>
      <c r="FT1" s="3"/>
      <c r="FU1" s="4"/>
      <c r="FX1" s="4"/>
      <c r="FY1" s="365" t="s">
        <v>0</v>
      </c>
      <c r="GA1" s="4"/>
      <c r="GD1" s="4"/>
      <c r="GG1" s="4"/>
      <c r="GJ1" s="4"/>
      <c r="GM1" s="4"/>
    </row>
    <row r="2" spans="1:202" ht="31.5" x14ac:dyDescent="0.2">
      <c r="A2" s="896" t="s">
        <v>1</v>
      </c>
      <c r="B2" s="896"/>
      <c r="C2" s="896"/>
      <c r="D2" s="560" t="s">
        <v>6</v>
      </c>
      <c r="E2" s="560" t="s">
        <v>7</v>
      </c>
      <c r="F2" s="560" t="s">
        <v>788</v>
      </c>
      <c r="G2" s="560" t="s">
        <v>6</v>
      </c>
      <c r="H2" s="560" t="s">
        <v>7</v>
      </c>
      <c r="I2" s="560" t="s">
        <v>788</v>
      </c>
      <c r="J2" s="560" t="s">
        <v>6</v>
      </c>
      <c r="K2" s="560" t="s">
        <v>7</v>
      </c>
      <c r="L2" s="560" t="s">
        <v>788</v>
      </c>
      <c r="M2" s="560" t="s">
        <v>6</v>
      </c>
      <c r="N2" s="560" t="s">
        <v>7</v>
      </c>
      <c r="O2" s="560" t="s">
        <v>788</v>
      </c>
      <c r="P2" s="560" t="s">
        <v>6</v>
      </c>
      <c r="Q2" s="560" t="s">
        <v>7</v>
      </c>
      <c r="R2" s="560" t="s">
        <v>788</v>
      </c>
      <c r="S2" s="560" t="s">
        <v>6</v>
      </c>
      <c r="T2" s="560" t="s">
        <v>7</v>
      </c>
      <c r="U2" s="560" t="s">
        <v>788</v>
      </c>
      <c r="V2" s="560" t="s">
        <v>6</v>
      </c>
      <c r="W2" s="560" t="s">
        <v>7</v>
      </c>
      <c r="X2" s="560" t="s">
        <v>788</v>
      </c>
      <c r="Y2" s="560" t="s">
        <v>6</v>
      </c>
      <c r="Z2" s="560" t="s">
        <v>7</v>
      </c>
      <c r="AA2" s="560" t="s">
        <v>788</v>
      </c>
      <c r="AB2" s="560" t="s">
        <v>6</v>
      </c>
      <c r="AC2" s="560" t="s">
        <v>7</v>
      </c>
      <c r="AD2" s="560" t="s">
        <v>788</v>
      </c>
      <c r="AE2" s="560" t="s">
        <v>6</v>
      </c>
      <c r="AF2" s="560" t="s">
        <v>7</v>
      </c>
      <c r="AG2" s="560" t="s">
        <v>788</v>
      </c>
      <c r="AH2" s="560" t="s">
        <v>6</v>
      </c>
      <c r="AI2" s="560" t="s">
        <v>7</v>
      </c>
      <c r="AJ2" s="560" t="s">
        <v>788</v>
      </c>
      <c r="AK2" s="560" t="s">
        <v>6</v>
      </c>
      <c r="AL2" s="560" t="s">
        <v>7</v>
      </c>
      <c r="AM2" s="560" t="s">
        <v>788</v>
      </c>
      <c r="AN2" s="560" t="s">
        <v>6</v>
      </c>
      <c r="AO2" s="560" t="s">
        <v>7</v>
      </c>
      <c r="AP2" s="560" t="s">
        <v>788</v>
      </c>
      <c r="AQ2" s="560" t="s">
        <v>6</v>
      </c>
      <c r="AR2" s="560" t="s">
        <v>7</v>
      </c>
      <c r="AS2" s="560" t="s">
        <v>788</v>
      </c>
      <c r="AT2" s="560" t="s">
        <v>6</v>
      </c>
      <c r="AU2" s="560" t="s">
        <v>7</v>
      </c>
      <c r="AV2" s="560" t="s">
        <v>788</v>
      </c>
      <c r="AW2" s="560" t="s">
        <v>6</v>
      </c>
      <c r="AX2" s="560" t="s">
        <v>7</v>
      </c>
      <c r="AY2" s="560" t="s">
        <v>788</v>
      </c>
      <c r="AZ2" s="560" t="s">
        <v>6</v>
      </c>
      <c r="BA2" s="560" t="s">
        <v>7</v>
      </c>
      <c r="BB2" s="560" t="s">
        <v>788</v>
      </c>
      <c r="BC2" s="560" t="s">
        <v>6</v>
      </c>
      <c r="BD2" s="560" t="s">
        <v>7</v>
      </c>
      <c r="BE2" s="560" t="s">
        <v>788</v>
      </c>
      <c r="BF2" s="560" t="s">
        <v>6</v>
      </c>
      <c r="BG2" s="560" t="s">
        <v>7</v>
      </c>
      <c r="BH2" s="560" t="s">
        <v>788</v>
      </c>
      <c r="BI2" s="560" t="s">
        <v>6</v>
      </c>
      <c r="BJ2" s="560" t="s">
        <v>7</v>
      </c>
      <c r="BK2" s="560" t="s">
        <v>788</v>
      </c>
      <c r="BL2" s="560" t="s">
        <v>6</v>
      </c>
      <c r="BM2" s="560" t="s">
        <v>7</v>
      </c>
      <c r="BN2" s="560" t="s">
        <v>788</v>
      </c>
      <c r="BO2" s="560" t="s">
        <v>6</v>
      </c>
      <c r="BP2" s="560" t="s">
        <v>7</v>
      </c>
      <c r="BQ2" s="560" t="s">
        <v>788</v>
      </c>
      <c r="BR2" s="560" t="s">
        <v>6</v>
      </c>
      <c r="BS2" s="560" t="s">
        <v>7</v>
      </c>
      <c r="BT2" s="560" t="s">
        <v>788</v>
      </c>
      <c r="BU2" s="560" t="s">
        <v>6</v>
      </c>
      <c r="BV2" s="560" t="s">
        <v>7</v>
      </c>
      <c r="BW2" s="560" t="s">
        <v>788</v>
      </c>
      <c r="BX2" s="560" t="s">
        <v>6</v>
      </c>
      <c r="BY2" s="560" t="s">
        <v>7</v>
      </c>
      <c r="BZ2" s="560" t="s">
        <v>788</v>
      </c>
      <c r="CA2" s="560" t="s">
        <v>6</v>
      </c>
      <c r="CB2" s="560" t="s">
        <v>7</v>
      </c>
      <c r="CC2" s="560" t="s">
        <v>788</v>
      </c>
      <c r="CD2" s="560" t="s">
        <v>6</v>
      </c>
      <c r="CE2" s="560" t="s">
        <v>7</v>
      </c>
      <c r="CF2" s="560" t="s">
        <v>788</v>
      </c>
      <c r="CG2" s="560" t="s">
        <v>6</v>
      </c>
      <c r="CH2" s="560" t="s">
        <v>7</v>
      </c>
      <c r="CI2" s="560" t="s">
        <v>788</v>
      </c>
      <c r="CJ2" s="560" t="s">
        <v>6</v>
      </c>
      <c r="CK2" s="560" t="s">
        <v>7</v>
      </c>
      <c r="CL2" s="560" t="s">
        <v>788</v>
      </c>
      <c r="CM2" s="560" t="s">
        <v>6</v>
      </c>
      <c r="CN2" s="560" t="s">
        <v>7</v>
      </c>
      <c r="CO2" s="560" t="s">
        <v>788</v>
      </c>
      <c r="CP2" s="560" t="s">
        <v>6</v>
      </c>
      <c r="CQ2" s="560" t="s">
        <v>7</v>
      </c>
      <c r="CR2" s="560" t="s">
        <v>788</v>
      </c>
      <c r="CS2" s="560" t="s">
        <v>6</v>
      </c>
      <c r="CT2" s="560" t="s">
        <v>7</v>
      </c>
      <c r="CU2" s="560" t="s">
        <v>788</v>
      </c>
      <c r="CV2" s="560" t="s">
        <v>6</v>
      </c>
      <c r="CW2" s="560" t="s">
        <v>7</v>
      </c>
      <c r="CX2" s="560" t="s">
        <v>6</v>
      </c>
      <c r="CY2" s="560" t="s">
        <v>7</v>
      </c>
      <c r="CZ2" s="560" t="s">
        <v>788</v>
      </c>
      <c r="DA2" s="560" t="s">
        <v>6</v>
      </c>
      <c r="DB2" s="560" t="s">
        <v>7</v>
      </c>
      <c r="DC2" s="560" t="s">
        <v>788</v>
      </c>
      <c r="DD2" s="560" t="s">
        <v>6</v>
      </c>
      <c r="DE2" s="560" t="s">
        <v>7</v>
      </c>
      <c r="DF2" s="560" t="s">
        <v>788</v>
      </c>
      <c r="DG2" s="560" t="s">
        <v>6</v>
      </c>
      <c r="DH2" s="560" t="s">
        <v>7</v>
      </c>
      <c r="DI2" s="560" t="s">
        <v>788</v>
      </c>
      <c r="DJ2" s="560" t="s">
        <v>6</v>
      </c>
      <c r="DK2" s="560" t="s">
        <v>7</v>
      </c>
      <c r="DL2" s="560" t="s">
        <v>788</v>
      </c>
      <c r="DM2" s="560" t="s">
        <v>6</v>
      </c>
      <c r="DN2" s="560" t="s">
        <v>7</v>
      </c>
      <c r="DO2" s="560" t="s">
        <v>788</v>
      </c>
      <c r="DP2" s="560" t="s">
        <v>6</v>
      </c>
      <c r="DQ2" s="560" t="s">
        <v>7</v>
      </c>
      <c r="DR2" s="560" t="s">
        <v>788</v>
      </c>
      <c r="DS2" s="560" t="s">
        <v>6</v>
      </c>
      <c r="DT2" s="560" t="s">
        <v>7</v>
      </c>
      <c r="DU2" s="560" t="s">
        <v>788</v>
      </c>
      <c r="DV2" s="560" t="s">
        <v>6</v>
      </c>
      <c r="DW2" s="560" t="s">
        <v>7</v>
      </c>
      <c r="DX2" s="560" t="s">
        <v>788</v>
      </c>
      <c r="DY2" s="560" t="s">
        <v>6</v>
      </c>
      <c r="DZ2" s="560" t="s">
        <v>7</v>
      </c>
      <c r="EA2" s="560" t="s">
        <v>788</v>
      </c>
      <c r="EB2" s="695" t="s">
        <v>6</v>
      </c>
      <c r="EC2" s="695" t="s">
        <v>7</v>
      </c>
      <c r="ED2" s="695" t="s">
        <v>788</v>
      </c>
      <c r="EE2" s="560" t="s">
        <v>6</v>
      </c>
      <c r="EF2" s="560" t="s">
        <v>7</v>
      </c>
      <c r="EG2" s="560" t="s">
        <v>788</v>
      </c>
      <c r="EH2" s="695" t="s">
        <v>6</v>
      </c>
      <c r="EI2" s="695" t="s">
        <v>7</v>
      </c>
      <c r="EJ2" s="695" t="s">
        <v>788</v>
      </c>
      <c r="EK2" s="695" t="s">
        <v>6</v>
      </c>
      <c r="EL2" s="695" t="s">
        <v>7</v>
      </c>
      <c r="EM2" s="695" t="s">
        <v>788</v>
      </c>
      <c r="EN2" s="790" t="s">
        <v>6</v>
      </c>
      <c r="EO2" s="790" t="s">
        <v>7</v>
      </c>
      <c r="EP2" s="790" t="s">
        <v>788</v>
      </c>
      <c r="EQ2" s="560" t="s">
        <v>6</v>
      </c>
      <c r="ER2" s="560" t="s">
        <v>7</v>
      </c>
      <c r="ES2" s="560" t="s">
        <v>788</v>
      </c>
      <c r="ET2" s="560" t="s">
        <v>6</v>
      </c>
      <c r="EU2" s="560" t="s">
        <v>7</v>
      </c>
      <c r="EV2" s="560" t="s">
        <v>788</v>
      </c>
      <c r="EW2" s="560" t="s">
        <v>6</v>
      </c>
      <c r="EX2" s="560" t="s">
        <v>7</v>
      </c>
      <c r="EY2" s="560" t="s">
        <v>788</v>
      </c>
      <c r="EZ2" s="560" t="s">
        <v>6</v>
      </c>
      <c r="FA2" s="560" t="s">
        <v>7</v>
      </c>
      <c r="FB2" s="560" t="s">
        <v>788</v>
      </c>
      <c r="FC2" s="560" t="s">
        <v>6</v>
      </c>
      <c r="FD2" s="560" t="s">
        <v>7</v>
      </c>
      <c r="FE2" s="560" t="s">
        <v>788</v>
      </c>
      <c r="FF2" s="560" t="s">
        <v>6</v>
      </c>
      <c r="FG2" s="560" t="s">
        <v>7</v>
      </c>
      <c r="FH2" s="560" t="s">
        <v>788</v>
      </c>
      <c r="FI2" s="560" t="s">
        <v>6</v>
      </c>
      <c r="FJ2" s="560" t="s">
        <v>7</v>
      </c>
      <c r="FK2" s="560" t="s">
        <v>788</v>
      </c>
      <c r="FL2" s="560" t="s">
        <v>6</v>
      </c>
      <c r="FM2" s="560" t="s">
        <v>7</v>
      </c>
      <c r="FN2" s="560" t="s">
        <v>788</v>
      </c>
      <c r="FO2" s="560" t="s">
        <v>6</v>
      </c>
      <c r="FP2" s="560" t="s">
        <v>7</v>
      </c>
      <c r="FQ2" s="560" t="s">
        <v>788</v>
      </c>
      <c r="FR2" s="560" t="s">
        <v>6</v>
      </c>
      <c r="FS2" s="560" t="s">
        <v>7</v>
      </c>
      <c r="FT2" s="560" t="s">
        <v>788</v>
      </c>
      <c r="FU2" s="560" t="s">
        <v>6</v>
      </c>
      <c r="FV2" s="560" t="s">
        <v>7</v>
      </c>
      <c r="FW2" s="560" t="s">
        <v>788</v>
      </c>
      <c r="FX2" s="560" t="s">
        <v>6</v>
      </c>
      <c r="FY2" s="560" t="s">
        <v>7</v>
      </c>
      <c r="FZ2" s="560" t="s">
        <v>788</v>
      </c>
      <c r="GA2" s="790" t="s">
        <v>6</v>
      </c>
      <c r="GB2" s="790" t="s">
        <v>7</v>
      </c>
      <c r="GC2" s="790" t="s">
        <v>788</v>
      </c>
      <c r="GD2" s="869" t="s">
        <v>6</v>
      </c>
      <c r="GE2" s="869" t="s">
        <v>7</v>
      </c>
      <c r="GF2" s="869" t="s">
        <v>788</v>
      </c>
      <c r="GG2" s="869" t="s">
        <v>6</v>
      </c>
      <c r="GH2" s="869" t="s">
        <v>7</v>
      </c>
      <c r="GI2" s="869" t="s">
        <v>788</v>
      </c>
      <c r="GJ2" s="869" t="s">
        <v>6</v>
      </c>
      <c r="GK2" s="869" t="s">
        <v>7</v>
      </c>
      <c r="GL2" s="869" t="s">
        <v>788</v>
      </c>
      <c r="GM2" s="869" t="s">
        <v>6</v>
      </c>
      <c r="GN2" s="869" t="s">
        <v>7</v>
      </c>
      <c r="GO2" s="869" t="s">
        <v>788</v>
      </c>
    </row>
    <row r="3" spans="1:202" ht="46.5" customHeight="1" x14ac:dyDescent="0.2">
      <c r="A3" s="915" t="s">
        <v>3</v>
      </c>
      <c r="B3" s="896" t="s">
        <v>4</v>
      </c>
      <c r="C3" s="896"/>
      <c r="D3" s="887" t="s">
        <v>1196</v>
      </c>
      <c r="E3" s="888"/>
      <c r="F3" s="889"/>
      <c r="G3" s="887" t="s">
        <v>1195</v>
      </c>
      <c r="H3" s="888" t="s">
        <v>1195</v>
      </c>
      <c r="I3" s="889"/>
      <c r="J3" s="887" t="s">
        <v>1194</v>
      </c>
      <c r="K3" s="888" t="s">
        <v>1194</v>
      </c>
      <c r="L3" s="889"/>
      <c r="M3" s="887" t="s">
        <v>1193</v>
      </c>
      <c r="N3" s="888" t="s">
        <v>1193</v>
      </c>
      <c r="O3" s="889"/>
      <c r="P3" s="887" t="s">
        <v>1193</v>
      </c>
      <c r="Q3" s="888" t="s">
        <v>1193</v>
      </c>
      <c r="R3" s="889"/>
      <c r="S3" s="887" t="s">
        <v>804</v>
      </c>
      <c r="T3" s="888" t="s">
        <v>1192</v>
      </c>
      <c r="U3" s="889"/>
      <c r="V3" s="887" t="s">
        <v>1191</v>
      </c>
      <c r="W3" s="888" t="s">
        <v>1190</v>
      </c>
      <c r="X3" s="889"/>
      <c r="Y3" s="887" t="s">
        <v>801</v>
      </c>
      <c r="Z3" s="888" t="s">
        <v>1189</v>
      </c>
      <c r="AA3" s="889"/>
      <c r="AB3" s="887" t="s">
        <v>1188</v>
      </c>
      <c r="AC3" s="888" t="s">
        <v>1188</v>
      </c>
      <c r="AD3" s="889"/>
      <c r="AE3" s="887" t="s">
        <v>1187</v>
      </c>
      <c r="AF3" s="888" t="s">
        <v>1186</v>
      </c>
      <c r="AG3" s="889"/>
      <c r="AH3" s="887" t="s">
        <v>1185</v>
      </c>
      <c r="AI3" s="888" t="s">
        <v>1185</v>
      </c>
      <c r="AJ3" s="889"/>
      <c r="AK3" s="887" t="s">
        <v>1184</v>
      </c>
      <c r="AL3" s="888" t="s">
        <v>1184</v>
      </c>
      <c r="AM3" s="889"/>
      <c r="AN3" s="887" t="s">
        <v>1183</v>
      </c>
      <c r="AO3" s="888" t="s">
        <v>1183</v>
      </c>
      <c r="AP3" s="889"/>
      <c r="AQ3" s="887" t="s">
        <v>1182</v>
      </c>
      <c r="AR3" s="888" t="s">
        <v>1182</v>
      </c>
      <c r="AS3" s="889"/>
      <c r="AT3" s="887" t="s">
        <v>1181</v>
      </c>
      <c r="AU3" s="888" t="s">
        <v>1180</v>
      </c>
      <c r="AV3" s="889"/>
      <c r="AW3" s="887" t="s">
        <v>1179</v>
      </c>
      <c r="AX3" s="888" t="s">
        <v>1178</v>
      </c>
      <c r="AY3" s="889"/>
      <c r="AZ3" s="887" t="s">
        <v>1177</v>
      </c>
      <c r="BA3" s="888" t="s">
        <v>1176</v>
      </c>
      <c r="BB3" s="889"/>
      <c r="BC3" s="887" t="s">
        <v>1175</v>
      </c>
      <c r="BD3" s="888" t="s">
        <v>1174</v>
      </c>
      <c r="BE3" s="889"/>
      <c r="BF3" s="887" t="s">
        <v>1173</v>
      </c>
      <c r="BG3" s="888" t="s">
        <v>1172</v>
      </c>
      <c r="BH3" s="889"/>
      <c r="BI3" s="887" t="s">
        <v>1171</v>
      </c>
      <c r="BJ3" s="888" t="s">
        <v>1170</v>
      </c>
      <c r="BK3" s="889"/>
      <c r="BL3" s="887" t="s">
        <v>1169</v>
      </c>
      <c r="BM3" s="888" t="s">
        <v>1168</v>
      </c>
      <c r="BN3" s="889"/>
      <c r="BO3" s="887" t="s">
        <v>1167</v>
      </c>
      <c r="BP3" s="888" t="s">
        <v>1166</v>
      </c>
      <c r="BQ3" s="889"/>
      <c r="BR3" s="887" t="s">
        <v>1165</v>
      </c>
      <c r="BS3" s="888" t="s">
        <v>1164</v>
      </c>
      <c r="BT3" s="889"/>
      <c r="BU3" s="887" t="s">
        <v>1163</v>
      </c>
      <c r="BV3" s="888" t="s">
        <v>1161</v>
      </c>
      <c r="BW3" s="889"/>
      <c r="BX3" s="887" t="s">
        <v>1162</v>
      </c>
      <c r="BY3" s="888" t="s">
        <v>1161</v>
      </c>
      <c r="BZ3" s="889"/>
      <c r="CA3" s="887" t="s">
        <v>1145</v>
      </c>
      <c r="CB3" s="888" t="s">
        <v>1161</v>
      </c>
      <c r="CC3" s="889"/>
      <c r="CD3" s="887" t="s">
        <v>1160</v>
      </c>
      <c r="CE3" s="888" t="s">
        <v>1158</v>
      </c>
      <c r="CF3" s="889"/>
      <c r="CG3" s="887" t="s">
        <v>1160</v>
      </c>
      <c r="CH3" s="888" t="s">
        <v>1158</v>
      </c>
      <c r="CI3" s="889"/>
      <c r="CJ3" s="887" t="s">
        <v>1159</v>
      </c>
      <c r="CK3" s="888" t="s">
        <v>1158</v>
      </c>
      <c r="CL3" s="889"/>
      <c r="CM3" s="887" t="s">
        <v>1157</v>
      </c>
      <c r="CN3" s="888" t="s">
        <v>1157</v>
      </c>
      <c r="CO3" s="889"/>
      <c r="CP3" s="887" t="s">
        <v>1156</v>
      </c>
      <c r="CQ3" s="888" t="s">
        <v>1155</v>
      </c>
      <c r="CR3" s="889"/>
      <c r="CS3" s="887" t="s">
        <v>1154</v>
      </c>
      <c r="CT3" s="888" t="s">
        <v>1153</v>
      </c>
      <c r="CU3" s="889"/>
      <c r="CV3" s="887" t="s">
        <v>1146</v>
      </c>
      <c r="CW3" s="888" t="s">
        <v>1146</v>
      </c>
      <c r="CX3" s="887" t="s">
        <v>1152</v>
      </c>
      <c r="CY3" s="888" t="s">
        <v>1151</v>
      </c>
      <c r="CZ3" s="889"/>
      <c r="DA3" s="887" t="s">
        <v>1150</v>
      </c>
      <c r="DB3" s="888" t="s">
        <v>1149</v>
      </c>
      <c r="DC3" s="889"/>
      <c r="DD3" s="887" t="s">
        <v>799</v>
      </c>
      <c r="DE3" s="888" t="s">
        <v>1134</v>
      </c>
      <c r="DF3" s="889"/>
      <c r="DG3" s="887" t="s">
        <v>1148</v>
      </c>
      <c r="DH3" s="888" t="s">
        <v>1147</v>
      </c>
      <c r="DI3" s="889"/>
      <c r="DJ3" s="887" t="s">
        <v>1146</v>
      </c>
      <c r="DK3" s="888" t="s">
        <v>1146</v>
      </c>
      <c r="DL3" s="889"/>
      <c r="DM3" s="887" t="s">
        <v>1145</v>
      </c>
      <c r="DN3" s="888" t="s">
        <v>1145</v>
      </c>
      <c r="DO3" s="889"/>
      <c r="DP3" s="887" t="s">
        <v>1144</v>
      </c>
      <c r="DQ3" s="888" t="s">
        <v>1143</v>
      </c>
      <c r="DR3" s="889"/>
      <c r="DS3" s="887" t="s">
        <v>800</v>
      </c>
      <c r="DT3" s="888" t="s">
        <v>1134</v>
      </c>
      <c r="DU3" s="889"/>
      <c r="DV3" s="887" t="s">
        <v>1142</v>
      </c>
      <c r="DW3" s="888" t="s">
        <v>1141</v>
      </c>
      <c r="DX3" s="889"/>
      <c r="DY3" s="887" t="s">
        <v>1140</v>
      </c>
      <c r="DZ3" s="888" t="s">
        <v>1139</v>
      </c>
      <c r="EA3" s="889"/>
      <c r="EB3" s="922" t="s">
        <v>1288</v>
      </c>
      <c r="EC3" s="888"/>
      <c r="ED3" s="889"/>
      <c r="EE3" s="887" t="s">
        <v>809</v>
      </c>
      <c r="EF3" s="888" t="s">
        <v>809</v>
      </c>
      <c r="EG3" s="889"/>
      <c r="EH3" s="887" t="s">
        <v>1287</v>
      </c>
      <c r="EI3" s="888"/>
      <c r="EJ3" s="889"/>
      <c r="EK3" s="887" t="s">
        <v>1146</v>
      </c>
      <c r="EL3" s="888"/>
      <c r="EM3" s="889"/>
      <c r="EN3" s="922" t="s">
        <v>1415</v>
      </c>
      <c r="EO3" s="888"/>
      <c r="EP3" s="889"/>
      <c r="EQ3" s="887" t="s">
        <v>1138</v>
      </c>
      <c r="ER3" s="888" t="s">
        <v>1138</v>
      </c>
      <c r="ES3" s="889"/>
      <c r="ET3" s="887" t="s">
        <v>1137</v>
      </c>
      <c r="EU3" s="888" t="s">
        <v>1137</v>
      </c>
      <c r="EV3" s="889"/>
      <c r="EW3" s="887" t="s">
        <v>800</v>
      </c>
      <c r="EX3" s="888" t="s">
        <v>1134</v>
      </c>
      <c r="EY3" s="889"/>
      <c r="EZ3" s="887" t="s">
        <v>824</v>
      </c>
      <c r="FA3" s="888" t="s">
        <v>824</v>
      </c>
      <c r="FB3" s="889"/>
      <c r="FC3" s="887" t="s">
        <v>1136</v>
      </c>
      <c r="FD3" s="888" t="s">
        <v>1135</v>
      </c>
      <c r="FE3" s="889"/>
      <c r="FF3" s="887" t="s">
        <v>799</v>
      </c>
      <c r="FG3" s="888" t="s">
        <v>1134</v>
      </c>
      <c r="FH3" s="889"/>
      <c r="FI3" s="887" t="s">
        <v>801</v>
      </c>
      <c r="FJ3" s="888" t="s">
        <v>1133</v>
      </c>
      <c r="FK3" s="889"/>
      <c r="FL3" s="887" t="s">
        <v>1131</v>
      </c>
      <c r="FM3" s="888" t="s">
        <v>1131</v>
      </c>
      <c r="FN3" s="889"/>
      <c r="FO3" s="887" t="s">
        <v>819</v>
      </c>
      <c r="FP3" s="888" t="s">
        <v>1131</v>
      </c>
      <c r="FQ3" s="889"/>
      <c r="FR3" s="887" t="s">
        <v>1132</v>
      </c>
      <c r="FS3" s="888" t="s">
        <v>1132</v>
      </c>
      <c r="FT3" s="889"/>
      <c r="FU3" s="887" t="s">
        <v>1132</v>
      </c>
      <c r="FV3" s="888" t="s">
        <v>1132</v>
      </c>
      <c r="FW3" s="889"/>
      <c r="FX3" s="887" t="s">
        <v>819</v>
      </c>
      <c r="FY3" s="888" t="s">
        <v>1131</v>
      </c>
      <c r="FZ3" s="889"/>
      <c r="GA3" s="887" t="s">
        <v>1414</v>
      </c>
      <c r="GB3" s="888"/>
      <c r="GC3" s="889"/>
      <c r="GD3" s="887"/>
      <c r="GE3" s="888"/>
      <c r="GF3" s="889"/>
      <c r="GG3" s="887"/>
      <c r="GH3" s="888"/>
      <c r="GI3" s="889"/>
      <c r="GJ3" s="887"/>
      <c r="GK3" s="888"/>
      <c r="GL3" s="889"/>
      <c r="GM3" s="887"/>
      <c r="GN3" s="888"/>
      <c r="GO3" s="889"/>
    </row>
    <row r="4" spans="1:202" ht="19.5" customHeight="1" x14ac:dyDescent="0.2">
      <c r="A4" s="915"/>
      <c r="B4" s="896" t="s">
        <v>5</v>
      </c>
      <c r="C4" s="896"/>
      <c r="D4" s="887" t="s">
        <v>11</v>
      </c>
      <c r="E4" s="888"/>
      <c r="F4" s="889"/>
      <c r="G4" s="887" t="s">
        <v>11</v>
      </c>
      <c r="H4" s="888" t="s">
        <v>11</v>
      </c>
      <c r="I4" s="889"/>
      <c r="J4" s="887" t="s">
        <v>11</v>
      </c>
      <c r="K4" s="888" t="s">
        <v>11</v>
      </c>
      <c r="L4" s="889"/>
      <c r="M4" s="887" t="s">
        <v>11</v>
      </c>
      <c r="N4" s="888" t="s">
        <v>11</v>
      </c>
      <c r="O4" s="889"/>
      <c r="P4" s="887" t="s">
        <v>164</v>
      </c>
      <c r="Q4" s="888" t="s">
        <v>164</v>
      </c>
      <c r="R4" s="889"/>
      <c r="S4" s="887" t="s">
        <v>11</v>
      </c>
      <c r="T4" s="888" t="s">
        <v>11</v>
      </c>
      <c r="U4" s="889"/>
      <c r="V4" s="887" t="s">
        <v>164</v>
      </c>
      <c r="W4" s="888" t="s">
        <v>164</v>
      </c>
      <c r="X4" s="889"/>
      <c r="Y4" s="887" t="s">
        <v>164</v>
      </c>
      <c r="Z4" s="888" t="s">
        <v>164</v>
      </c>
      <c r="AA4" s="889"/>
      <c r="AB4" s="887" t="s">
        <v>164</v>
      </c>
      <c r="AC4" s="888" t="s">
        <v>164</v>
      </c>
      <c r="AD4" s="889"/>
      <c r="AE4" s="887" t="s">
        <v>11</v>
      </c>
      <c r="AF4" s="888" t="s">
        <v>11</v>
      </c>
      <c r="AG4" s="889"/>
      <c r="AH4" s="887" t="s">
        <v>11</v>
      </c>
      <c r="AI4" s="888" t="s">
        <v>11</v>
      </c>
      <c r="AJ4" s="889"/>
      <c r="AK4" s="887" t="s">
        <v>164</v>
      </c>
      <c r="AL4" s="888" t="s">
        <v>164</v>
      </c>
      <c r="AM4" s="889"/>
      <c r="AN4" s="887" t="s">
        <v>164</v>
      </c>
      <c r="AO4" s="888" t="s">
        <v>164</v>
      </c>
      <c r="AP4" s="889"/>
      <c r="AQ4" s="887" t="s">
        <v>11</v>
      </c>
      <c r="AR4" s="888" t="s">
        <v>11</v>
      </c>
      <c r="AS4" s="889"/>
      <c r="AT4" s="887" t="s">
        <v>11</v>
      </c>
      <c r="AU4" s="888" t="s">
        <v>11</v>
      </c>
      <c r="AV4" s="889"/>
      <c r="AW4" s="887" t="s">
        <v>11</v>
      </c>
      <c r="AX4" s="888" t="s">
        <v>11</v>
      </c>
      <c r="AY4" s="889"/>
      <c r="AZ4" s="887" t="s">
        <v>11</v>
      </c>
      <c r="BA4" s="888" t="s">
        <v>11</v>
      </c>
      <c r="BB4" s="889"/>
      <c r="BC4" s="887" t="s">
        <v>11</v>
      </c>
      <c r="BD4" s="888" t="s">
        <v>11</v>
      </c>
      <c r="BE4" s="889"/>
      <c r="BF4" s="887" t="s">
        <v>11</v>
      </c>
      <c r="BG4" s="888" t="s">
        <v>11</v>
      </c>
      <c r="BH4" s="889"/>
      <c r="BI4" s="887" t="s">
        <v>164</v>
      </c>
      <c r="BJ4" s="888" t="s">
        <v>164</v>
      </c>
      <c r="BK4" s="889"/>
      <c r="BL4" s="887" t="s">
        <v>164</v>
      </c>
      <c r="BM4" s="888" t="s">
        <v>164</v>
      </c>
      <c r="BN4" s="889"/>
      <c r="BO4" s="887" t="s">
        <v>164</v>
      </c>
      <c r="BP4" s="888" t="s">
        <v>164</v>
      </c>
      <c r="BQ4" s="889"/>
      <c r="BR4" s="887" t="s">
        <v>164</v>
      </c>
      <c r="BS4" s="888" t="s">
        <v>164</v>
      </c>
      <c r="BT4" s="889"/>
      <c r="BU4" s="887" t="s">
        <v>11</v>
      </c>
      <c r="BV4" s="888" t="s">
        <v>11</v>
      </c>
      <c r="BW4" s="889"/>
      <c r="BX4" s="887" t="s">
        <v>11</v>
      </c>
      <c r="BY4" s="888" t="s">
        <v>11</v>
      </c>
      <c r="BZ4" s="889"/>
      <c r="CA4" s="887" t="s">
        <v>11</v>
      </c>
      <c r="CB4" s="888" t="s">
        <v>11</v>
      </c>
      <c r="CC4" s="889"/>
      <c r="CD4" s="887" t="s">
        <v>11</v>
      </c>
      <c r="CE4" s="888" t="s">
        <v>11</v>
      </c>
      <c r="CF4" s="889"/>
      <c r="CG4" s="887" t="s">
        <v>11</v>
      </c>
      <c r="CH4" s="888" t="s">
        <v>11</v>
      </c>
      <c r="CI4" s="889"/>
      <c r="CJ4" s="887" t="s">
        <v>11</v>
      </c>
      <c r="CK4" s="888" t="s">
        <v>11</v>
      </c>
      <c r="CL4" s="889"/>
      <c r="CM4" s="887" t="s">
        <v>11</v>
      </c>
      <c r="CN4" s="888" t="s">
        <v>11</v>
      </c>
      <c r="CO4" s="889"/>
      <c r="CP4" s="887" t="s">
        <v>11</v>
      </c>
      <c r="CQ4" s="888" t="s">
        <v>11</v>
      </c>
      <c r="CR4" s="889"/>
      <c r="CS4" s="887" t="s">
        <v>11</v>
      </c>
      <c r="CT4" s="888" t="s">
        <v>11</v>
      </c>
      <c r="CU4" s="889"/>
      <c r="CV4" s="887" t="s">
        <v>11</v>
      </c>
      <c r="CW4" s="888" t="s">
        <v>11</v>
      </c>
      <c r="CX4" s="887" t="s">
        <v>11</v>
      </c>
      <c r="CY4" s="888" t="s">
        <v>11</v>
      </c>
      <c r="CZ4" s="889"/>
      <c r="DA4" s="887" t="s">
        <v>11</v>
      </c>
      <c r="DB4" s="888" t="s">
        <v>11</v>
      </c>
      <c r="DC4" s="889"/>
      <c r="DD4" s="887" t="s">
        <v>164</v>
      </c>
      <c r="DE4" s="888" t="s">
        <v>164</v>
      </c>
      <c r="DF4" s="889"/>
      <c r="DG4" s="887" t="s">
        <v>164</v>
      </c>
      <c r="DH4" s="888" t="s">
        <v>164</v>
      </c>
      <c r="DI4" s="889"/>
      <c r="DJ4" s="887" t="s">
        <v>11</v>
      </c>
      <c r="DK4" s="888" t="s">
        <v>11</v>
      </c>
      <c r="DL4" s="889"/>
      <c r="DM4" s="887" t="s">
        <v>11</v>
      </c>
      <c r="DN4" s="888" t="s">
        <v>11</v>
      </c>
      <c r="DO4" s="889"/>
      <c r="DP4" s="887" t="s">
        <v>11</v>
      </c>
      <c r="DQ4" s="888" t="s">
        <v>11</v>
      </c>
      <c r="DR4" s="889"/>
      <c r="DS4" s="887" t="s">
        <v>11</v>
      </c>
      <c r="DT4" s="888" t="s">
        <v>11</v>
      </c>
      <c r="DU4" s="889"/>
      <c r="DV4" s="887" t="s">
        <v>11</v>
      </c>
      <c r="DW4" s="888" t="s">
        <v>11</v>
      </c>
      <c r="DX4" s="889"/>
      <c r="DY4" s="887" t="s">
        <v>11</v>
      </c>
      <c r="DZ4" s="888" t="s">
        <v>11</v>
      </c>
      <c r="EA4" s="889"/>
      <c r="EB4" s="887" t="s">
        <v>11</v>
      </c>
      <c r="EC4" s="888"/>
      <c r="ED4" s="889"/>
      <c r="EE4" s="887" t="s">
        <v>164</v>
      </c>
      <c r="EF4" s="888" t="s">
        <v>164</v>
      </c>
      <c r="EG4" s="889"/>
      <c r="EH4" s="887" t="s">
        <v>11</v>
      </c>
      <c r="EI4" s="888"/>
      <c r="EJ4" s="889"/>
      <c r="EK4" s="887" t="s">
        <v>11</v>
      </c>
      <c r="EL4" s="888"/>
      <c r="EM4" s="889"/>
      <c r="EN4" s="887" t="s">
        <v>11</v>
      </c>
      <c r="EO4" s="888"/>
      <c r="EP4" s="889"/>
      <c r="EQ4" s="887" t="s">
        <v>11</v>
      </c>
      <c r="ER4" s="888" t="s">
        <v>11</v>
      </c>
      <c r="ES4" s="889"/>
      <c r="ET4" s="887" t="s">
        <v>11</v>
      </c>
      <c r="EU4" s="888" t="s">
        <v>11</v>
      </c>
      <c r="EV4" s="889"/>
      <c r="EW4" s="887" t="s">
        <v>11</v>
      </c>
      <c r="EX4" s="888" t="s">
        <v>11</v>
      </c>
      <c r="EY4" s="889"/>
      <c r="EZ4" s="887" t="s">
        <v>11</v>
      </c>
      <c r="FA4" s="888" t="s">
        <v>11</v>
      </c>
      <c r="FB4" s="889"/>
      <c r="FC4" s="887" t="s">
        <v>11</v>
      </c>
      <c r="FD4" s="888" t="s">
        <v>11</v>
      </c>
      <c r="FE4" s="889"/>
      <c r="FF4" s="887" t="s">
        <v>164</v>
      </c>
      <c r="FG4" s="888" t="s">
        <v>164</v>
      </c>
      <c r="FH4" s="889"/>
      <c r="FI4" s="887" t="s">
        <v>164</v>
      </c>
      <c r="FJ4" s="888" t="s">
        <v>164</v>
      </c>
      <c r="FK4" s="889"/>
      <c r="FL4" s="887" t="s">
        <v>11</v>
      </c>
      <c r="FM4" s="888" t="s">
        <v>11</v>
      </c>
      <c r="FN4" s="889"/>
      <c r="FO4" s="887" t="s">
        <v>11</v>
      </c>
      <c r="FP4" s="888" t="s">
        <v>11</v>
      </c>
      <c r="FQ4" s="889"/>
      <c r="FR4" s="887" t="s">
        <v>164</v>
      </c>
      <c r="FS4" s="888" t="s">
        <v>164</v>
      </c>
      <c r="FT4" s="889"/>
      <c r="FU4" s="887" t="s">
        <v>164</v>
      </c>
      <c r="FV4" s="888" t="s">
        <v>164</v>
      </c>
      <c r="FW4" s="889"/>
      <c r="FX4" s="887" t="s">
        <v>11</v>
      </c>
      <c r="FY4" s="888" t="s">
        <v>11</v>
      </c>
      <c r="FZ4" s="889"/>
      <c r="GA4" s="887" t="s">
        <v>11</v>
      </c>
      <c r="GB4" s="888" t="s">
        <v>11</v>
      </c>
      <c r="GC4" s="889"/>
      <c r="GD4" s="887" t="s">
        <v>11</v>
      </c>
      <c r="GE4" s="888" t="s">
        <v>11</v>
      </c>
      <c r="GF4" s="889"/>
      <c r="GG4" s="887" t="s">
        <v>11</v>
      </c>
      <c r="GH4" s="888" t="s">
        <v>11</v>
      </c>
      <c r="GI4" s="889"/>
      <c r="GJ4" s="887" t="s">
        <v>11</v>
      </c>
      <c r="GK4" s="888" t="s">
        <v>11</v>
      </c>
      <c r="GL4" s="889"/>
      <c r="GM4" s="887" t="s">
        <v>11</v>
      </c>
      <c r="GN4" s="888" t="s">
        <v>11</v>
      </c>
      <c r="GO4" s="889"/>
    </row>
    <row r="5" spans="1:202" ht="15.75" customHeight="1" x14ac:dyDescent="0.2">
      <c r="A5" s="915"/>
      <c r="B5" s="896" t="s">
        <v>8</v>
      </c>
      <c r="C5" s="896"/>
      <c r="D5" s="916" t="s">
        <v>1130</v>
      </c>
      <c r="E5" s="917"/>
      <c r="F5" s="918"/>
      <c r="G5" s="916" t="s">
        <v>1129</v>
      </c>
      <c r="H5" s="917" t="s">
        <v>1129</v>
      </c>
      <c r="I5" s="918"/>
      <c r="J5" s="916" t="s">
        <v>1128</v>
      </c>
      <c r="K5" s="917" t="s">
        <v>1127</v>
      </c>
      <c r="L5" s="918"/>
      <c r="M5" s="916" t="s">
        <v>1126</v>
      </c>
      <c r="N5" s="917" t="s">
        <v>1125</v>
      </c>
      <c r="O5" s="918"/>
      <c r="P5" s="916" t="s">
        <v>1124</v>
      </c>
      <c r="Q5" s="917" t="s">
        <v>1123</v>
      </c>
      <c r="R5" s="918"/>
      <c r="S5" s="916" t="s">
        <v>1122</v>
      </c>
      <c r="T5" s="917" t="s">
        <v>1121</v>
      </c>
      <c r="U5" s="918"/>
      <c r="V5" s="916" t="s">
        <v>1120</v>
      </c>
      <c r="W5" s="917" t="s">
        <v>1120</v>
      </c>
      <c r="X5" s="918"/>
      <c r="Y5" s="916" t="s">
        <v>1119</v>
      </c>
      <c r="Z5" s="917" t="s">
        <v>1118</v>
      </c>
      <c r="AA5" s="918"/>
      <c r="AB5" s="916" t="s">
        <v>1117</v>
      </c>
      <c r="AC5" s="917"/>
      <c r="AD5" s="918"/>
      <c r="AE5" s="916" t="s">
        <v>1116</v>
      </c>
      <c r="AF5" s="917" t="s">
        <v>1115</v>
      </c>
      <c r="AG5" s="918"/>
      <c r="AH5" s="916" t="s">
        <v>1114</v>
      </c>
      <c r="AI5" s="917" t="s">
        <v>1113</v>
      </c>
      <c r="AJ5" s="918"/>
      <c r="AK5" s="916" t="s">
        <v>1112</v>
      </c>
      <c r="AL5" s="917" t="s">
        <v>1111</v>
      </c>
      <c r="AM5" s="918"/>
      <c r="AN5" s="916" t="s">
        <v>1110</v>
      </c>
      <c r="AO5" s="917" t="s">
        <v>1110</v>
      </c>
      <c r="AP5" s="918"/>
      <c r="AQ5" s="916" t="s">
        <v>1109</v>
      </c>
      <c r="AR5" s="917" t="s">
        <v>1109</v>
      </c>
      <c r="AS5" s="918"/>
      <c r="AT5" s="916" t="s">
        <v>1108</v>
      </c>
      <c r="AU5" s="917" t="s">
        <v>1107</v>
      </c>
      <c r="AV5" s="918"/>
      <c r="AW5" s="916" t="s">
        <v>1106</v>
      </c>
      <c r="AX5" s="917" t="s">
        <v>1105</v>
      </c>
      <c r="AY5" s="918"/>
      <c r="AZ5" s="916" t="s">
        <v>1104</v>
      </c>
      <c r="BA5" s="917" t="s">
        <v>1103</v>
      </c>
      <c r="BB5" s="918"/>
      <c r="BC5" s="916" t="s">
        <v>1102</v>
      </c>
      <c r="BD5" s="917" t="s">
        <v>1101</v>
      </c>
      <c r="BE5" s="918"/>
      <c r="BF5" s="916" t="s">
        <v>1100</v>
      </c>
      <c r="BG5" s="917" t="s">
        <v>1099</v>
      </c>
      <c r="BH5" s="918"/>
      <c r="BI5" s="916" t="s">
        <v>1098</v>
      </c>
      <c r="BJ5" s="917" t="s">
        <v>1097</v>
      </c>
      <c r="BK5" s="918"/>
      <c r="BL5" s="916" t="s">
        <v>1096</v>
      </c>
      <c r="BM5" s="917" t="s">
        <v>1095</v>
      </c>
      <c r="BN5" s="918"/>
      <c r="BO5" s="916" t="s">
        <v>1094</v>
      </c>
      <c r="BP5" s="917" t="s">
        <v>1093</v>
      </c>
      <c r="BQ5" s="918"/>
      <c r="BR5" s="916" t="s">
        <v>1092</v>
      </c>
      <c r="BS5" s="917" t="s">
        <v>1091</v>
      </c>
      <c r="BT5" s="918"/>
      <c r="BU5" s="916" t="s">
        <v>1090</v>
      </c>
      <c r="BV5" s="917" t="s">
        <v>1089</v>
      </c>
      <c r="BW5" s="918"/>
      <c r="BX5" s="916" t="s">
        <v>1088</v>
      </c>
      <c r="BY5" s="917" t="s">
        <v>1087</v>
      </c>
      <c r="BZ5" s="918"/>
      <c r="CA5" s="916" t="s">
        <v>1086</v>
      </c>
      <c r="CB5" s="917" t="s">
        <v>1085</v>
      </c>
      <c r="CC5" s="918"/>
      <c r="CD5" s="916" t="s">
        <v>1084</v>
      </c>
      <c r="CE5" s="917" t="s">
        <v>1083</v>
      </c>
      <c r="CF5" s="918"/>
      <c r="CG5" s="916" t="s">
        <v>1082</v>
      </c>
      <c r="CH5" s="917" t="s">
        <v>1081</v>
      </c>
      <c r="CI5" s="918"/>
      <c r="CJ5" s="916" t="s">
        <v>1080</v>
      </c>
      <c r="CK5" s="917" t="s">
        <v>1079</v>
      </c>
      <c r="CL5" s="918"/>
      <c r="CM5" s="916" t="s">
        <v>1078</v>
      </c>
      <c r="CN5" s="917" t="s">
        <v>1077</v>
      </c>
      <c r="CO5" s="918"/>
      <c r="CP5" s="916" t="s">
        <v>1076</v>
      </c>
      <c r="CQ5" s="917" t="s">
        <v>1075</v>
      </c>
      <c r="CR5" s="918"/>
      <c r="CS5" s="916" t="s">
        <v>1074</v>
      </c>
      <c r="CT5" s="917" t="s">
        <v>1073</v>
      </c>
      <c r="CU5" s="918"/>
      <c r="CV5" s="916" t="s">
        <v>1072</v>
      </c>
      <c r="CW5" s="917" t="s">
        <v>1071</v>
      </c>
      <c r="CX5" s="916" t="s">
        <v>1070</v>
      </c>
      <c r="CY5" s="917" t="s">
        <v>1069</v>
      </c>
      <c r="CZ5" s="918"/>
      <c r="DA5" s="916" t="s">
        <v>1068</v>
      </c>
      <c r="DB5" s="917" t="s">
        <v>1067</v>
      </c>
      <c r="DC5" s="918"/>
      <c r="DD5" s="916" t="s">
        <v>1066</v>
      </c>
      <c r="DE5" s="917" t="s">
        <v>1065</v>
      </c>
      <c r="DF5" s="918"/>
      <c r="DG5" s="916" t="s">
        <v>1064</v>
      </c>
      <c r="DH5" s="917" t="s">
        <v>1063</v>
      </c>
      <c r="DI5" s="918"/>
      <c r="DJ5" s="916" t="s">
        <v>1062</v>
      </c>
      <c r="DK5" s="917" t="s">
        <v>1061</v>
      </c>
      <c r="DL5" s="918"/>
      <c r="DM5" s="916" t="s">
        <v>1411</v>
      </c>
      <c r="DN5" s="917" t="s">
        <v>1060</v>
      </c>
      <c r="DO5" s="918"/>
      <c r="DP5" s="916" t="s">
        <v>1059</v>
      </c>
      <c r="DQ5" s="917" t="s">
        <v>1058</v>
      </c>
      <c r="DR5" s="918"/>
      <c r="DS5" s="916" t="s">
        <v>1057</v>
      </c>
      <c r="DT5" s="917" t="s">
        <v>1056</v>
      </c>
      <c r="DU5" s="918"/>
      <c r="DV5" s="916" t="s">
        <v>1055</v>
      </c>
      <c r="DW5" s="917" t="s">
        <v>1055</v>
      </c>
      <c r="DX5" s="918"/>
      <c r="DY5" s="916" t="s">
        <v>1054</v>
      </c>
      <c r="DZ5" s="917" t="s">
        <v>1053</v>
      </c>
      <c r="EA5" s="918"/>
      <c r="EB5" s="916" t="s">
        <v>1282</v>
      </c>
      <c r="EC5" s="917"/>
      <c r="ED5" s="918"/>
      <c r="EE5" s="916" t="s">
        <v>1052</v>
      </c>
      <c r="EF5" s="917" t="s">
        <v>1051</v>
      </c>
      <c r="EG5" s="918"/>
      <c r="EH5" s="916" t="s">
        <v>1283</v>
      </c>
      <c r="EI5" s="917"/>
      <c r="EJ5" s="918"/>
      <c r="EK5" s="916" t="s">
        <v>1284</v>
      </c>
      <c r="EL5" s="917"/>
      <c r="EM5" s="918"/>
      <c r="EN5" s="916" t="s">
        <v>1416</v>
      </c>
      <c r="EO5" s="917"/>
      <c r="EP5" s="918"/>
      <c r="EQ5" s="916" t="s">
        <v>1050</v>
      </c>
      <c r="ER5" s="917" t="s">
        <v>1049</v>
      </c>
      <c r="ES5" s="918"/>
      <c r="ET5" s="916" t="s">
        <v>1048</v>
      </c>
      <c r="EU5" s="917" t="s">
        <v>1047</v>
      </c>
      <c r="EV5" s="918"/>
      <c r="EW5" s="916" t="s">
        <v>1046</v>
      </c>
      <c r="EX5" s="917" t="s">
        <v>1045</v>
      </c>
      <c r="EY5" s="918"/>
      <c r="EZ5" s="916" t="s">
        <v>1044</v>
      </c>
      <c r="FA5" s="917" t="s">
        <v>1043</v>
      </c>
      <c r="FB5" s="918"/>
      <c r="FC5" s="916" t="s">
        <v>1042</v>
      </c>
      <c r="FD5" s="917" t="s">
        <v>1041</v>
      </c>
      <c r="FE5" s="918"/>
      <c r="FF5" s="916" t="s">
        <v>1040</v>
      </c>
      <c r="FG5" s="917" t="s">
        <v>1039</v>
      </c>
      <c r="FH5" s="918"/>
      <c r="FI5" s="916" t="s">
        <v>1038</v>
      </c>
      <c r="FJ5" s="917" t="s">
        <v>1037</v>
      </c>
      <c r="FK5" s="918"/>
      <c r="FL5" s="916" t="s">
        <v>1036</v>
      </c>
      <c r="FM5" s="917" t="s">
        <v>1035</v>
      </c>
      <c r="FN5" s="918"/>
      <c r="FO5" s="916" t="s">
        <v>1034</v>
      </c>
      <c r="FP5" s="917" t="s">
        <v>1033</v>
      </c>
      <c r="FQ5" s="918"/>
      <c r="FR5" s="916" t="s">
        <v>1032</v>
      </c>
      <c r="FS5" s="917" t="s">
        <v>1031</v>
      </c>
      <c r="FT5" s="918"/>
      <c r="FU5" s="916" t="s">
        <v>1030</v>
      </c>
      <c r="FV5" s="917" t="s">
        <v>1029</v>
      </c>
      <c r="FW5" s="918"/>
      <c r="FX5" s="916" t="s">
        <v>1028</v>
      </c>
      <c r="FY5" s="917" t="s">
        <v>1027</v>
      </c>
      <c r="FZ5" s="918"/>
      <c r="GA5" s="916" t="s">
        <v>1412</v>
      </c>
      <c r="GB5" s="917"/>
      <c r="GC5" s="918"/>
      <c r="GD5" s="916" t="s">
        <v>1485</v>
      </c>
      <c r="GE5" s="917"/>
      <c r="GF5" s="918"/>
      <c r="GG5" s="916" t="s">
        <v>1487</v>
      </c>
      <c r="GH5" s="917"/>
      <c r="GI5" s="918"/>
      <c r="GJ5" s="916" t="s">
        <v>1488</v>
      </c>
      <c r="GK5" s="917"/>
      <c r="GL5" s="918"/>
      <c r="GM5" s="916" t="s">
        <v>1489</v>
      </c>
      <c r="GN5" s="917"/>
      <c r="GO5" s="918"/>
    </row>
    <row r="6" spans="1:202" ht="44.25" customHeight="1" x14ac:dyDescent="0.2">
      <c r="A6" s="915"/>
      <c r="B6" s="559" t="s">
        <v>9</v>
      </c>
      <c r="C6" s="575" t="s">
        <v>10</v>
      </c>
      <c r="D6" s="919"/>
      <c r="E6" s="920"/>
      <c r="F6" s="921"/>
      <c r="G6" s="919"/>
      <c r="H6" s="920"/>
      <c r="I6" s="921"/>
      <c r="J6" s="919"/>
      <c r="K6" s="920"/>
      <c r="L6" s="921"/>
      <c r="M6" s="919"/>
      <c r="N6" s="920"/>
      <c r="O6" s="921"/>
      <c r="P6" s="919"/>
      <c r="Q6" s="920"/>
      <c r="R6" s="921"/>
      <c r="S6" s="919"/>
      <c r="T6" s="920"/>
      <c r="U6" s="921"/>
      <c r="V6" s="919"/>
      <c r="W6" s="920"/>
      <c r="X6" s="921"/>
      <c r="Y6" s="919"/>
      <c r="Z6" s="920"/>
      <c r="AA6" s="921"/>
      <c r="AB6" s="919"/>
      <c r="AC6" s="920"/>
      <c r="AD6" s="921"/>
      <c r="AE6" s="919"/>
      <c r="AF6" s="920"/>
      <c r="AG6" s="921"/>
      <c r="AH6" s="919"/>
      <c r="AI6" s="920"/>
      <c r="AJ6" s="921"/>
      <c r="AK6" s="919"/>
      <c r="AL6" s="920"/>
      <c r="AM6" s="921"/>
      <c r="AN6" s="919"/>
      <c r="AO6" s="920"/>
      <c r="AP6" s="921"/>
      <c r="AQ6" s="919"/>
      <c r="AR6" s="920"/>
      <c r="AS6" s="921"/>
      <c r="AT6" s="919"/>
      <c r="AU6" s="920"/>
      <c r="AV6" s="921"/>
      <c r="AW6" s="919"/>
      <c r="AX6" s="920"/>
      <c r="AY6" s="921"/>
      <c r="AZ6" s="919"/>
      <c r="BA6" s="920"/>
      <c r="BB6" s="921"/>
      <c r="BC6" s="919"/>
      <c r="BD6" s="920"/>
      <c r="BE6" s="921"/>
      <c r="BF6" s="919"/>
      <c r="BG6" s="920"/>
      <c r="BH6" s="921"/>
      <c r="BI6" s="919"/>
      <c r="BJ6" s="920"/>
      <c r="BK6" s="921"/>
      <c r="BL6" s="919"/>
      <c r="BM6" s="920"/>
      <c r="BN6" s="921"/>
      <c r="BO6" s="919"/>
      <c r="BP6" s="920"/>
      <c r="BQ6" s="921"/>
      <c r="BR6" s="919"/>
      <c r="BS6" s="920"/>
      <c r="BT6" s="921"/>
      <c r="BU6" s="919"/>
      <c r="BV6" s="920"/>
      <c r="BW6" s="921"/>
      <c r="BX6" s="919"/>
      <c r="BY6" s="920"/>
      <c r="BZ6" s="921"/>
      <c r="CA6" s="919"/>
      <c r="CB6" s="920"/>
      <c r="CC6" s="921"/>
      <c r="CD6" s="919"/>
      <c r="CE6" s="920"/>
      <c r="CF6" s="921"/>
      <c r="CG6" s="919"/>
      <c r="CH6" s="920"/>
      <c r="CI6" s="921"/>
      <c r="CJ6" s="919"/>
      <c r="CK6" s="920"/>
      <c r="CL6" s="921"/>
      <c r="CM6" s="919"/>
      <c r="CN6" s="920"/>
      <c r="CO6" s="921"/>
      <c r="CP6" s="919"/>
      <c r="CQ6" s="920"/>
      <c r="CR6" s="921"/>
      <c r="CS6" s="919"/>
      <c r="CT6" s="920"/>
      <c r="CU6" s="921"/>
      <c r="CV6" s="919"/>
      <c r="CW6" s="920"/>
      <c r="CX6" s="919"/>
      <c r="CY6" s="920"/>
      <c r="CZ6" s="921"/>
      <c r="DA6" s="919"/>
      <c r="DB6" s="920"/>
      <c r="DC6" s="921"/>
      <c r="DD6" s="919"/>
      <c r="DE6" s="920"/>
      <c r="DF6" s="921"/>
      <c r="DG6" s="919"/>
      <c r="DH6" s="920"/>
      <c r="DI6" s="921"/>
      <c r="DJ6" s="919"/>
      <c r="DK6" s="920"/>
      <c r="DL6" s="921"/>
      <c r="DM6" s="919"/>
      <c r="DN6" s="920"/>
      <c r="DO6" s="921"/>
      <c r="DP6" s="919"/>
      <c r="DQ6" s="920"/>
      <c r="DR6" s="921"/>
      <c r="DS6" s="919"/>
      <c r="DT6" s="920"/>
      <c r="DU6" s="921"/>
      <c r="DV6" s="919"/>
      <c r="DW6" s="920"/>
      <c r="DX6" s="921"/>
      <c r="DY6" s="919"/>
      <c r="DZ6" s="920"/>
      <c r="EA6" s="921"/>
      <c r="EB6" s="919"/>
      <c r="EC6" s="920"/>
      <c r="ED6" s="921"/>
      <c r="EE6" s="919"/>
      <c r="EF6" s="920"/>
      <c r="EG6" s="921"/>
      <c r="EH6" s="919"/>
      <c r="EI6" s="920"/>
      <c r="EJ6" s="921"/>
      <c r="EK6" s="919"/>
      <c r="EL6" s="920"/>
      <c r="EM6" s="921"/>
      <c r="EN6" s="919"/>
      <c r="EO6" s="920"/>
      <c r="EP6" s="921"/>
      <c r="EQ6" s="919"/>
      <c r="ER6" s="920"/>
      <c r="ES6" s="921"/>
      <c r="ET6" s="919"/>
      <c r="EU6" s="920"/>
      <c r="EV6" s="921"/>
      <c r="EW6" s="919"/>
      <c r="EX6" s="920"/>
      <c r="EY6" s="921"/>
      <c r="EZ6" s="919"/>
      <c r="FA6" s="920"/>
      <c r="FB6" s="921"/>
      <c r="FC6" s="919"/>
      <c r="FD6" s="920"/>
      <c r="FE6" s="921"/>
      <c r="FF6" s="919"/>
      <c r="FG6" s="920"/>
      <c r="FH6" s="921"/>
      <c r="FI6" s="919"/>
      <c r="FJ6" s="920"/>
      <c r="FK6" s="921"/>
      <c r="FL6" s="919"/>
      <c r="FM6" s="920"/>
      <c r="FN6" s="921"/>
      <c r="FO6" s="919"/>
      <c r="FP6" s="920"/>
      <c r="FQ6" s="921"/>
      <c r="FR6" s="919"/>
      <c r="FS6" s="920"/>
      <c r="FT6" s="921"/>
      <c r="FU6" s="919"/>
      <c r="FV6" s="920"/>
      <c r="FW6" s="921"/>
      <c r="FX6" s="919"/>
      <c r="FY6" s="920"/>
      <c r="FZ6" s="921"/>
      <c r="GA6" s="919"/>
      <c r="GB6" s="920"/>
      <c r="GC6" s="921"/>
      <c r="GD6" s="919"/>
      <c r="GE6" s="920"/>
      <c r="GF6" s="921"/>
      <c r="GG6" s="919"/>
      <c r="GH6" s="920"/>
      <c r="GI6" s="921"/>
      <c r="GJ6" s="919"/>
      <c r="GK6" s="920"/>
      <c r="GL6" s="921"/>
      <c r="GM6" s="919"/>
      <c r="GN6" s="920"/>
      <c r="GO6" s="921"/>
    </row>
    <row r="7" spans="1:202" x14ac:dyDescent="0.2">
      <c r="A7" s="7" t="s">
        <v>15</v>
      </c>
      <c r="B7" s="8" t="s">
        <v>16</v>
      </c>
      <c r="C7" s="8" t="s">
        <v>17</v>
      </c>
      <c r="D7" s="916" t="s">
        <v>1026</v>
      </c>
      <c r="E7" s="917"/>
      <c r="F7" s="918"/>
      <c r="G7" s="916" t="s">
        <v>1025</v>
      </c>
      <c r="H7" s="917"/>
      <c r="I7" s="918"/>
      <c r="J7" s="916" t="s">
        <v>1024</v>
      </c>
      <c r="K7" s="917"/>
      <c r="L7" s="918"/>
      <c r="M7" s="916" t="s">
        <v>1023</v>
      </c>
      <c r="N7" s="917"/>
      <c r="O7" s="918"/>
      <c r="P7" s="916" t="s">
        <v>1022</v>
      </c>
      <c r="Q7" s="917"/>
      <c r="R7" s="918"/>
      <c r="S7" s="916" t="s">
        <v>1021</v>
      </c>
      <c r="T7" s="917"/>
      <c r="U7" s="918"/>
      <c r="V7" s="916" t="s">
        <v>1020</v>
      </c>
      <c r="W7" s="917"/>
      <c r="X7" s="918"/>
      <c r="Y7" s="916" t="s">
        <v>1019</v>
      </c>
      <c r="Z7" s="917"/>
      <c r="AA7" s="918"/>
      <c r="AB7" s="916" t="s">
        <v>1018</v>
      </c>
      <c r="AC7" s="917"/>
      <c r="AD7" s="918"/>
      <c r="AE7" s="916" t="s">
        <v>1017</v>
      </c>
      <c r="AF7" s="917"/>
      <c r="AG7" s="918"/>
      <c r="AH7" s="916" t="s">
        <v>1016</v>
      </c>
      <c r="AI7" s="917"/>
      <c r="AJ7" s="918"/>
      <c r="AK7" s="916" t="s">
        <v>1015</v>
      </c>
      <c r="AL7" s="917"/>
      <c r="AM7" s="918"/>
      <c r="AN7" s="916" t="s">
        <v>1014</v>
      </c>
      <c r="AO7" s="917"/>
      <c r="AP7" s="918"/>
      <c r="AQ7" s="916" t="s">
        <v>1013</v>
      </c>
      <c r="AR7" s="917"/>
      <c r="AS7" s="918"/>
      <c r="AT7" s="916" t="s">
        <v>1012</v>
      </c>
      <c r="AU7" s="917"/>
      <c r="AV7" s="918"/>
      <c r="AW7" s="916" t="s">
        <v>1011</v>
      </c>
      <c r="AX7" s="917"/>
      <c r="AY7" s="918"/>
      <c r="AZ7" s="916" t="s">
        <v>1010</v>
      </c>
      <c r="BA7" s="917"/>
      <c r="BB7" s="918"/>
      <c r="BC7" s="916" t="s">
        <v>1009</v>
      </c>
      <c r="BD7" s="917"/>
      <c r="BE7" s="918"/>
      <c r="BF7" s="916" t="s">
        <v>1008</v>
      </c>
      <c r="BG7" s="917"/>
      <c r="BH7" s="918"/>
      <c r="BI7" s="916" t="s">
        <v>1007</v>
      </c>
      <c r="BJ7" s="917"/>
      <c r="BK7" s="918"/>
      <c r="BL7" s="916" t="s">
        <v>1006</v>
      </c>
      <c r="BM7" s="917"/>
      <c r="BN7" s="918"/>
      <c r="BO7" s="916" t="s">
        <v>1005</v>
      </c>
      <c r="BP7" s="917"/>
      <c r="BQ7" s="918"/>
      <c r="BR7" s="916" t="s">
        <v>1004</v>
      </c>
      <c r="BS7" s="917"/>
      <c r="BT7" s="918"/>
      <c r="BU7" s="916" t="s">
        <v>1003</v>
      </c>
      <c r="BV7" s="917"/>
      <c r="BW7" s="918"/>
      <c r="BX7" s="916" t="s">
        <v>1002</v>
      </c>
      <c r="BY7" s="917"/>
      <c r="BZ7" s="918"/>
      <c r="CA7" s="916" t="s">
        <v>1001</v>
      </c>
      <c r="CB7" s="917"/>
      <c r="CC7" s="918"/>
      <c r="CD7" s="916" t="s">
        <v>1000</v>
      </c>
      <c r="CE7" s="917"/>
      <c r="CF7" s="918"/>
      <c r="CG7" s="916" t="s">
        <v>999</v>
      </c>
      <c r="CH7" s="917"/>
      <c r="CI7" s="918"/>
      <c r="CJ7" s="916" t="s">
        <v>998</v>
      </c>
      <c r="CK7" s="917"/>
      <c r="CL7" s="918"/>
      <c r="CM7" s="916" t="s">
        <v>997</v>
      </c>
      <c r="CN7" s="917"/>
      <c r="CO7" s="918"/>
      <c r="CP7" s="916" t="s">
        <v>996</v>
      </c>
      <c r="CQ7" s="917"/>
      <c r="CR7" s="918"/>
      <c r="CS7" s="916" t="s">
        <v>995</v>
      </c>
      <c r="CT7" s="917"/>
      <c r="CU7" s="918"/>
      <c r="CV7" s="916" t="s">
        <v>994</v>
      </c>
      <c r="CW7" s="917"/>
      <c r="CX7" s="916" t="s">
        <v>993</v>
      </c>
      <c r="CY7" s="917"/>
      <c r="CZ7" s="918"/>
      <c r="DA7" s="916" t="s">
        <v>992</v>
      </c>
      <c r="DB7" s="917"/>
      <c r="DC7" s="918"/>
      <c r="DD7" s="916" t="s">
        <v>991</v>
      </c>
      <c r="DE7" s="917"/>
      <c r="DF7" s="918"/>
      <c r="DG7" s="916" t="s">
        <v>990</v>
      </c>
      <c r="DH7" s="917"/>
      <c r="DI7" s="918"/>
      <c r="DJ7" s="916" t="s">
        <v>989</v>
      </c>
      <c r="DK7" s="917"/>
      <c r="DL7" s="918"/>
      <c r="DM7" s="916" t="s">
        <v>988</v>
      </c>
      <c r="DN7" s="917"/>
      <c r="DO7" s="918"/>
      <c r="DP7" s="916" t="s">
        <v>987</v>
      </c>
      <c r="DQ7" s="917"/>
      <c r="DR7" s="918"/>
      <c r="DS7" s="916" t="s">
        <v>986</v>
      </c>
      <c r="DT7" s="917"/>
      <c r="DU7" s="918"/>
      <c r="DV7" s="916" t="s">
        <v>985</v>
      </c>
      <c r="DW7" s="917"/>
      <c r="DX7" s="918"/>
      <c r="DY7" s="916" t="s">
        <v>984</v>
      </c>
      <c r="DZ7" s="917"/>
      <c r="EA7" s="918"/>
      <c r="EB7" s="694"/>
      <c r="EC7" s="694"/>
      <c r="ED7" s="694"/>
      <c r="EE7" s="916" t="s">
        <v>983</v>
      </c>
      <c r="EF7" s="917"/>
      <c r="EG7" s="918"/>
      <c r="EH7" s="916"/>
      <c r="EI7" s="917"/>
      <c r="EJ7" s="918"/>
      <c r="EK7" s="916"/>
      <c r="EL7" s="917"/>
      <c r="EM7" s="918"/>
      <c r="EN7" s="916"/>
      <c r="EO7" s="917"/>
      <c r="EP7" s="918"/>
      <c r="EQ7" s="916" t="s">
        <v>982</v>
      </c>
      <c r="ER7" s="917"/>
      <c r="ES7" s="918"/>
      <c r="ET7" s="916" t="s">
        <v>981</v>
      </c>
      <c r="EU7" s="917"/>
      <c r="EV7" s="918"/>
      <c r="EW7" s="916" t="s">
        <v>980</v>
      </c>
      <c r="EX7" s="917"/>
      <c r="EY7" s="918"/>
      <c r="EZ7" s="916" t="s">
        <v>979</v>
      </c>
      <c r="FA7" s="917"/>
      <c r="FB7" s="918"/>
      <c r="FC7" s="916" t="s">
        <v>978</v>
      </c>
      <c r="FD7" s="917"/>
      <c r="FE7" s="918"/>
      <c r="FF7" s="916" t="s">
        <v>977</v>
      </c>
      <c r="FG7" s="917"/>
      <c r="FH7" s="918"/>
      <c r="FI7" s="916" t="s">
        <v>976</v>
      </c>
      <c r="FJ7" s="917"/>
      <c r="FK7" s="918"/>
      <c r="FL7" s="916" t="s">
        <v>975</v>
      </c>
      <c r="FM7" s="917"/>
      <c r="FN7" s="918"/>
      <c r="FO7" s="916" t="s">
        <v>974</v>
      </c>
      <c r="FP7" s="917"/>
      <c r="FQ7" s="918"/>
      <c r="FR7" s="916" t="s">
        <v>973</v>
      </c>
      <c r="FS7" s="917"/>
      <c r="FT7" s="918"/>
      <c r="FU7" s="916" t="s">
        <v>972</v>
      </c>
      <c r="FV7" s="917"/>
      <c r="FW7" s="918"/>
      <c r="FX7" s="916" t="s">
        <v>971</v>
      </c>
      <c r="FY7" s="917"/>
      <c r="FZ7" s="918"/>
      <c r="GA7" s="916" t="s">
        <v>1413</v>
      </c>
      <c r="GB7" s="917"/>
      <c r="GC7" s="918"/>
      <c r="GD7" s="916" t="s">
        <v>1484</v>
      </c>
      <c r="GE7" s="917"/>
      <c r="GF7" s="918"/>
      <c r="GG7" s="916" t="s">
        <v>1486</v>
      </c>
      <c r="GH7" s="917"/>
      <c r="GI7" s="918"/>
      <c r="GJ7" s="916"/>
      <c r="GK7" s="917"/>
      <c r="GL7" s="918"/>
      <c r="GM7" s="916"/>
      <c r="GN7" s="917"/>
      <c r="GO7" s="918"/>
      <c r="GP7" t="s">
        <v>11</v>
      </c>
      <c r="GQ7" t="s">
        <v>1286</v>
      </c>
      <c r="GR7" t="s">
        <v>13</v>
      </c>
      <c r="GS7" t="s">
        <v>128</v>
      </c>
    </row>
    <row r="8" spans="1:202" x14ac:dyDescent="0.25">
      <c r="A8" s="9" t="s">
        <v>15</v>
      </c>
      <c r="B8" s="6" t="s">
        <v>23</v>
      </c>
      <c r="C8" s="576" t="s">
        <v>24</v>
      </c>
      <c r="D8" s="577"/>
      <c r="E8" s="577"/>
      <c r="F8" s="577"/>
      <c r="G8" s="577"/>
      <c r="H8" s="577"/>
      <c r="I8" s="577"/>
      <c r="J8" s="577">
        <v>10303250</v>
      </c>
      <c r="K8" s="577">
        <v>6119531</v>
      </c>
      <c r="L8" s="577">
        <v>6119531</v>
      </c>
      <c r="M8" s="577">
        <v>4626125</v>
      </c>
      <c r="N8" s="577">
        <v>5402725</v>
      </c>
      <c r="O8" s="577">
        <v>5371764</v>
      </c>
      <c r="P8" s="577">
        <v>18333500</v>
      </c>
      <c r="Q8" s="577">
        <v>20979530</v>
      </c>
      <c r="R8" s="577">
        <v>18050898</v>
      </c>
      <c r="S8" s="577"/>
      <c r="T8" s="577"/>
      <c r="U8" s="577"/>
      <c r="V8" s="577">
        <v>1500000</v>
      </c>
      <c r="W8" s="577">
        <v>1625000</v>
      </c>
      <c r="X8" s="577">
        <v>1625000</v>
      </c>
      <c r="Y8" s="577"/>
      <c r="Z8" s="577">
        <v>422100</v>
      </c>
      <c r="AA8" s="577">
        <v>442100</v>
      </c>
      <c r="AB8" s="577"/>
      <c r="AC8" s="577"/>
      <c r="AD8" s="577"/>
      <c r="AE8" s="577"/>
      <c r="AF8" s="577"/>
      <c r="AG8" s="577"/>
      <c r="AH8" s="577"/>
      <c r="AI8" s="577"/>
      <c r="AJ8" s="577"/>
      <c r="AK8" s="577">
        <v>400000</v>
      </c>
      <c r="AL8" s="577">
        <v>32351</v>
      </c>
      <c r="AM8" s="577">
        <v>7797</v>
      </c>
      <c r="AN8" s="577"/>
      <c r="AO8" s="577"/>
      <c r="AP8" s="577"/>
      <c r="AQ8" s="577"/>
      <c r="AR8" s="577"/>
      <c r="AS8" s="577"/>
      <c r="AT8" s="577"/>
      <c r="AU8" s="577"/>
      <c r="AV8" s="577"/>
      <c r="AW8" s="577"/>
      <c r="AX8" s="577"/>
      <c r="AY8" s="577"/>
      <c r="AZ8" s="577"/>
      <c r="BA8" s="577"/>
      <c r="BB8" s="577"/>
      <c r="BC8" s="577"/>
      <c r="BD8" s="577"/>
      <c r="BE8" s="577"/>
      <c r="BF8" s="577"/>
      <c r="BG8" s="577"/>
      <c r="BH8" s="577"/>
      <c r="BI8" s="577"/>
      <c r="BJ8" s="577"/>
      <c r="BK8" s="577"/>
      <c r="BL8" s="577">
        <v>157000</v>
      </c>
      <c r="BM8" s="577">
        <v>166940</v>
      </c>
      <c r="BN8" s="577">
        <v>166940</v>
      </c>
      <c r="BO8" s="618">
        <v>2270000</v>
      </c>
      <c r="BP8" s="618">
        <v>2270000</v>
      </c>
      <c r="BQ8" s="618">
        <v>2212000</v>
      </c>
      <c r="BR8" s="577"/>
      <c r="BS8" s="577"/>
      <c r="BT8" s="577"/>
      <c r="BU8" s="577"/>
      <c r="BV8" s="577"/>
      <c r="BW8" s="577"/>
      <c r="BX8" s="577"/>
      <c r="BY8" s="577"/>
      <c r="BZ8" s="577"/>
      <c r="CA8" s="577"/>
      <c r="CB8" s="577"/>
      <c r="CC8" s="577"/>
      <c r="CD8" s="577"/>
      <c r="CE8" s="577"/>
      <c r="CF8" s="577"/>
      <c r="CG8" s="577"/>
      <c r="CH8" s="577"/>
      <c r="CI8" s="577"/>
      <c r="CJ8" s="577"/>
      <c r="CK8" s="577"/>
      <c r="CL8" s="577"/>
      <c r="CM8" s="577"/>
      <c r="CN8" s="577"/>
      <c r="CO8" s="577"/>
      <c r="CP8" s="577"/>
      <c r="CQ8" s="577"/>
      <c r="CR8" s="577"/>
      <c r="CS8" s="577"/>
      <c r="CT8" s="577"/>
      <c r="CU8" s="577"/>
      <c r="CV8" s="577"/>
      <c r="CW8" s="577"/>
      <c r="CX8" s="577"/>
      <c r="CY8" s="577"/>
      <c r="CZ8" s="577"/>
      <c r="DA8" s="577"/>
      <c r="DB8" s="577"/>
      <c r="DC8" s="577"/>
      <c r="DD8" s="577"/>
      <c r="DE8" s="577"/>
      <c r="DF8" s="577"/>
      <c r="DG8" s="577"/>
      <c r="DH8" s="577"/>
      <c r="DI8" s="577"/>
      <c r="DJ8" s="577"/>
      <c r="DK8" s="577"/>
      <c r="DL8" s="577"/>
      <c r="DM8" s="577"/>
      <c r="DN8" s="577"/>
      <c r="DO8" s="577"/>
      <c r="DP8" s="577"/>
      <c r="DQ8" s="577">
        <v>1690007</v>
      </c>
      <c r="DR8" s="577">
        <v>131080</v>
      </c>
      <c r="DS8" s="577"/>
      <c r="DT8" s="577"/>
      <c r="DU8" s="577"/>
      <c r="DV8" s="578">
        <v>5550000</v>
      </c>
      <c r="DW8" s="578">
        <v>15331274</v>
      </c>
      <c r="DX8" s="578">
        <v>13251473</v>
      </c>
      <c r="DY8" s="578"/>
      <c r="DZ8" s="578"/>
      <c r="EA8" s="578"/>
      <c r="EB8" s="578"/>
      <c r="EC8" s="578"/>
      <c r="ED8" s="578"/>
      <c r="EE8" s="578"/>
      <c r="EF8" s="578"/>
      <c r="EG8" s="578"/>
      <c r="EH8" s="578"/>
      <c r="EI8" s="578"/>
      <c r="EJ8" s="578"/>
      <c r="EK8" s="578"/>
      <c r="EL8" s="578">
        <v>58430</v>
      </c>
      <c r="EM8" s="578"/>
      <c r="EN8" s="578"/>
      <c r="EO8" s="578"/>
      <c r="EP8" s="578"/>
      <c r="EQ8" s="577"/>
      <c r="ER8" s="577"/>
      <c r="ES8" s="577"/>
      <c r="ET8" s="577"/>
      <c r="EU8" s="577"/>
      <c r="EV8" s="577"/>
      <c r="EW8" s="577"/>
      <c r="EX8" s="577"/>
      <c r="EY8" s="577"/>
      <c r="EZ8" s="577"/>
      <c r="FA8" s="577"/>
      <c r="FB8" s="577"/>
      <c r="FC8" s="577">
        <v>8095000</v>
      </c>
      <c r="FD8" s="577">
        <v>8095000</v>
      </c>
      <c r="FE8" s="577">
        <v>7734482</v>
      </c>
      <c r="FF8" s="577"/>
      <c r="FG8" s="577"/>
      <c r="FH8" s="577"/>
      <c r="FI8" s="577"/>
      <c r="FJ8" s="577">
        <v>270000</v>
      </c>
      <c r="FK8" s="577">
        <v>270000</v>
      </c>
      <c r="FL8" s="577"/>
      <c r="FM8" s="577"/>
      <c r="FN8" s="577"/>
      <c r="FO8" s="577"/>
      <c r="FP8" s="577"/>
      <c r="FQ8" s="577"/>
      <c r="FR8" s="577"/>
      <c r="FS8" s="577"/>
      <c r="FT8" s="577"/>
      <c r="FU8" s="577"/>
      <c r="FV8" s="610"/>
      <c r="FW8" s="609"/>
      <c r="FX8" s="577"/>
      <c r="FY8" s="610"/>
      <c r="FZ8" s="609"/>
      <c r="GA8" s="577"/>
      <c r="GB8" s="697">
        <v>1272120</v>
      </c>
      <c r="GC8" s="795">
        <v>1052299</v>
      </c>
      <c r="GD8" s="577"/>
      <c r="GE8" s="610"/>
      <c r="GF8" s="795"/>
      <c r="GG8" s="577"/>
      <c r="GH8" s="610"/>
      <c r="GI8" s="795"/>
      <c r="GJ8" s="577"/>
      <c r="GK8" s="610"/>
      <c r="GL8" s="795"/>
      <c r="GM8" s="577"/>
      <c r="GN8" s="610"/>
      <c r="GO8" s="795"/>
      <c r="GP8" s="696">
        <f>+F8+I8+L8+O8+U8+AG8+AJ8+AS8+AV8+AY8+BB8+BE8+BH8+BW8+BZ8+CC8+CF8+CI8+CL8+CO8+CR8+CU8+CZ8+DC8+DL8+DO8+DR8+DU8+DX8+EA8+ED8+EJ8+EM8+ES8+EV8+EY8+FB8+FE8+FN8+FQ8+FZ8+GC8+EP8+GF8+GI8+GL8+GO8</f>
        <v>33660629</v>
      </c>
      <c r="GQ8" s="696">
        <f>+R8+X8+AA8+AD8+AM8+AP8+BK8+BN8+BQ8+BT8+DF8+DI8+EG8+FH8+FK8+FT8+FW8</f>
        <v>22774735</v>
      </c>
      <c r="GS8" s="696">
        <f>+GP8+GQ8+GR8</f>
        <v>56435364</v>
      </c>
      <c r="GT8" s="696">
        <f>+F8+I8+L8+O8+R8+U8+X8+AA8+AD8+AG8+AJ8+AM8+AP8+AS8+AV8+AY8+BB8+BE8+BH8+BK8+BN8+BQ8+BT8+BW8+BZ8+CC8+CF8+CI8+CL8+CO8+CR8+CU8+CZ8+DC8+DF8+DI8+DL8+DO8+DR8+DU8+DX8+EA8+ED8+EJ8+EG8+EM8+EP8+ES8+EV8+EY8+FB8+FE8+FH8+FK8+FN8+FQ8+FT8+FW8+FZ8+GC8+GF8+GI8+GL8+GO8</f>
        <v>56435364</v>
      </c>
    </row>
    <row r="9" spans="1:202" x14ac:dyDescent="0.25">
      <c r="A9" s="9" t="s">
        <v>16</v>
      </c>
      <c r="B9" s="13" t="s">
        <v>25</v>
      </c>
      <c r="C9" s="576" t="s">
        <v>26</v>
      </c>
      <c r="D9" s="577"/>
      <c r="E9" s="577"/>
      <c r="F9" s="577"/>
      <c r="G9" s="577"/>
      <c r="H9" s="577"/>
      <c r="I9" s="577"/>
      <c r="J9" s="580">
        <v>2493763</v>
      </c>
      <c r="K9" s="577">
        <v>1448971</v>
      </c>
      <c r="L9" s="577">
        <v>1448971</v>
      </c>
      <c r="M9" s="580">
        <v>1131525</v>
      </c>
      <c r="N9" s="577">
        <v>1262414</v>
      </c>
      <c r="O9" s="577">
        <v>1238367</v>
      </c>
      <c r="P9" s="580">
        <v>4087902</v>
      </c>
      <c r="Q9" s="577">
        <v>4720949</v>
      </c>
      <c r="R9" s="577">
        <v>3861534</v>
      </c>
      <c r="S9" s="577"/>
      <c r="T9" s="577"/>
      <c r="U9" s="577"/>
      <c r="V9" s="577">
        <v>411250</v>
      </c>
      <c r="W9" s="577">
        <v>375250</v>
      </c>
      <c r="X9" s="577">
        <v>332875</v>
      </c>
      <c r="Y9" s="577"/>
      <c r="Z9" s="577">
        <v>141630</v>
      </c>
      <c r="AA9" s="577">
        <v>141630</v>
      </c>
      <c r="AB9" s="577"/>
      <c r="AC9" s="577"/>
      <c r="AD9" s="577"/>
      <c r="AE9" s="577"/>
      <c r="AF9" s="577"/>
      <c r="AG9" s="577"/>
      <c r="AH9" s="577"/>
      <c r="AI9" s="577"/>
      <c r="AJ9" s="577"/>
      <c r="AK9" s="577">
        <v>105000</v>
      </c>
      <c r="AL9" s="577">
        <v>39652</v>
      </c>
      <c r="AM9" s="577">
        <v>4016</v>
      </c>
      <c r="AN9" s="577"/>
      <c r="AO9" s="577"/>
      <c r="AP9" s="577"/>
      <c r="AQ9" s="577"/>
      <c r="AR9" s="577"/>
      <c r="AS9" s="577"/>
      <c r="AT9" s="577"/>
      <c r="AU9" s="577"/>
      <c r="AV9" s="577"/>
      <c r="AW9" s="577"/>
      <c r="AX9" s="577"/>
      <c r="AY9" s="577"/>
      <c r="AZ9" s="577"/>
      <c r="BA9" s="577"/>
      <c r="BB9" s="577"/>
      <c r="BC9" s="577"/>
      <c r="BD9" s="577"/>
      <c r="BE9" s="577"/>
      <c r="BF9" s="577"/>
      <c r="BG9" s="577"/>
      <c r="BH9" s="577"/>
      <c r="BI9" s="577"/>
      <c r="BJ9" s="577"/>
      <c r="BK9" s="577"/>
      <c r="BL9" s="577">
        <v>43000</v>
      </c>
      <c r="BM9" s="577">
        <v>33060</v>
      </c>
      <c r="BN9" s="577">
        <v>33054</v>
      </c>
      <c r="BO9" s="618">
        <v>615000</v>
      </c>
      <c r="BP9" s="618">
        <v>615000</v>
      </c>
      <c r="BQ9" s="618">
        <v>451476</v>
      </c>
      <c r="BR9" s="577"/>
      <c r="BS9" s="577"/>
      <c r="BT9" s="577"/>
      <c r="BU9" s="577"/>
      <c r="BV9" s="577"/>
      <c r="BW9" s="577"/>
      <c r="BX9" s="577"/>
      <c r="BY9" s="577"/>
      <c r="BZ9" s="577"/>
      <c r="CA9" s="577"/>
      <c r="CB9" s="577"/>
      <c r="CC9" s="577"/>
      <c r="CD9" s="577"/>
      <c r="CE9" s="577"/>
      <c r="CF9" s="577"/>
      <c r="CG9" s="577"/>
      <c r="CH9" s="577"/>
      <c r="CI9" s="577"/>
      <c r="CJ9" s="577"/>
      <c r="CK9" s="577"/>
      <c r="CL9" s="577"/>
      <c r="CM9" s="577"/>
      <c r="CN9" s="577">
        <v>11936</v>
      </c>
      <c r="CO9" s="577">
        <v>11936</v>
      </c>
      <c r="CP9" s="577"/>
      <c r="CQ9" s="577"/>
      <c r="CR9" s="577"/>
      <c r="CS9" s="577"/>
      <c r="CT9" s="577"/>
      <c r="CU9" s="577"/>
      <c r="CV9" s="577"/>
      <c r="CW9" s="577"/>
      <c r="CX9" s="577"/>
      <c r="CY9" s="577"/>
      <c r="CZ9" s="577"/>
      <c r="DA9" s="577"/>
      <c r="DB9" s="577"/>
      <c r="DC9" s="577"/>
      <c r="DD9" s="577"/>
      <c r="DE9" s="577"/>
      <c r="DF9" s="577"/>
      <c r="DG9" s="577"/>
      <c r="DH9" s="577"/>
      <c r="DI9" s="577"/>
      <c r="DJ9" s="577"/>
      <c r="DK9" s="577"/>
      <c r="DL9" s="577"/>
      <c r="DM9" s="577"/>
      <c r="DN9" s="577"/>
      <c r="DO9" s="577"/>
      <c r="DP9" s="577"/>
      <c r="DQ9" s="577">
        <v>340993</v>
      </c>
      <c r="DR9" s="577">
        <v>25954</v>
      </c>
      <c r="DS9" s="577"/>
      <c r="DT9" s="577"/>
      <c r="DU9" s="577"/>
      <c r="DV9" s="578">
        <v>750000</v>
      </c>
      <c r="DW9" s="578">
        <v>3322640</v>
      </c>
      <c r="DX9" s="578">
        <v>1753550</v>
      </c>
      <c r="DY9" s="578"/>
      <c r="DZ9" s="578"/>
      <c r="EA9" s="578"/>
      <c r="EB9" s="578"/>
      <c r="EC9" s="578"/>
      <c r="ED9" s="578"/>
      <c r="EE9" s="578"/>
      <c r="EF9" s="578"/>
      <c r="EG9" s="578"/>
      <c r="EH9" s="578"/>
      <c r="EI9" s="578"/>
      <c r="EJ9" s="578"/>
      <c r="EK9" s="578"/>
      <c r="EL9" s="578">
        <v>11570</v>
      </c>
      <c r="EM9" s="578"/>
      <c r="EN9" s="578"/>
      <c r="EO9" s="578"/>
      <c r="EP9" s="578"/>
      <c r="EQ9" s="577"/>
      <c r="ER9" s="577"/>
      <c r="ES9" s="577"/>
      <c r="ET9" s="577"/>
      <c r="EU9" s="577"/>
      <c r="EV9" s="577"/>
      <c r="EW9" s="577"/>
      <c r="EX9" s="577"/>
      <c r="EY9" s="577"/>
      <c r="EZ9" s="577"/>
      <c r="FA9" s="577"/>
      <c r="FB9" s="577"/>
      <c r="FC9" s="577">
        <v>2186000</v>
      </c>
      <c r="FD9" s="577">
        <v>2186000</v>
      </c>
      <c r="FE9" s="577">
        <v>1482139</v>
      </c>
      <c r="FF9" s="577"/>
      <c r="FG9" s="577"/>
      <c r="FH9" s="577"/>
      <c r="FI9" s="577"/>
      <c r="FJ9" s="577">
        <v>117882</v>
      </c>
      <c r="FK9" s="577">
        <v>117882</v>
      </c>
      <c r="FL9" s="577"/>
      <c r="FM9" s="577"/>
      <c r="FN9" s="577"/>
      <c r="FO9" s="577"/>
      <c r="FP9" s="577"/>
      <c r="FQ9" s="577"/>
      <c r="FR9" s="577"/>
      <c r="FS9" s="577"/>
      <c r="FT9" s="577"/>
      <c r="FU9" s="577"/>
      <c r="FV9" s="606"/>
      <c r="FW9" s="605"/>
      <c r="FX9" s="577"/>
      <c r="FY9" s="606"/>
      <c r="FZ9" s="605"/>
      <c r="GA9" s="577"/>
      <c r="GB9" s="855">
        <v>251880</v>
      </c>
      <c r="GC9" s="799">
        <v>100752</v>
      </c>
      <c r="GD9" s="577"/>
      <c r="GE9" s="606"/>
      <c r="GF9" s="799"/>
      <c r="GG9" s="577"/>
      <c r="GH9" s="606"/>
      <c r="GI9" s="799"/>
      <c r="GJ9" s="577"/>
      <c r="GK9" s="606"/>
      <c r="GL9" s="799"/>
      <c r="GM9" s="577"/>
      <c r="GN9" s="606"/>
      <c r="GO9" s="799"/>
      <c r="GP9" s="696">
        <f t="shared" ref="GP9:GP48" si="0">+F9+I9+L9+O9+U9+AG9+AJ9+AS9+AV9+AY9+BB9+BE9+BH9+BW9+BZ9+CC9+CF9+CI9+CL9+CO9+CR9+CU9+CZ9+DC9+DL9+DO9+DR9+DU9+DX9+EA9+ED9+EJ9+EM9+ES9+EV9+EY9+FB9+FE9+FN9+FQ9+FZ9+GC9+EP9+GF9+GI9+GL9+GO9</f>
        <v>6061669</v>
      </c>
      <c r="GQ9" s="696">
        <f t="shared" ref="GQ9:GQ48" si="1">+R9+X9+AA9+AD9+AM9+AP9+BK9+BN9+BQ9+BT9+DF9+DI9+EG9+FH9+FK9+FT9+FW9</f>
        <v>4942467</v>
      </c>
      <c r="GS9" s="696">
        <f t="shared" ref="GS9:GS48" si="2">+GP9+GQ9+GR9</f>
        <v>11004136</v>
      </c>
      <c r="GT9" s="696">
        <f t="shared" ref="GT9:GT47" si="3">+F9+I9+L9+O9+R9+U9+X9+AA9+AD9+AG9+AJ9+AM9+AP9+AS9+AV9+AY9+BB9+BE9+BH9+BK9+BN9+BQ9+BT9+BW9+BZ9+CC9+CF9+CI9+CL9+CO9+CR9+CU9+CZ9+DC9+DF9+DI9+DL9+DO9+DR9+DU9+DX9+EA9+ED9+EJ9+EG9+EM9+EP9+ES9+EV9+EY9+FB9+FE9+FH9+FK9+FN9+FQ9+FT9+FW9+FZ9+GC9+GF9+GI9+GL9+GO9</f>
        <v>11004136</v>
      </c>
    </row>
    <row r="10" spans="1:202" x14ac:dyDescent="0.2">
      <c r="A10" s="9" t="s">
        <v>17</v>
      </c>
      <c r="B10" s="13" t="s">
        <v>27</v>
      </c>
      <c r="C10" s="576" t="s">
        <v>28</v>
      </c>
      <c r="D10" s="577">
        <v>1000000</v>
      </c>
      <c r="E10" s="577">
        <v>904750</v>
      </c>
      <c r="F10" s="577">
        <v>182799</v>
      </c>
      <c r="G10" s="577">
        <v>2600000</v>
      </c>
      <c r="H10" s="577">
        <v>2236039</v>
      </c>
      <c r="I10" s="577">
        <v>1041745</v>
      </c>
      <c r="J10" s="577">
        <v>24768554</v>
      </c>
      <c r="K10" s="577">
        <v>11835218</v>
      </c>
      <c r="L10" s="577">
        <v>11835218</v>
      </c>
      <c r="M10" s="577">
        <v>11768000</v>
      </c>
      <c r="N10" s="577">
        <v>11614675</v>
      </c>
      <c r="O10" s="577">
        <v>9905086</v>
      </c>
      <c r="P10" s="577">
        <v>14319633</v>
      </c>
      <c r="Q10" s="577">
        <v>13574717</v>
      </c>
      <c r="R10" s="577">
        <v>12255166</v>
      </c>
      <c r="S10" s="577">
        <v>20716674</v>
      </c>
      <c r="T10" s="577">
        <v>55224726</v>
      </c>
      <c r="U10" s="577">
        <v>47759451</v>
      </c>
      <c r="V10" s="577">
        <v>6000000</v>
      </c>
      <c r="W10" s="577">
        <v>12000000</v>
      </c>
      <c r="X10" s="577">
        <v>9984403</v>
      </c>
      <c r="Y10" s="577">
        <v>6000000</v>
      </c>
      <c r="Z10" s="577">
        <v>23297172</v>
      </c>
      <c r="AA10" s="577">
        <v>23297172</v>
      </c>
      <c r="AB10" s="577">
        <v>2000000</v>
      </c>
      <c r="AC10" s="577">
        <v>0</v>
      </c>
      <c r="AD10" s="577"/>
      <c r="AE10" s="577">
        <v>12382632</v>
      </c>
      <c r="AF10" s="577">
        <v>12382632</v>
      </c>
      <c r="AG10" s="577">
        <v>11811888</v>
      </c>
      <c r="AH10" s="577">
        <v>11811000</v>
      </c>
      <c r="AI10" s="577">
        <v>11811000</v>
      </c>
      <c r="AJ10" s="577">
        <v>11811000</v>
      </c>
      <c r="AK10" s="577">
        <v>1495000</v>
      </c>
      <c r="AL10" s="577">
        <v>1899265</v>
      </c>
      <c r="AM10" s="577">
        <v>1899265</v>
      </c>
      <c r="AN10" s="577">
        <v>503000</v>
      </c>
      <c r="AO10" s="577">
        <v>144021</v>
      </c>
      <c r="AP10" s="577">
        <v>144021</v>
      </c>
      <c r="AQ10" s="577">
        <v>2000000</v>
      </c>
      <c r="AR10" s="577">
        <v>397256</v>
      </c>
      <c r="AS10" s="577">
        <v>397256</v>
      </c>
      <c r="AT10" s="577">
        <v>1500000</v>
      </c>
      <c r="AU10" s="577">
        <v>1500000</v>
      </c>
      <c r="AV10" s="577">
        <v>1005481</v>
      </c>
      <c r="AW10" s="577"/>
      <c r="AX10" s="577"/>
      <c r="AY10" s="577"/>
      <c r="AZ10" s="577"/>
      <c r="BA10" s="577"/>
      <c r="BB10" s="577"/>
      <c r="BC10" s="577"/>
      <c r="BD10" s="577"/>
      <c r="BE10" s="577"/>
      <c r="BF10" s="577"/>
      <c r="BG10" s="577"/>
      <c r="BH10" s="577"/>
      <c r="BI10" s="577">
        <v>1500000</v>
      </c>
      <c r="BJ10" s="577">
        <v>1500000</v>
      </c>
      <c r="BK10" s="577">
        <v>1499757</v>
      </c>
      <c r="BL10" s="577">
        <v>2500000</v>
      </c>
      <c r="BM10" s="577">
        <v>2550000</v>
      </c>
      <c r="BN10" s="577">
        <v>2547400</v>
      </c>
      <c r="BO10" s="578">
        <v>1000000</v>
      </c>
      <c r="BP10" s="618">
        <v>1592000</v>
      </c>
      <c r="BQ10" s="618">
        <v>1492000</v>
      </c>
      <c r="BR10" s="577">
        <v>400000</v>
      </c>
      <c r="BS10" s="577">
        <v>400000</v>
      </c>
      <c r="BT10" s="577">
        <v>400000</v>
      </c>
      <c r="BU10" s="578">
        <v>2647718</v>
      </c>
      <c r="BV10" s="578">
        <v>3305774</v>
      </c>
      <c r="BW10" s="578">
        <v>3301280</v>
      </c>
      <c r="BX10" s="578">
        <v>3673011</v>
      </c>
      <c r="BY10" s="578">
        <v>4136044</v>
      </c>
      <c r="BZ10" s="578">
        <v>4128540</v>
      </c>
      <c r="CA10" s="578">
        <v>3957385</v>
      </c>
      <c r="CB10" s="578">
        <v>2980604</v>
      </c>
      <c r="CC10" s="578">
        <v>2980604</v>
      </c>
      <c r="CD10" s="578">
        <v>5522047</v>
      </c>
      <c r="CE10" s="578">
        <v>3680097</v>
      </c>
      <c r="CF10" s="578">
        <v>3423224</v>
      </c>
      <c r="CG10" s="578">
        <v>3575528</v>
      </c>
      <c r="CH10" s="578">
        <v>2620860</v>
      </c>
      <c r="CI10" s="578">
        <v>2534947</v>
      </c>
      <c r="CJ10" s="578">
        <v>3938336</v>
      </c>
      <c r="CK10" s="578">
        <v>3032266</v>
      </c>
      <c r="CL10" s="578">
        <v>2860748</v>
      </c>
      <c r="CM10" s="578">
        <v>5634412</v>
      </c>
      <c r="CN10" s="578">
        <v>4082532</v>
      </c>
      <c r="CO10" s="578">
        <v>3885886</v>
      </c>
      <c r="CP10" s="578">
        <v>720124</v>
      </c>
      <c r="CQ10" s="578">
        <v>720124</v>
      </c>
      <c r="CR10" s="578">
        <v>208563</v>
      </c>
      <c r="CS10" s="578">
        <v>2018549</v>
      </c>
      <c r="CT10" s="578">
        <v>1290154</v>
      </c>
      <c r="CU10" s="578">
        <v>1077158</v>
      </c>
      <c r="CV10" s="577"/>
      <c r="CW10" s="577"/>
      <c r="CX10" s="577"/>
      <c r="CY10" s="577"/>
      <c r="CZ10" s="577"/>
      <c r="DA10" s="577"/>
      <c r="DB10" s="577"/>
      <c r="DC10" s="577"/>
      <c r="DD10" s="577">
        <v>635000</v>
      </c>
      <c r="DE10" s="577">
        <v>635000</v>
      </c>
      <c r="DF10" s="577"/>
      <c r="DG10" s="577">
        <v>10020080</v>
      </c>
      <c r="DH10" s="577">
        <v>19020080</v>
      </c>
      <c r="DI10" s="577">
        <v>14772260</v>
      </c>
      <c r="DJ10" s="577"/>
      <c r="DK10" s="577">
        <v>60471732</v>
      </c>
      <c r="DL10" s="577"/>
      <c r="DM10" s="577">
        <v>3235875</v>
      </c>
      <c r="DN10" s="577">
        <v>3127061</v>
      </c>
      <c r="DO10" s="577">
        <v>3127061</v>
      </c>
      <c r="DP10" s="577"/>
      <c r="DQ10" s="577">
        <v>7104193</v>
      </c>
      <c r="DR10" s="577">
        <v>3328480</v>
      </c>
      <c r="DS10" s="577">
        <v>4825500</v>
      </c>
      <c r="DT10" s="577">
        <v>325500</v>
      </c>
      <c r="DU10" s="577"/>
      <c r="DV10" s="578">
        <v>2555000</v>
      </c>
      <c r="DW10" s="578">
        <v>3548000</v>
      </c>
      <c r="DX10" s="578">
        <v>1379292</v>
      </c>
      <c r="DY10" s="578"/>
      <c r="DZ10" s="578"/>
      <c r="EA10" s="578"/>
      <c r="EB10" s="578"/>
      <c r="EC10" s="578"/>
      <c r="ED10" s="578"/>
      <c r="EE10" s="578"/>
      <c r="EF10" s="578"/>
      <c r="EG10" s="578"/>
      <c r="EH10" s="578"/>
      <c r="EI10" s="578"/>
      <c r="EJ10" s="578"/>
      <c r="EK10" s="578"/>
      <c r="EL10" s="578">
        <v>6770000</v>
      </c>
      <c r="EM10" s="578"/>
      <c r="EN10" s="578"/>
      <c r="EO10" s="578">
        <v>114300</v>
      </c>
      <c r="EP10" s="578">
        <v>114300</v>
      </c>
      <c r="EQ10" s="577">
        <v>4500000</v>
      </c>
      <c r="ER10" s="577">
        <v>4500000</v>
      </c>
      <c r="ES10" s="577">
        <v>3642000</v>
      </c>
      <c r="ET10" s="577">
        <v>5000000</v>
      </c>
      <c r="EU10" s="577">
        <v>0</v>
      </c>
      <c r="EV10" s="577"/>
      <c r="EW10" s="577">
        <v>4449513</v>
      </c>
      <c r="EX10" s="577">
        <v>6218339</v>
      </c>
      <c r="EY10" s="577">
        <v>5634361</v>
      </c>
      <c r="EZ10" s="577">
        <v>5000000</v>
      </c>
      <c r="FA10" s="577">
        <v>594360</v>
      </c>
      <c r="FB10" s="577">
        <v>594360</v>
      </c>
      <c r="FC10" s="577">
        <v>2910583</v>
      </c>
      <c r="FD10" s="577">
        <v>2923103</v>
      </c>
      <c r="FE10" s="577">
        <v>1079625</v>
      </c>
      <c r="FF10" s="577"/>
      <c r="FG10" s="577"/>
      <c r="FH10" s="577"/>
      <c r="FI10" s="577">
        <f>6000000-6000000</f>
        <v>0</v>
      </c>
      <c r="FJ10" s="577">
        <v>6468741</v>
      </c>
      <c r="FK10" s="577">
        <v>6468741</v>
      </c>
      <c r="FL10" s="577"/>
      <c r="FM10" s="577"/>
      <c r="FN10" s="577"/>
      <c r="FO10" s="577"/>
      <c r="FP10" s="577"/>
      <c r="FQ10" s="577"/>
      <c r="FR10" s="577"/>
      <c r="FS10" s="577"/>
      <c r="FT10" s="577"/>
      <c r="FU10" s="577"/>
      <c r="FV10" s="617">
        <v>835401</v>
      </c>
      <c r="FW10" s="616">
        <v>835401</v>
      </c>
      <c r="FX10" s="577"/>
      <c r="FY10" s="617"/>
      <c r="FZ10" s="616"/>
      <c r="GA10" s="577"/>
      <c r="GB10" s="617">
        <v>3624612</v>
      </c>
      <c r="GC10" s="849">
        <v>3068955</v>
      </c>
      <c r="GD10" s="577"/>
      <c r="GE10" s="617">
        <v>680000</v>
      </c>
      <c r="GF10" s="849">
        <v>130000</v>
      </c>
      <c r="GG10" s="577"/>
      <c r="GH10" s="617">
        <v>138700</v>
      </c>
      <c r="GI10" s="849">
        <v>138700</v>
      </c>
      <c r="GJ10" s="577"/>
      <c r="GK10" s="617"/>
      <c r="GL10" s="849"/>
      <c r="GM10" s="577"/>
      <c r="GN10" s="617">
        <v>762000</v>
      </c>
      <c r="GO10" s="849"/>
      <c r="GP10" s="696">
        <f t="shared" si="0"/>
        <v>142388008</v>
      </c>
      <c r="GQ10" s="696">
        <f t="shared" si="1"/>
        <v>75595586</v>
      </c>
      <c r="GS10" s="696">
        <f t="shared" si="2"/>
        <v>217983594</v>
      </c>
      <c r="GT10" s="696">
        <f t="shared" si="3"/>
        <v>217983594</v>
      </c>
    </row>
    <row r="11" spans="1:202" x14ac:dyDescent="0.25">
      <c r="A11" s="9" t="s">
        <v>18</v>
      </c>
      <c r="B11" s="16" t="s">
        <v>29</v>
      </c>
      <c r="C11" s="576" t="s">
        <v>30</v>
      </c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577"/>
      <c r="AN11" s="577"/>
      <c r="AO11" s="577"/>
      <c r="AP11" s="577"/>
      <c r="AQ11" s="577"/>
      <c r="AR11" s="577"/>
      <c r="AS11" s="577"/>
      <c r="AT11" s="577"/>
      <c r="AU11" s="577"/>
      <c r="AV11" s="577"/>
      <c r="AW11" s="577"/>
      <c r="AX11" s="577"/>
      <c r="AY11" s="577"/>
      <c r="AZ11" s="577"/>
      <c r="BA11" s="577"/>
      <c r="BB11" s="577"/>
      <c r="BC11" s="577"/>
      <c r="BD11" s="577"/>
      <c r="BE11" s="577"/>
      <c r="BF11" s="577"/>
      <c r="BG11" s="577"/>
      <c r="BH11" s="577"/>
      <c r="BI11" s="577"/>
      <c r="BJ11" s="577"/>
      <c r="BK11" s="577"/>
      <c r="BL11" s="577"/>
      <c r="BM11" s="577"/>
      <c r="BN11" s="577"/>
      <c r="BO11" s="577"/>
      <c r="BP11" s="577"/>
      <c r="BQ11" s="577"/>
      <c r="BR11" s="577"/>
      <c r="BS11" s="577"/>
      <c r="BT11" s="577"/>
      <c r="BU11" s="577"/>
      <c r="BV11" s="577"/>
      <c r="BW11" s="577"/>
      <c r="BX11" s="577"/>
      <c r="BY11" s="577"/>
      <c r="BZ11" s="577"/>
      <c r="CA11" s="577"/>
      <c r="CB11" s="577"/>
      <c r="CC11" s="577"/>
      <c r="CD11" s="577"/>
      <c r="CE11" s="577">
        <v>0</v>
      </c>
      <c r="CF11" s="577"/>
      <c r="CG11" s="577"/>
      <c r="CH11" s="577"/>
      <c r="CI11" s="577"/>
      <c r="CJ11" s="577"/>
      <c r="CK11" s="577"/>
      <c r="CL11" s="577"/>
      <c r="CM11" s="577"/>
      <c r="CN11" s="577"/>
      <c r="CO11" s="577"/>
      <c r="CP11" s="577"/>
      <c r="CQ11" s="577"/>
      <c r="CR11" s="577"/>
      <c r="CS11" s="577"/>
      <c r="CT11" s="577"/>
      <c r="CU11" s="577"/>
      <c r="CV11" s="577"/>
      <c r="CW11" s="577"/>
      <c r="CX11" s="577"/>
      <c r="CY11" s="577"/>
      <c r="CZ11" s="577"/>
      <c r="DA11" s="577"/>
      <c r="DB11" s="577"/>
      <c r="DC11" s="577"/>
      <c r="DD11" s="577"/>
      <c r="DE11" s="577"/>
      <c r="DF11" s="577"/>
      <c r="DG11" s="577"/>
      <c r="DH11" s="577"/>
      <c r="DI11" s="577"/>
      <c r="DJ11" s="577"/>
      <c r="DK11" s="577"/>
      <c r="DL11" s="577"/>
      <c r="DM11" s="577"/>
      <c r="DN11" s="577"/>
      <c r="DO11" s="577"/>
      <c r="DP11" s="577"/>
      <c r="DQ11" s="577"/>
      <c r="DR11" s="577"/>
      <c r="DS11" s="577"/>
      <c r="DT11" s="577"/>
      <c r="DU11" s="577"/>
      <c r="DV11" s="578"/>
      <c r="DW11" s="578"/>
      <c r="DX11" s="578"/>
      <c r="DY11" s="578"/>
      <c r="DZ11" s="578"/>
      <c r="EA11" s="578"/>
      <c r="EB11" s="578"/>
      <c r="EC11" s="578"/>
      <c r="ED11" s="578"/>
      <c r="EE11" s="578"/>
      <c r="EF11" s="578"/>
      <c r="EG11" s="578"/>
      <c r="EH11" s="578"/>
      <c r="EI11" s="578"/>
      <c r="EJ11" s="578"/>
      <c r="EK11" s="578"/>
      <c r="EL11" s="578"/>
      <c r="EM11" s="578"/>
      <c r="EN11" s="578"/>
      <c r="EO11" s="578"/>
      <c r="EP11" s="578"/>
      <c r="EQ11" s="577"/>
      <c r="ER11" s="577"/>
      <c r="ES11" s="577"/>
      <c r="ET11" s="577"/>
      <c r="EU11" s="577"/>
      <c r="EV11" s="577"/>
      <c r="EW11" s="577"/>
      <c r="EX11" s="577"/>
      <c r="EY11" s="577"/>
      <c r="EZ11" s="577"/>
      <c r="FA11" s="577"/>
      <c r="FB11" s="577"/>
      <c r="FC11" s="577"/>
      <c r="FD11" s="577"/>
      <c r="FE11" s="577"/>
      <c r="FF11" s="577"/>
      <c r="FG11" s="577"/>
      <c r="FH11" s="577"/>
      <c r="FI11" s="577"/>
      <c r="FJ11" s="577"/>
      <c r="FK11" s="577"/>
      <c r="FL11" s="577">
        <v>250000</v>
      </c>
      <c r="FM11" s="577">
        <v>500000</v>
      </c>
      <c r="FN11" s="577">
        <v>418000</v>
      </c>
      <c r="FO11" s="577">
        <v>350000</v>
      </c>
      <c r="FP11" s="577">
        <v>700000</v>
      </c>
      <c r="FQ11" s="577">
        <v>79398</v>
      </c>
      <c r="FR11" s="577"/>
      <c r="FS11" s="577"/>
      <c r="FT11" s="577"/>
      <c r="FU11" s="577"/>
      <c r="FV11" s="610"/>
      <c r="FW11" s="609"/>
      <c r="FX11" s="577">
        <v>1000000</v>
      </c>
      <c r="FY11" s="697">
        <v>3700000</v>
      </c>
      <c r="FZ11" s="795">
        <v>3554955</v>
      </c>
      <c r="GA11" s="577"/>
      <c r="GB11" s="697"/>
      <c r="GC11" s="795"/>
      <c r="GD11" s="577"/>
      <c r="GE11" s="697"/>
      <c r="GF11" s="795"/>
      <c r="GG11" s="577"/>
      <c r="GH11" s="697"/>
      <c r="GI11" s="795"/>
      <c r="GJ11" s="577"/>
      <c r="GK11" s="697"/>
      <c r="GL11" s="795"/>
      <c r="GM11" s="577"/>
      <c r="GN11" s="697"/>
      <c r="GO11" s="795"/>
      <c r="GP11" s="696">
        <f t="shared" si="0"/>
        <v>4052353</v>
      </c>
      <c r="GQ11" s="696">
        <f t="shared" si="1"/>
        <v>0</v>
      </c>
      <c r="GS11" s="696">
        <f t="shared" si="2"/>
        <v>4052353</v>
      </c>
      <c r="GT11" s="696">
        <f t="shared" si="3"/>
        <v>4052353</v>
      </c>
    </row>
    <row r="12" spans="1:202" x14ac:dyDescent="0.2">
      <c r="A12" s="9" t="s">
        <v>19</v>
      </c>
      <c r="B12" s="16" t="s">
        <v>31</v>
      </c>
      <c r="C12" s="576" t="s">
        <v>32</v>
      </c>
      <c r="D12" s="577">
        <f>+D13+D14+D15</f>
        <v>0</v>
      </c>
      <c r="E12" s="577">
        <f>+E13+E14+E15</f>
        <v>0</v>
      </c>
      <c r="F12" s="577"/>
      <c r="G12" s="577">
        <f>+G13+G14+G15</f>
        <v>0</v>
      </c>
      <c r="H12" s="577">
        <f>+H13+H14+H15</f>
        <v>0</v>
      </c>
      <c r="I12" s="577"/>
      <c r="J12" s="577">
        <f>+J13+J14+J15</f>
        <v>0</v>
      </c>
      <c r="K12" s="577">
        <f>+K13+K14+K15</f>
        <v>0</v>
      </c>
      <c r="L12" s="577"/>
      <c r="M12" s="577">
        <f>+M13+M14+M15</f>
        <v>0</v>
      </c>
      <c r="N12" s="577">
        <f>+N13+N14+N15</f>
        <v>0</v>
      </c>
      <c r="O12" s="577"/>
      <c r="P12" s="577">
        <f>+P13+P14+P15</f>
        <v>0</v>
      </c>
      <c r="Q12" s="577">
        <f>+Q13+Q14+Q15</f>
        <v>0</v>
      </c>
      <c r="R12" s="577"/>
      <c r="S12" s="577">
        <f>+S13+S14+S15</f>
        <v>0</v>
      </c>
      <c r="T12" s="577">
        <f>+T13+T14+T15</f>
        <v>0</v>
      </c>
      <c r="U12" s="577"/>
      <c r="V12" s="577">
        <f>+V13+V14+V15</f>
        <v>0</v>
      </c>
      <c r="W12" s="577">
        <f>+W13+W14+W15</f>
        <v>0</v>
      </c>
      <c r="X12" s="577"/>
      <c r="Y12" s="577">
        <f>+Y13+Y14+Y15</f>
        <v>0</v>
      </c>
      <c r="Z12" s="577">
        <f>+Z13+Z14+Z15</f>
        <v>0</v>
      </c>
      <c r="AA12" s="577"/>
      <c r="AB12" s="577">
        <f>+AB13+AB14+AB15</f>
        <v>0</v>
      </c>
      <c r="AC12" s="577">
        <f>+AC13+AC14+AC15</f>
        <v>0</v>
      </c>
      <c r="AD12" s="577"/>
      <c r="AE12" s="577">
        <v>7656000</v>
      </c>
      <c r="AF12" s="577">
        <v>7656000</v>
      </c>
      <c r="AG12" s="577">
        <v>7656000</v>
      </c>
      <c r="AH12" s="577">
        <f>+AH13+AH14+AH15</f>
        <v>0</v>
      </c>
      <c r="AI12" s="577">
        <f>+AI13+AI14+AI15</f>
        <v>0</v>
      </c>
      <c r="AJ12" s="577"/>
      <c r="AK12" s="577">
        <f>+AK13+AK14+AK15</f>
        <v>0</v>
      </c>
      <c r="AL12" s="577">
        <f>+AL13+AL14+AL15</f>
        <v>0</v>
      </c>
      <c r="AM12" s="577"/>
      <c r="AN12" s="577">
        <f>+AN13+AN14+AN15</f>
        <v>0</v>
      </c>
      <c r="AO12" s="577">
        <f>+AO13+AO14+AO15</f>
        <v>0</v>
      </c>
      <c r="AP12" s="577"/>
      <c r="AQ12" s="577">
        <f>+AQ13+AQ14+AQ15</f>
        <v>0</v>
      </c>
      <c r="AR12" s="577">
        <f>+AR13+AR14+AR15</f>
        <v>0</v>
      </c>
      <c r="AS12" s="577"/>
      <c r="AT12" s="577">
        <f>+AT13+AT14+AT15</f>
        <v>0</v>
      </c>
      <c r="AU12" s="577">
        <f>+AU13+AU14+AU15</f>
        <v>0</v>
      </c>
      <c r="AV12" s="577"/>
      <c r="AW12" s="577">
        <f>+AW13+AW14+AW15</f>
        <v>0</v>
      </c>
      <c r="AX12" s="577">
        <f>+AX13+AX14+AX15</f>
        <v>0</v>
      </c>
      <c r="AY12" s="577"/>
      <c r="AZ12" s="577">
        <f>+AZ13+AZ14+AZ15</f>
        <v>0</v>
      </c>
      <c r="BA12" s="577">
        <f>+BA13+BA14+BA15</f>
        <v>0</v>
      </c>
      <c r="BB12" s="577"/>
      <c r="BC12" s="577">
        <f>+BC13+BC14+BC15</f>
        <v>0</v>
      </c>
      <c r="BD12" s="577">
        <f>+BD13+BD14+BD15</f>
        <v>0</v>
      </c>
      <c r="BE12" s="577"/>
      <c r="BF12" s="577">
        <f>+BF13+BF14+BF15</f>
        <v>0</v>
      </c>
      <c r="BG12" s="577">
        <f>+BG13+BG14+BG15</f>
        <v>0</v>
      </c>
      <c r="BH12" s="577"/>
      <c r="BI12" s="577">
        <f>+BI13+BI14+BI15</f>
        <v>0</v>
      </c>
      <c r="BJ12" s="577">
        <f>+BJ13+BJ14+BJ15</f>
        <v>0</v>
      </c>
      <c r="BK12" s="577"/>
      <c r="BL12" s="577">
        <f>+BL13+BL14+BL15</f>
        <v>0</v>
      </c>
      <c r="BM12" s="577">
        <f>+BM13+BM14+BM15</f>
        <v>0</v>
      </c>
      <c r="BN12" s="577"/>
      <c r="BO12" s="577">
        <f>+BO13+BO14+BO15</f>
        <v>0</v>
      </c>
      <c r="BP12" s="577">
        <f>+BP13+BP14+BP15</f>
        <v>0</v>
      </c>
      <c r="BQ12" s="577"/>
      <c r="BR12" s="577">
        <f>+BR13+BR14+BR15</f>
        <v>0</v>
      </c>
      <c r="BS12" s="577">
        <f>+BS13+BS14+BS15</f>
        <v>0</v>
      </c>
      <c r="BT12" s="577"/>
      <c r="BU12" s="577">
        <f>+BU13+BU14+BU15</f>
        <v>0</v>
      </c>
      <c r="BV12" s="577">
        <v>0</v>
      </c>
      <c r="BW12" s="577"/>
      <c r="BX12" s="577">
        <f>+BX13+BX14+BX15</f>
        <v>0</v>
      </c>
      <c r="BY12" s="577">
        <v>0</v>
      </c>
      <c r="BZ12" s="577"/>
      <c r="CA12" s="577">
        <f>+CA13+CA14+CA15</f>
        <v>0</v>
      </c>
      <c r="CB12" s="577">
        <v>0</v>
      </c>
      <c r="CC12" s="577"/>
      <c r="CD12" s="577">
        <f>+CD13+CD14+CD15</f>
        <v>0</v>
      </c>
      <c r="CE12" s="577">
        <v>0</v>
      </c>
      <c r="CF12" s="577"/>
      <c r="CG12" s="577">
        <f>+CG13+CG14+CG15</f>
        <v>0</v>
      </c>
      <c r="CH12" s="577">
        <v>0</v>
      </c>
      <c r="CI12" s="577"/>
      <c r="CJ12" s="577">
        <f>+CJ13+CJ14+CJ15</f>
        <v>0</v>
      </c>
      <c r="CK12" s="577">
        <v>0</v>
      </c>
      <c r="CL12" s="577"/>
      <c r="CM12" s="577">
        <f>+CM13+CM14+CM15</f>
        <v>0</v>
      </c>
      <c r="CN12" s="577">
        <v>0</v>
      </c>
      <c r="CO12" s="577"/>
      <c r="CP12" s="577">
        <f>+CP13+CP14+CP15</f>
        <v>0</v>
      </c>
      <c r="CQ12" s="577">
        <f>+CQ13+CQ14+CQ15</f>
        <v>0</v>
      </c>
      <c r="CR12" s="577"/>
      <c r="CS12" s="577">
        <f>+CS13+CS14+CS15</f>
        <v>0</v>
      </c>
      <c r="CT12" s="577">
        <f>+CT13+CT14+CT15</f>
        <v>0</v>
      </c>
      <c r="CU12" s="577"/>
      <c r="CV12" s="577">
        <v>395029201</v>
      </c>
      <c r="CW12" s="577">
        <v>835415764</v>
      </c>
      <c r="CX12" s="577">
        <f>+CX13+CX14+CX15</f>
        <v>0</v>
      </c>
      <c r="CY12" s="577">
        <f>+CY13+CY14+CY15</f>
        <v>0</v>
      </c>
      <c r="CZ12" s="577"/>
      <c r="DA12" s="577">
        <f>+DA13+DA14+DA15</f>
        <v>0</v>
      </c>
      <c r="DB12" s="577">
        <f>+DB13+DB14+DB15</f>
        <v>0</v>
      </c>
      <c r="DC12" s="577"/>
      <c r="DD12" s="577">
        <f>+DD13+DD14+DD15</f>
        <v>0</v>
      </c>
      <c r="DE12" s="577">
        <f>+DE13+DE14+DE15</f>
        <v>0</v>
      </c>
      <c r="DF12" s="577"/>
      <c r="DG12" s="577">
        <f>+DG13+DG14+DG15</f>
        <v>0</v>
      </c>
      <c r="DH12" s="577">
        <f>+DH13+DH14+DH15</f>
        <v>0</v>
      </c>
      <c r="DI12" s="577"/>
      <c r="DJ12" s="577">
        <f>+DJ13+DJ14+DJ15</f>
        <v>0</v>
      </c>
      <c r="DK12" s="577">
        <f>+DK13+DK14+DK15</f>
        <v>0</v>
      </c>
      <c r="DL12" s="577"/>
      <c r="DM12" s="577">
        <f>+DM13+DM14+DM15</f>
        <v>0</v>
      </c>
      <c r="DN12" s="577">
        <f>+DN13+DN14+DN15</f>
        <v>0</v>
      </c>
      <c r="DO12" s="577"/>
      <c r="DP12" s="577">
        <f>+DP13+DP14+DP15</f>
        <v>0</v>
      </c>
      <c r="DQ12" s="577">
        <f>+DQ13+DQ14+DQ15</f>
        <v>0</v>
      </c>
      <c r="DR12" s="577"/>
      <c r="DS12" s="577">
        <f>+DS13+DS14+DS15</f>
        <v>0</v>
      </c>
      <c r="DT12" s="577">
        <f>+DT13+DT14+DT15</f>
        <v>0</v>
      </c>
      <c r="DU12" s="577"/>
      <c r="DV12" s="577">
        <f>+DV13+DV14+DV15</f>
        <v>0</v>
      </c>
      <c r="DW12" s="577">
        <f>+DW13+DW14+DW15</f>
        <v>0</v>
      </c>
      <c r="DX12" s="577"/>
      <c r="DY12" s="577">
        <f>+DY13+DY14+DY15</f>
        <v>0</v>
      </c>
      <c r="DZ12" s="577">
        <f>+DZ13+DZ14+DZ15</f>
        <v>0</v>
      </c>
      <c r="EA12" s="577"/>
      <c r="EB12" s="577"/>
      <c r="EC12" s="577"/>
      <c r="ED12" s="577"/>
      <c r="EE12" s="577">
        <v>6000000</v>
      </c>
      <c r="EF12" s="577">
        <v>18000000</v>
      </c>
      <c r="EG12" s="577">
        <v>18000000</v>
      </c>
      <c r="EH12" s="577"/>
      <c r="EI12" s="577"/>
      <c r="EJ12" s="577"/>
      <c r="EK12" s="577"/>
      <c r="EL12" s="577"/>
      <c r="EM12" s="577"/>
      <c r="EN12" s="577"/>
      <c r="EO12" s="577"/>
      <c r="EP12" s="577"/>
      <c r="EQ12" s="577">
        <f>+EQ13+EQ14+EQ15</f>
        <v>0</v>
      </c>
      <c r="ER12" s="577">
        <f>+ER13+ER14+ER15</f>
        <v>0</v>
      </c>
      <c r="ES12" s="577">
        <f>+ES13+ES14+ES15</f>
        <v>0</v>
      </c>
      <c r="ET12" s="577">
        <f>+ET13+ET14+ET15</f>
        <v>0</v>
      </c>
      <c r="EU12" s="577">
        <f>+EU13+EU14+EU15</f>
        <v>0</v>
      </c>
      <c r="EV12" s="577"/>
      <c r="EW12" s="577">
        <f>+EW13+EW14+EW15</f>
        <v>0</v>
      </c>
      <c r="EX12" s="577">
        <f>+EX13+EX14+EX15</f>
        <v>0</v>
      </c>
      <c r="EY12" s="577">
        <f>+EY13+EY14+EY15</f>
        <v>0</v>
      </c>
      <c r="EZ12" s="577">
        <f>+EZ13+EZ14+EZ15</f>
        <v>0</v>
      </c>
      <c r="FA12" s="577">
        <f>+FA13+FA14+FA15</f>
        <v>0</v>
      </c>
      <c r="FB12" s="577"/>
      <c r="FC12" s="577">
        <f>+FC13+FC14+FC15</f>
        <v>0</v>
      </c>
      <c r="FD12" s="577">
        <f>+FD13+FD14+FD15</f>
        <v>0</v>
      </c>
      <c r="FE12" s="577"/>
      <c r="FF12" s="577">
        <f>+FF13+FF14+FF15</f>
        <v>0</v>
      </c>
      <c r="FG12" s="577">
        <f>+FG13+FG14+FG15</f>
        <v>0</v>
      </c>
      <c r="FH12" s="577"/>
      <c r="FI12" s="577">
        <f>+FI13+FI14+FI15</f>
        <v>0</v>
      </c>
      <c r="FJ12" s="577">
        <f>+FJ13+FJ14+FJ15</f>
        <v>0</v>
      </c>
      <c r="FK12" s="577"/>
      <c r="FL12" s="577">
        <f>+FL13+FL14+FL15</f>
        <v>0</v>
      </c>
      <c r="FM12" s="577">
        <f>+FM13+FM14+FM15</f>
        <v>0</v>
      </c>
      <c r="FN12" s="577"/>
      <c r="FO12" s="577">
        <f>+FO13+FO14+FO15</f>
        <v>0</v>
      </c>
      <c r="FP12" s="577">
        <f>+FP13+FP14+FP15</f>
        <v>0</v>
      </c>
      <c r="FQ12" s="577"/>
      <c r="FR12" s="577">
        <f>+FR13+FR14+FR15</f>
        <v>0</v>
      </c>
      <c r="FS12" s="577">
        <f>+FS13+FS14+FS15</f>
        <v>0</v>
      </c>
      <c r="FT12" s="577"/>
      <c r="FU12" s="577">
        <f>+FU13+FU14+FU15</f>
        <v>0</v>
      </c>
      <c r="FV12" s="577">
        <f>+FV13+FV14+FV15</f>
        <v>0</v>
      </c>
      <c r="FW12" s="577"/>
      <c r="FX12" s="577">
        <f>+FX13+FX14+FX15</f>
        <v>0</v>
      </c>
      <c r="FY12" s="577">
        <f>+FY13+FY14+FY15</f>
        <v>0</v>
      </c>
      <c r="FZ12" s="577"/>
      <c r="GA12" s="577"/>
      <c r="GB12" s="577"/>
      <c r="GC12" s="577"/>
      <c r="GD12" s="577"/>
      <c r="GE12" s="577"/>
      <c r="GF12" s="577"/>
      <c r="GG12" s="577"/>
      <c r="GH12" s="577"/>
      <c r="GI12" s="577"/>
      <c r="GJ12" s="577"/>
      <c r="GK12" s="577"/>
      <c r="GL12" s="577"/>
      <c r="GM12" s="577"/>
      <c r="GN12" s="577"/>
      <c r="GO12" s="577"/>
      <c r="GP12" s="696">
        <f t="shared" si="0"/>
        <v>7656000</v>
      </c>
      <c r="GQ12" s="696">
        <f t="shared" si="1"/>
        <v>18000000</v>
      </c>
      <c r="GS12" s="696">
        <f t="shared" si="2"/>
        <v>25656000</v>
      </c>
      <c r="GT12" s="696">
        <f t="shared" si="3"/>
        <v>25656000</v>
      </c>
    </row>
    <row r="13" spans="1:202" x14ac:dyDescent="0.25">
      <c r="A13" s="9" t="s">
        <v>20</v>
      </c>
      <c r="B13" s="17" t="s">
        <v>33</v>
      </c>
      <c r="C13" s="576"/>
      <c r="D13" s="577"/>
      <c r="E13" s="577"/>
      <c r="F13" s="577"/>
      <c r="G13" s="577"/>
      <c r="H13" s="577"/>
      <c r="I13" s="577"/>
      <c r="J13" s="577"/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>
        <v>7656000</v>
      </c>
      <c r="AF13" s="577">
        <v>7656000</v>
      </c>
      <c r="AG13" s="577">
        <v>7656000</v>
      </c>
      <c r="AH13" s="577"/>
      <c r="AI13" s="577"/>
      <c r="AJ13" s="577"/>
      <c r="AK13" s="577"/>
      <c r="AL13" s="577"/>
      <c r="AM13" s="577"/>
      <c r="AN13" s="577"/>
      <c r="AO13" s="577"/>
      <c r="AP13" s="577"/>
      <c r="AQ13" s="577"/>
      <c r="AR13" s="577"/>
      <c r="AS13" s="577"/>
      <c r="AT13" s="577"/>
      <c r="AU13" s="577"/>
      <c r="AV13" s="577"/>
      <c r="AW13" s="577"/>
      <c r="AX13" s="577"/>
      <c r="AY13" s="577"/>
      <c r="AZ13" s="577"/>
      <c r="BA13" s="577"/>
      <c r="BB13" s="577"/>
      <c r="BC13" s="577"/>
      <c r="BD13" s="577"/>
      <c r="BE13" s="577"/>
      <c r="BF13" s="577"/>
      <c r="BG13" s="577"/>
      <c r="BH13" s="577"/>
      <c r="BI13" s="577"/>
      <c r="BJ13" s="577"/>
      <c r="BK13" s="577"/>
      <c r="BL13" s="577"/>
      <c r="BM13" s="577"/>
      <c r="BN13" s="577"/>
      <c r="BO13" s="577"/>
      <c r="BP13" s="577"/>
      <c r="BQ13" s="577"/>
      <c r="BR13" s="577"/>
      <c r="BS13" s="577"/>
      <c r="BT13" s="577"/>
      <c r="BU13" s="577"/>
      <c r="BV13" s="577">
        <v>0</v>
      </c>
      <c r="BW13" s="577"/>
      <c r="BX13" s="577"/>
      <c r="BY13" s="577">
        <v>0</v>
      </c>
      <c r="BZ13" s="577"/>
      <c r="CA13" s="577"/>
      <c r="CB13" s="577">
        <v>0</v>
      </c>
      <c r="CC13" s="577"/>
      <c r="CD13" s="577"/>
      <c r="CE13" s="577">
        <v>0</v>
      </c>
      <c r="CF13" s="577"/>
      <c r="CG13" s="577"/>
      <c r="CH13" s="577">
        <v>0</v>
      </c>
      <c r="CI13" s="577"/>
      <c r="CJ13" s="577"/>
      <c r="CK13" s="577">
        <v>0</v>
      </c>
      <c r="CL13" s="577"/>
      <c r="CM13" s="577"/>
      <c r="CN13" s="577">
        <v>0</v>
      </c>
      <c r="CO13" s="577"/>
      <c r="CP13" s="577"/>
      <c r="CQ13" s="577"/>
      <c r="CR13" s="577"/>
      <c r="CS13" s="577"/>
      <c r="CT13" s="577"/>
      <c r="CU13" s="577"/>
      <c r="CV13" s="577"/>
      <c r="CW13" s="577"/>
      <c r="CX13" s="577"/>
      <c r="CY13" s="577"/>
      <c r="CZ13" s="577"/>
      <c r="DA13" s="577"/>
      <c r="DB13" s="577"/>
      <c r="DC13" s="577"/>
      <c r="DD13" s="577"/>
      <c r="DE13" s="577"/>
      <c r="DF13" s="577"/>
      <c r="DG13" s="577"/>
      <c r="DH13" s="577"/>
      <c r="DI13" s="577"/>
      <c r="DJ13" s="577"/>
      <c r="DK13" s="577"/>
      <c r="DL13" s="577"/>
      <c r="DM13" s="577"/>
      <c r="DN13" s="577"/>
      <c r="DO13" s="577"/>
      <c r="DP13" s="577"/>
      <c r="DQ13" s="577"/>
      <c r="DR13" s="577"/>
      <c r="DS13" s="577"/>
      <c r="DT13" s="577"/>
      <c r="DU13" s="577"/>
      <c r="DV13" s="578"/>
      <c r="DW13" s="578"/>
      <c r="DX13" s="578"/>
      <c r="DY13" s="578"/>
      <c r="DZ13" s="578"/>
      <c r="EA13" s="578"/>
      <c r="EB13" s="578"/>
      <c r="EC13" s="578"/>
      <c r="ED13" s="578"/>
      <c r="EE13" s="578">
        <v>6000000</v>
      </c>
      <c r="EF13" s="578">
        <v>18000000</v>
      </c>
      <c r="EG13" s="578">
        <f>+EG12</f>
        <v>18000000</v>
      </c>
      <c r="EH13" s="578"/>
      <c r="EI13" s="578"/>
      <c r="EJ13" s="578"/>
      <c r="EK13" s="578"/>
      <c r="EL13" s="578"/>
      <c r="EM13" s="578"/>
      <c r="EN13" s="578"/>
      <c r="EO13" s="578"/>
      <c r="EP13" s="578"/>
      <c r="EQ13" s="577"/>
      <c r="ER13" s="577"/>
      <c r="ES13" s="577"/>
      <c r="ET13" s="577"/>
      <c r="EU13" s="577"/>
      <c r="EV13" s="577"/>
      <c r="EW13" s="577"/>
      <c r="EX13" s="577"/>
      <c r="EY13" s="577"/>
      <c r="EZ13" s="577"/>
      <c r="FA13" s="577"/>
      <c r="FB13" s="577"/>
      <c r="FC13" s="577"/>
      <c r="FD13" s="577"/>
      <c r="FE13" s="577"/>
      <c r="FF13" s="577"/>
      <c r="FG13" s="577"/>
      <c r="FH13" s="577"/>
      <c r="FI13" s="577"/>
      <c r="FJ13" s="577"/>
      <c r="FK13" s="577"/>
      <c r="FL13" s="577"/>
      <c r="FM13" s="577"/>
      <c r="FN13" s="577"/>
      <c r="FO13" s="577"/>
      <c r="FP13" s="577"/>
      <c r="FQ13" s="577"/>
      <c r="FR13" s="577"/>
      <c r="FS13" s="577"/>
      <c r="FT13" s="577"/>
      <c r="FU13" s="577"/>
      <c r="FV13" s="610"/>
      <c r="FW13" s="609"/>
      <c r="FX13" s="577"/>
      <c r="FY13" s="610"/>
      <c r="FZ13" s="609"/>
      <c r="GA13" s="577"/>
      <c r="GB13" s="610"/>
      <c r="GC13" s="609"/>
      <c r="GD13" s="577"/>
      <c r="GE13" s="610"/>
      <c r="GF13" s="609"/>
      <c r="GG13" s="577"/>
      <c r="GH13" s="610"/>
      <c r="GI13" s="609"/>
      <c r="GJ13" s="577"/>
      <c r="GK13" s="610"/>
      <c r="GL13" s="609"/>
      <c r="GM13" s="577"/>
      <c r="GN13" s="610"/>
      <c r="GO13" s="609"/>
      <c r="GP13" s="696">
        <f t="shared" si="0"/>
        <v>7656000</v>
      </c>
      <c r="GQ13" s="696">
        <f t="shared" si="1"/>
        <v>18000000</v>
      </c>
      <c r="GS13" s="696">
        <f t="shared" si="2"/>
        <v>25656000</v>
      </c>
      <c r="GT13" s="696">
        <f t="shared" si="3"/>
        <v>25656000</v>
      </c>
    </row>
    <row r="14" spans="1:202" x14ac:dyDescent="0.25">
      <c r="A14" s="9" t="s">
        <v>21</v>
      </c>
      <c r="B14" s="17" t="s">
        <v>34</v>
      </c>
      <c r="C14" s="582"/>
      <c r="D14" s="583"/>
      <c r="E14" s="583"/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583"/>
      <c r="AD14" s="583"/>
      <c r="AE14" s="583"/>
      <c r="AF14" s="583"/>
      <c r="AG14" s="583"/>
      <c r="AH14" s="583"/>
      <c r="AI14" s="583"/>
      <c r="AJ14" s="583"/>
      <c r="AK14" s="583"/>
      <c r="AL14" s="583"/>
      <c r="AM14" s="583"/>
      <c r="AN14" s="583"/>
      <c r="AO14" s="583"/>
      <c r="AP14" s="583"/>
      <c r="AQ14" s="583"/>
      <c r="AR14" s="583"/>
      <c r="AS14" s="583"/>
      <c r="AT14" s="583"/>
      <c r="AU14" s="583"/>
      <c r="AV14" s="583"/>
      <c r="AW14" s="583"/>
      <c r="AX14" s="583"/>
      <c r="AY14" s="583"/>
      <c r="AZ14" s="583"/>
      <c r="BA14" s="583"/>
      <c r="BB14" s="583"/>
      <c r="BC14" s="583"/>
      <c r="BD14" s="583"/>
      <c r="BE14" s="583"/>
      <c r="BF14" s="583"/>
      <c r="BG14" s="583"/>
      <c r="BH14" s="583"/>
      <c r="BI14" s="583"/>
      <c r="BJ14" s="583"/>
      <c r="BK14" s="583"/>
      <c r="BL14" s="583"/>
      <c r="BM14" s="583"/>
      <c r="BN14" s="583"/>
      <c r="BO14" s="583"/>
      <c r="BP14" s="583"/>
      <c r="BQ14" s="583"/>
      <c r="BR14" s="583"/>
      <c r="BS14" s="583"/>
      <c r="BT14" s="583"/>
      <c r="BU14" s="583"/>
      <c r="BV14" s="583"/>
      <c r="BW14" s="583"/>
      <c r="BX14" s="583"/>
      <c r="BY14" s="583"/>
      <c r="BZ14" s="583"/>
      <c r="CA14" s="583"/>
      <c r="CB14" s="583"/>
      <c r="CC14" s="583"/>
      <c r="CD14" s="583"/>
      <c r="CE14" s="583"/>
      <c r="CF14" s="583"/>
      <c r="CG14" s="583"/>
      <c r="CH14" s="583"/>
      <c r="CI14" s="583"/>
      <c r="CJ14" s="583"/>
      <c r="CK14" s="583"/>
      <c r="CL14" s="583"/>
      <c r="CM14" s="583"/>
      <c r="CN14" s="583"/>
      <c r="CO14" s="583"/>
      <c r="CP14" s="583"/>
      <c r="CQ14" s="583"/>
      <c r="CR14" s="583"/>
      <c r="CS14" s="583"/>
      <c r="CT14" s="583"/>
      <c r="CU14" s="583"/>
      <c r="CV14" s="583">
        <v>395029201</v>
      </c>
      <c r="CW14" s="583">
        <v>835415764</v>
      </c>
      <c r="CX14" s="583"/>
      <c r="CY14" s="583"/>
      <c r="CZ14" s="583"/>
      <c r="DA14" s="583"/>
      <c r="DB14" s="583"/>
      <c r="DC14" s="583"/>
      <c r="DD14" s="583"/>
      <c r="DE14" s="583"/>
      <c r="DF14" s="583"/>
      <c r="DG14" s="583"/>
      <c r="DH14" s="583"/>
      <c r="DI14" s="583"/>
      <c r="DJ14" s="583"/>
      <c r="DK14" s="583"/>
      <c r="DL14" s="583"/>
      <c r="DM14" s="583"/>
      <c r="DN14" s="583"/>
      <c r="DO14" s="583"/>
      <c r="DP14" s="583"/>
      <c r="DQ14" s="583"/>
      <c r="DR14" s="583"/>
      <c r="DS14" s="583"/>
      <c r="DT14" s="583"/>
      <c r="DU14" s="583"/>
      <c r="DV14" s="584"/>
      <c r="DW14" s="584"/>
      <c r="DX14" s="584"/>
      <c r="DY14" s="584"/>
      <c r="DZ14" s="584"/>
      <c r="EA14" s="584"/>
      <c r="EB14" s="584"/>
      <c r="EC14" s="584"/>
      <c r="ED14" s="584"/>
      <c r="EE14" s="584"/>
      <c r="EF14" s="584"/>
      <c r="EG14" s="584"/>
      <c r="EH14" s="584"/>
      <c r="EI14" s="584"/>
      <c r="EJ14" s="584"/>
      <c r="EK14" s="584"/>
      <c r="EL14" s="584"/>
      <c r="EM14" s="584"/>
      <c r="EN14" s="584"/>
      <c r="EO14" s="584"/>
      <c r="EP14" s="584"/>
      <c r="EQ14" s="583"/>
      <c r="ER14" s="583"/>
      <c r="ES14" s="583"/>
      <c r="ET14" s="583"/>
      <c r="EU14" s="583"/>
      <c r="EV14" s="583"/>
      <c r="EW14" s="583"/>
      <c r="EX14" s="583"/>
      <c r="EY14" s="583"/>
      <c r="EZ14" s="583"/>
      <c r="FA14" s="583"/>
      <c r="FB14" s="583"/>
      <c r="FC14" s="583"/>
      <c r="FD14" s="583"/>
      <c r="FE14" s="583"/>
      <c r="FF14" s="583"/>
      <c r="FG14" s="583"/>
      <c r="FH14" s="583"/>
      <c r="FI14" s="583"/>
      <c r="FJ14" s="583"/>
      <c r="FK14" s="583"/>
      <c r="FL14" s="583"/>
      <c r="FM14" s="583"/>
      <c r="FN14" s="583"/>
      <c r="FO14" s="583"/>
      <c r="FP14" s="583"/>
      <c r="FQ14" s="583"/>
      <c r="FR14" s="583"/>
      <c r="FS14" s="583"/>
      <c r="FT14" s="583"/>
      <c r="FU14" s="583"/>
      <c r="FV14" s="615"/>
      <c r="FW14" s="614"/>
      <c r="FX14" s="583"/>
      <c r="FY14" s="615"/>
      <c r="FZ14" s="614"/>
      <c r="GA14" s="583"/>
      <c r="GB14" s="615"/>
      <c r="GC14" s="614"/>
      <c r="GD14" s="583"/>
      <c r="GE14" s="615"/>
      <c r="GF14" s="614"/>
      <c r="GG14" s="583"/>
      <c r="GH14" s="615"/>
      <c r="GI14" s="614"/>
      <c r="GJ14" s="583"/>
      <c r="GK14" s="615"/>
      <c r="GL14" s="614"/>
      <c r="GM14" s="583"/>
      <c r="GN14" s="615"/>
      <c r="GO14" s="614"/>
      <c r="GP14" s="696">
        <f t="shared" si="0"/>
        <v>0</v>
      </c>
      <c r="GQ14" s="696">
        <f t="shared" si="1"/>
        <v>0</v>
      </c>
      <c r="GS14" s="696">
        <f t="shared" si="2"/>
        <v>0</v>
      </c>
      <c r="GT14" s="696">
        <f t="shared" si="3"/>
        <v>0</v>
      </c>
    </row>
    <row r="15" spans="1:202" x14ac:dyDescent="0.25">
      <c r="A15" s="9" t="s">
        <v>22</v>
      </c>
      <c r="B15" s="17" t="s">
        <v>35</v>
      </c>
      <c r="C15" s="582"/>
      <c r="D15" s="583"/>
      <c r="E15" s="583"/>
      <c r="F15" s="583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583"/>
      <c r="AA15" s="583"/>
      <c r="AB15" s="583"/>
      <c r="AC15" s="583"/>
      <c r="AD15" s="583"/>
      <c r="AE15" s="583"/>
      <c r="AF15" s="583"/>
      <c r="AG15" s="583"/>
      <c r="AH15" s="583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83"/>
      <c r="AV15" s="583"/>
      <c r="AW15" s="583"/>
      <c r="AX15" s="583"/>
      <c r="AY15" s="583"/>
      <c r="AZ15" s="583"/>
      <c r="BA15" s="583"/>
      <c r="BB15" s="583"/>
      <c r="BC15" s="583"/>
      <c r="BD15" s="583"/>
      <c r="BE15" s="583"/>
      <c r="BF15" s="583"/>
      <c r="BG15" s="583"/>
      <c r="BH15" s="583"/>
      <c r="BI15" s="583"/>
      <c r="BJ15" s="583"/>
      <c r="BK15" s="583"/>
      <c r="BL15" s="583"/>
      <c r="BM15" s="583"/>
      <c r="BN15" s="583"/>
      <c r="BO15" s="583"/>
      <c r="BP15" s="583"/>
      <c r="BQ15" s="583"/>
      <c r="BR15" s="583"/>
      <c r="BS15" s="583"/>
      <c r="BT15" s="583"/>
      <c r="BU15" s="583"/>
      <c r="BV15" s="583"/>
      <c r="BW15" s="583"/>
      <c r="BX15" s="583"/>
      <c r="BY15" s="583"/>
      <c r="BZ15" s="583"/>
      <c r="CA15" s="583"/>
      <c r="CB15" s="583"/>
      <c r="CC15" s="583"/>
      <c r="CD15" s="583"/>
      <c r="CE15" s="583"/>
      <c r="CF15" s="583"/>
      <c r="CG15" s="583"/>
      <c r="CH15" s="583"/>
      <c r="CI15" s="583"/>
      <c r="CJ15" s="583"/>
      <c r="CK15" s="583"/>
      <c r="CL15" s="583"/>
      <c r="CM15" s="583"/>
      <c r="CN15" s="583"/>
      <c r="CO15" s="583"/>
      <c r="CP15" s="583"/>
      <c r="CQ15" s="583"/>
      <c r="CR15" s="583"/>
      <c r="CS15" s="583"/>
      <c r="CT15" s="583"/>
      <c r="CU15" s="583"/>
      <c r="CV15" s="583"/>
      <c r="CW15" s="583"/>
      <c r="CX15" s="583"/>
      <c r="CY15" s="583"/>
      <c r="CZ15" s="583"/>
      <c r="DA15" s="583"/>
      <c r="DB15" s="583"/>
      <c r="DC15" s="583"/>
      <c r="DD15" s="583"/>
      <c r="DE15" s="583"/>
      <c r="DF15" s="583"/>
      <c r="DG15" s="583"/>
      <c r="DH15" s="583"/>
      <c r="DI15" s="583"/>
      <c r="DJ15" s="583"/>
      <c r="DK15" s="583"/>
      <c r="DL15" s="583"/>
      <c r="DM15" s="583"/>
      <c r="DN15" s="583"/>
      <c r="DO15" s="583"/>
      <c r="DP15" s="583"/>
      <c r="DQ15" s="583"/>
      <c r="DR15" s="583"/>
      <c r="DS15" s="583"/>
      <c r="DT15" s="583"/>
      <c r="DU15" s="583"/>
      <c r="DV15" s="584"/>
      <c r="DW15" s="584"/>
      <c r="DX15" s="584"/>
      <c r="DY15" s="584"/>
      <c r="DZ15" s="584"/>
      <c r="EA15" s="584"/>
      <c r="EB15" s="584"/>
      <c r="EC15" s="584"/>
      <c r="ED15" s="584"/>
      <c r="EE15" s="584"/>
      <c r="EF15" s="584"/>
      <c r="EG15" s="584"/>
      <c r="EH15" s="584"/>
      <c r="EI15" s="584"/>
      <c r="EJ15" s="584"/>
      <c r="EK15" s="584"/>
      <c r="EL15" s="584"/>
      <c r="EM15" s="584"/>
      <c r="EN15" s="584"/>
      <c r="EO15" s="584"/>
      <c r="EP15" s="584"/>
      <c r="EQ15" s="583"/>
      <c r="ER15" s="583"/>
      <c r="ES15" s="583"/>
      <c r="ET15" s="583"/>
      <c r="EU15" s="583"/>
      <c r="EV15" s="583"/>
      <c r="EW15" s="583"/>
      <c r="EX15" s="583"/>
      <c r="EY15" s="583"/>
      <c r="EZ15" s="583"/>
      <c r="FA15" s="583"/>
      <c r="FB15" s="583"/>
      <c r="FC15" s="583"/>
      <c r="FD15" s="583"/>
      <c r="FE15" s="583"/>
      <c r="FF15" s="583"/>
      <c r="FG15" s="583"/>
      <c r="FH15" s="583"/>
      <c r="FI15" s="583"/>
      <c r="FJ15" s="583"/>
      <c r="FK15" s="583"/>
      <c r="FL15" s="583"/>
      <c r="FM15" s="583"/>
      <c r="FN15" s="583"/>
      <c r="FO15" s="583"/>
      <c r="FP15" s="583"/>
      <c r="FQ15" s="583"/>
      <c r="FR15" s="583"/>
      <c r="FS15" s="583"/>
      <c r="FT15" s="583"/>
      <c r="FU15" s="583"/>
      <c r="FV15" s="615"/>
      <c r="FW15" s="614"/>
      <c r="FX15" s="583"/>
      <c r="FY15" s="615"/>
      <c r="FZ15" s="614"/>
      <c r="GA15" s="583"/>
      <c r="GB15" s="615"/>
      <c r="GC15" s="614"/>
      <c r="GD15" s="583"/>
      <c r="GE15" s="615"/>
      <c r="GF15" s="614"/>
      <c r="GG15" s="583"/>
      <c r="GH15" s="615"/>
      <c r="GI15" s="614"/>
      <c r="GJ15" s="583"/>
      <c r="GK15" s="615"/>
      <c r="GL15" s="614"/>
      <c r="GM15" s="583"/>
      <c r="GN15" s="615"/>
      <c r="GO15" s="614"/>
      <c r="GP15" s="696">
        <f t="shared" si="0"/>
        <v>0</v>
      </c>
      <c r="GQ15" s="696">
        <f t="shared" si="1"/>
        <v>0</v>
      </c>
      <c r="GS15" s="696">
        <f t="shared" si="2"/>
        <v>0</v>
      </c>
      <c r="GT15" s="696">
        <f t="shared" si="3"/>
        <v>0</v>
      </c>
    </row>
    <row r="16" spans="1:202" x14ac:dyDescent="0.2">
      <c r="A16" s="9" t="s">
        <v>36</v>
      </c>
      <c r="B16" s="20" t="s">
        <v>37</v>
      </c>
      <c r="C16" s="576" t="s">
        <v>38</v>
      </c>
      <c r="D16" s="577"/>
      <c r="E16" s="577">
        <v>95250</v>
      </c>
      <c r="F16" s="577">
        <v>95250</v>
      </c>
      <c r="G16" s="577"/>
      <c r="H16" s="577">
        <v>182880</v>
      </c>
      <c r="I16" s="577">
        <v>182880</v>
      </c>
      <c r="J16" s="577"/>
      <c r="K16" s="577">
        <v>280805</v>
      </c>
      <c r="L16" s="577">
        <v>280805</v>
      </c>
      <c r="M16" s="577"/>
      <c r="N16" s="577">
        <v>190325</v>
      </c>
      <c r="O16" s="577">
        <v>153325</v>
      </c>
      <c r="P16" s="577"/>
      <c r="Q16" s="577">
        <v>650801</v>
      </c>
      <c r="R16" s="577">
        <v>650801</v>
      </c>
      <c r="S16" s="577"/>
      <c r="T16" s="577"/>
      <c r="U16" s="577"/>
      <c r="V16" s="577"/>
      <c r="W16" s="577"/>
      <c r="X16" s="577"/>
      <c r="Y16" s="577"/>
      <c r="Z16" s="577">
        <v>60000</v>
      </c>
      <c r="AA16" s="577">
        <v>60000</v>
      </c>
      <c r="AB16" s="577"/>
      <c r="AC16" s="577"/>
      <c r="AD16" s="577"/>
      <c r="AE16" s="577"/>
      <c r="AF16" s="577"/>
      <c r="AG16" s="577"/>
      <c r="AH16" s="577"/>
      <c r="AI16" s="577"/>
      <c r="AJ16" s="577"/>
      <c r="AK16" s="577"/>
      <c r="AL16" s="577"/>
      <c r="AM16" s="577"/>
      <c r="AN16" s="577"/>
      <c r="AO16" s="577"/>
      <c r="AP16" s="577"/>
      <c r="AQ16" s="577"/>
      <c r="AR16" s="577"/>
      <c r="AS16" s="577"/>
      <c r="AT16" s="577"/>
      <c r="AU16" s="577"/>
      <c r="AV16" s="577"/>
      <c r="AW16" s="577"/>
      <c r="AX16" s="577">
        <v>10488573</v>
      </c>
      <c r="AY16" s="577">
        <v>4468321</v>
      </c>
      <c r="AZ16" s="577"/>
      <c r="BA16" s="577"/>
      <c r="BB16" s="577"/>
      <c r="BC16" s="577">
        <v>65000000</v>
      </c>
      <c r="BD16" s="577">
        <v>0</v>
      </c>
      <c r="BE16" s="577"/>
      <c r="BF16" s="577">
        <v>65000000</v>
      </c>
      <c r="BG16" s="577">
        <v>0</v>
      </c>
      <c r="BH16" s="577"/>
      <c r="BI16" s="577"/>
      <c r="BJ16" s="577"/>
      <c r="BK16" s="577"/>
      <c r="BL16" s="577"/>
      <c r="BM16" s="577"/>
      <c r="BN16" s="577"/>
      <c r="BO16" s="577"/>
      <c r="BP16" s="577"/>
      <c r="BQ16" s="577"/>
      <c r="BR16" s="577"/>
      <c r="BS16" s="577"/>
      <c r="BT16" s="577"/>
      <c r="BU16" s="577"/>
      <c r="BV16" s="577"/>
      <c r="BW16" s="577"/>
      <c r="BX16" s="577"/>
      <c r="BY16" s="577">
        <v>15955699</v>
      </c>
      <c r="BZ16" s="577">
        <v>15951139</v>
      </c>
      <c r="CA16" s="577"/>
      <c r="CB16" s="577"/>
      <c r="CC16" s="577"/>
      <c r="CD16" s="577"/>
      <c r="CE16" s="577"/>
      <c r="CF16" s="577"/>
      <c r="CG16" s="577"/>
      <c r="CH16" s="577">
        <v>5965211</v>
      </c>
      <c r="CI16" s="577">
        <v>5965211</v>
      </c>
      <c r="CJ16" s="577"/>
      <c r="CK16" s="577"/>
      <c r="CL16" s="577"/>
      <c r="CM16" s="577"/>
      <c r="CN16" s="577"/>
      <c r="CO16" s="577"/>
      <c r="CP16" s="577"/>
      <c r="CQ16" s="577"/>
      <c r="CR16" s="577"/>
      <c r="CS16" s="577"/>
      <c r="CT16" s="577"/>
      <c r="CU16" s="577"/>
      <c r="CV16" s="577"/>
      <c r="CW16" s="577"/>
      <c r="CX16" s="577"/>
      <c r="CY16" s="577"/>
      <c r="CZ16" s="577"/>
      <c r="DA16" s="577"/>
      <c r="DB16" s="577"/>
      <c r="DC16" s="577"/>
      <c r="DD16" s="577"/>
      <c r="DE16" s="577">
        <v>2760000</v>
      </c>
      <c r="DF16" s="577"/>
      <c r="DG16" s="577"/>
      <c r="DH16" s="577"/>
      <c r="DI16" s="577"/>
      <c r="DJ16" s="577"/>
      <c r="DK16" s="577"/>
      <c r="DL16" s="577"/>
      <c r="DM16" s="577"/>
      <c r="DN16" s="577"/>
      <c r="DO16" s="577"/>
      <c r="DP16" s="577">
        <v>400050</v>
      </c>
      <c r="DQ16" s="577">
        <v>301869281</v>
      </c>
      <c r="DR16" s="577">
        <v>12155706</v>
      </c>
      <c r="DS16" s="577"/>
      <c r="DT16" s="577"/>
      <c r="DU16" s="577"/>
      <c r="DV16" s="578"/>
      <c r="DW16" s="578">
        <v>7000</v>
      </c>
      <c r="DX16" s="578">
        <v>7000</v>
      </c>
      <c r="DY16" s="578">
        <v>2350000</v>
      </c>
      <c r="DZ16" s="578">
        <v>2350000</v>
      </c>
      <c r="EA16" s="578">
        <v>2310612</v>
      </c>
      <c r="EB16" s="578"/>
      <c r="EC16" s="578">
        <v>4627118</v>
      </c>
      <c r="ED16" s="578">
        <v>4627118</v>
      </c>
      <c r="EE16" s="578"/>
      <c r="EF16" s="578"/>
      <c r="EG16" s="578"/>
      <c r="EH16" s="578"/>
      <c r="EI16" s="578"/>
      <c r="EJ16" s="578"/>
      <c r="EK16" s="578"/>
      <c r="EL16" s="578">
        <v>2160000</v>
      </c>
      <c r="EM16" s="578"/>
      <c r="EN16" s="578"/>
      <c r="EO16" s="578">
        <v>2471700</v>
      </c>
      <c r="EP16" s="578">
        <v>2424300</v>
      </c>
      <c r="EQ16" s="577"/>
      <c r="ER16" s="577"/>
      <c r="ES16" s="577"/>
      <c r="ET16" s="577"/>
      <c r="EU16" s="577"/>
      <c r="EV16" s="577"/>
      <c r="EW16" s="577"/>
      <c r="EX16" s="577">
        <v>131174</v>
      </c>
      <c r="EY16" s="577">
        <v>131174</v>
      </c>
      <c r="EZ16" s="577"/>
      <c r="FA16" s="577"/>
      <c r="FB16" s="577"/>
      <c r="FC16" s="577"/>
      <c r="FD16" s="577">
        <v>4487480</v>
      </c>
      <c r="FE16" s="577">
        <v>4285355</v>
      </c>
      <c r="FF16" s="577">
        <v>6314100</v>
      </c>
      <c r="FG16" s="577">
        <v>6314100</v>
      </c>
      <c r="FH16" s="577">
        <v>6134100</v>
      </c>
      <c r="FI16" s="577"/>
      <c r="FJ16" s="577"/>
      <c r="FK16" s="577"/>
      <c r="FL16" s="577"/>
      <c r="FM16" s="577"/>
      <c r="FN16" s="577"/>
      <c r="FO16" s="577"/>
      <c r="FP16" s="577"/>
      <c r="FQ16" s="577"/>
      <c r="FR16" s="577">
        <v>11500000</v>
      </c>
      <c r="FS16" s="577">
        <v>14000000</v>
      </c>
      <c r="FT16" s="577">
        <v>9005256</v>
      </c>
      <c r="FU16" s="577">
        <v>19000000</v>
      </c>
      <c r="FV16" s="613">
        <v>19000000</v>
      </c>
      <c r="FW16" s="612">
        <v>18975227</v>
      </c>
      <c r="FX16" s="577"/>
      <c r="FY16" s="613"/>
      <c r="FZ16" s="612"/>
      <c r="GA16" s="577"/>
      <c r="GB16" s="613"/>
      <c r="GC16" s="612"/>
      <c r="GD16" s="577"/>
      <c r="GE16" s="613"/>
      <c r="GF16" s="612"/>
      <c r="GG16" s="577"/>
      <c r="GH16" s="613">
        <v>150000000</v>
      </c>
      <c r="GI16" s="612"/>
      <c r="GJ16" s="577"/>
      <c r="GK16" s="613">
        <v>12963000</v>
      </c>
      <c r="GL16" s="612"/>
      <c r="GM16" s="577"/>
      <c r="GN16" s="613">
        <v>596900</v>
      </c>
      <c r="GO16" s="612">
        <v>596900</v>
      </c>
      <c r="GP16" s="696">
        <f t="shared" si="0"/>
        <v>53635096</v>
      </c>
      <c r="GQ16" s="696">
        <f t="shared" si="1"/>
        <v>34825384</v>
      </c>
      <c r="GS16" s="696">
        <f t="shared" si="2"/>
        <v>88460480</v>
      </c>
      <c r="GT16" s="696">
        <f t="shared" si="3"/>
        <v>88460480</v>
      </c>
    </row>
    <row r="17" spans="1:204" x14ac:dyDescent="0.25">
      <c r="A17" s="9" t="s">
        <v>39</v>
      </c>
      <c r="B17" s="16" t="s">
        <v>40</v>
      </c>
      <c r="C17" s="576" t="s">
        <v>41</v>
      </c>
      <c r="D17" s="577"/>
      <c r="E17" s="577"/>
      <c r="F17" s="577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7"/>
      <c r="AJ17" s="577"/>
      <c r="AK17" s="577"/>
      <c r="AL17" s="577"/>
      <c r="AM17" s="577"/>
      <c r="AN17" s="577"/>
      <c r="AO17" s="577"/>
      <c r="AP17" s="577"/>
      <c r="AQ17" s="577"/>
      <c r="AR17" s="577"/>
      <c r="AS17" s="577"/>
      <c r="AT17" s="577"/>
      <c r="AU17" s="577"/>
      <c r="AV17" s="577"/>
      <c r="AW17" s="577"/>
      <c r="AX17" s="577"/>
      <c r="AY17" s="577"/>
      <c r="AZ17" s="577">
        <v>46919478</v>
      </c>
      <c r="BA17" s="577">
        <v>46919478</v>
      </c>
      <c r="BB17" s="577">
        <v>46919478</v>
      </c>
      <c r="BC17" s="577"/>
      <c r="BD17" s="577">
        <v>99322740</v>
      </c>
      <c r="BE17" s="577"/>
      <c r="BF17" s="577"/>
      <c r="BG17" s="577">
        <v>47371000</v>
      </c>
      <c r="BH17" s="577"/>
      <c r="BI17" s="577"/>
      <c r="BJ17" s="577"/>
      <c r="BK17" s="577"/>
      <c r="BL17" s="577"/>
      <c r="BM17" s="577"/>
      <c r="BN17" s="577"/>
      <c r="BO17" s="577"/>
      <c r="BP17" s="577"/>
      <c r="BQ17" s="577"/>
      <c r="BR17" s="577"/>
      <c r="BS17" s="577"/>
      <c r="BT17" s="577"/>
      <c r="BU17" s="577"/>
      <c r="BV17" s="577"/>
      <c r="BW17" s="577"/>
      <c r="BX17" s="577"/>
      <c r="BY17" s="577"/>
      <c r="BZ17" s="577"/>
      <c r="CA17" s="577"/>
      <c r="CB17" s="577"/>
      <c r="CC17" s="577"/>
      <c r="CD17" s="577"/>
      <c r="CE17" s="577"/>
      <c r="CF17" s="577"/>
      <c r="CG17" s="577"/>
      <c r="CH17" s="577"/>
      <c r="CI17" s="577"/>
      <c r="CJ17" s="577"/>
      <c r="CK17" s="577"/>
      <c r="CL17" s="577"/>
      <c r="CM17" s="577"/>
      <c r="CN17" s="577"/>
      <c r="CO17" s="577"/>
      <c r="CP17" s="577"/>
      <c r="CQ17" s="577"/>
      <c r="CR17" s="577"/>
      <c r="CS17" s="577"/>
      <c r="CT17" s="577"/>
      <c r="CU17" s="577"/>
      <c r="CV17" s="577"/>
      <c r="CW17" s="577"/>
      <c r="CX17" s="577"/>
      <c r="CY17" s="577"/>
      <c r="CZ17" s="577"/>
      <c r="DA17" s="577"/>
      <c r="DB17" s="577"/>
      <c r="DC17" s="577"/>
      <c r="DD17" s="577"/>
      <c r="DE17" s="577"/>
      <c r="DF17" s="577"/>
      <c r="DG17" s="577"/>
      <c r="DH17" s="577"/>
      <c r="DI17" s="577"/>
      <c r="DJ17" s="577"/>
      <c r="DK17" s="577"/>
      <c r="DL17" s="577"/>
      <c r="DM17" s="577"/>
      <c r="DN17" s="577"/>
      <c r="DO17" s="577"/>
      <c r="DP17" s="577"/>
      <c r="DQ17" s="577"/>
      <c r="DR17" s="577"/>
      <c r="DS17" s="577"/>
      <c r="DT17" s="577"/>
      <c r="DU17" s="577"/>
      <c r="DV17" s="578"/>
      <c r="DW17" s="578"/>
      <c r="DX17" s="578"/>
      <c r="DY17" s="578"/>
      <c r="DZ17" s="578"/>
      <c r="EA17" s="578"/>
      <c r="EB17" s="578"/>
      <c r="EC17" s="578">
        <v>12132766</v>
      </c>
      <c r="ED17" s="578">
        <v>11506719</v>
      </c>
      <c r="EE17" s="578"/>
      <c r="EF17" s="578"/>
      <c r="EG17" s="578"/>
      <c r="EH17" s="578"/>
      <c r="EI17" s="578">
        <v>2541088</v>
      </c>
      <c r="EJ17" s="578">
        <v>2541088</v>
      </c>
      <c r="EK17" s="578"/>
      <c r="EL17" s="578"/>
      <c r="EM17" s="578"/>
      <c r="EN17" s="578"/>
      <c r="EO17" s="578"/>
      <c r="EP17" s="578"/>
      <c r="EQ17" s="577"/>
      <c r="ER17" s="577"/>
      <c r="ES17" s="577"/>
      <c r="ET17" s="577"/>
      <c r="EU17" s="577"/>
      <c r="EV17" s="577"/>
      <c r="EW17" s="577"/>
      <c r="EX17" s="577"/>
      <c r="EY17" s="577"/>
      <c r="EZ17" s="577"/>
      <c r="FA17" s="577"/>
      <c r="FB17" s="577"/>
      <c r="FC17" s="577"/>
      <c r="FD17" s="577"/>
      <c r="FE17" s="577"/>
      <c r="FF17" s="577"/>
      <c r="FG17" s="577"/>
      <c r="FH17" s="577"/>
      <c r="FI17" s="577"/>
      <c r="FJ17" s="577"/>
      <c r="FK17" s="577"/>
      <c r="FL17" s="577"/>
      <c r="FM17" s="577"/>
      <c r="FN17" s="577"/>
      <c r="FO17" s="577"/>
      <c r="FP17" s="577"/>
      <c r="FQ17" s="577"/>
      <c r="FR17" s="577"/>
      <c r="FS17" s="577"/>
      <c r="FT17" s="577"/>
      <c r="FU17" s="577"/>
      <c r="FV17" s="606"/>
      <c r="FW17" s="605"/>
      <c r="FX17" s="577"/>
      <c r="FY17" s="606"/>
      <c r="FZ17" s="605"/>
      <c r="GA17" s="577"/>
      <c r="GB17" s="26">
        <v>126001908</v>
      </c>
      <c r="GC17" s="799">
        <v>125246130</v>
      </c>
      <c r="GD17" s="577"/>
      <c r="GE17" s="26"/>
      <c r="GF17" s="799"/>
      <c r="GG17" s="577"/>
      <c r="GH17" s="26"/>
      <c r="GI17" s="799"/>
      <c r="GJ17" s="577"/>
      <c r="GK17" s="26"/>
      <c r="GL17" s="799"/>
      <c r="GM17" s="577"/>
      <c r="GN17" s="26"/>
      <c r="GO17" s="799"/>
      <c r="GP17" s="696">
        <f t="shared" si="0"/>
        <v>186213415</v>
      </c>
      <c r="GQ17" s="696">
        <f t="shared" si="1"/>
        <v>0</v>
      </c>
      <c r="GS17" s="696">
        <f t="shared" si="2"/>
        <v>186213415</v>
      </c>
      <c r="GT17" s="696">
        <f t="shared" si="3"/>
        <v>186213415</v>
      </c>
    </row>
    <row r="18" spans="1:204" x14ac:dyDescent="0.2">
      <c r="A18" s="9" t="s">
        <v>42</v>
      </c>
      <c r="B18" s="16" t="s">
        <v>43</v>
      </c>
      <c r="C18" s="576" t="s">
        <v>44</v>
      </c>
      <c r="D18" s="577">
        <f>+D19</f>
        <v>0</v>
      </c>
      <c r="E18" s="577">
        <f>+E19</f>
        <v>0</v>
      </c>
      <c r="F18" s="577"/>
      <c r="G18" s="577">
        <f>+G19</f>
        <v>0</v>
      </c>
      <c r="H18" s="577">
        <f>+H19</f>
        <v>0</v>
      </c>
      <c r="I18" s="577"/>
      <c r="J18" s="577">
        <f>+J19</f>
        <v>0</v>
      </c>
      <c r="K18" s="577">
        <f>+K19</f>
        <v>0</v>
      </c>
      <c r="L18" s="577"/>
      <c r="M18" s="577">
        <f>+M19</f>
        <v>0</v>
      </c>
      <c r="N18" s="577">
        <f>+N19</f>
        <v>0</v>
      </c>
      <c r="O18" s="577"/>
      <c r="P18" s="577">
        <f>+P19</f>
        <v>0</v>
      </c>
      <c r="Q18" s="577">
        <f>+Q19</f>
        <v>0</v>
      </c>
      <c r="R18" s="577"/>
      <c r="S18" s="577">
        <f>+S19</f>
        <v>0</v>
      </c>
      <c r="T18" s="577">
        <f>+T19</f>
        <v>0</v>
      </c>
      <c r="U18" s="577"/>
      <c r="V18" s="577">
        <f>+V19</f>
        <v>0</v>
      </c>
      <c r="W18" s="577">
        <f>+W19</f>
        <v>0</v>
      </c>
      <c r="X18" s="577"/>
      <c r="Y18" s="577">
        <f>+Y19</f>
        <v>0</v>
      </c>
      <c r="Z18" s="577">
        <f>+Z19</f>
        <v>0</v>
      </c>
      <c r="AA18" s="577"/>
      <c r="AB18" s="577">
        <f>+AB19</f>
        <v>0</v>
      </c>
      <c r="AC18" s="577">
        <f>+AC19</f>
        <v>0</v>
      </c>
      <c r="AD18" s="577"/>
      <c r="AE18" s="577">
        <f>+AE19</f>
        <v>0</v>
      </c>
      <c r="AF18" s="577">
        <f>+AF19</f>
        <v>0</v>
      </c>
      <c r="AG18" s="577"/>
      <c r="AH18" s="577">
        <f>+AH19</f>
        <v>0</v>
      </c>
      <c r="AI18" s="577">
        <f>+AI19</f>
        <v>0</v>
      </c>
      <c r="AJ18" s="577"/>
      <c r="AK18" s="577">
        <f>+AK19</f>
        <v>0</v>
      </c>
      <c r="AL18" s="577">
        <f>+AL19</f>
        <v>0</v>
      </c>
      <c r="AM18" s="577"/>
      <c r="AN18" s="577">
        <f>+AN19</f>
        <v>0</v>
      </c>
      <c r="AO18" s="577">
        <f>+AO19</f>
        <v>0</v>
      </c>
      <c r="AP18" s="577"/>
      <c r="AQ18" s="577">
        <f>+AQ19</f>
        <v>0</v>
      </c>
      <c r="AR18" s="577">
        <f>+AR19</f>
        <v>0</v>
      </c>
      <c r="AS18" s="577"/>
      <c r="AT18" s="577">
        <f>+AT19</f>
        <v>0</v>
      </c>
      <c r="AU18" s="577">
        <f>+AU19</f>
        <v>0</v>
      </c>
      <c r="AV18" s="577"/>
      <c r="AW18" s="577">
        <f>+AW19</f>
        <v>0</v>
      </c>
      <c r="AX18" s="577">
        <f>+AX19</f>
        <v>0</v>
      </c>
      <c r="AY18" s="577"/>
      <c r="AZ18" s="577">
        <f>+AZ19</f>
        <v>0</v>
      </c>
      <c r="BA18" s="577">
        <f>+BA19</f>
        <v>0</v>
      </c>
      <c r="BB18" s="577"/>
      <c r="BC18" s="577">
        <f>+BC19</f>
        <v>0</v>
      </c>
      <c r="BD18" s="577">
        <f>+BD19</f>
        <v>0</v>
      </c>
      <c r="BE18" s="577"/>
      <c r="BF18" s="577">
        <f>+BF19</f>
        <v>0</v>
      </c>
      <c r="BG18" s="577">
        <f>+BG19</f>
        <v>0</v>
      </c>
      <c r="BH18" s="577"/>
      <c r="BI18" s="577">
        <f>+BI19</f>
        <v>0</v>
      </c>
      <c r="BJ18" s="577">
        <f>+BJ19</f>
        <v>0</v>
      </c>
      <c r="BK18" s="577"/>
      <c r="BL18" s="577">
        <f>+BL19</f>
        <v>0</v>
      </c>
      <c r="BM18" s="577">
        <f>+BM19</f>
        <v>0</v>
      </c>
      <c r="BN18" s="577"/>
      <c r="BO18" s="577">
        <f>+BO19</f>
        <v>0</v>
      </c>
      <c r="BP18" s="577">
        <f>+BP19</f>
        <v>0</v>
      </c>
      <c r="BQ18" s="577"/>
      <c r="BR18" s="577">
        <f>+BR19</f>
        <v>0</v>
      </c>
      <c r="BS18" s="577">
        <f>+BS19</f>
        <v>0</v>
      </c>
      <c r="BT18" s="577"/>
      <c r="BU18" s="577">
        <f>+BU19</f>
        <v>0</v>
      </c>
      <c r="BV18" s="577">
        <f>+BV19</f>
        <v>0</v>
      </c>
      <c r="BW18" s="577"/>
      <c r="BX18" s="577">
        <f>+BX19</f>
        <v>0</v>
      </c>
      <c r="BY18" s="577">
        <f>+BY19</f>
        <v>0</v>
      </c>
      <c r="BZ18" s="577"/>
      <c r="CA18" s="577">
        <f>+CA19</f>
        <v>0</v>
      </c>
      <c r="CB18" s="577">
        <f>+CB19</f>
        <v>0</v>
      </c>
      <c r="CC18" s="577"/>
      <c r="CD18" s="577">
        <f>+CD19</f>
        <v>0</v>
      </c>
      <c r="CE18" s="577">
        <f>+CE19</f>
        <v>0</v>
      </c>
      <c r="CF18" s="577"/>
      <c r="CG18" s="577">
        <f>+CG19</f>
        <v>0</v>
      </c>
      <c r="CH18" s="577">
        <f>+CH19</f>
        <v>0</v>
      </c>
      <c r="CI18" s="577"/>
      <c r="CJ18" s="577">
        <f>+CJ19</f>
        <v>0</v>
      </c>
      <c r="CK18" s="577">
        <f>+CK19</f>
        <v>0</v>
      </c>
      <c r="CL18" s="577"/>
      <c r="CM18" s="577">
        <f>+CM19</f>
        <v>0</v>
      </c>
      <c r="CN18" s="577">
        <f>+CN19</f>
        <v>0</v>
      </c>
      <c r="CO18" s="577"/>
      <c r="CP18" s="577">
        <f>+CP19</f>
        <v>0</v>
      </c>
      <c r="CQ18" s="577">
        <f>+CQ19</f>
        <v>0</v>
      </c>
      <c r="CR18" s="577"/>
      <c r="CS18" s="577">
        <f>+CS19</f>
        <v>0</v>
      </c>
      <c r="CT18" s="577">
        <f>+CT19</f>
        <v>0</v>
      </c>
      <c r="CU18" s="577"/>
      <c r="CV18" s="577">
        <f>+CV19</f>
        <v>0</v>
      </c>
      <c r="CW18" s="577">
        <f>+CW19</f>
        <v>0</v>
      </c>
      <c r="CX18" s="577">
        <f>+CX19</f>
        <v>0</v>
      </c>
      <c r="CY18" s="577">
        <f>+CY19</f>
        <v>0</v>
      </c>
      <c r="CZ18" s="577"/>
      <c r="DA18" s="577">
        <f>+DA19</f>
        <v>0</v>
      </c>
      <c r="DB18" s="577">
        <f>+DB19</f>
        <v>0</v>
      </c>
      <c r="DC18" s="577"/>
      <c r="DD18" s="577">
        <f>+DD19</f>
        <v>0</v>
      </c>
      <c r="DE18" s="577">
        <f>+DE19</f>
        <v>0</v>
      </c>
      <c r="DF18" s="577"/>
      <c r="DG18" s="577">
        <f>+DG19</f>
        <v>0</v>
      </c>
      <c r="DH18" s="577">
        <f>+DH19</f>
        <v>0</v>
      </c>
      <c r="DI18" s="577"/>
      <c r="DJ18" s="577">
        <f>+DJ19</f>
        <v>0</v>
      </c>
      <c r="DK18" s="577">
        <f>+DK19</f>
        <v>0</v>
      </c>
      <c r="DL18" s="577"/>
      <c r="DM18" s="577">
        <f>+DM19</f>
        <v>0</v>
      </c>
      <c r="DN18" s="577">
        <f>+DN19</f>
        <v>0</v>
      </c>
      <c r="DO18" s="577"/>
      <c r="DP18" s="577">
        <f>+DP19</f>
        <v>0</v>
      </c>
      <c r="DQ18" s="577">
        <f>+DQ19</f>
        <v>0</v>
      </c>
      <c r="DR18" s="577"/>
      <c r="DS18" s="577">
        <f>+DS19</f>
        <v>0</v>
      </c>
      <c r="DT18" s="577">
        <f>+DT19</f>
        <v>0</v>
      </c>
      <c r="DU18" s="577"/>
      <c r="DV18" s="577">
        <f>+DV19</f>
        <v>0</v>
      </c>
      <c r="DW18" s="577">
        <f>+DW19</f>
        <v>0</v>
      </c>
      <c r="DX18" s="577"/>
      <c r="DY18" s="577">
        <f>+DY19</f>
        <v>0</v>
      </c>
      <c r="DZ18" s="577">
        <f>+DZ19</f>
        <v>0</v>
      </c>
      <c r="EA18" s="577"/>
      <c r="EB18" s="577"/>
      <c r="EC18" s="577"/>
      <c r="ED18" s="577">
        <v>0</v>
      </c>
      <c r="EE18" s="577">
        <f>+EE19</f>
        <v>0</v>
      </c>
      <c r="EF18" s="577">
        <f>+EF19</f>
        <v>0</v>
      </c>
      <c r="EG18" s="577">
        <f t="shared" ref="EG18:EM18" si="4">+EG19</f>
        <v>0</v>
      </c>
      <c r="EH18" s="577">
        <f t="shared" si="4"/>
        <v>0</v>
      </c>
      <c r="EI18" s="577">
        <f t="shared" si="4"/>
        <v>0</v>
      </c>
      <c r="EJ18" s="577">
        <f t="shared" si="4"/>
        <v>0</v>
      </c>
      <c r="EK18" s="577">
        <f t="shared" si="4"/>
        <v>0</v>
      </c>
      <c r="EL18" s="577">
        <f t="shared" si="4"/>
        <v>0</v>
      </c>
      <c r="EM18" s="577">
        <f t="shared" si="4"/>
        <v>0</v>
      </c>
      <c r="EN18" s="577"/>
      <c r="EO18" s="577"/>
      <c r="EP18" s="577"/>
      <c r="EQ18" s="577">
        <f>+EQ19</f>
        <v>0</v>
      </c>
      <c r="ER18" s="577">
        <f>+ER19</f>
        <v>0</v>
      </c>
      <c r="ES18" s="577">
        <f>+ES19</f>
        <v>0</v>
      </c>
      <c r="ET18" s="577">
        <f>+ET19</f>
        <v>0</v>
      </c>
      <c r="EU18" s="577">
        <f>+EU19</f>
        <v>0</v>
      </c>
      <c r="EV18" s="577"/>
      <c r="EW18" s="577">
        <f t="shared" ref="EW18:FD18" si="5">+EW19</f>
        <v>0</v>
      </c>
      <c r="EX18" s="577">
        <f t="shared" si="5"/>
        <v>0</v>
      </c>
      <c r="EY18" s="577">
        <f t="shared" si="5"/>
        <v>0</v>
      </c>
      <c r="EZ18" s="577">
        <f t="shared" si="5"/>
        <v>0</v>
      </c>
      <c r="FA18" s="577">
        <f t="shared" si="5"/>
        <v>0</v>
      </c>
      <c r="FB18" s="577">
        <f t="shared" si="5"/>
        <v>0</v>
      </c>
      <c r="FC18" s="577">
        <f t="shared" si="5"/>
        <v>0</v>
      </c>
      <c r="FD18" s="577">
        <f t="shared" si="5"/>
        <v>0</v>
      </c>
      <c r="FE18" s="577"/>
      <c r="FF18" s="577">
        <f>+FF19</f>
        <v>0</v>
      </c>
      <c r="FG18" s="577">
        <f>+FG19</f>
        <v>0</v>
      </c>
      <c r="FH18" s="577"/>
      <c r="FI18" s="577">
        <f>+FI19</f>
        <v>0</v>
      </c>
      <c r="FJ18" s="577">
        <f>+FJ19</f>
        <v>0</v>
      </c>
      <c r="FK18" s="577"/>
      <c r="FL18" s="577">
        <f>+FL19</f>
        <v>0</v>
      </c>
      <c r="FM18" s="577">
        <f>+FM19</f>
        <v>0</v>
      </c>
      <c r="FN18" s="577"/>
      <c r="FO18" s="577">
        <f>+FO19</f>
        <v>0</v>
      </c>
      <c r="FP18" s="577">
        <f>+FP19</f>
        <v>0</v>
      </c>
      <c r="FQ18" s="577"/>
      <c r="FR18" s="577">
        <f t="shared" ref="FR18:FZ18" si="6">+FR19</f>
        <v>0</v>
      </c>
      <c r="FS18" s="577">
        <f t="shared" si="6"/>
        <v>0</v>
      </c>
      <c r="FT18" s="577">
        <f t="shared" si="6"/>
        <v>0</v>
      </c>
      <c r="FU18" s="577">
        <f t="shared" si="6"/>
        <v>0</v>
      </c>
      <c r="FV18" s="577">
        <f t="shared" si="6"/>
        <v>0</v>
      </c>
      <c r="FW18" s="577">
        <f t="shared" si="6"/>
        <v>0</v>
      </c>
      <c r="FX18" s="577">
        <f t="shared" si="6"/>
        <v>0</v>
      </c>
      <c r="FY18" s="577">
        <f t="shared" si="6"/>
        <v>0</v>
      </c>
      <c r="FZ18" s="577">
        <f t="shared" si="6"/>
        <v>0</v>
      </c>
      <c r="GA18" s="577"/>
      <c r="GB18" s="577"/>
      <c r="GC18" s="577"/>
      <c r="GD18" s="577"/>
      <c r="GE18" s="577"/>
      <c r="GF18" s="577"/>
      <c r="GG18" s="577"/>
      <c r="GH18" s="577"/>
      <c r="GI18" s="577"/>
      <c r="GJ18" s="577"/>
      <c r="GK18" s="577"/>
      <c r="GL18" s="577"/>
      <c r="GM18" s="577"/>
      <c r="GN18" s="577"/>
      <c r="GO18" s="577"/>
      <c r="GP18" s="696">
        <f t="shared" si="0"/>
        <v>0</v>
      </c>
      <c r="GQ18" s="696">
        <f t="shared" si="1"/>
        <v>0</v>
      </c>
      <c r="GS18" s="696">
        <f t="shared" si="2"/>
        <v>0</v>
      </c>
      <c r="GT18" s="696">
        <f t="shared" si="3"/>
        <v>0</v>
      </c>
    </row>
    <row r="19" spans="1:204" x14ac:dyDescent="0.25">
      <c r="A19" s="9" t="s">
        <v>45</v>
      </c>
      <c r="B19" s="17" t="s">
        <v>46</v>
      </c>
      <c r="C19" s="576"/>
      <c r="D19" s="577"/>
      <c r="E19" s="577"/>
      <c r="F19" s="577"/>
      <c r="G19" s="577"/>
      <c r="H19" s="577"/>
      <c r="I19" s="577"/>
      <c r="J19" s="577"/>
      <c r="K19" s="577"/>
      <c r="L19" s="577"/>
      <c r="M19" s="577"/>
      <c r="N19" s="577"/>
      <c r="O19" s="577"/>
      <c r="P19" s="577"/>
      <c r="Q19" s="577"/>
      <c r="R19" s="577"/>
      <c r="S19" s="577"/>
      <c r="T19" s="577"/>
      <c r="U19" s="577"/>
      <c r="V19" s="577"/>
      <c r="W19" s="577"/>
      <c r="X19" s="577"/>
      <c r="Y19" s="577"/>
      <c r="Z19" s="577"/>
      <c r="AA19" s="577"/>
      <c r="AB19" s="577"/>
      <c r="AC19" s="577"/>
      <c r="AD19" s="577"/>
      <c r="AE19" s="577"/>
      <c r="AF19" s="577"/>
      <c r="AG19" s="577"/>
      <c r="AH19" s="577"/>
      <c r="AI19" s="577"/>
      <c r="AJ19" s="577"/>
      <c r="AK19" s="577"/>
      <c r="AL19" s="577"/>
      <c r="AM19" s="577"/>
      <c r="AN19" s="577"/>
      <c r="AO19" s="577"/>
      <c r="AP19" s="577"/>
      <c r="AQ19" s="577"/>
      <c r="AR19" s="577"/>
      <c r="AS19" s="577"/>
      <c r="AT19" s="577"/>
      <c r="AU19" s="577"/>
      <c r="AV19" s="577"/>
      <c r="AW19" s="577"/>
      <c r="AX19" s="577"/>
      <c r="AY19" s="577"/>
      <c r="AZ19" s="577">
        <v>0</v>
      </c>
      <c r="BA19" s="577"/>
      <c r="BB19" s="577"/>
      <c r="BC19" s="577"/>
      <c r="BD19" s="577"/>
      <c r="BE19" s="577"/>
      <c r="BF19" s="577"/>
      <c r="BG19" s="577"/>
      <c r="BH19" s="577"/>
      <c r="BI19" s="577"/>
      <c r="BJ19" s="577"/>
      <c r="BK19" s="577"/>
      <c r="BL19" s="577"/>
      <c r="BM19" s="577"/>
      <c r="BN19" s="577"/>
      <c r="BO19" s="577"/>
      <c r="BP19" s="577"/>
      <c r="BQ19" s="577"/>
      <c r="BR19" s="577"/>
      <c r="BS19" s="577"/>
      <c r="BT19" s="577"/>
      <c r="BU19" s="577"/>
      <c r="BV19" s="577"/>
      <c r="BW19" s="577"/>
      <c r="BX19" s="577"/>
      <c r="BY19" s="577"/>
      <c r="BZ19" s="577"/>
      <c r="CA19" s="577"/>
      <c r="CB19" s="577"/>
      <c r="CC19" s="577"/>
      <c r="CD19" s="577"/>
      <c r="CE19" s="577"/>
      <c r="CF19" s="577"/>
      <c r="CG19" s="577"/>
      <c r="CH19" s="577"/>
      <c r="CI19" s="577"/>
      <c r="CJ19" s="577"/>
      <c r="CK19" s="577"/>
      <c r="CL19" s="577"/>
      <c r="CM19" s="577"/>
      <c r="CN19" s="577"/>
      <c r="CO19" s="577"/>
      <c r="CP19" s="577"/>
      <c r="CQ19" s="577"/>
      <c r="CR19" s="577"/>
      <c r="CS19" s="577"/>
      <c r="CT19" s="577"/>
      <c r="CU19" s="577"/>
      <c r="CV19" s="577"/>
      <c r="CW19" s="577"/>
      <c r="CX19" s="577"/>
      <c r="CY19" s="577"/>
      <c r="CZ19" s="577"/>
      <c r="DA19" s="577"/>
      <c r="DB19" s="577"/>
      <c r="DC19" s="577"/>
      <c r="DD19" s="577"/>
      <c r="DE19" s="577"/>
      <c r="DF19" s="577"/>
      <c r="DG19" s="577"/>
      <c r="DH19" s="577"/>
      <c r="DI19" s="577"/>
      <c r="DJ19" s="577"/>
      <c r="DK19" s="577"/>
      <c r="DL19" s="577"/>
      <c r="DM19" s="577"/>
      <c r="DN19" s="577"/>
      <c r="DO19" s="577"/>
      <c r="DP19" s="577"/>
      <c r="DQ19" s="577"/>
      <c r="DR19" s="577"/>
      <c r="DS19" s="577"/>
      <c r="DT19" s="577"/>
      <c r="DU19" s="577"/>
      <c r="DV19" s="578"/>
      <c r="DW19" s="578"/>
      <c r="DX19" s="578"/>
      <c r="DY19" s="578"/>
      <c r="DZ19" s="578"/>
      <c r="EA19" s="578"/>
      <c r="EB19" s="578"/>
      <c r="EC19" s="578"/>
      <c r="ED19" s="578"/>
      <c r="EE19" s="578"/>
      <c r="EF19" s="578"/>
      <c r="EG19" s="578"/>
      <c r="EH19" s="578"/>
      <c r="EI19" s="578"/>
      <c r="EJ19" s="578"/>
      <c r="EK19" s="578"/>
      <c r="EL19" s="578"/>
      <c r="EM19" s="578"/>
      <c r="EN19" s="578"/>
      <c r="EO19" s="578"/>
      <c r="EP19" s="578"/>
      <c r="EQ19" s="577"/>
      <c r="ER19" s="577"/>
      <c r="ES19" s="577"/>
      <c r="ET19" s="577"/>
      <c r="EU19" s="577"/>
      <c r="EV19" s="577"/>
      <c r="EW19" s="577"/>
      <c r="EX19" s="577"/>
      <c r="EY19" s="577"/>
      <c r="EZ19" s="577"/>
      <c r="FA19" s="577"/>
      <c r="FB19" s="577"/>
      <c r="FC19" s="577"/>
      <c r="FD19" s="577"/>
      <c r="FE19" s="577"/>
      <c r="FF19" s="577"/>
      <c r="FG19" s="577"/>
      <c r="FH19" s="577"/>
      <c r="FI19" s="577"/>
      <c r="FJ19" s="577"/>
      <c r="FK19" s="577"/>
      <c r="FL19" s="577"/>
      <c r="FM19" s="577"/>
      <c r="FN19" s="577"/>
      <c r="FO19" s="577"/>
      <c r="FP19" s="577"/>
      <c r="FQ19" s="577"/>
      <c r="FR19" s="577"/>
      <c r="FS19" s="577"/>
      <c r="FT19" s="577"/>
      <c r="FU19" s="577"/>
      <c r="FV19" s="610"/>
      <c r="FW19" s="609"/>
      <c r="FX19" s="577"/>
      <c r="FY19" s="610"/>
      <c r="FZ19" s="609"/>
      <c r="GA19" s="577"/>
      <c r="GB19" s="610"/>
      <c r="GC19" s="609"/>
      <c r="GD19" s="577"/>
      <c r="GE19" s="610"/>
      <c r="GF19" s="609"/>
      <c r="GG19" s="577"/>
      <c r="GH19" s="610"/>
      <c r="GI19" s="609"/>
      <c r="GJ19" s="577"/>
      <c r="GK19" s="610"/>
      <c r="GL19" s="609"/>
      <c r="GM19" s="577"/>
      <c r="GN19" s="610"/>
      <c r="GO19" s="609"/>
      <c r="GP19" s="696">
        <f t="shared" si="0"/>
        <v>0</v>
      </c>
      <c r="GQ19" s="696">
        <f t="shared" si="1"/>
        <v>0</v>
      </c>
      <c r="GS19" s="696">
        <f t="shared" si="2"/>
        <v>0</v>
      </c>
      <c r="GT19" s="696">
        <f t="shared" si="3"/>
        <v>0</v>
      </c>
    </row>
    <row r="20" spans="1:204" x14ac:dyDescent="0.25">
      <c r="A20" s="9" t="s">
        <v>47</v>
      </c>
      <c r="B20" s="20" t="s">
        <v>48</v>
      </c>
      <c r="C20" s="576" t="s">
        <v>49</v>
      </c>
      <c r="D20" s="26">
        <f t="shared" ref="D20:AC20" si="7">+D18+D17+D16+D12+D11+D10+D9+D8</f>
        <v>1000000</v>
      </c>
      <c r="E20" s="26">
        <f t="shared" si="7"/>
        <v>1000000</v>
      </c>
      <c r="F20" s="26">
        <f t="shared" si="7"/>
        <v>278049</v>
      </c>
      <c r="G20" s="26">
        <f t="shared" si="7"/>
        <v>2600000</v>
      </c>
      <c r="H20" s="26">
        <f t="shared" si="7"/>
        <v>2418919</v>
      </c>
      <c r="I20" s="26">
        <f t="shared" si="7"/>
        <v>1224625</v>
      </c>
      <c r="J20" s="26">
        <f t="shared" si="7"/>
        <v>37565567</v>
      </c>
      <c r="K20" s="26">
        <f t="shared" si="7"/>
        <v>19684525</v>
      </c>
      <c r="L20" s="26">
        <f t="shared" si="7"/>
        <v>19684525</v>
      </c>
      <c r="M20" s="26">
        <f t="shared" si="7"/>
        <v>17525650</v>
      </c>
      <c r="N20" s="26">
        <f t="shared" si="7"/>
        <v>18470139</v>
      </c>
      <c r="O20" s="26">
        <f t="shared" si="7"/>
        <v>16668542</v>
      </c>
      <c r="P20" s="26">
        <f t="shared" si="7"/>
        <v>36741035</v>
      </c>
      <c r="Q20" s="26">
        <f t="shared" si="7"/>
        <v>39925997</v>
      </c>
      <c r="R20" s="26">
        <f t="shared" si="7"/>
        <v>34818399</v>
      </c>
      <c r="S20" s="26">
        <f t="shared" si="7"/>
        <v>20716674</v>
      </c>
      <c r="T20" s="26">
        <f t="shared" si="7"/>
        <v>55224726</v>
      </c>
      <c r="U20" s="26">
        <f t="shared" si="7"/>
        <v>47759451</v>
      </c>
      <c r="V20" s="26">
        <f t="shared" si="7"/>
        <v>7911250</v>
      </c>
      <c r="W20" s="26">
        <f t="shared" si="7"/>
        <v>14000250</v>
      </c>
      <c r="X20" s="26">
        <f t="shared" si="7"/>
        <v>11942278</v>
      </c>
      <c r="Y20" s="26">
        <f t="shared" si="7"/>
        <v>6000000</v>
      </c>
      <c r="Z20" s="26">
        <f t="shared" si="7"/>
        <v>23920902</v>
      </c>
      <c r="AA20" s="26">
        <f t="shared" si="7"/>
        <v>23940902</v>
      </c>
      <c r="AB20" s="26">
        <f t="shared" si="7"/>
        <v>2000000</v>
      </c>
      <c r="AC20" s="26">
        <f t="shared" si="7"/>
        <v>0</v>
      </c>
      <c r="AD20" s="26"/>
      <c r="AE20" s="26">
        <f t="shared" ref="AE20:AS20" si="8">+AE18+AE17+AE16+AE12+AE11+AE10+AE9+AE8</f>
        <v>20038632</v>
      </c>
      <c r="AF20" s="26">
        <f t="shared" si="8"/>
        <v>20038632</v>
      </c>
      <c r="AG20" s="26">
        <f t="shared" si="8"/>
        <v>19467888</v>
      </c>
      <c r="AH20" s="26">
        <f t="shared" si="8"/>
        <v>11811000</v>
      </c>
      <c r="AI20" s="26">
        <f t="shared" si="8"/>
        <v>11811000</v>
      </c>
      <c r="AJ20" s="26">
        <f t="shared" si="8"/>
        <v>11811000</v>
      </c>
      <c r="AK20" s="26">
        <f t="shared" si="8"/>
        <v>2000000</v>
      </c>
      <c r="AL20" s="26">
        <f t="shared" si="8"/>
        <v>1971268</v>
      </c>
      <c r="AM20" s="26">
        <f t="shared" si="8"/>
        <v>1911078</v>
      </c>
      <c r="AN20" s="26">
        <f t="shared" si="8"/>
        <v>503000</v>
      </c>
      <c r="AO20" s="26">
        <f t="shared" si="8"/>
        <v>144021</v>
      </c>
      <c r="AP20" s="26">
        <f t="shared" si="8"/>
        <v>144021</v>
      </c>
      <c r="AQ20" s="26">
        <f t="shared" si="8"/>
        <v>2000000</v>
      </c>
      <c r="AR20" s="26">
        <f t="shared" si="8"/>
        <v>397256</v>
      </c>
      <c r="AS20" s="26">
        <f t="shared" si="8"/>
        <v>397256</v>
      </c>
      <c r="AT20" s="26">
        <f t="shared" ref="AT20:BB20" si="9">+AT18+AT17+AT16+AT12+AT11+AT10+AT9+AT8</f>
        <v>1500000</v>
      </c>
      <c r="AU20" s="26">
        <f t="shared" si="9"/>
        <v>1500000</v>
      </c>
      <c r="AV20" s="26">
        <f t="shared" si="9"/>
        <v>1005481</v>
      </c>
      <c r="AW20" s="26">
        <f t="shared" si="9"/>
        <v>0</v>
      </c>
      <c r="AX20" s="26">
        <f t="shared" si="9"/>
        <v>10488573</v>
      </c>
      <c r="AY20" s="26">
        <f t="shared" si="9"/>
        <v>4468321</v>
      </c>
      <c r="AZ20" s="26">
        <f t="shared" si="9"/>
        <v>46919478</v>
      </c>
      <c r="BA20" s="26">
        <f t="shared" si="9"/>
        <v>46919478</v>
      </c>
      <c r="BB20" s="26">
        <f t="shared" si="9"/>
        <v>46919478</v>
      </c>
      <c r="BC20" s="26">
        <f>+BC18+BC17+BC16+BC12+BC11+BC10+BC9+BC8</f>
        <v>65000000</v>
      </c>
      <c r="BD20" s="26">
        <f>+BD18+BD17+BD16+BD12+BD11+BD10+BD9+BD8</f>
        <v>99322740</v>
      </c>
      <c r="BE20" s="26"/>
      <c r="BF20" s="26">
        <f>+BF18+BF17+BF16+BF12+BF11+BF10+BF9+BF8</f>
        <v>65000000</v>
      </c>
      <c r="BG20" s="26">
        <f>+BG18+BG17+BG16+BG12+BG11+BG10+BG9+BG8</f>
        <v>47371000</v>
      </c>
      <c r="BH20" s="26"/>
      <c r="BI20" s="26">
        <f t="shared" ref="BI20:CY20" si="10">+BI18+BI17+BI16+BI12+BI11+BI10+BI9+BI8</f>
        <v>1500000</v>
      </c>
      <c r="BJ20" s="26">
        <f t="shared" si="10"/>
        <v>1500000</v>
      </c>
      <c r="BK20" s="26">
        <f t="shared" si="10"/>
        <v>1499757</v>
      </c>
      <c r="BL20" s="26">
        <f t="shared" si="10"/>
        <v>2700000</v>
      </c>
      <c r="BM20" s="26">
        <f t="shared" si="10"/>
        <v>2750000</v>
      </c>
      <c r="BN20" s="26">
        <f t="shared" si="10"/>
        <v>2747394</v>
      </c>
      <c r="BO20" s="26">
        <f t="shared" si="10"/>
        <v>3885000</v>
      </c>
      <c r="BP20" s="26">
        <f t="shared" si="10"/>
        <v>4477000</v>
      </c>
      <c r="BQ20" s="26">
        <f t="shared" si="10"/>
        <v>4155476</v>
      </c>
      <c r="BR20" s="26">
        <f t="shared" si="10"/>
        <v>400000</v>
      </c>
      <c r="BS20" s="26">
        <f t="shared" si="10"/>
        <v>400000</v>
      </c>
      <c r="BT20" s="26">
        <f t="shared" si="10"/>
        <v>400000</v>
      </c>
      <c r="BU20" s="26">
        <f t="shared" si="10"/>
        <v>2647718</v>
      </c>
      <c r="BV20" s="26">
        <f t="shared" si="10"/>
        <v>3305774</v>
      </c>
      <c r="BW20" s="26">
        <f t="shared" si="10"/>
        <v>3301280</v>
      </c>
      <c r="BX20" s="26">
        <f t="shared" si="10"/>
        <v>3673011</v>
      </c>
      <c r="BY20" s="26">
        <f t="shared" si="10"/>
        <v>20091743</v>
      </c>
      <c r="BZ20" s="26">
        <f t="shared" si="10"/>
        <v>20079679</v>
      </c>
      <c r="CA20" s="26">
        <f t="shared" si="10"/>
        <v>3957385</v>
      </c>
      <c r="CB20" s="26">
        <f t="shared" si="10"/>
        <v>2980604</v>
      </c>
      <c r="CC20" s="26">
        <f t="shared" si="10"/>
        <v>2980604</v>
      </c>
      <c r="CD20" s="26">
        <f t="shared" si="10"/>
        <v>5522047</v>
      </c>
      <c r="CE20" s="26">
        <f t="shared" si="10"/>
        <v>3680097</v>
      </c>
      <c r="CF20" s="26">
        <f t="shared" si="10"/>
        <v>3423224</v>
      </c>
      <c r="CG20" s="26">
        <f t="shared" si="10"/>
        <v>3575528</v>
      </c>
      <c r="CH20" s="26">
        <f t="shared" si="10"/>
        <v>8586071</v>
      </c>
      <c r="CI20" s="26">
        <f t="shared" si="10"/>
        <v>8500158</v>
      </c>
      <c r="CJ20" s="26">
        <f t="shared" si="10"/>
        <v>3938336</v>
      </c>
      <c r="CK20" s="26">
        <f t="shared" si="10"/>
        <v>3032266</v>
      </c>
      <c r="CL20" s="26">
        <f t="shared" si="10"/>
        <v>2860748</v>
      </c>
      <c r="CM20" s="26">
        <f t="shared" si="10"/>
        <v>5634412</v>
      </c>
      <c r="CN20" s="26">
        <f t="shared" si="10"/>
        <v>4094468</v>
      </c>
      <c r="CO20" s="26">
        <f t="shared" si="10"/>
        <v>3897822</v>
      </c>
      <c r="CP20" s="26">
        <f t="shared" si="10"/>
        <v>720124</v>
      </c>
      <c r="CQ20" s="26">
        <f t="shared" si="10"/>
        <v>720124</v>
      </c>
      <c r="CR20" s="26">
        <f t="shared" si="10"/>
        <v>208563</v>
      </c>
      <c r="CS20" s="26">
        <f t="shared" si="10"/>
        <v>2018549</v>
      </c>
      <c r="CT20" s="26">
        <f t="shared" si="10"/>
        <v>1290154</v>
      </c>
      <c r="CU20" s="26">
        <f t="shared" si="10"/>
        <v>1077158</v>
      </c>
      <c r="CV20" s="26">
        <f t="shared" si="10"/>
        <v>395029201</v>
      </c>
      <c r="CW20" s="26">
        <f t="shared" si="10"/>
        <v>835415764</v>
      </c>
      <c r="CX20" s="26">
        <f t="shared" si="10"/>
        <v>0</v>
      </c>
      <c r="CY20" s="26">
        <f t="shared" si="10"/>
        <v>0</v>
      </c>
      <c r="CZ20" s="26"/>
      <c r="DA20" s="26">
        <f>+DA18+DA17+DA16+DA12+DA11+DA10+DA9+DA8</f>
        <v>0</v>
      </c>
      <c r="DB20" s="26">
        <f>+DB18+DB17+DB16+DB12+DB11+DB10+DB9+DB8</f>
        <v>0</v>
      </c>
      <c r="DC20" s="26"/>
      <c r="DD20" s="26">
        <f>+DD18+DD17+DD16+DD12+DD11+DD10+DD9+DD8</f>
        <v>635000</v>
      </c>
      <c r="DE20" s="26">
        <f>+DE18+DE17+DE16+DE12+DE11+DE10+DE9+DE8</f>
        <v>3395000</v>
      </c>
      <c r="DF20" s="26"/>
      <c r="DG20" s="26">
        <f>+DG18+DG17+DG16+DG12+DG11+DG10+DG9+DG8</f>
        <v>10020080</v>
      </c>
      <c r="DH20" s="26">
        <f>+DH18+DH17+DH16+DH12+DH11+DH10+DH9+DH8</f>
        <v>19020080</v>
      </c>
      <c r="DI20" s="26">
        <f>+DI18+DI17+DI16+DI12+DI11+DI10+DI9+DI8</f>
        <v>14772260</v>
      </c>
      <c r="DJ20" s="26">
        <f>+DJ18+DJ17+DJ16+DJ12+DJ11+DJ10+DJ9+DJ8</f>
        <v>0</v>
      </c>
      <c r="DK20" s="26">
        <f>+DK18+DK17+DK16+DK12+DK11+DK10+DK9+DK8</f>
        <v>60471732</v>
      </c>
      <c r="DL20" s="26"/>
      <c r="DM20" s="26">
        <f t="shared" ref="DM20:DT20" si="11">+DM18+DM17+DM16+DM12+DM11+DM10+DM9+DM8</f>
        <v>3235875</v>
      </c>
      <c r="DN20" s="26">
        <f t="shared" si="11"/>
        <v>3127061</v>
      </c>
      <c r="DO20" s="26">
        <f t="shared" si="11"/>
        <v>3127061</v>
      </c>
      <c r="DP20" s="26">
        <f t="shared" si="11"/>
        <v>400050</v>
      </c>
      <c r="DQ20" s="26">
        <f t="shared" si="11"/>
        <v>311004474</v>
      </c>
      <c r="DR20" s="26">
        <f t="shared" si="11"/>
        <v>15641220</v>
      </c>
      <c r="DS20" s="26">
        <f t="shared" si="11"/>
        <v>4825500</v>
      </c>
      <c r="DT20" s="26">
        <f t="shared" si="11"/>
        <v>325500</v>
      </c>
      <c r="DU20" s="26"/>
      <c r="DV20" s="26">
        <f t="shared" ref="DV20:EA20" si="12">+DV18+DV17+DV16+DV12+DV11+DV10+DV9+DV8</f>
        <v>8855000</v>
      </c>
      <c r="DW20" s="26">
        <f t="shared" si="12"/>
        <v>22208914</v>
      </c>
      <c r="DX20" s="26">
        <f t="shared" si="12"/>
        <v>16391315</v>
      </c>
      <c r="DY20" s="26">
        <f t="shared" si="12"/>
        <v>2350000</v>
      </c>
      <c r="DZ20" s="26">
        <f t="shared" si="12"/>
        <v>2350000</v>
      </c>
      <c r="EA20" s="26">
        <f t="shared" si="12"/>
        <v>2310612</v>
      </c>
      <c r="EB20" s="26">
        <f t="shared" ref="EB20:ED20" si="13">+EB18+EB17+EB16+EB12+EB11+EB10+EB9+EB8</f>
        <v>0</v>
      </c>
      <c r="EC20" s="26">
        <f t="shared" si="13"/>
        <v>16759884</v>
      </c>
      <c r="ED20" s="26">
        <f t="shared" si="13"/>
        <v>16133837</v>
      </c>
      <c r="EE20" s="26">
        <f>+EE18+EE17+EE16+EE12+EE11+EE10+EE9+EE8</f>
        <v>6000000</v>
      </c>
      <c r="EF20" s="26">
        <f>+EF18+EF17+EF16+EF12+EF11+EF10+EF9+EF8</f>
        <v>18000000</v>
      </c>
      <c r="EG20" s="26">
        <f t="shared" ref="EG20:EP20" si="14">+EG18+EG17+EG16+EG12+EG11+EG10+EG9+EG8</f>
        <v>18000000</v>
      </c>
      <c r="EH20" s="26">
        <f t="shared" si="14"/>
        <v>0</v>
      </c>
      <c r="EI20" s="26">
        <f t="shared" si="14"/>
        <v>2541088</v>
      </c>
      <c r="EJ20" s="26">
        <f t="shared" si="14"/>
        <v>2541088</v>
      </c>
      <c r="EK20" s="26">
        <f t="shared" si="14"/>
        <v>0</v>
      </c>
      <c r="EL20" s="26">
        <f t="shared" si="14"/>
        <v>9000000</v>
      </c>
      <c r="EM20" s="26">
        <f t="shared" si="14"/>
        <v>0</v>
      </c>
      <c r="EN20" s="26">
        <f t="shared" si="14"/>
        <v>0</v>
      </c>
      <c r="EO20" s="26">
        <f t="shared" si="14"/>
        <v>2586000</v>
      </c>
      <c r="EP20" s="26">
        <f t="shared" si="14"/>
        <v>2538600</v>
      </c>
      <c r="EQ20" s="26">
        <f>+EQ18+EQ17+EQ16+EQ12+EQ11+EQ10+EQ9+EQ8</f>
        <v>4500000</v>
      </c>
      <c r="ER20" s="26">
        <f>+ER18+ER17+ER16+ER12+ER11+ER10+ER9+ER8</f>
        <v>4500000</v>
      </c>
      <c r="ES20" s="26">
        <f>+ES18+ES17+ES16+ES12+ES11+ES10+ES9+ES8</f>
        <v>3642000</v>
      </c>
      <c r="ET20" s="26">
        <f>+ET18+ET17+ET16+ET12+ET11+ET10+ET9+ET8</f>
        <v>5000000</v>
      </c>
      <c r="EU20" s="26">
        <f>+EU18+EU17+EU16+EU12+EU11+EU10+EU9+EU8</f>
        <v>0</v>
      </c>
      <c r="EV20" s="26"/>
      <c r="EW20" s="26">
        <f t="shared" ref="EW20:GO20" si="15">+EW18+EW17+EW16+EW12+EW11+EW10+EW9+EW8</f>
        <v>4449513</v>
      </c>
      <c r="EX20" s="26">
        <f t="shared" si="15"/>
        <v>6349513</v>
      </c>
      <c r="EY20" s="26">
        <f t="shared" si="15"/>
        <v>5765535</v>
      </c>
      <c r="EZ20" s="26">
        <f t="shared" si="15"/>
        <v>5000000</v>
      </c>
      <c r="FA20" s="26">
        <f t="shared" si="15"/>
        <v>594360</v>
      </c>
      <c r="FB20" s="26">
        <f t="shared" si="15"/>
        <v>594360</v>
      </c>
      <c r="FC20" s="26">
        <f t="shared" si="15"/>
        <v>13191583</v>
      </c>
      <c r="FD20" s="26">
        <f t="shared" si="15"/>
        <v>17691583</v>
      </c>
      <c r="FE20" s="26">
        <f t="shared" si="15"/>
        <v>14581601</v>
      </c>
      <c r="FF20" s="26">
        <f t="shared" si="15"/>
        <v>6314100</v>
      </c>
      <c r="FG20" s="26">
        <f t="shared" si="15"/>
        <v>6314100</v>
      </c>
      <c r="FH20" s="26">
        <f t="shared" si="15"/>
        <v>6134100</v>
      </c>
      <c r="FI20" s="26">
        <f t="shared" si="15"/>
        <v>0</v>
      </c>
      <c r="FJ20" s="26">
        <f t="shared" si="15"/>
        <v>6856623</v>
      </c>
      <c r="FK20" s="26">
        <f t="shared" si="15"/>
        <v>6856623</v>
      </c>
      <c r="FL20" s="26">
        <f t="shared" si="15"/>
        <v>250000</v>
      </c>
      <c r="FM20" s="26">
        <f t="shared" si="15"/>
        <v>500000</v>
      </c>
      <c r="FN20" s="26">
        <f t="shared" si="15"/>
        <v>418000</v>
      </c>
      <c r="FO20" s="26">
        <f t="shared" si="15"/>
        <v>350000</v>
      </c>
      <c r="FP20" s="26">
        <f t="shared" si="15"/>
        <v>700000</v>
      </c>
      <c r="FQ20" s="26">
        <f t="shared" si="15"/>
        <v>79398</v>
      </c>
      <c r="FR20" s="26">
        <f t="shared" si="15"/>
        <v>11500000</v>
      </c>
      <c r="FS20" s="26">
        <f t="shared" si="15"/>
        <v>14000000</v>
      </c>
      <c r="FT20" s="26">
        <f t="shared" si="15"/>
        <v>9005256</v>
      </c>
      <c r="FU20" s="26">
        <f t="shared" si="15"/>
        <v>19000000</v>
      </c>
      <c r="FV20" s="26">
        <f t="shared" si="15"/>
        <v>19835401</v>
      </c>
      <c r="FW20" s="26">
        <f t="shared" si="15"/>
        <v>19810628</v>
      </c>
      <c r="FX20" s="26">
        <f t="shared" si="15"/>
        <v>1000000</v>
      </c>
      <c r="FY20" s="26">
        <f t="shared" si="15"/>
        <v>3700000</v>
      </c>
      <c r="FZ20" s="26">
        <f t="shared" si="15"/>
        <v>3554955</v>
      </c>
      <c r="GA20" s="26">
        <f t="shared" si="15"/>
        <v>0</v>
      </c>
      <c r="GB20" s="26">
        <f t="shared" si="15"/>
        <v>131150520</v>
      </c>
      <c r="GC20" s="26">
        <f t="shared" si="15"/>
        <v>129468136</v>
      </c>
      <c r="GD20" s="26">
        <f t="shared" si="15"/>
        <v>0</v>
      </c>
      <c r="GE20" s="26">
        <f t="shared" si="15"/>
        <v>680000</v>
      </c>
      <c r="GF20" s="26">
        <f t="shared" si="15"/>
        <v>130000</v>
      </c>
      <c r="GG20" s="26">
        <f t="shared" si="15"/>
        <v>0</v>
      </c>
      <c r="GH20" s="26">
        <f t="shared" si="15"/>
        <v>150138700</v>
      </c>
      <c r="GI20" s="26">
        <f t="shared" si="15"/>
        <v>138700</v>
      </c>
      <c r="GJ20" s="26">
        <f t="shared" si="15"/>
        <v>0</v>
      </c>
      <c r="GK20" s="26">
        <f t="shared" si="15"/>
        <v>12963000</v>
      </c>
      <c r="GL20" s="26">
        <f t="shared" si="15"/>
        <v>0</v>
      </c>
      <c r="GM20" s="26">
        <f t="shared" si="15"/>
        <v>0</v>
      </c>
      <c r="GN20" s="26">
        <f t="shared" si="15"/>
        <v>1358900</v>
      </c>
      <c r="GO20" s="26">
        <f t="shared" si="15"/>
        <v>596900</v>
      </c>
      <c r="GP20" s="696">
        <f t="shared" si="0"/>
        <v>433667170</v>
      </c>
      <c r="GQ20" s="696">
        <f t="shared" si="1"/>
        <v>156138172</v>
      </c>
      <c r="GS20" s="696">
        <f t="shared" si="2"/>
        <v>589805342</v>
      </c>
      <c r="GT20" s="696">
        <f t="shared" si="3"/>
        <v>589805342</v>
      </c>
    </row>
    <row r="21" spans="1:204" x14ac:dyDescent="0.2">
      <c r="A21" s="9" t="s">
        <v>50</v>
      </c>
      <c r="B21" s="20" t="s">
        <v>51</v>
      </c>
      <c r="C21" s="576" t="s">
        <v>52</v>
      </c>
      <c r="D21" s="577">
        <f>+D22+D23+D24+D25</f>
        <v>0</v>
      </c>
      <c r="E21" s="577">
        <f>+E22+E23+E24+E25</f>
        <v>0</v>
      </c>
      <c r="F21" s="577"/>
      <c r="G21" s="577">
        <f>+G22+G23+G24+G25</f>
        <v>0</v>
      </c>
      <c r="H21" s="577">
        <f>+H22+H23+H24+H25</f>
        <v>0</v>
      </c>
      <c r="I21" s="577"/>
      <c r="J21" s="577">
        <f>+J22+J23+J24+J25</f>
        <v>0</v>
      </c>
      <c r="K21" s="577">
        <f>+K22+K23+K24+K25</f>
        <v>0</v>
      </c>
      <c r="L21" s="577"/>
      <c r="M21" s="577">
        <f>+M22+M23+M24+M25</f>
        <v>0</v>
      </c>
      <c r="N21" s="577">
        <f>+N22+N23+N24+N25</f>
        <v>0</v>
      </c>
      <c r="O21" s="577"/>
      <c r="P21" s="577">
        <f>+P22+P23+P24+P25</f>
        <v>0</v>
      </c>
      <c r="Q21" s="577">
        <f>+Q22+Q23+Q24+Q25</f>
        <v>0</v>
      </c>
      <c r="R21" s="577"/>
      <c r="S21" s="577">
        <f>+S22+S23+S24+S25</f>
        <v>0</v>
      </c>
      <c r="T21" s="577">
        <f>+T22+T23+T24+T25</f>
        <v>0</v>
      </c>
      <c r="U21" s="577"/>
      <c r="V21" s="577">
        <f>+V22+V23+V24+V25</f>
        <v>0</v>
      </c>
      <c r="W21" s="577">
        <f>+W22+W23+W24+W25</f>
        <v>0</v>
      </c>
      <c r="X21" s="577"/>
      <c r="Y21" s="577">
        <f>+Y22+Y23+Y24+Y25</f>
        <v>0</v>
      </c>
      <c r="Z21" s="577">
        <f>+Z22+Z23+Z24+Z25</f>
        <v>0</v>
      </c>
      <c r="AA21" s="577">
        <f>+AA22+AA23+AA24+AA25</f>
        <v>0</v>
      </c>
      <c r="AB21" s="577">
        <f>+AB22+AB23+AB24+AB25</f>
        <v>0</v>
      </c>
      <c r="AC21" s="577">
        <f>+AC22+AC23+AC24+AC25</f>
        <v>0</v>
      </c>
      <c r="AD21" s="577"/>
      <c r="AE21" s="577">
        <f>+AE22+AE23+AE24+AE25</f>
        <v>0</v>
      </c>
      <c r="AF21" s="577">
        <f>+AF22+AF23+AF24+AF25</f>
        <v>0</v>
      </c>
      <c r="AG21" s="577"/>
      <c r="AH21" s="577">
        <f>+AH22+AH23+AH24+AH25</f>
        <v>0</v>
      </c>
      <c r="AI21" s="577">
        <f>+AI22+AI23+AI24+AI25</f>
        <v>0</v>
      </c>
      <c r="AJ21" s="577"/>
      <c r="AK21" s="577">
        <f>+AK22+AK23+AK24+AK25</f>
        <v>0</v>
      </c>
      <c r="AL21" s="577">
        <f>+AL22+AL23+AL24+AL25</f>
        <v>0</v>
      </c>
      <c r="AM21" s="577"/>
      <c r="AN21" s="577">
        <f>+AN22+AN23+AN24+AN25</f>
        <v>0</v>
      </c>
      <c r="AO21" s="577">
        <f>+AO22+AO23+AO24+AO25</f>
        <v>0</v>
      </c>
      <c r="AP21" s="577"/>
      <c r="AQ21" s="577">
        <f>+AQ22+AQ23+AQ24+AQ25</f>
        <v>0</v>
      </c>
      <c r="AR21" s="577">
        <f>+AR22+AR23+AR24+AR25</f>
        <v>0</v>
      </c>
      <c r="AS21" s="577"/>
      <c r="AT21" s="577">
        <f>+AT22+AT23+AT24+AT25</f>
        <v>0</v>
      </c>
      <c r="AU21" s="577">
        <f>+AU22+AU23+AU24+AU25</f>
        <v>0</v>
      </c>
      <c r="AV21" s="577"/>
      <c r="AW21" s="577">
        <f t="shared" ref="AW21:BD21" si="16">+AW22+AW23+AW24+AW25</f>
        <v>0</v>
      </c>
      <c r="AX21" s="577">
        <f t="shared" si="16"/>
        <v>0</v>
      </c>
      <c r="AY21" s="577">
        <f t="shared" si="16"/>
        <v>0</v>
      </c>
      <c r="AZ21" s="577">
        <f t="shared" si="16"/>
        <v>0</v>
      </c>
      <c r="BA21" s="577">
        <f t="shared" si="16"/>
        <v>0</v>
      </c>
      <c r="BB21" s="577">
        <f t="shared" si="16"/>
        <v>0</v>
      </c>
      <c r="BC21" s="577">
        <f t="shared" si="16"/>
        <v>0</v>
      </c>
      <c r="BD21" s="577">
        <f t="shared" si="16"/>
        <v>0</v>
      </c>
      <c r="BE21" s="577"/>
      <c r="BF21" s="577">
        <f>+BF22+BF23+BF24+BF25</f>
        <v>0</v>
      </c>
      <c r="BG21" s="577">
        <f>+BG22+BG23+BG24+BG25</f>
        <v>0</v>
      </c>
      <c r="BH21" s="577"/>
      <c r="BI21" s="577">
        <f>+BI22+BI23+BI24+BI25</f>
        <v>0</v>
      </c>
      <c r="BJ21" s="577">
        <f>+BJ22+BJ23+BJ24+BJ25</f>
        <v>0</v>
      </c>
      <c r="BK21" s="577"/>
      <c r="BL21" s="577">
        <f t="shared" ref="BL21:BY21" si="17">+BL22+BL23+BL24+BL25</f>
        <v>0</v>
      </c>
      <c r="BM21" s="577">
        <f t="shared" si="17"/>
        <v>0</v>
      </c>
      <c r="BN21" s="577">
        <f t="shared" si="17"/>
        <v>0</v>
      </c>
      <c r="BO21" s="577">
        <f t="shared" si="17"/>
        <v>0</v>
      </c>
      <c r="BP21" s="577">
        <f t="shared" si="17"/>
        <v>0</v>
      </c>
      <c r="BQ21" s="577">
        <f t="shared" si="17"/>
        <v>0</v>
      </c>
      <c r="BR21" s="577">
        <f t="shared" si="17"/>
        <v>0</v>
      </c>
      <c r="BS21" s="577">
        <f t="shared" si="17"/>
        <v>0</v>
      </c>
      <c r="BT21" s="577">
        <f t="shared" si="17"/>
        <v>0</v>
      </c>
      <c r="BU21" s="577">
        <f t="shared" si="17"/>
        <v>0</v>
      </c>
      <c r="BV21" s="577">
        <f t="shared" si="17"/>
        <v>0</v>
      </c>
      <c r="BW21" s="577">
        <f t="shared" si="17"/>
        <v>0</v>
      </c>
      <c r="BX21" s="577">
        <f t="shared" si="17"/>
        <v>0</v>
      </c>
      <c r="BY21" s="577">
        <f t="shared" si="17"/>
        <v>0</v>
      </c>
      <c r="BZ21" s="577"/>
      <c r="CA21" s="577">
        <f>+CA22+CA23+CA24+CA25</f>
        <v>0</v>
      </c>
      <c r="CB21" s="577">
        <f>+CB22+CB23+CB24+CB25</f>
        <v>0</v>
      </c>
      <c r="CC21" s="577"/>
      <c r="CD21" s="577">
        <f>+CD22+CD23+CD24+CD25</f>
        <v>0</v>
      </c>
      <c r="CE21" s="577">
        <f>+CE22+CE23+CE24+CE25</f>
        <v>0</v>
      </c>
      <c r="CF21" s="577"/>
      <c r="CG21" s="577">
        <f>+CG22+CG23+CG24+CG25</f>
        <v>0</v>
      </c>
      <c r="CH21" s="577">
        <f>+CH22+CH23+CH24+CH25</f>
        <v>0</v>
      </c>
      <c r="CI21" s="577"/>
      <c r="CJ21" s="577">
        <f>+CJ22+CJ23+CJ24+CJ25</f>
        <v>0</v>
      </c>
      <c r="CK21" s="577">
        <f>+CK22+CK23+CK24+CK25</f>
        <v>0</v>
      </c>
      <c r="CL21" s="577"/>
      <c r="CM21" s="577">
        <f>+CM22+CM23+CM24+CM25</f>
        <v>0</v>
      </c>
      <c r="CN21" s="577">
        <f>+CN22+CN23+CN24+CN25</f>
        <v>0</v>
      </c>
      <c r="CO21" s="577">
        <f>+CO22+CO23+CO24+CO25</f>
        <v>0</v>
      </c>
      <c r="CP21" s="577">
        <f>+CP22+CP23+CP24+CP25</f>
        <v>0</v>
      </c>
      <c r="CQ21" s="577">
        <f>+CQ22+CQ23+CQ24+CQ25</f>
        <v>0</v>
      </c>
      <c r="CR21" s="577"/>
      <c r="CS21" s="577">
        <f>+CS22+CS23+CS24+CS25</f>
        <v>0</v>
      </c>
      <c r="CT21" s="577">
        <f>+CT22+CT23+CT24+CT25</f>
        <v>0</v>
      </c>
      <c r="CU21" s="577"/>
      <c r="CV21" s="577">
        <f t="shared" ref="CV21:DB21" si="18">+CV22+CV23+CV24+CV25</f>
        <v>0</v>
      </c>
      <c r="CW21" s="577">
        <f t="shared" si="18"/>
        <v>0</v>
      </c>
      <c r="CX21" s="577">
        <v>1909725535</v>
      </c>
      <c r="CY21" s="577">
        <v>1982685354</v>
      </c>
      <c r="CZ21" s="577">
        <f t="shared" si="18"/>
        <v>1830471809</v>
      </c>
      <c r="DA21" s="577">
        <f t="shared" si="18"/>
        <v>0</v>
      </c>
      <c r="DB21" s="577">
        <f t="shared" si="18"/>
        <v>0</v>
      </c>
      <c r="DC21" s="577"/>
      <c r="DD21" s="577">
        <f>+DD22+DD23+DD24+DD25</f>
        <v>0</v>
      </c>
      <c r="DE21" s="577">
        <f>+DE22+DE23+DE24+DE25</f>
        <v>0</v>
      </c>
      <c r="DF21" s="577"/>
      <c r="DG21" s="577">
        <f>+DG22+DG23+DG24+DG25</f>
        <v>0</v>
      </c>
      <c r="DH21" s="577">
        <f>+DH22+DH23+DH24+DH25</f>
        <v>0</v>
      </c>
      <c r="DI21" s="577"/>
      <c r="DJ21" s="577">
        <f>+DJ22+DJ23+DJ24+DJ25</f>
        <v>0</v>
      </c>
      <c r="DK21" s="577">
        <f>+DK22+DK23+DK24+DK25</f>
        <v>0</v>
      </c>
      <c r="DL21" s="577"/>
      <c r="DM21" s="577">
        <f>+DM22+DM23+DM24+DM25</f>
        <v>0</v>
      </c>
      <c r="DN21" s="577">
        <f>+DN22+DN23+DN24+DN25</f>
        <v>0</v>
      </c>
      <c r="DO21" s="577"/>
      <c r="DP21" s="577">
        <f>+DP22+DP23+DP24+DP25</f>
        <v>0</v>
      </c>
      <c r="DQ21" s="577">
        <f>+DQ22+DQ23+DQ24+DQ25</f>
        <v>0</v>
      </c>
      <c r="DR21" s="577"/>
      <c r="DS21" s="577">
        <f>+DS22+DS23+DS24+DS25</f>
        <v>0</v>
      </c>
      <c r="DT21" s="577">
        <f>+DT22+DT23+DT24+DT25</f>
        <v>0</v>
      </c>
      <c r="DU21" s="577"/>
      <c r="DV21" s="577">
        <f>+DV22+DV23+DV24+DV25</f>
        <v>0</v>
      </c>
      <c r="DW21" s="577">
        <f>+DW22+DW23+DW24+DW25</f>
        <v>0</v>
      </c>
      <c r="DX21" s="577"/>
      <c r="DY21" s="577">
        <f>+DY22+DY23+DY24+DY25</f>
        <v>0</v>
      </c>
      <c r="DZ21" s="577">
        <f>+DZ22+DZ23+DZ24+DZ25</f>
        <v>0</v>
      </c>
      <c r="EA21" s="577">
        <f>+EA22+EA23+EA24+EA25</f>
        <v>0</v>
      </c>
      <c r="EB21" s="577">
        <f t="shared" ref="EB21:ED21" si="19">+EB22+EB23+EB24+EB25</f>
        <v>0</v>
      </c>
      <c r="EC21" s="577">
        <f t="shared" si="19"/>
        <v>0</v>
      </c>
      <c r="ED21" s="577">
        <f t="shared" si="19"/>
        <v>0</v>
      </c>
      <c r="EE21" s="577">
        <f>+EE22+EE23+EE24+EE25</f>
        <v>0</v>
      </c>
      <c r="EF21" s="577">
        <f>+EF22+EF23+EF24+EF25</f>
        <v>0</v>
      </c>
      <c r="EG21" s="577">
        <f t="shared" ref="EG21:EP21" si="20">+EG22+EG23+EG24+EG25</f>
        <v>0</v>
      </c>
      <c r="EH21" s="577">
        <f t="shared" si="20"/>
        <v>0</v>
      </c>
      <c r="EI21" s="577">
        <f t="shared" si="20"/>
        <v>0</v>
      </c>
      <c r="EJ21" s="577">
        <f t="shared" si="20"/>
        <v>0</v>
      </c>
      <c r="EK21" s="577">
        <f t="shared" si="20"/>
        <v>0</v>
      </c>
      <c r="EL21" s="577">
        <f t="shared" si="20"/>
        <v>0</v>
      </c>
      <c r="EM21" s="577">
        <f t="shared" si="20"/>
        <v>0</v>
      </c>
      <c r="EN21" s="577">
        <f t="shared" si="20"/>
        <v>0</v>
      </c>
      <c r="EO21" s="577">
        <f t="shared" si="20"/>
        <v>0</v>
      </c>
      <c r="EP21" s="577">
        <f t="shared" si="20"/>
        <v>0</v>
      </c>
      <c r="EQ21" s="577">
        <f>+EQ22+EQ23+EQ24+EQ25</f>
        <v>0</v>
      </c>
      <c r="ER21" s="577">
        <f>+ER22+ER23+ER24+ER25</f>
        <v>0</v>
      </c>
      <c r="ES21" s="577">
        <f>+ES22+ES23+ES24+ES25</f>
        <v>0</v>
      </c>
      <c r="ET21" s="577">
        <f>+ET22+ET23+ET24+ET25</f>
        <v>0</v>
      </c>
      <c r="EU21" s="577">
        <f>+EU22+EU23+EU24+EU25</f>
        <v>0</v>
      </c>
      <c r="EV21" s="577"/>
      <c r="EW21" s="577">
        <f>+EW22+EW23+EW24+EW25</f>
        <v>0</v>
      </c>
      <c r="EX21" s="577">
        <f>+EX22+EX23+EX24+EX25</f>
        <v>0</v>
      </c>
      <c r="EY21" s="577"/>
      <c r="EZ21" s="577">
        <f>+EZ22+EZ23+EZ24+EZ25</f>
        <v>0</v>
      </c>
      <c r="FA21" s="577">
        <f>+FA22+FA23+FA24+FA25</f>
        <v>0</v>
      </c>
      <c r="FB21" s="577">
        <f>+FB22+FB23+FB24+FB25</f>
        <v>0</v>
      </c>
      <c r="FC21" s="577">
        <f>+FC22+FC23+FC24+FC25</f>
        <v>0</v>
      </c>
      <c r="FD21" s="577">
        <f>+FD22+FD23+FD24+FD25</f>
        <v>0</v>
      </c>
      <c r="FE21" s="577"/>
      <c r="FF21" s="577">
        <f>+FF22+FF23+FF24+FF25</f>
        <v>0</v>
      </c>
      <c r="FG21" s="577">
        <f>+FG22+FG23+FG24+FG25</f>
        <v>0</v>
      </c>
      <c r="FH21" s="577"/>
      <c r="FI21" s="577">
        <f>+FI22+FI23+FI24+FI25</f>
        <v>0</v>
      </c>
      <c r="FJ21" s="577">
        <f>+FJ22+FJ23+FJ24+FJ25</f>
        <v>0</v>
      </c>
      <c r="FK21" s="577">
        <f>+FK22+FK23+FK24+FK25</f>
        <v>0</v>
      </c>
      <c r="FL21" s="577">
        <f>+FL22+FL23+FL24+FL25</f>
        <v>0</v>
      </c>
      <c r="FM21" s="577">
        <f>+FM22+FM23+FM24+FM25</f>
        <v>0</v>
      </c>
      <c r="FN21" s="577"/>
      <c r="FO21" s="577">
        <f t="shared" ref="FO21:GO21" si="21">+FO22+FO23+FO24+FO25</f>
        <v>0</v>
      </c>
      <c r="FP21" s="577">
        <f t="shared" si="21"/>
        <v>0</v>
      </c>
      <c r="FQ21" s="577">
        <f t="shared" si="21"/>
        <v>0</v>
      </c>
      <c r="FR21" s="577">
        <f t="shared" si="21"/>
        <v>0</v>
      </c>
      <c r="FS21" s="577">
        <f t="shared" si="21"/>
        <v>0</v>
      </c>
      <c r="FT21" s="577">
        <f t="shared" si="21"/>
        <v>0</v>
      </c>
      <c r="FU21" s="577">
        <f t="shared" si="21"/>
        <v>0</v>
      </c>
      <c r="FV21" s="577">
        <f t="shared" si="21"/>
        <v>0</v>
      </c>
      <c r="FW21" s="577">
        <f t="shared" si="21"/>
        <v>0</v>
      </c>
      <c r="FX21" s="577">
        <f t="shared" si="21"/>
        <v>0</v>
      </c>
      <c r="FY21" s="577">
        <f t="shared" si="21"/>
        <v>0</v>
      </c>
      <c r="FZ21" s="577">
        <f t="shared" si="21"/>
        <v>0</v>
      </c>
      <c r="GA21" s="577">
        <f t="shared" si="21"/>
        <v>0</v>
      </c>
      <c r="GB21" s="577">
        <f t="shared" si="21"/>
        <v>0</v>
      </c>
      <c r="GC21" s="577">
        <f t="shared" si="21"/>
        <v>0</v>
      </c>
      <c r="GD21" s="577">
        <f t="shared" si="21"/>
        <v>0</v>
      </c>
      <c r="GE21" s="577">
        <f t="shared" si="21"/>
        <v>0</v>
      </c>
      <c r="GF21" s="577">
        <f t="shared" si="21"/>
        <v>0</v>
      </c>
      <c r="GG21" s="577">
        <f t="shared" si="21"/>
        <v>0</v>
      </c>
      <c r="GH21" s="577">
        <f t="shared" si="21"/>
        <v>0</v>
      </c>
      <c r="GI21" s="577">
        <f t="shared" si="21"/>
        <v>0</v>
      </c>
      <c r="GJ21" s="577">
        <f t="shared" si="21"/>
        <v>0</v>
      </c>
      <c r="GK21" s="577">
        <f t="shared" si="21"/>
        <v>0</v>
      </c>
      <c r="GL21" s="577">
        <f t="shared" si="21"/>
        <v>0</v>
      </c>
      <c r="GM21" s="577">
        <f t="shared" si="21"/>
        <v>0</v>
      </c>
      <c r="GN21" s="577">
        <f t="shared" si="21"/>
        <v>0</v>
      </c>
      <c r="GO21" s="577">
        <f t="shared" si="21"/>
        <v>0</v>
      </c>
      <c r="GP21" s="696">
        <f t="shared" si="0"/>
        <v>1830471809</v>
      </c>
      <c r="GQ21" s="696">
        <f t="shared" si="1"/>
        <v>0</v>
      </c>
      <c r="GS21" s="696">
        <f t="shared" si="2"/>
        <v>1830471809</v>
      </c>
      <c r="GT21" s="696">
        <f t="shared" si="3"/>
        <v>1830471809</v>
      </c>
    </row>
    <row r="22" spans="1:204" x14ac:dyDescent="0.25">
      <c r="A22" s="9" t="s">
        <v>53</v>
      </c>
      <c r="B22" s="24" t="s">
        <v>970</v>
      </c>
      <c r="C22" s="582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  <c r="Y22" s="586"/>
      <c r="Z22" s="586"/>
      <c r="AA22" s="586"/>
      <c r="AB22" s="586"/>
      <c r="AC22" s="586"/>
      <c r="AD22" s="586"/>
      <c r="AE22" s="586"/>
      <c r="AF22" s="586"/>
      <c r="AG22" s="586"/>
      <c r="AH22" s="586"/>
      <c r="AI22" s="586"/>
      <c r="AJ22" s="586"/>
      <c r="AK22" s="586"/>
      <c r="AL22" s="586"/>
      <c r="AM22" s="586"/>
      <c r="AN22" s="586"/>
      <c r="AO22" s="586"/>
      <c r="AP22" s="586"/>
      <c r="AQ22" s="586"/>
      <c r="AR22" s="586"/>
      <c r="AS22" s="586"/>
      <c r="AT22" s="586"/>
      <c r="AU22" s="586"/>
      <c r="AV22" s="586"/>
      <c r="AW22" s="586"/>
      <c r="AX22" s="586"/>
      <c r="AY22" s="586"/>
      <c r="AZ22" s="586"/>
      <c r="BA22" s="586"/>
      <c r="BB22" s="586"/>
      <c r="BC22" s="586"/>
      <c r="BD22" s="586"/>
      <c r="BE22" s="586"/>
      <c r="BF22" s="586"/>
      <c r="BG22" s="586"/>
      <c r="BH22" s="586"/>
      <c r="BI22" s="586"/>
      <c r="BJ22" s="586"/>
      <c r="BK22" s="586"/>
      <c r="BL22" s="586"/>
      <c r="BM22" s="586"/>
      <c r="BN22" s="586"/>
      <c r="BO22" s="586"/>
      <c r="BP22" s="586"/>
      <c r="BQ22" s="586"/>
      <c r="BR22" s="586"/>
      <c r="BS22" s="586"/>
      <c r="BT22" s="586"/>
      <c r="BU22" s="586"/>
      <c r="BV22" s="586"/>
      <c r="BW22" s="586"/>
      <c r="BX22" s="586"/>
      <c r="BY22" s="586"/>
      <c r="BZ22" s="586"/>
      <c r="CA22" s="586"/>
      <c r="CB22" s="586"/>
      <c r="CC22" s="586"/>
      <c r="CD22" s="586"/>
      <c r="CE22" s="586"/>
      <c r="CF22" s="586"/>
      <c r="CG22" s="586"/>
      <c r="CH22" s="586"/>
      <c r="CI22" s="586"/>
      <c r="CJ22" s="586"/>
      <c r="CK22" s="586"/>
      <c r="CL22" s="586"/>
      <c r="CM22" s="586"/>
      <c r="CN22" s="586"/>
      <c r="CO22" s="586"/>
      <c r="CP22" s="586"/>
      <c r="CQ22" s="586"/>
      <c r="CR22" s="586"/>
      <c r="CS22" s="586"/>
      <c r="CT22" s="586"/>
      <c r="CU22" s="586"/>
      <c r="CV22" s="586"/>
      <c r="CW22" s="586"/>
      <c r="CX22" s="589"/>
      <c r="CY22" s="589"/>
      <c r="CZ22" s="589"/>
      <c r="DA22" s="586"/>
      <c r="DB22" s="586"/>
      <c r="DC22" s="586"/>
      <c r="DD22" s="586"/>
      <c r="DE22" s="586"/>
      <c r="DF22" s="586"/>
      <c r="DG22" s="586"/>
      <c r="DH22" s="586"/>
      <c r="DI22" s="586"/>
      <c r="DJ22" s="611"/>
      <c r="DK22" s="611"/>
      <c r="DL22" s="611"/>
      <c r="DM22" s="583"/>
      <c r="DN22" s="586"/>
      <c r="DO22" s="586"/>
      <c r="DP22" s="586"/>
      <c r="DQ22" s="586"/>
      <c r="DR22" s="586"/>
      <c r="DS22" s="586"/>
      <c r="DT22" s="586"/>
      <c r="DU22" s="586"/>
      <c r="DV22" s="587"/>
      <c r="DW22" s="587"/>
      <c r="DX22" s="587"/>
      <c r="DY22" s="587"/>
      <c r="DZ22" s="587"/>
      <c r="EA22" s="587"/>
      <c r="EB22" s="587"/>
      <c r="EC22" s="587"/>
      <c r="ED22" s="587"/>
      <c r="EE22" s="587"/>
      <c r="EF22" s="587"/>
      <c r="EG22" s="587"/>
      <c r="EH22" s="587"/>
      <c r="EI22" s="587"/>
      <c r="EJ22" s="587"/>
      <c r="EK22" s="587"/>
      <c r="EL22" s="587"/>
      <c r="EM22" s="587"/>
      <c r="EN22" s="587"/>
      <c r="EO22" s="587"/>
      <c r="EP22" s="587"/>
      <c r="EQ22" s="586"/>
      <c r="ER22" s="586"/>
      <c r="ES22" s="586"/>
      <c r="ET22" s="586"/>
      <c r="EU22" s="586"/>
      <c r="EV22" s="586"/>
      <c r="EW22" s="586"/>
      <c r="EX22" s="586"/>
      <c r="EY22" s="586"/>
      <c r="EZ22" s="586"/>
      <c r="FA22" s="586"/>
      <c r="FB22" s="586"/>
      <c r="FC22" s="586"/>
      <c r="FD22" s="586"/>
      <c r="FE22" s="586"/>
      <c r="FF22" s="586"/>
      <c r="FG22" s="586"/>
      <c r="FH22" s="586"/>
      <c r="FI22" s="586"/>
      <c r="FJ22" s="586"/>
      <c r="FK22" s="586"/>
      <c r="FL22" s="586"/>
      <c r="FM22" s="586"/>
      <c r="FN22" s="586"/>
      <c r="FO22" s="586"/>
      <c r="FP22" s="586"/>
      <c r="FQ22" s="586"/>
      <c r="FR22" s="586"/>
      <c r="FS22" s="586"/>
      <c r="FT22" s="586"/>
      <c r="FU22" s="586"/>
      <c r="FV22" s="608"/>
      <c r="FW22" s="607"/>
      <c r="FX22" s="586"/>
      <c r="FY22" s="608"/>
      <c r="FZ22" s="607"/>
      <c r="GA22" s="586"/>
      <c r="GB22" s="608"/>
      <c r="GC22" s="607"/>
      <c r="GD22" s="586"/>
      <c r="GE22" s="608"/>
      <c r="GF22" s="607"/>
      <c r="GG22" s="586"/>
      <c r="GH22" s="608"/>
      <c r="GI22" s="607"/>
      <c r="GJ22" s="586"/>
      <c r="GK22" s="608"/>
      <c r="GL22" s="607"/>
      <c r="GM22" s="586"/>
      <c r="GN22" s="608"/>
      <c r="GO22" s="607"/>
      <c r="GP22" s="696">
        <f t="shared" si="0"/>
        <v>0</v>
      </c>
      <c r="GQ22" s="696">
        <f t="shared" si="1"/>
        <v>0</v>
      </c>
      <c r="GS22" s="696">
        <f t="shared" si="2"/>
        <v>0</v>
      </c>
      <c r="GT22" s="696">
        <f t="shared" si="3"/>
        <v>0</v>
      </c>
    </row>
    <row r="23" spans="1:204" x14ac:dyDescent="0.25">
      <c r="A23" s="9" t="s">
        <v>55</v>
      </c>
      <c r="B23" s="24" t="s">
        <v>56</v>
      </c>
      <c r="C23" s="582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  <c r="W23" s="586"/>
      <c r="X23" s="586"/>
      <c r="Y23" s="586"/>
      <c r="Z23" s="586"/>
      <c r="AA23" s="586"/>
      <c r="AB23" s="586"/>
      <c r="AC23" s="586"/>
      <c r="AD23" s="586"/>
      <c r="AE23" s="586"/>
      <c r="AF23" s="586"/>
      <c r="AG23" s="586"/>
      <c r="AH23" s="586"/>
      <c r="AI23" s="586"/>
      <c r="AJ23" s="586"/>
      <c r="AK23" s="586"/>
      <c r="AL23" s="586"/>
      <c r="AM23" s="586"/>
      <c r="AN23" s="586"/>
      <c r="AO23" s="586"/>
      <c r="AP23" s="586"/>
      <c r="AQ23" s="586"/>
      <c r="AR23" s="586"/>
      <c r="AS23" s="586"/>
      <c r="AT23" s="586"/>
      <c r="AU23" s="586"/>
      <c r="AV23" s="586"/>
      <c r="AW23" s="586"/>
      <c r="AX23" s="586"/>
      <c r="AY23" s="586"/>
      <c r="AZ23" s="586"/>
      <c r="BA23" s="586"/>
      <c r="BB23" s="586"/>
      <c r="BC23" s="586"/>
      <c r="BD23" s="586"/>
      <c r="BE23" s="586"/>
      <c r="BF23" s="586"/>
      <c r="BG23" s="586"/>
      <c r="BH23" s="586"/>
      <c r="BI23" s="586"/>
      <c r="BJ23" s="586"/>
      <c r="BK23" s="586"/>
      <c r="BL23" s="586"/>
      <c r="BM23" s="586"/>
      <c r="BN23" s="586"/>
      <c r="BO23" s="586"/>
      <c r="BP23" s="586"/>
      <c r="BQ23" s="586"/>
      <c r="BR23" s="586"/>
      <c r="BS23" s="586"/>
      <c r="BT23" s="586"/>
      <c r="BU23" s="586"/>
      <c r="BV23" s="586"/>
      <c r="BW23" s="586"/>
      <c r="BX23" s="586"/>
      <c r="BY23" s="586"/>
      <c r="BZ23" s="586"/>
      <c r="CA23" s="586"/>
      <c r="CB23" s="586"/>
      <c r="CC23" s="586"/>
      <c r="CD23" s="586"/>
      <c r="CE23" s="586"/>
      <c r="CF23" s="586"/>
      <c r="CG23" s="586"/>
      <c r="CH23" s="586"/>
      <c r="CI23" s="586"/>
      <c r="CJ23" s="586"/>
      <c r="CK23" s="586"/>
      <c r="CL23" s="586"/>
      <c r="CM23" s="586"/>
      <c r="CN23" s="586"/>
      <c r="CO23" s="586"/>
      <c r="CP23" s="586"/>
      <c r="CQ23" s="586"/>
      <c r="CR23" s="586"/>
      <c r="CS23" s="586"/>
      <c r="CT23" s="586"/>
      <c r="CU23" s="586"/>
      <c r="CV23" s="586"/>
      <c r="CW23" s="586"/>
      <c r="CX23" s="589">
        <v>1893681715</v>
      </c>
      <c r="CY23" s="589">
        <v>1952514336</v>
      </c>
      <c r="CZ23" s="589">
        <v>1802535483</v>
      </c>
      <c r="DA23" s="586"/>
      <c r="DB23" s="586"/>
      <c r="DC23" s="586"/>
      <c r="DD23" s="586"/>
      <c r="DE23" s="586"/>
      <c r="DF23" s="586"/>
      <c r="DG23" s="586"/>
      <c r="DH23" s="586"/>
      <c r="DI23" s="586"/>
      <c r="DJ23" s="611"/>
      <c r="DK23" s="611"/>
      <c r="DL23" s="611"/>
      <c r="DM23" s="583"/>
      <c r="DN23" s="586"/>
      <c r="DO23" s="586"/>
      <c r="DP23" s="586"/>
      <c r="DQ23" s="586"/>
      <c r="DR23" s="586"/>
      <c r="DS23" s="586"/>
      <c r="DT23" s="586"/>
      <c r="DU23" s="586"/>
      <c r="DV23" s="587"/>
      <c r="DW23" s="587"/>
      <c r="DX23" s="587"/>
      <c r="DY23" s="587"/>
      <c r="DZ23" s="587"/>
      <c r="EA23" s="587"/>
      <c r="EB23" s="587"/>
      <c r="EC23" s="587"/>
      <c r="ED23" s="587"/>
      <c r="EE23" s="587"/>
      <c r="EF23" s="587"/>
      <c r="EG23" s="587"/>
      <c r="EH23" s="587"/>
      <c r="EI23" s="587"/>
      <c r="EJ23" s="587"/>
      <c r="EK23" s="587"/>
      <c r="EL23" s="587"/>
      <c r="EM23" s="587"/>
      <c r="EN23" s="587"/>
      <c r="EO23" s="587"/>
      <c r="EP23" s="587"/>
      <c r="EQ23" s="586"/>
      <c r="ER23" s="586"/>
      <c r="ES23" s="586"/>
      <c r="ET23" s="586"/>
      <c r="EU23" s="586"/>
      <c r="EV23" s="586"/>
      <c r="EW23" s="586"/>
      <c r="EX23" s="586"/>
      <c r="EY23" s="586"/>
      <c r="EZ23" s="586"/>
      <c r="FA23" s="586"/>
      <c r="FB23" s="586"/>
      <c r="FC23" s="586"/>
      <c r="FD23" s="586"/>
      <c r="FE23" s="586"/>
      <c r="FF23" s="586"/>
      <c r="FG23" s="586"/>
      <c r="FH23" s="586"/>
      <c r="FI23" s="586"/>
      <c r="FJ23" s="586"/>
      <c r="FK23" s="586"/>
      <c r="FL23" s="586"/>
      <c r="FM23" s="586"/>
      <c r="FN23" s="586"/>
      <c r="FO23" s="586"/>
      <c r="FP23" s="586"/>
      <c r="FQ23" s="586"/>
      <c r="FR23" s="586"/>
      <c r="FS23" s="586"/>
      <c r="FT23" s="586"/>
      <c r="FU23" s="586"/>
      <c r="FV23" s="608"/>
      <c r="FW23" s="607"/>
      <c r="FX23" s="586"/>
      <c r="FY23" s="608"/>
      <c r="FZ23" s="607"/>
      <c r="GA23" s="586"/>
      <c r="GB23" s="608"/>
      <c r="GC23" s="607"/>
      <c r="GD23" s="586"/>
      <c r="GE23" s="608"/>
      <c r="GF23" s="607"/>
      <c r="GG23" s="586"/>
      <c r="GH23" s="608"/>
      <c r="GI23" s="607"/>
      <c r="GJ23" s="586"/>
      <c r="GK23" s="608"/>
      <c r="GL23" s="607"/>
      <c r="GM23" s="586"/>
      <c r="GN23" s="608"/>
      <c r="GO23" s="607"/>
      <c r="GP23" s="696">
        <f t="shared" si="0"/>
        <v>1802535483</v>
      </c>
      <c r="GQ23" s="696">
        <f t="shared" si="1"/>
        <v>0</v>
      </c>
      <c r="GS23" s="696">
        <f t="shared" si="2"/>
        <v>1802535483</v>
      </c>
      <c r="GT23" s="696">
        <f t="shared" si="3"/>
        <v>1802535483</v>
      </c>
    </row>
    <row r="24" spans="1:204" x14ac:dyDescent="0.25">
      <c r="A24" s="9" t="s">
        <v>57</v>
      </c>
      <c r="B24" s="24" t="s">
        <v>58</v>
      </c>
      <c r="C24" s="582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6"/>
      <c r="Z24" s="586"/>
      <c r="AA24" s="586"/>
      <c r="AB24" s="586"/>
      <c r="AC24" s="586"/>
      <c r="AD24" s="586"/>
      <c r="AE24" s="586"/>
      <c r="AF24" s="586"/>
      <c r="AG24" s="586"/>
      <c r="AH24" s="586"/>
      <c r="AI24" s="586"/>
      <c r="AJ24" s="586"/>
      <c r="AK24" s="586"/>
      <c r="AL24" s="586"/>
      <c r="AM24" s="586"/>
      <c r="AN24" s="586"/>
      <c r="AO24" s="586"/>
      <c r="AP24" s="586"/>
      <c r="AQ24" s="586"/>
      <c r="AR24" s="586"/>
      <c r="AS24" s="586"/>
      <c r="AT24" s="586"/>
      <c r="AU24" s="586"/>
      <c r="AV24" s="586"/>
      <c r="AW24" s="586"/>
      <c r="AX24" s="586"/>
      <c r="AY24" s="586"/>
      <c r="AZ24" s="586"/>
      <c r="BA24" s="586"/>
      <c r="BB24" s="586"/>
      <c r="BC24" s="586"/>
      <c r="BD24" s="586"/>
      <c r="BE24" s="586"/>
      <c r="BF24" s="586"/>
      <c r="BG24" s="586"/>
      <c r="BH24" s="586"/>
      <c r="BI24" s="586"/>
      <c r="BJ24" s="586"/>
      <c r="BK24" s="586"/>
      <c r="BL24" s="586"/>
      <c r="BM24" s="586"/>
      <c r="BN24" s="586"/>
      <c r="BO24" s="586"/>
      <c r="BP24" s="586"/>
      <c r="BQ24" s="586"/>
      <c r="BR24" s="586"/>
      <c r="BS24" s="586"/>
      <c r="BT24" s="586"/>
      <c r="BU24" s="586"/>
      <c r="BV24" s="586"/>
      <c r="BW24" s="586"/>
      <c r="BX24" s="586"/>
      <c r="BY24" s="586"/>
      <c r="BZ24" s="586"/>
      <c r="CA24" s="586"/>
      <c r="CB24" s="586"/>
      <c r="CC24" s="586"/>
      <c r="CD24" s="586"/>
      <c r="CE24" s="586"/>
      <c r="CF24" s="586"/>
      <c r="CG24" s="586"/>
      <c r="CH24" s="586"/>
      <c r="CI24" s="586"/>
      <c r="CJ24" s="586"/>
      <c r="CK24" s="586"/>
      <c r="CL24" s="586"/>
      <c r="CM24" s="586"/>
      <c r="CN24" s="586"/>
      <c r="CO24" s="586"/>
      <c r="CP24" s="586"/>
      <c r="CQ24" s="586"/>
      <c r="CR24" s="586"/>
      <c r="CS24" s="586"/>
      <c r="CT24" s="586"/>
      <c r="CU24" s="586"/>
      <c r="CV24" s="586"/>
      <c r="CW24" s="586"/>
      <c r="CX24" s="589">
        <v>16043820</v>
      </c>
      <c r="CY24" s="589">
        <v>30171018</v>
      </c>
      <c r="CZ24" s="589">
        <v>27936326</v>
      </c>
      <c r="DA24" s="586"/>
      <c r="DB24" s="586"/>
      <c r="DC24" s="586"/>
      <c r="DD24" s="586"/>
      <c r="DE24" s="586"/>
      <c r="DF24" s="586"/>
      <c r="DG24" s="586"/>
      <c r="DH24" s="586"/>
      <c r="DI24" s="586"/>
      <c r="DJ24" s="611"/>
      <c r="DK24" s="611"/>
      <c r="DL24" s="611"/>
      <c r="DM24" s="583"/>
      <c r="DN24" s="586"/>
      <c r="DO24" s="586"/>
      <c r="DP24" s="586"/>
      <c r="DQ24" s="586"/>
      <c r="DR24" s="586"/>
      <c r="DS24" s="586"/>
      <c r="DT24" s="586"/>
      <c r="DU24" s="586"/>
      <c r="DV24" s="587"/>
      <c r="DW24" s="587"/>
      <c r="DX24" s="587"/>
      <c r="DY24" s="587"/>
      <c r="DZ24" s="587"/>
      <c r="EA24" s="587"/>
      <c r="EB24" s="587"/>
      <c r="EC24" s="587"/>
      <c r="ED24" s="587"/>
      <c r="EE24" s="587"/>
      <c r="EF24" s="587"/>
      <c r="EG24" s="587"/>
      <c r="EH24" s="587"/>
      <c r="EI24" s="587"/>
      <c r="EJ24" s="587"/>
      <c r="EK24" s="587"/>
      <c r="EL24" s="587"/>
      <c r="EM24" s="587"/>
      <c r="EN24" s="587"/>
      <c r="EO24" s="587"/>
      <c r="EP24" s="587"/>
      <c r="EQ24" s="586"/>
      <c r="ER24" s="586"/>
      <c r="ES24" s="586"/>
      <c r="ET24" s="586"/>
      <c r="EU24" s="586"/>
      <c r="EV24" s="586"/>
      <c r="EW24" s="586"/>
      <c r="EX24" s="586"/>
      <c r="EY24" s="586"/>
      <c r="EZ24" s="586"/>
      <c r="FA24" s="586"/>
      <c r="FB24" s="586"/>
      <c r="FC24" s="586"/>
      <c r="FD24" s="586"/>
      <c r="FE24" s="586"/>
      <c r="FF24" s="586"/>
      <c r="FG24" s="586"/>
      <c r="FH24" s="586"/>
      <c r="FI24" s="586"/>
      <c r="FJ24" s="586"/>
      <c r="FK24" s="586"/>
      <c r="FL24" s="586"/>
      <c r="FM24" s="586"/>
      <c r="FN24" s="586"/>
      <c r="FO24" s="586"/>
      <c r="FP24" s="586"/>
      <c r="FQ24" s="586"/>
      <c r="FR24" s="586"/>
      <c r="FS24" s="586"/>
      <c r="FT24" s="586"/>
      <c r="FU24" s="586"/>
      <c r="FV24" s="608"/>
      <c r="FW24" s="607"/>
      <c r="FX24" s="586"/>
      <c r="FY24" s="608"/>
      <c r="FZ24" s="607"/>
      <c r="GA24" s="586"/>
      <c r="GB24" s="608"/>
      <c r="GC24" s="607"/>
      <c r="GD24" s="586"/>
      <c r="GE24" s="608"/>
      <c r="GF24" s="607"/>
      <c r="GG24" s="586"/>
      <c r="GH24" s="608"/>
      <c r="GI24" s="607"/>
      <c r="GJ24" s="586"/>
      <c r="GK24" s="608"/>
      <c r="GL24" s="607"/>
      <c r="GM24" s="586"/>
      <c r="GN24" s="608"/>
      <c r="GO24" s="607"/>
      <c r="GP24" s="696">
        <f t="shared" si="0"/>
        <v>27936326</v>
      </c>
      <c r="GQ24" s="696">
        <f t="shared" si="1"/>
        <v>0</v>
      </c>
      <c r="GS24" s="696">
        <f t="shared" si="2"/>
        <v>27936326</v>
      </c>
      <c r="GT24" s="696">
        <f t="shared" si="3"/>
        <v>27936326</v>
      </c>
    </row>
    <row r="25" spans="1:204" x14ac:dyDescent="0.25">
      <c r="A25" s="9" t="s">
        <v>59</v>
      </c>
      <c r="B25" s="24" t="s">
        <v>60</v>
      </c>
      <c r="C25" s="582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6"/>
      <c r="Z25" s="586"/>
      <c r="AA25" s="586"/>
      <c r="AB25" s="586"/>
      <c r="AC25" s="586"/>
      <c r="AD25" s="586"/>
      <c r="AE25" s="586"/>
      <c r="AF25" s="586"/>
      <c r="AG25" s="586"/>
      <c r="AH25" s="586"/>
      <c r="AI25" s="586"/>
      <c r="AJ25" s="586"/>
      <c r="AK25" s="586"/>
      <c r="AL25" s="586"/>
      <c r="AM25" s="586"/>
      <c r="AN25" s="586"/>
      <c r="AO25" s="586"/>
      <c r="AP25" s="586"/>
      <c r="AQ25" s="586"/>
      <c r="AR25" s="586"/>
      <c r="AS25" s="586"/>
      <c r="AT25" s="586"/>
      <c r="AU25" s="586"/>
      <c r="AV25" s="586"/>
      <c r="AW25" s="586"/>
      <c r="AX25" s="586"/>
      <c r="AY25" s="586"/>
      <c r="AZ25" s="586"/>
      <c r="BA25" s="586"/>
      <c r="BB25" s="586"/>
      <c r="BC25" s="586"/>
      <c r="BD25" s="586"/>
      <c r="BE25" s="586"/>
      <c r="BF25" s="586"/>
      <c r="BG25" s="586"/>
      <c r="BH25" s="586"/>
      <c r="BI25" s="586"/>
      <c r="BJ25" s="586"/>
      <c r="BK25" s="586"/>
      <c r="BL25" s="586"/>
      <c r="BM25" s="586"/>
      <c r="BN25" s="586"/>
      <c r="BO25" s="586"/>
      <c r="BP25" s="586"/>
      <c r="BQ25" s="586"/>
      <c r="BR25" s="586"/>
      <c r="BS25" s="586"/>
      <c r="BT25" s="586"/>
      <c r="BU25" s="586"/>
      <c r="BV25" s="586"/>
      <c r="BW25" s="586"/>
      <c r="BX25" s="586"/>
      <c r="BY25" s="586"/>
      <c r="BZ25" s="586"/>
      <c r="CA25" s="586"/>
      <c r="CB25" s="586"/>
      <c r="CC25" s="586"/>
      <c r="CD25" s="586"/>
      <c r="CE25" s="586"/>
      <c r="CF25" s="586"/>
      <c r="CG25" s="586"/>
      <c r="CH25" s="586"/>
      <c r="CI25" s="586"/>
      <c r="CJ25" s="586"/>
      <c r="CK25" s="586"/>
      <c r="CL25" s="586"/>
      <c r="CM25" s="586"/>
      <c r="CN25" s="586"/>
      <c r="CO25" s="586"/>
      <c r="CP25" s="586"/>
      <c r="CQ25" s="586"/>
      <c r="CR25" s="586"/>
      <c r="CS25" s="586"/>
      <c r="CT25" s="586"/>
      <c r="CU25" s="586"/>
      <c r="CV25" s="586"/>
      <c r="CW25" s="586"/>
      <c r="CX25" s="589"/>
      <c r="CY25" s="589"/>
      <c r="CZ25" s="589"/>
      <c r="DA25" s="586"/>
      <c r="DB25" s="586"/>
      <c r="DC25" s="586"/>
      <c r="DD25" s="586"/>
      <c r="DE25" s="586"/>
      <c r="DF25" s="586"/>
      <c r="DG25" s="586"/>
      <c r="DH25" s="586"/>
      <c r="DI25" s="586"/>
      <c r="DJ25" s="611"/>
      <c r="DK25" s="611"/>
      <c r="DL25" s="611"/>
      <c r="DM25" s="583"/>
      <c r="DN25" s="586"/>
      <c r="DO25" s="586"/>
      <c r="DP25" s="586"/>
      <c r="DQ25" s="586"/>
      <c r="DR25" s="586"/>
      <c r="DS25" s="586"/>
      <c r="DT25" s="586"/>
      <c r="DU25" s="586"/>
      <c r="DV25" s="587"/>
      <c r="DW25" s="587"/>
      <c r="DX25" s="587"/>
      <c r="DY25" s="587"/>
      <c r="DZ25" s="587"/>
      <c r="EA25" s="587"/>
      <c r="EB25" s="587"/>
      <c r="EC25" s="587"/>
      <c r="ED25" s="587"/>
      <c r="EE25" s="587"/>
      <c r="EF25" s="587"/>
      <c r="EG25" s="587"/>
      <c r="EH25" s="587"/>
      <c r="EI25" s="587"/>
      <c r="EJ25" s="587"/>
      <c r="EK25" s="587"/>
      <c r="EL25" s="587"/>
      <c r="EM25" s="587"/>
      <c r="EN25" s="587"/>
      <c r="EO25" s="587"/>
      <c r="EP25" s="587"/>
      <c r="EQ25" s="586"/>
      <c r="ER25" s="586"/>
      <c r="ES25" s="586"/>
      <c r="ET25" s="586"/>
      <c r="EU25" s="586"/>
      <c r="EV25" s="586"/>
      <c r="EW25" s="586"/>
      <c r="EX25" s="586"/>
      <c r="EY25" s="586"/>
      <c r="EZ25" s="586"/>
      <c r="FA25" s="586"/>
      <c r="FB25" s="586"/>
      <c r="FC25" s="586"/>
      <c r="FD25" s="586"/>
      <c r="FE25" s="586"/>
      <c r="FF25" s="586"/>
      <c r="FG25" s="586"/>
      <c r="FH25" s="586"/>
      <c r="FI25" s="586"/>
      <c r="FJ25" s="586"/>
      <c r="FK25" s="586"/>
      <c r="FL25" s="586"/>
      <c r="FM25" s="586"/>
      <c r="FN25" s="586"/>
      <c r="FO25" s="586"/>
      <c r="FP25" s="586"/>
      <c r="FQ25" s="586"/>
      <c r="FR25" s="586"/>
      <c r="FS25" s="586"/>
      <c r="FT25" s="586"/>
      <c r="FU25" s="586"/>
      <c r="FV25" s="608"/>
      <c r="FW25" s="607"/>
      <c r="FX25" s="586"/>
      <c r="FY25" s="608"/>
      <c r="FZ25" s="607"/>
      <c r="GA25" s="586"/>
      <c r="GB25" s="608"/>
      <c r="GC25" s="607"/>
      <c r="GD25" s="586"/>
      <c r="GE25" s="608"/>
      <c r="GF25" s="607"/>
      <c r="GG25" s="586"/>
      <c r="GH25" s="608"/>
      <c r="GI25" s="607"/>
      <c r="GJ25" s="586"/>
      <c r="GK25" s="608"/>
      <c r="GL25" s="607"/>
      <c r="GM25" s="586"/>
      <c r="GN25" s="608"/>
      <c r="GO25" s="607"/>
      <c r="GP25" s="696">
        <f t="shared" si="0"/>
        <v>0</v>
      </c>
      <c r="GQ25" s="696">
        <f t="shared" si="1"/>
        <v>0</v>
      </c>
      <c r="GS25" s="696">
        <f t="shared" si="2"/>
        <v>0</v>
      </c>
      <c r="GT25" s="696">
        <f t="shared" si="3"/>
        <v>0</v>
      </c>
    </row>
    <row r="26" spans="1:204" x14ac:dyDescent="0.2">
      <c r="A26" s="9" t="s">
        <v>61</v>
      </c>
      <c r="B26" s="25" t="s">
        <v>62</v>
      </c>
      <c r="C26" s="576"/>
      <c r="D26" s="577">
        <f t="shared" ref="D26:AC26" si="22">+D8+D9+D10+D11+D13+D14+D22+D23+D15</f>
        <v>1000000</v>
      </c>
      <c r="E26" s="577">
        <f t="shared" si="22"/>
        <v>904750</v>
      </c>
      <c r="F26" s="577">
        <f t="shared" si="22"/>
        <v>182799</v>
      </c>
      <c r="G26" s="577">
        <f t="shared" si="22"/>
        <v>2600000</v>
      </c>
      <c r="H26" s="577">
        <f t="shared" si="22"/>
        <v>2236039</v>
      </c>
      <c r="I26" s="577">
        <f t="shared" si="22"/>
        <v>1041745</v>
      </c>
      <c r="J26" s="577">
        <f t="shared" si="22"/>
        <v>37565567</v>
      </c>
      <c r="K26" s="577">
        <f t="shared" si="22"/>
        <v>19403720</v>
      </c>
      <c r="L26" s="577">
        <f t="shared" si="22"/>
        <v>19403720</v>
      </c>
      <c r="M26" s="577">
        <f t="shared" si="22"/>
        <v>17525650</v>
      </c>
      <c r="N26" s="577">
        <f t="shared" si="22"/>
        <v>18279814</v>
      </c>
      <c r="O26" s="577">
        <f t="shared" si="22"/>
        <v>16515217</v>
      </c>
      <c r="P26" s="577">
        <f t="shared" si="22"/>
        <v>36741035</v>
      </c>
      <c r="Q26" s="577">
        <f t="shared" si="22"/>
        <v>39275196</v>
      </c>
      <c r="R26" s="577">
        <f t="shared" si="22"/>
        <v>34167598</v>
      </c>
      <c r="S26" s="577">
        <f t="shared" si="22"/>
        <v>20716674</v>
      </c>
      <c r="T26" s="577">
        <f t="shared" si="22"/>
        <v>55224726</v>
      </c>
      <c r="U26" s="577">
        <f t="shared" si="22"/>
        <v>47759451</v>
      </c>
      <c r="V26" s="577">
        <f t="shared" si="22"/>
        <v>7911250</v>
      </c>
      <c r="W26" s="577">
        <f t="shared" si="22"/>
        <v>14000250</v>
      </c>
      <c r="X26" s="577">
        <f t="shared" si="22"/>
        <v>11942278</v>
      </c>
      <c r="Y26" s="577">
        <f t="shared" si="22"/>
        <v>6000000</v>
      </c>
      <c r="Z26" s="577">
        <f t="shared" si="22"/>
        <v>23860902</v>
      </c>
      <c r="AA26" s="577">
        <f t="shared" si="22"/>
        <v>23880902</v>
      </c>
      <c r="AB26" s="577">
        <f t="shared" si="22"/>
        <v>2000000</v>
      </c>
      <c r="AC26" s="577">
        <f t="shared" si="22"/>
        <v>0</v>
      </c>
      <c r="AD26" s="577"/>
      <c r="AE26" s="577">
        <f t="shared" ref="AE26:AS26" si="23">+AE8+AE9+AE10+AE11+AE13+AE14+AE22+AE23+AE15</f>
        <v>20038632</v>
      </c>
      <c r="AF26" s="577">
        <f t="shared" si="23"/>
        <v>20038632</v>
      </c>
      <c r="AG26" s="577">
        <f t="shared" si="23"/>
        <v>19467888</v>
      </c>
      <c r="AH26" s="577">
        <f t="shared" si="23"/>
        <v>11811000</v>
      </c>
      <c r="AI26" s="577">
        <f t="shared" si="23"/>
        <v>11811000</v>
      </c>
      <c r="AJ26" s="577">
        <f t="shared" si="23"/>
        <v>11811000</v>
      </c>
      <c r="AK26" s="577">
        <f t="shared" si="23"/>
        <v>2000000</v>
      </c>
      <c r="AL26" s="577">
        <f t="shared" si="23"/>
        <v>1971268</v>
      </c>
      <c r="AM26" s="577">
        <f t="shared" si="23"/>
        <v>1911078</v>
      </c>
      <c r="AN26" s="577">
        <f t="shared" si="23"/>
        <v>503000</v>
      </c>
      <c r="AO26" s="577">
        <f t="shared" si="23"/>
        <v>144021</v>
      </c>
      <c r="AP26" s="577">
        <f t="shared" si="23"/>
        <v>144021</v>
      </c>
      <c r="AQ26" s="577">
        <f t="shared" si="23"/>
        <v>2000000</v>
      </c>
      <c r="AR26" s="577">
        <f t="shared" si="23"/>
        <v>397256</v>
      </c>
      <c r="AS26" s="577">
        <f t="shared" si="23"/>
        <v>397256</v>
      </c>
      <c r="AT26" s="577">
        <f t="shared" ref="AT26:BB26" si="24">+AT8+AT9+AT10+AT11+AT13+AT14+AT22+AT23+AT15</f>
        <v>1500000</v>
      </c>
      <c r="AU26" s="577">
        <f t="shared" si="24"/>
        <v>1500000</v>
      </c>
      <c r="AV26" s="577">
        <f t="shared" si="24"/>
        <v>1005481</v>
      </c>
      <c r="AW26" s="577">
        <f t="shared" si="24"/>
        <v>0</v>
      </c>
      <c r="AX26" s="577">
        <f t="shared" si="24"/>
        <v>0</v>
      </c>
      <c r="AY26" s="577">
        <f t="shared" si="24"/>
        <v>0</v>
      </c>
      <c r="AZ26" s="577">
        <f t="shared" si="24"/>
        <v>0</v>
      </c>
      <c r="BA26" s="577">
        <f t="shared" si="24"/>
        <v>0</v>
      </c>
      <c r="BB26" s="577">
        <f t="shared" si="24"/>
        <v>0</v>
      </c>
      <c r="BC26" s="577">
        <f>+BC8+BC9+BC10+BC11+BC13+BC14+BC22+BC23+BC15</f>
        <v>0</v>
      </c>
      <c r="BD26" s="577">
        <f>+BD8+BD9+BD10+BD11+BD13+BD14+BD22+BD23+BD15</f>
        <v>0</v>
      </c>
      <c r="BE26" s="577"/>
      <c r="BF26" s="577">
        <f>+BF8+BF9+BF10+BF11+BF13+BF14+BF22+BF23+BF15</f>
        <v>0</v>
      </c>
      <c r="BG26" s="577">
        <f>+BG8+BG9+BG10+BG11+BG13+BG14+BG22+BG23+BG15</f>
        <v>0</v>
      </c>
      <c r="BH26" s="577"/>
      <c r="BI26" s="577">
        <f t="shared" ref="BI26:DB26" si="25">+BI8+BI9+BI10+BI11+BI13+BI14+BI22+BI23+BI15</f>
        <v>1500000</v>
      </c>
      <c r="BJ26" s="577">
        <f t="shared" si="25"/>
        <v>1500000</v>
      </c>
      <c r="BK26" s="577">
        <f t="shared" si="25"/>
        <v>1499757</v>
      </c>
      <c r="BL26" s="577">
        <f t="shared" si="25"/>
        <v>2700000</v>
      </c>
      <c r="BM26" s="577">
        <f t="shared" si="25"/>
        <v>2750000</v>
      </c>
      <c r="BN26" s="577">
        <f t="shared" si="25"/>
        <v>2747394</v>
      </c>
      <c r="BO26" s="577">
        <f t="shared" si="25"/>
        <v>3885000</v>
      </c>
      <c r="BP26" s="577">
        <f t="shared" si="25"/>
        <v>4477000</v>
      </c>
      <c r="BQ26" s="577">
        <f t="shared" si="25"/>
        <v>4155476</v>
      </c>
      <c r="BR26" s="577">
        <f t="shared" si="25"/>
        <v>400000</v>
      </c>
      <c r="BS26" s="577">
        <f t="shared" si="25"/>
        <v>400000</v>
      </c>
      <c r="BT26" s="577">
        <f t="shared" si="25"/>
        <v>400000</v>
      </c>
      <c r="BU26" s="577">
        <f t="shared" si="25"/>
        <v>2647718</v>
      </c>
      <c r="BV26" s="577">
        <f t="shared" si="25"/>
        <v>3305774</v>
      </c>
      <c r="BW26" s="577">
        <f t="shared" si="25"/>
        <v>3301280</v>
      </c>
      <c r="BX26" s="577">
        <f t="shared" si="25"/>
        <v>3673011</v>
      </c>
      <c r="BY26" s="577">
        <f t="shared" si="25"/>
        <v>4136044</v>
      </c>
      <c r="BZ26" s="577">
        <f t="shared" si="25"/>
        <v>4128540</v>
      </c>
      <c r="CA26" s="577">
        <f t="shared" si="25"/>
        <v>3957385</v>
      </c>
      <c r="CB26" s="577">
        <f t="shared" si="25"/>
        <v>2980604</v>
      </c>
      <c r="CC26" s="577">
        <f t="shared" si="25"/>
        <v>2980604</v>
      </c>
      <c r="CD26" s="577">
        <f t="shared" si="25"/>
        <v>5522047</v>
      </c>
      <c r="CE26" s="577">
        <f t="shared" si="25"/>
        <v>3680097</v>
      </c>
      <c r="CF26" s="577">
        <f t="shared" si="25"/>
        <v>3423224</v>
      </c>
      <c r="CG26" s="577">
        <f t="shared" si="25"/>
        <v>3575528</v>
      </c>
      <c r="CH26" s="577">
        <f t="shared" si="25"/>
        <v>2620860</v>
      </c>
      <c r="CI26" s="577">
        <f t="shared" si="25"/>
        <v>2534947</v>
      </c>
      <c r="CJ26" s="577">
        <f t="shared" si="25"/>
        <v>3938336</v>
      </c>
      <c r="CK26" s="577">
        <f t="shared" si="25"/>
        <v>3032266</v>
      </c>
      <c r="CL26" s="577">
        <f t="shared" si="25"/>
        <v>2860748</v>
      </c>
      <c r="CM26" s="577">
        <f t="shared" si="25"/>
        <v>5634412</v>
      </c>
      <c r="CN26" s="577">
        <f t="shared" si="25"/>
        <v>4094468</v>
      </c>
      <c r="CO26" s="577">
        <f t="shared" si="25"/>
        <v>3897822</v>
      </c>
      <c r="CP26" s="577">
        <f t="shared" si="25"/>
        <v>720124</v>
      </c>
      <c r="CQ26" s="577">
        <f t="shared" si="25"/>
        <v>720124</v>
      </c>
      <c r="CR26" s="577">
        <f t="shared" si="25"/>
        <v>208563</v>
      </c>
      <c r="CS26" s="577">
        <f t="shared" si="25"/>
        <v>2018549</v>
      </c>
      <c r="CT26" s="577">
        <f t="shared" si="25"/>
        <v>1290154</v>
      </c>
      <c r="CU26" s="577">
        <f t="shared" si="25"/>
        <v>1077158</v>
      </c>
      <c r="CV26" s="577">
        <f t="shared" si="25"/>
        <v>395029201</v>
      </c>
      <c r="CW26" s="577">
        <f t="shared" si="25"/>
        <v>835415764</v>
      </c>
      <c r="CX26" s="577">
        <f t="shared" si="25"/>
        <v>1893681715</v>
      </c>
      <c r="CY26" s="577">
        <f t="shared" si="25"/>
        <v>1952514336</v>
      </c>
      <c r="CZ26" s="577">
        <f t="shared" si="25"/>
        <v>1802535483</v>
      </c>
      <c r="DA26" s="577">
        <f t="shared" si="25"/>
        <v>0</v>
      </c>
      <c r="DB26" s="577">
        <f t="shared" si="25"/>
        <v>0</v>
      </c>
      <c r="DC26" s="577"/>
      <c r="DD26" s="577">
        <f>+DD8+DD9+DD10+DD11+DD13+DD14+DD22+DD23+DD15</f>
        <v>635000</v>
      </c>
      <c r="DE26" s="577">
        <f>+DE8+DE9+DE10+DE11+DE13+DE14+DE22+DE23+DE15</f>
        <v>635000</v>
      </c>
      <c r="DF26" s="577"/>
      <c r="DG26" s="577">
        <f>+DG8+DG9+DG10+DG11+DG13+DG14+DG22+DG23+DG15</f>
        <v>10020080</v>
      </c>
      <c r="DH26" s="577">
        <f>+DH8+DH9+DH10+DH11+DH13+DH14+DH22+DH23+DH15</f>
        <v>19020080</v>
      </c>
      <c r="DI26" s="577">
        <f>+DI8+DI9+DI10+DI11+DI13+DI14+DI22+DI23+DI15</f>
        <v>14772260</v>
      </c>
      <c r="DJ26" s="577">
        <f>+DJ8+DJ9+DJ10+DJ11+DJ13+DJ14+DJ22+DJ23+DJ15</f>
        <v>0</v>
      </c>
      <c r="DK26" s="577">
        <f>+DK8+DK9+DK10+DK11+DK13+DK14+DK22+DK23+DK15</f>
        <v>60471732</v>
      </c>
      <c r="DL26" s="577"/>
      <c r="DM26" s="577">
        <f t="shared" ref="DM26:DT26" si="26">+DM8+DM9+DM10+DM11+DM13+DM14+DM22+DM23+DM15</f>
        <v>3235875</v>
      </c>
      <c r="DN26" s="577">
        <f t="shared" si="26"/>
        <v>3127061</v>
      </c>
      <c r="DO26" s="577">
        <f t="shared" si="26"/>
        <v>3127061</v>
      </c>
      <c r="DP26" s="577">
        <f t="shared" si="26"/>
        <v>0</v>
      </c>
      <c r="DQ26" s="577">
        <f t="shared" si="26"/>
        <v>9135193</v>
      </c>
      <c r="DR26" s="577">
        <f t="shared" si="26"/>
        <v>3485514</v>
      </c>
      <c r="DS26" s="577">
        <f t="shared" si="26"/>
        <v>4825500</v>
      </c>
      <c r="DT26" s="577">
        <f t="shared" si="26"/>
        <v>325500</v>
      </c>
      <c r="DU26" s="577"/>
      <c r="DV26" s="577">
        <f>+DV8+DV9+DV10+DV11+DV13+DV14+DV22+DV23+DV15</f>
        <v>8855000</v>
      </c>
      <c r="DW26" s="577">
        <f>+DW8+DW9+DW10+DW11+DW13+DW14+DW22+DW23+DW15</f>
        <v>22201914</v>
      </c>
      <c r="DX26" s="577">
        <f>+DX8+DX9+DX10+DX11+DX13+DX14+DX22+DX23+DX15</f>
        <v>16384315</v>
      </c>
      <c r="DY26" s="577">
        <f>+DY8+DY9+DY10+DY11+DY13+DY14+DY22+DY23+DY15</f>
        <v>0</v>
      </c>
      <c r="DZ26" s="577">
        <f>+DZ8+DZ9+DZ10+DZ11+DZ13+DZ14+DZ22+DZ23+DZ15</f>
        <v>0</v>
      </c>
      <c r="EA26" s="577"/>
      <c r="EB26" s="577"/>
      <c r="EC26" s="577"/>
      <c r="ED26" s="577"/>
      <c r="EE26" s="577">
        <f>+EE8+EE9+EE10+EE11+EE13+EE14+EE22+EE23+EE15</f>
        <v>6000000</v>
      </c>
      <c r="EF26" s="577">
        <f>+EF8+EF9+EF10+EF11+EF13+EF14+EF22+EF23+EF15</f>
        <v>18000000</v>
      </c>
      <c r="EG26" s="577">
        <f t="shared" ref="EG26:EP26" si="27">+EG8+EG9+EG10+EG11+EG13+EG14+EG22+EG23+EG15</f>
        <v>18000000</v>
      </c>
      <c r="EH26" s="577">
        <f t="shared" si="27"/>
        <v>0</v>
      </c>
      <c r="EI26" s="577">
        <f t="shared" si="27"/>
        <v>0</v>
      </c>
      <c r="EJ26" s="577">
        <f t="shared" si="27"/>
        <v>0</v>
      </c>
      <c r="EK26" s="577">
        <f t="shared" si="27"/>
        <v>0</v>
      </c>
      <c r="EL26" s="577">
        <f t="shared" si="27"/>
        <v>6840000</v>
      </c>
      <c r="EM26" s="577">
        <f t="shared" si="27"/>
        <v>0</v>
      </c>
      <c r="EN26" s="577">
        <f t="shared" si="27"/>
        <v>0</v>
      </c>
      <c r="EO26" s="577">
        <f t="shared" si="27"/>
        <v>114300</v>
      </c>
      <c r="EP26" s="577">
        <f t="shared" si="27"/>
        <v>114300</v>
      </c>
      <c r="EQ26" s="577">
        <f>+EQ8+EQ9+EQ10+EQ11+EQ13+EQ14+EQ22+EQ23+EQ15</f>
        <v>4500000</v>
      </c>
      <c r="ER26" s="577">
        <f>+ER8+ER9+ER10+ER11+ER13+ER14+ER22+ER23+ER15</f>
        <v>4500000</v>
      </c>
      <c r="ES26" s="577">
        <f>+ES8+ES9+ES10+ES11+ES13+ES14+ES22+ES23+ES15</f>
        <v>3642000</v>
      </c>
      <c r="ET26" s="577">
        <f>+ET8+ET9+ET10+ET11+ET13+ET14+ET22+ET23+ET15</f>
        <v>5000000</v>
      </c>
      <c r="EU26" s="577">
        <f>+EU8+EU9+EU10+EU11+EU13+EU14+EU22+EU23+EU15</f>
        <v>0</v>
      </c>
      <c r="EV26" s="577"/>
      <c r="EW26" s="577">
        <f t="shared" ref="EW26:GO26" si="28">+EW8+EW9+EW10+EW11+EW13+EW14+EW22+EW23+EW15</f>
        <v>4449513</v>
      </c>
      <c r="EX26" s="577">
        <f t="shared" si="28"/>
        <v>6218339</v>
      </c>
      <c r="EY26" s="577">
        <f t="shared" si="28"/>
        <v>5634361</v>
      </c>
      <c r="EZ26" s="577">
        <f t="shared" si="28"/>
        <v>5000000</v>
      </c>
      <c r="FA26" s="577">
        <f t="shared" si="28"/>
        <v>594360</v>
      </c>
      <c r="FB26" s="577">
        <f t="shared" si="28"/>
        <v>594360</v>
      </c>
      <c r="FC26" s="577">
        <f t="shared" si="28"/>
        <v>13191583</v>
      </c>
      <c r="FD26" s="577">
        <f t="shared" si="28"/>
        <v>13204103</v>
      </c>
      <c r="FE26" s="577">
        <f t="shared" si="28"/>
        <v>10296246</v>
      </c>
      <c r="FF26" s="577">
        <f t="shared" si="28"/>
        <v>0</v>
      </c>
      <c r="FG26" s="577">
        <f t="shared" si="28"/>
        <v>0</v>
      </c>
      <c r="FH26" s="577">
        <f t="shared" si="28"/>
        <v>0</v>
      </c>
      <c r="FI26" s="577">
        <f t="shared" si="28"/>
        <v>0</v>
      </c>
      <c r="FJ26" s="577">
        <f t="shared" si="28"/>
        <v>6856623</v>
      </c>
      <c r="FK26" s="577">
        <f t="shared" si="28"/>
        <v>6856623</v>
      </c>
      <c r="FL26" s="577">
        <f t="shared" si="28"/>
        <v>250000</v>
      </c>
      <c r="FM26" s="577">
        <f t="shared" si="28"/>
        <v>500000</v>
      </c>
      <c r="FN26" s="577">
        <f t="shared" si="28"/>
        <v>418000</v>
      </c>
      <c r="FO26" s="577">
        <f t="shared" si="28"/>
        <v>350000</v>
      </c>
      <c r="FP26" s="577">
        <f t="shared" si="28"/>
        <v>700000</v>
      </c>
      <c r="FQ26" s="577">
        <f t="shared" si="28"/>
        <v>79398</v>
      </c>
      <c r="FR26" s="577">
        <f t="shared" si="28"/>
        <v>0</v>
      </c>
      <c r="FS26" s="577">
        <f t="shared" si="28"/>
        <v>0</v>
      </c>
      <c r="FT26" s="577">
        <f t="shared" si="28"/>
        <v>0</v>
      </c>
      <c r="FU26" s="577">
        <f t="shared" si="28"/>
        <v>0</v>
      </c>
      <c r="FV26" s="577">
        <f t="shared" si="28"/>
        <v>835401</v>
      </c>
      <c r="FW26" s="577">
        <f t="shared" si="28"/>
        <v>835401</v>
      </c>
      <c r="FX26" s="577">
        <f t="shared" si="28"/>
        <v>1000000</v>
      </c>
      <c r="FY26" s="577">
        <f t="shared" si="28"/>
        <v>3700000</v>
      </c>
      <c r="FZ26" s="577">
        <f t="shared" si="28"/>
        <v>3554955</v>
      </c>
      <c r="GA26" s="577">
        <f t="shared" si="28"/>
        <v>0</v>
      </c>
      <c r="GB26" s="577">
        <f t="shared" si="28"/>
        <v>5148612</v>
      </c>
      <c r="GC26" s="577">
        <f t="shared" si="28"/>
        <v>4222006</v>
      </c>
      <c r="GD26" s="577">
        <f t="shared" si="28"/>
        <v>0</v>
      </c>
      <c r="GE26" s="577">
        <f t="shared" si="28"/>
        <v>680000</v>
      </c>
      <c r="GF26" s="577">
        <f t="shared" si="28"/>
        <v>130000</v>
      </c>
      <c r="GG26" s="577">
        <f t="shared" si="28"/>
        <v>0</v>
      </c>
      <c r="GH26" s="577">
        <f t="shared" si="28"/>
        <v>138700</v>
      </c>
      <c r="GI26" s="577">
        <f t="shared" si="28"/>
        <v>138700</v>
      </c>
      <c r="GJ26" s="577">
        <f t="shared" si="28"/>
        <v>0</v>
      </c>
      <c r="GK26" s="577">
        <f t="shared" si="28"/>
        <v>0</v>
      </c>
      <c r="GL26" s="577">
        <f t="shared" si="28"/>
        <v>0</v>
      </c>
      <c r="GM26" s="577">
        <f t="shared" si="28"/>
        <v>0</v>
      </c>
      <c r="GN26" s="577">
        <f t="shared" si="28"/>
        <v>762000</v>
      </c>
      <c r="GO26" s="577">
        <f t="shared" si="28"/>
        <v>0</v>
      </c>
      <c r="GP26" s="696">
        <f t="shared" si="0"/>
        <v>1996354142</v>
      </c>
      <c r="GQ26" s="696">
        <f t="shared" si="1"/>
        <v>121312788</v>
      </c>
      <c r="GS26" s="696">
        <f t="shared" si="2"/>
        <v>2117666930</v>
      </c>
      <c r="GT26" s="696">
        <f t="shared" si="3"/>
        <v>2117666930</v>
      </c>
    </row>
    <row r="27" spans="1:204" x14ac:dyDescent="0.2">
      <c r="A27" s="9" t="s">
        <v>63</v>
      </c>
      <c r="B27" s="25" t="s">
        <v>64</v>
      </c>
      <c r="C27" s="576"/>
      <c r="D27" s="577">
        <f t="shared" ref="D27:I27" si="29">+D16+D17+D18+D24+D25</f>
        <v>0</v>
      </c>
      <c r="E27" s="577">
        <f t="shared" si="29"/>
        <v>95250</v>
      </c>
      <c r="F27" s="577">
        <f t="shared" si="29"/>
        <v>95250</v>
      </c>
      <c r="G27" s="577">
        <f t="shared" si="29"/>
        <v>0</v>
      </c>
      <c r="H27" s="577">
        <f t="shared" si="29"/>
        <v>182880</v>
      </c>
      <c r="I27" s="577">
        <f t="shared" si="29"/>
        <v>182880</v>
      </c>
      <c r="J27" s="577">
        <f t="shared" ref="J27:W27" si="30">+J16+J17+J18+J24+J25</f>
        <v>0</v>
      </c>
      <c r="K27" s="577">
        <f t="shared" si="30"/>
        <v>280805</v>
      </c>
      <c r="L27" s="577">
        <f t="shared" si="30"/>
        <v>280805</v>
      </c>
      <c r="M27" s="577">
        <f t="shared" si="30"/>
        <v>0</v>
      </c>
      <c r="N27" s="577">
        <f t="shared" si="30"/>
        <v>190325</v>
      </c>
      <c r="O27" s="577">
        <f t="shared" si="30"/>
        <v>153325</v>
      </c>
      <c r="P27" s="577">
        <f t="shared" si="30"/>
        <v>0</v>
      </c>
      <c r="Q27" s="577">
        <f t="shared" si="30"/>
        <v>650801</v>
      </c>
      <c r="R27" s="577">
        <f t="shared" si="30"/>
        <v>650801</v>
      </c>
      <c r="S27" s="577">
        <f t="shared" si="30"/>
        <v>0</v>
      </c>
      <c r="T27" s="577">
        <f t="shared" si="30"/>
        <v>0</v>
      </c>
      <c r="U27" s="577">
        <f t="shared" si="30"/>
        <v>0</v>
      </c>
      <c r="V27" s="577">
        <f t="shared" si="30"/>
        <v>0</v>
      </c>
      <c r="W27" s="577">
        <f t="shared" si="30"/>
        <v>0</v>
      </c>
      <c r="X27" s="577"/>
      <c r="Y27" s="577">
        <f>+Y16+Y17+Y18+Y24+Y25</f>
        <v>0</v>
      </c>
      <c r="Z27" s="577">
        <f>+Z16+Z17+Z18+Z24+Z25</f>
        <v>60000</v>
      </c>
      <c r="AA27" s="577">
        <f>+AA16+AA17+AA18+AA24+AA25</f>
        <v>60000</v>
      </c>
      <c r="AB27" s="577">
        <f>+AB16+AB17+AB18+AB24+AB25</f>
        <v>0</v>
      </c>
      <c r="AC27" s="577">
        <f>+AC16+AC17+AC18+AC24+AC25</f>
        <v>0</v>
      </c>
      <c r="AD27" s="577"/>
      <c r="AE27" s="577">
        <f t="shared" ref="AE27:AL27" si="31">+AE16+AE17+AE18+AE24+AE25</f>
        <v>0</v>
      </c>
      <c r="AF27" s="577">
        <f t="shared" si="31"/>
        <v>0</v>
      </c>
      <c r="AG27" s="577">
        <f t="shared" si="31"/>
        <v>0</v>
      </c>
      <c r="AH27" s="577">
        <f t="shared" si="31"/>
        <v>0</v>
      </c>
      <c r="AI27" s="577">
        <f t="shared" si="31"/>
        <v>0</v>
      </c>
      <c r="AJ27" s="577">
        <f t="shared" si="31"/>
        <v>0</v>
      </c>
      <c r="AK27" s="577">
        <f t="shared" si="31"/>
        <v>0</v>
      </c>
      <c r="AL27" s="577">
        <f t="shared" si="31"/>
        <v>0</v>
      </c>
      <c r="AM27" s="577"/>
      <c r="AN27" s="577">
        <f>+AN16+AN17+AN18+AN24+AN25</f>
        <v>0</v>
      </c>
      <c r="AO27" s="577">
        <f>+AO16+AO17+AO18+AO24+AO25</f>
        <v>0</v>
      </c>
      <c r="AP27" s="577"/>
      <c r="AQ27" s="577">
        <f>+AQ16+AQ17+AQ18+AQ24+AQ25</f>
        <v>0</v>
      </c>
      <c r="AR27" s="577">
        <f>+AR16+AR17+AR18+AR24+AR25</f>
        <v>0</v>
      </c>
      <c r="AS27" s="577"/>
      <c r="AT27" s="577">
        <f>+AT16+AT17+AT18+AT24+AT25</f>
        <v>0</v>
      </c>
      <c r="AU27" s="577">
        <f>+AU16+AU17+AU18+AU24+AU25</f>
        <v>0</v>
      </c>
      <c r="AV27" s="577"/>
      <c r="AW27" s="577">
        <f t="shared" ref="AW27:BD27" si="32">+AW16+AW17+AW18+AW24+AW25</f>
        <v>0</v>
      </c>
      <c r="AX27" s="577">
        <f t="shared" si="32"/>
        <v>10488573</v>
      </c>
      <c r="AY27" s="577">
        <f t="shared" si="32"/>
        <v>4468321</v>
      </c>
      <c r="AZ27" s="577">
        <f t="shared" si="32"/>
        <v>46919478</v>
      </c>
      <c r="BA27" s="577">
        <f t="shared" si="32"/>
        <v>46919478</v>
      </c>
      <c r="BB27" s="577">
        <f t="shared" si="32"/>
        <v>46919478</v>
      </c>
      <c r="BC27" s="577">
        <f t="shared" si="32"/>
        <v>65000000</v>
      </c>
      <c r="BD27" s="577">
        <f t="shared" si="32"/>
        <v>99322740</v>
      </c>
      <c r="BE27" s="577"/>
      <c r="BF27" s="577">
        <f>+BF16+BF17+BF18+BF24+BF25</f>
        <v>65000000</v>
      </c>
      <c r="BG27" s="577">
        <f>+BG16+BG17+BG18+BG24+BG25</f>
        <v>47371000</v>
      </c>
      <c r="BH27" s="577"/>
      <c r="BI27" s="577">
        <f t="shared" ref="BI27:BY27" si="33">+BI16+BI17+BI18+BI24+BI25</f>
        <v>0</v>
      </c>
      <c r="BJ27" s="577">
        <f t="shared" si="33"/>
        <v>0</v>
      </c>
      <c r="BK27" s="577">
        <f t="shared" si="33"/>
        <v>0</v>
      </c>
      <c r="BL27" s="577">
        <f t="shared" si="33"/>
        <v>0</v>
      </c>
      <c r="BM27" s="577">
        <f t="shared" si="33"/>
        <v>0</v>
      </c>
      <c r="BN27" s="577">
        <f t="shared" si="33"/>
        <v>0</v>
      </c>
      <c r="BO27" s="577">
        <f t="shared" si="33"/>
        <v>0</v>
      </c>
      <c r="BP27" s="577">
        <f t="shared" si="33"/>
        <v>0</v>
      </c>
      <c r="BQ27" s="577">
        <f t="shared" si="33"/>
        <v>0</v>
      </c>
      <c r="BR27" s="577">
        <f t="shared" si="33"/>
        <v>0</v>
      </c>
      <c r="BS27" s="577">
        <f t="shared" si="33"/>
        <v>0</v>
      </c>
      <c r="BT27" s="577">
        <f t="shared" si="33"/>
        <v>0</v>
      </c>
      <c r="BU27" s="577">
        <f t="shared" si="33"/>
        <v>0</v>
      </c>
      <c r="BV27" s="577">
        <f t="shared" si="33"/>
        <v>0</v>
      </c>
      <c r="BW27" s="577">
        <f t="shared" si="33"/>
        <v>0</v>
      </c>
      <c r="BX27" s="577">
        <f t="shared" si="33"/>
        <v>0</v>
      </c>
      <c r="BY27" s="577">
        <f t="shared" si="33"/>
        <v>15955699</v>
      </c>
      <c r="BZ27" s="577">
        <f>+BZ16</f>
        <v>15951139</v>
      </c>
      <c r="CA27" s="577">
        <f>+CA16+CA17+CA18+CA24+CA25</f>
        <v>0</v>
      </c>
      <c r="CB27" s="577">
        <f>+CB16+CB17+CB18+CB24+CB25</f>
        <v>0</v>
      </c>
      <c r="CC27" s="577"/>
      <c r="CD27" s="577">
        <f t="shared" ref="CD27:CK27" si="34">+CD16+CD17+CD18+CD24+CD25</f>
        <v>0</v>
      </c>
      <c r="CE27" s="577">
        <f t="shared" si="34"/>
        <v>0</v>
      </c>
      <c r="CF27" s="577">
        <f t="shared" si="34"/>
        <v>0</v>
      </c>
      <c r="CG27" s="577">
        <f t="shared" si="34"/>
        <v>0</v>
      </c>
      <c r="CH27" s="577">
        <f t="shared" si="34"/>
        <v>5965211</v>
      </c>
      <c r="CI27" s="577">
        <f t="shared" si="34"/>
        <v>5965211</v>
      </c>
      <c r="CJ27" s="577">
        <f t="shared" si="34"/>
        <v>0</v>
      </c>
      <c r="CK27" s="577">
        <f t="shared" si="34"/>
        <v>0</v>
      </c>
      <c r="CL27" s="577"/>
      <c r="CM27" s="577">
        <f>+CM16+CM17+CM18+CM24+CM25</f>
        <v>0</v>
      </c>
      <c r="CN27" s="577">
        <f>+CN16+CN17+CN18+CN24+CN25</f>
        <v>0</v>
      </c>
      <c r="CO27" s="577">
        <f>+CO16+CO17+CO18+CO24+CO25</f>
        <v>0</v>
      </c>
      <c r="CP27" s="577">
        <f>+CP16+CP17+CP18+CP24+CP25</f>
        <v>0</v>
      </c>
      <c r="CQ27" s="577">
        <f>+CQ16+CQ17+CQ18+CQ24+CQ25</f>
        <v>0</v>
      </c>
      <c r="CR27" s="577"/>
      <c r="CS27" s="577">
        <f>+CS16+CS17+CS18+CS24+CS25</f>
        <v>0</v>
      </c>
      <c r="CT27" s="577">
        <f>+CT16+CT17+CT18+CT24+CT25</f>
        <v>0</v>
      </c>
      <c r="CU27" s="577"/>
      <c r="CV27" s="577">
        <f t="shared" ref="CV27:DB27" si="35">+CV16+CV17+CV18+CV24+CV25</f>
        <v>0</v>
      </c>
      <c r="CW27" s="577">
        <f t="shared" si="35"/>
        <v>0</v>
      </c>
      <c r="CX27" s="577">
        <f t="shared" si="35"/>
        <v>16043820</v>
      </c>
      <c r="CY27" s="577">
        <f t="shared" si="35"/>
        <v>30171018</v>
      </c>
      <c r="CZ27" s="577">
        <f t="shared" si="35"/>
        <v>27936326</v>
      </c>
      <c r="DA27" s="577">
        <f t="shared" si="35"/>
        <v>0</v>
      </c>
      <c r="DB27" s="577">
        <f t="shared" si="35"/>
        <v>0</v>
      </c>
      <c r="DC27" s="577"/>
      <c r="DD27" s="577">
        <f>+DD16+DD17+DD18+DD24+DD25</f>
        <v>0</v>
      </c>
      <c r="DE27" s="577">
        <f>+DE16+DE17+DE18+DE24+DE25</f>
        <v>2760000</v>
      </c>
      <c r="DF27" s="577"/>
      <c r="DG27" s="577">
        <f>+DG16+DG17+DG18+DG24+DG25</f>
        <v>0</v>
      </c>
      <c r="DH27" s="577">
        <f>+DH16+DH17+DH18+DH24+DH25</f>
        <v>0</v>
      </c>
      <c r="DI27" s="577"/>
      <c r="DJ27" s="577">
        <f>+DJ16+DJ17+DJ18+DJ24+DJ25</f>
        <v>0</v>
      </c>
      <c r="DK27" s="577">
        <f>+DK16+DK17+DK18+DK24+DK25</f>
        <v>0</v>
      </c>
      <c r="DL27" s="577"/>
      <c r="DM27" s="577">
        <f>+DM16+DM17+DM18+DM24+DM25</f>
        <v>0</v>
      </c>
      <c r="DN27" s="577">
        <f>+DN16+DN17+DN18+DN24+DN25</f>
        <v>0</v>
      </c>
      <c r="DO27" s="577"/>
      <c r="DP27" s="577">
        <f>+DP16+DP17+DP18+DP24+DP25</f>
        <v>400050</v>
      </c>
      <c r="DQ27" s="577">
        <f>+DQ16+DQ17+DQ18+DQ24+DQ25</f>
        <v>301869281</v>
      </c>
      <c r="DR27" s="577">
        <f>+DR16+DR17+DR18+DR24+DR25</f>
        <v>12155706</v>
      </c>
      <c r="DS27" s="577">
        <f>+DS16+DS17+DS18+DS24+DS25</f>
        <v>0</v>
      </c>
      <c r="DT27" s="577">
        <f>+DT16+DT17+DT18+DT24+DT25</f>
        <v>0</v>
      </c>
      <c r="DU27" s="577"/>
      <c r="DV27" s="577">
        <f t="shared" ref="DV27:EA27" si="36">+DV16+DV17+DV18+DV24+DV25</f>
        <v>0</v>
      </c>
      <c r="DW27" s="577">
        <f t="shared" si="36"/>
        <v>7000</v>
      </c>
      <c r="DX27" s="577">
        <f t="shared" si="36"/>
        <v>7000</v>
      </c>
      <c r="DY27" s="577">
        <f t="shared" si="36"/>
        <v>2350000</v>
      </c>
      <c r="DZ27" s="577">
        <f t="shared" si="36"/>
        <v>2350000</v>
      </c>
      <c r="EA27" s="577">
        <f t="shared" si="36"/>
        <v>2310612</v>
      </c>
      <c r="EB27" s="577">
        <f t="shared" ref="EB27:ED27" si="37">+EB16+EB17+EB18+EB24+EB25</f>
        <v>0</v>
      </c>
      <c r="EC27" s="577">
        <f t="shared" si="37"/>
        <v>16759884</v>
      </c>
      <c r="ED27" s="577">
        <f t="shared" si="37"/>
        <v>16133837</v>
      </c>
      <c r="EE27" s="577">
        <f>+EE16+EE17+EE18+EE24+EE25</f>
        <v>0</v>
      </c>
      <c r="EF27" s="577">
        <f>+EF16+EF17+EF18+EF24+EF25</f>
        <v>0</v>
      </c>
      <c r="EG27" s="577">
        <f t="shared" ref="EG27:EP27" si="38">+EG16+EG17+EG18+EG24+EG25</f>
        <v>0</v>
      </c>
      <c r="EH27" s="577">
        <f t="shared" si="38"/>
        <v>0</v>
      </c>
      <c r="EI27" s="577">
        <f t="shared" si="38"/>
        <v>2541088</v>
      </c>
      <c r="EJ27" s="577">
        <f t="shared" si="38"/>
        <v>2541088</v>
      </c>
      <c r="EK27" s="577">
        <f t="shared" si="38"/>
        <v>0</v>
      </c>
      <c r="EL27" s="577">
        <f t="shared" si="38"/>
        <v>2160000</v>
      </c>
      <c r="EM27" s="577">
        <f t="shared" si="38"/>
        <v>0</v>
      </c>
      <c r="EN27" s="577">
        <f t="shared" si="38"/>
        <v>0</v>
      </c>
      <c r="EO27" s="577">
        <f t="shared" si="38"/>
        <v>2471700</v>
      </c>
      <c r="EP27" s="577">
        <f t="shared" si="38"/>
        <v>2424300</v>
      </c>
      <c r="EQ27" s="577">
        <f>+EQ16+EQ17+EQ18+EQ24+EQ25</f>
        <v>0</v>
      </c>
      <c r="ER27" s="577">
        <f>+ER16+ER17+ER18+ER24+ER25</f>
        <v>0</v>
      </c>
      <c r="ES27" s="577">
        <f>+ES16+ES17+ES18+ES24+ES25</f>
        <v>0</v>
      </c>
      <c r="ET27" s="577">
        <f>+ET16+ET17+ET18+ET24+ET25</f>
        <v>0</v>
      </c>
      <c r="EU27" s="577">
        <f>+EU16+EU17+EU18+EU24+EU25</f>
        <v>0</v>
      </c>
      <c r="EV27" s="577"/>
      <c r="EW27" s="577">
        <f t="shared" ref="EW27:GO27" si="39">+EW16+EW17+EW18+EW24+EW25</f>
        <v>0</v>
      </c>
      <c r="EX27" s="577">
        <f t="shared" si="39"/>
        <v>131174</v>
      </c>
      <c r="EY27" s="577">
        <f t="shared" si="39"/>
        <v>131174</v>
      </c>
      <c r="EZ27" s="577">
        <f t="shared" si="39"/>
        <v>0</v>
      </c>
      <c r="FA27" s="577">
        <f t="shared" si="39"/>
        <v>0</v>
      </c>
      <c r="FB27" s="577">
        <f t="shared" si="39"/>
        <v>0</v>
      </c>
      <c r="FC27" s="577">
        <f t="shared" si="39"/>
        <v>0</v>
      </c>
      <c r="FD27" s="577">
        <f t="shared" si="39"/>
        <v>4487480</v>
      </c>
      <c r="FE27" s="577">
        <f t="shared" si="39"/>
        <v>4285355</v>
      </c>
      <c r="FF27" s="577">
        <f t="shared" si="39"/>
        <v>6314100</v>
      </c>
      <c r="FG27" s="577">
        <f t="shared" si="39"/>
        <v>6314100</v>
      </c>
      <c r="FH27" s="577">
        <f t="shared" si="39"/>
        <v>6134100</v>
      </c>
      <c r="FI27" s="577">
        <f t="shared" si="39"/>
        <v>0</v>
      </c>
      <c r="FJ27" s="577">
        <f t="shared" si="39"/>
        <v>0</v>
      </c>
      <c r="FK27" s="577">
        <f t="shared" si="39"/>
        <v>0</v>
      </c>
      <c r="FL27" s="577">
        <f t="shared" si="39"/>
        <v>0</v>
      </c>
      <c r="FM27" s="577">
        <f t="shared" si="39"/>
        <v>0</v>
      </c>
      <c r="FN27" s="577">
        <f t="shared" si="39"/>
        <v>0</v>
      </c>
      <c r="FO27" s="577">
        <f t="shared" si="39"/>
        <v>0</v>
      </c>
      <c r="FP27" s="577">
        <f t="shared" si="39"/>
        <v>0</v>
      </c>
      <c r="FQ27" s="577">
        <f t="shared" si="39"/>
        <v>0</v>
      </c>
      <c r="FR27" s="577">
        <f t="shared" si="39"/>
        <v>11500000</v>
      </c>
      <c r="FS27" s="577">
        <f t="shared" si="39"/>
        <v>14000000</v>
      </c>
      <c r="FT27" s="577">
        <f t="shared" si="39"/>
        <v>9005256</v>
      </c>
      <c r="FU27" s="577">
        <f t="shared" si="39"/>
        <v>19000000</v>
      </c>
      <c r="FV27" s="577">
        <f t="shared" si="39"/>
        <v>19000000</v>
      </c>
      <c r="FW27" s="577">
        <f t="shared" si="39"/>
        <v>18975227</v>
      </c>
      <c r="FX27" s="577">
        <f t="shared" si="39"/>
        <v>0</v>
      </c>
      <c r="FY27" s="577">
        <f t="shared" si="39"/>
        <v>0</v>
      </c>
      <c r="FZ27" s="577">
        <f t="shared" si="39"/>
        <v>0</v>
      </c>
      <c r="GA27" s="577">
        <f t="shared" si="39"/>
        <v>0</v>
      </c>
      <c r="GB27" s="577">
        <f t="shared" si="39"/>
        <v>126001908</v>
      </c>
      <c r="GC27" s="577">
        <f t="shared" si="39"/>
        <v>125246130</v>
      </c>
      <c r="GD27" s="577">
        <f t="shared" si="39"/>
        <v>0</v>
      </c>
      <c r="GE27" s="577">
        <f t="shared" si="39"/>
        <v>0</v>
      </c>
      <c r="GF27" s="577">
        <f t="shared" si="39"/>
        <v>0</v>
      </c>
      <c r="GG27" s="577">
        <f t="shared" si="39"/>
        <v>0</v>
      </c>
      <c r="GH27" s="577">
        <f t="shared" si="39"/>
        <v>150000000</v>
      </c>
      <c r="GI27" s="577">
        <f t="shared" si="39"/>
        <v>0</v>
      </c>
      <c r="GJ27" s="577">
        <f t="shared" si="39"/>
        <v>0</v>
      </c>
      <c r="GK27" s="577">
        <f t="shared" si="39"/>
        <v>12963000</v>
      </c>
      <c r="GL27" s="577">
        <f t="shared" si="39"/>
        <v>0</v>
      </c>
      <c r="GM27" s="577">
        <f t="shared" si="39"/>
        <v>0</v>
      </c>
      <c r="GN27" s="577">
        <f t="shared" si="39"/>
        <v>596900</v>
      </c>
      <c r="GO27" s="577">
        <f t="shared" si="39"/>
        <v>596900</v>
      </c>
      <c r="GP27" s="696">
        <f t="shared" si="0"/>
        <v>267784837</v>
      </c>
      <c r="GQ27" s="696">
        <f t="shared" si="1"/>
        <v>34825384</v>
      </c>
      <c r="GS27" s="696">
        <f t="shared" si="2"/>
        <v>302610221</v>
      </c>
      <c r="GT27" s="696">
        <f t="shared" si="3"/>
        <v>302610221</v>
      </c>
    </row>
    <row r="28" spans="1:204" x14ac:dyDescent="0.2">
      <c r="A28" s="9" t="s">
        <v>65</v>
      </c>
      <c r="B28" s="25" t="s">
        <v>66</v>
      </c>
      <c r="C28" s="576" t="s">
        <v>67</v>
      </c>
      <c r="D28" s="577">
        <f t="shared" ref="D28:S28" si="40">+D26+D27</f>
        <v>1000000</v>
      </c>
      <c r="E28" s="577">
        <f t="shared" si="40"/>
        <v>1000000</v>
      </c>
      <c r="F28" s="577">
        <f t="shared" si="40"/>
        <v>278049</v>
      </c>
      <c r="G28" s="577">
        <f t="shared" si="40"/>
        <v>2600000</v>
      </c>
      <c r="H28" s="577">
        <f t="shared" si="40"/>
        <v>2418919</v>
      </c>
      <c r="I28" s="577">
        <f t="shared" si="40"/>
        <v>1224625</v>
      </c>
      <c r="J28" s="577">
        <f t="shared" si="40"/>
        <v>37565567</v>
      </c>
      <c r="K28" s="577">
        <f t="shared" si="40"/>
        <v>19684525</v>
      </c>
      <c r="L28" s="577">
        <f t="shared" si="40"/>
        <v>19684525</v>
      </c>
      <c r="M28" s="577">
        <f t="shared" si="40"/>
        <v>17525650</v>
      </c>
      <c r="N28" s="577">
        <f t="shared" si="40"/>
        <v>18470139</v>
      </c>
      <c r="O28" s="577">
        <f t="shared" si="40"/>
        <v>16668542</v>
      </c>
      <c r="P28" s="577">
        <f t="shared" si="40"/>
        <v>36741035</v>
      </c>
      <c r="Q28" s="577">
        <f t="shared" si="40"/>
        <v>39925997</v>
      </c>
      <c r="R28" s="577">
        <f t="shared" si="40"/>
        <v>34818399</v>
      </c>
      <c r="S28" s="577">
        <f t="shared" si="40"/>
        <v>20716674</v>
      </c>
      <c r="T28" s="577">
        <f>+T17+T18+T19+T25+T26</f>
        <v>55224726</v>
      </c>
      <c r="U28" s="577">
        <f t="shared" ref="U28:AC28" si="41">+U26+U27</f>
        <v>47759451</v>
      </c>
      <c r="V28" s="577">
        <f t="shared" si="41"/>
        <v>7911250</v>
      </c>
      <c r="W28" s="577">
        <f t="shared" si="41"/>
        <v>14000250</v>
      </c>
      <c r="X28" s="577">
        <f t="shared" si="41"/>
        <v>11942278</v>
      </c>
      <c r="Y28" s="577">
        <f t="shared" si="41"/>
        <v>6000000</v>
      </c>
      <c r="Z28" s="577">
        <f t="shared" si="41"/>
        <v>23920902</v>
      </c>
      <c r="AA28" s="577">
        <f t="shared" si="41"/>
        <v>23940902</v>
      </c>
      <c r="AB28" s="577">
        <f t="shared" si="41"/>
        <v>2000000</v>
      </c>
      <c r="AC28" s="577">
        <f t="shared" si="41"/>
        <v>0</v>
      </c>
      <c r="AD28" s="577"/>
      <c r="AE28" s="577">
        <f t="shared" ref="AE28:AS28" si="42">+AE26+AE27</f>
        <v>20038632</v>
      </c>
      <c r="AF28" s="577">
        <f t="shared" si="42"/>
        <v>20038632</v>
      </c>
      <c r="AG28" s="577">
        <f t="shared" si="42"/>
        <v>19467888</v>
      </c>
      <c r="AH28" s="577">
        <f t="shared" si="42"/>
        <v>11811000</v>
      </c>
      <c r="AI28" s="577">
        <f t="shared" si="42"/>
        <v>11811000</v>
      </c>
      <c r="AJ28" s="577">
        <f t="shared" si="42"/>
        <v>11811000</v>
      </c>
      <c r="AK28" s="577">
        <f t="shared" si="42"/>
        <v>2000000</v>
      </c>
      <c r="AL28" s="577">
        <f t="shared" si="42"/>
        <v>1971268</v>
      </c>
      <c r="AM28" s="577">
        <f t="shared" si="42"/>
        <v>1911078</v>
      </c>
      <c r="AN28" s="577">
        <f t="shared" si="42"/>
        <v>503000</v>
      </c>
      <c r="AO28" s="577">
        <f t="shared" si="42"/>
        <v>144021</v>
      </c>
      <c r="AP28" s="577">
        <f t="shared" si="42"/>
        <v>144021</v>
      </c>
      <c r="AQ28" s="577">
        <f t="shared" si="42"/>
        <v>2000000</v>
      </c>
      <c r="AR28" s="577">
        <f t="shared" si="42"/>
        <v>397256</v>
      </c>
      <c r="AS28" s="577">
        <f t="shared" si="42"/>
        <v>397256</v>
      </c>
      <c r="AT28" s="577">
        <f t="shared" ref="AT28:BB28" si="43">+AT26+AT27</f>
        <v>1500000</v>
      </c>
      <c r="AU28" s="577">
        <f t="shared" si="43"/>
        <v>1500000</v>
      </c>
      <c r="AV28" s="577">
        <f t="shared" si="43"/>
        <v>1005481</v>
      </c>
      <c r="AW28" s="577">
        <f t="shared" si="43"/>
        <v>0</v>
      </c>
      <c r="AX28" s="577">
        <f t="shared" si="43"/>
        <v>10488573</v>
      </c>
      <c r="AY28" s="577">
        <f t="shared" si="43"/>
        <v>4468321</v>
      </c>
      <c r="AZ28" s="577">
        <f t="shared" si="43"/>
        <v>46919478</v>
      </c>
      <c r="BA28" s="577">
        <f t="shared" si="43"/>
        <v>46919478</v>
      </c>
      <c r="BB28" s="577">
        <f t="shared" si="43"/>
        <v>46919478</v>
      </c>
      <c r="BC28" s="577">
        <f>+BC26+BC27</f>
        <v>65000000</v>
      </c>
      <c r="BD28" s="577">
        <f>+BD26+BD27</f>
        <v>99322740</v>
      </c>
      <c r="BE28" s="577"/>
      <c r="BF28" s="577">
        <f>+BF26+BF27</f>
        <v>65000000</v>
      </c>
      <c r="BG28" s="577">
        <f>+BG26+BG27</f>
        <v>47371000</v>
      </c>
      <c r="BH28" s="577"/>
      <c r="BI28" s="577">
        <f t="shared" ref="BI28:BV28" si="44">+BI26+BI27</f>
        <v>1500000</v>
      </c>
      <c r="BJ28" s="577">
        <f t="shared" si="44"/>
        <v>1500000</v>
      </c>
      <c r="BK28" s="577">
        <f t="shared" si="44"/>
        <v>1499757</v>
      </c>
      <c r="BL28" s="577">
        <f t="shared" si="44"/>
        <v>2700000</v>
      </c>
      <c r="BM28" s="577">
        <f t="shared" si="44"/>
        <v>2750000</v>
      </c>
      <c r="BN28" s="577">
        <f t="shared" si="44"/>
        <v>2747394</v>
      </c>
      <c r="BO28" s="577">
        <f t="shared" si="44"/>
        <v>3885000</v>
      </c>
      <c r="BP28" s="577">
        <f t="shared" si="44"/>
        <v>4477000</v>
      </c>
      <c r="BQ28" s="577">
        <f t="shared" si="44"/>
        <v>4155476</v>
      </c>
      <c r="BR28" s="577">
        <f t="shared" si="44"/>
        <v>400000</v>
      </c>
      <c r="BS28" s="577">
        <f t="shared" si="44"/>
        <v>400000</v>
      </c>
      <c r="BT28" s="577">
        <f t="shared" si="44"/>
        <v>400000</v>
      </c>
      <c r="BU28" s="577">
        <f t="shared" si="44"/>
        <v>2647718</v>
      </c>
      <c r="BV28" s="577">
        <f t="shared" si="44"/>
        <v>3305774</v>
      </c>
      <c r="BW28" s="577">
        <f t="shared" ref="BW28:BX28" si="45">+BW26+BW27</f>
        <v>3301280</v>
      </c>
      <c r="BX28" s="577">
        <f t="shared" si="45"/>
        <v>3673011</v>
      </c>
      <c r="BY28" s="577">
        <f t="shared" ref="BY28:DB28" si="46">+BY26+BY27</f>
        <v>20091743</v>
      </c>
      <c r="BZ28" s="577">
        <f t="shared" si="46"/>
        <v>20079679</v>
      </c>
      <c r="CA28" s="577">
        <f t="shared" si="46"/>
        <v>3957385</v>
      </c>
      <c r="CB28" s="577">
        <f t="shared" si="46"/>
        <v>2980604</v>
      </c>
      <c r="CC28" s="577">
        <f t="shared" si="46"/>
        <v>2980604</v>
      </c>
      <c r="CD28" s="577">
        <f t="shared" si="46"/>
        <v>5522047</v>
      </c>
      <c r="CE28" s="577">
        <f t="shared" si="46"/>
        <v>3680097</v>
      </c>
      <c r="CF28" s="577">
        <f t="shared" si="46"/>
        <v>3423224</v>
      </c>
      <c r="CG28" s="577">
        <f t="shared" si="46"/>
        <v>3575528</v>
      </c>
      <c r="CH28" s="577">
        <f t="shared" si="46"/>
        <v>8586071</v>
      </c>
      <c r="CI28" s="577">
        <f t="shared" si="46"/>
        <v>8500158</v>
      </c>
      <c r="CJ28" s="577">
        <f t="shared" si="46"/>
        <v>3938336</v>
      </c>
      <c r="CK28" s="577">
        <f t="shared" si="46"/>
        <v>3032266</v>
      </c>
      <c r="CL28" s="577">
        <f t="shared" si="46"/>
        <v>2860748</v>
      </c>
      <c r="CM28" s="577">
        <f t="shared" si="46"/>
        <v>5634412</v>
      </c>
      <c r="CN28" s="577">
        <f t="shared" si="46"/>
        <v>4094468</v>
      </c>
      <c r="CO28" s="577">
        <f t="shared" si="46"/>
        <v>3897822</v>
      </c>
      <c r="CP28" s="577">
        <f t="shared" si="46"/>
        <v>720124</v>
      </c>
      <c r="CQ28" s="577">
        <f t="shared" si="46"/>
        <v>720124</v>
      </c>
      <c r="CR28" s="577">
        <f t="shared" si="46"/>
        <v>208563</v>
      </c>
      <c r="CS28" s="577">
        <f t="shared" si="46"/>
        <v>2018549</v>
      </c>
      <c r="CT28" s="577">
        <f t="shared" si="46"/>
        <v>1290154</v>
      </c>
      <c r="CU28" s="577">
        <f t="shared" si="46"/>
        <v>1077158</v>
      </c>
      <c r="CV28" s="577">
        <f t="shared" si="46"/>
        <v>395029201</v>
      </c>
      <c r="CW28" s="577">
        <f t="shared" si="46"/>
        <v>835415764</v>
      </c>
      <c r="CX28" s="577">
        <f t="shared" si="46"/>
        <v>1909725535</v>
      </c>
      <c r="CY28" s="577">
        <f t="shared" si="46"/>
        <v>1982685354</v>
      </c>
      <c r="CZ28" s="577">
        <f t="shared" si="46"/>
        <v>1830471809</v>
      </c>
      <c r="DA28" s="577">
        <f t="shared" si="46"/>
        <v>0</v>
      </c>
      <c r="DB28" s="577">
        <f t="shared" si="46"/>
        <v>0</v>
      </c>
      <c r="DC28" s="577"/>
      <c r="DD28" s="577">
        <f>+DD26+DD27</f>
        <v>635000</v>
      </c>
      <c r="DE28" s="577">
        <f>+DE26+DE27</f>
        <v>3395000</v>
      </c>
      <c r="DF28" s="577"/>
      <c r="DG28" s="577">
        <f>+DG26+DG27</f>
        <v>10020080</v>
      </c>
      <c r="DH28" s="577">
        <f>+DH26+DH27</f>
        <v>19020080</v>
      </c>
      <c r="DI28" s="577">
        <f>+DI26+DI27</f>
        <v>14772260</v>
      </c>
      <c r="DJ28" s="577">
        <f>+DJ26+DJ27</f>
        <v>0</v>
      </c>
      <c r="DK28" s="577">
        <f>+DK26+DK27</f>
        <v>60471732</v>
      </c>
      <c r="DL28" s="577"/>
      <c r="DM28" s="577">
        <f t="shared" ref="DM28:DT28" si="47">+DM26+DM27</f>
        <v>3235875</v>
      </c>
      <c r="DN28" s="577">
        <f t="shared" si="47"/>
        <v>3127061</v>
      </c>
      <c r="DO28" s="577">
        <f t="shared" si="47"/>
        <v>3127061</v>
      </c>
      <c r="DP28" s="577">
        <f t="shared" si="47"/>
        <v>400050</v>
      </c>
      <c r="DQ28" s="577">
        <f t="shared" si="47"/>
        <v>311004474</v>
      </c>
      <c r="DR28" s="577">
        <f t="shared" si="47"/>
        <v>15641220</v>
      </c>
      <c r="DS28" s="577">
        <f t="shared" si="47"/>
        <v>4825500</v>
      </c>
      <c r="DT28" s="577">
        <f t="shared" si="47"/>
        <v>325500</v>
      </c>
      <c r="DU28" s="577"/>
      <c r="DV28" s="577">
        <f t="shared" ref="DV28:EA28" si="48">+DV26+DV27</f>
        <v>8855000</v>
      </c>
      <c r="DW28" s="577">
        <f t="shared" si="48"/>
        <v>22208914</v>
      </c>
      <c r="DX28" s="577">
        <f t="shared" si="48"/>
        <v>16391315</v>
      </c>
      <c r="DY28" s="577">
        <f t="shared" si="48"/>
        <v>2350000</v>
      </c>
      <c r="DZ28" s="577">
        <f t="shared" si="48"/>
        <v>2350000</v>
      </c>
      <c r="EA28" s="577">
        <f t="shared" si="48"/>
        <v>2310612</v>
      </c>
      <c r="EB28" s="577">
        <f t="shared" ref="EB28:ED28" si="49">+EB26+EB27</f>
        <v>0</v>
      </c>
      <c r="EC28" s="577">
        <f t="shared" si="49"/>
        <v>16759884</v>
      </c>
      <c r="ED28" s="577">
        <f t="shared" si="49"/>
        <v>16133837</v>
      </c>
      <c r="EE28" s="577">
        <f>+EE26+EE27</f>
        <v>6000000</v>
      </c>
      <c r="EF28" s="577">
        <f>+EF26+EF27</f>
        <v>18000000</v>
      </c>
      <c r="EG28" s="577">
        <f t="shared" ref="EG28:EP28" si="50">+EG26+EG27</f>
        <v>18000000</v>
      </c>
      <c r="EH28" s="577">
        <f t="shared" si="50"/>
        <v>0</v>
      </c>
      <c r="EI28" s="577">
        <f t="shared" si="50"/>
        <v>2541088</v>
      </c>
      <c r="EJ28" s="577">
        <f t="shared" si="50"/>
        <v>2541088</v>
      </c>
      <c r="EK28" s="577">
        <f t="shared" si="50"/>
        <v>0</v>
      </c>
      <c r="EL28" s="577">
        <f t="shared" si="50"/>
        <v>9000000</v>
      </c>
      <c r="EM28" s="577">
        <f t="shared" si="50"/>
        <v>0</v>
      </c>
      <c r="EN28" s="577">
        <f t="shared" si="50"/>
        <v>0</v>
      </c>
      <c r="EO28" s="577">
        <f t="shared" si="50"/>
        <v>2586000</v>
      </c>
      <c r="EP28" s="577">
        <f t="shared" si="50"/>
        <v>2538600</v>
      </c>
      <c r="EQ28" s="577">
        <f>+EQ26+EQ27</f>
        <v>4500000</v>
      </c>
      <c r="ER28" s="577">
        <f>+ER26+ER27</f>
        <v>4500000</v>
      </c>
      <c r="ES28" s="577">
        <f>+ES26+ES27</f>
        <v>3642000</v>
      </c>
      <c r="ET28" s="577">
        <f>+ET26+ET27</f>
        <v>5000000</v>
      </c>
      <c r="EU28" s="577">
        <f>+EU26+EU27</f>
        <v>0</v>
      </c>
      <c r="EV28" s="577"/>
      <c r="EW28" s="577">
        <f t="shared" ref="EW28:GO28" si="51">+EW26+EW27</f>
        <v>4449513</v>
      </c>
      <c r="EX28" s="577">
        <f t="shared" si="51"/>
        <v>6349513</v>
      </c>
      <c r="EY28" s="577">
        <f t="shared" si="51"/>
        <v>5765535</v>
      </c>
      <c r="EZ28" s="577">
        <f t="shared" si="51"/>
        <v>5000000</v>
      </c>
      <c r="FA28" s="577">
        <f t="shared" si="51"/>
        <v>594360</v>
      </c>
      <c r="FB28" s="577">
        <f t="shared" si="51"/>
        <v>594360</v>
      </c>
      <c r="FC28" s="577">
        <f t="shared" si="51"/>
        <v>13191583</v>
      </c>
      <c r="FD28" s="577">
        <f t="shared" si="51"/>
        <v>17691583</v>
      </c>
      <c r="FE28" s="577">
        <f t="shared" si="51"/>
        <v>14581601</v>
      </c>
      <c r="FF28" s="577">
        <f t="shared" si="51"/>
        <v>6314100</v>
      </c>
      <c r="FG28" s="577">
        <f t="shared" si="51"/>
        <v>6314100</v>
      </c>
      <c r="FH28" s="577">
        <f t="shared" si="51"/>
        <v>6134100</v>
      </c>
      <c r="FI28" s="577">
        <f t="shared" si="51"/>
        <v>0</v>
      </c>
      <c r="FJ28" s="577">
        <f t="shared" si="51"/>
        <v>6856623</v>
      </c>
      <c r="FK28" s="577">
        <f t="shared" si="51"/>
        <v>6856623</v>
      </c>
      <c r="FL28" s="577">
        <f t="shared" si="51"/>
        <v>250000</v>
      </c>
      <c r="FM28" s="577">
        <f t="shared" si="51"/>
        <v>500000</v>
      </c>
      <c r="FN28" s="577">
        <f t="shared" si="51"/>
        <v>418000</v>
      </c>
      <c r="FO28" s="577">
        <f t="shared" si="51"/>
        <v>350000</v>
      </c>
      <c r="FP28" s="577">
        <f t="shared" si="51"/>
        <v>700000</v>
      </c>
      <c r="FQ28" s="577">
        <f t="shared" si="51"/>
        <v>79398</v>
      </c>
      <c r="FR28" s="577">
        <f t="shared" si="51"/>
        <v>11500000</v>
      </c>
      <c r="FS28" s="577">
        <f t="shared" si="51"/>
        <v>14000000</v>
      </c>
      <c r="FT28" s="577">
        <f t="shared" si="51"/>
        <v>9005256</v>
      </c>
      <c r="FU28" s="577">
        <f t="shared" si="51"/>
        <v>19000000</v>
      </c>
      <c r="FV28" s="577">
        <f t="shared" si="51"/>
        <v>19835401</v>
      </c>
      <c r="FW28" s="577">
        <f t="shared" si="51"/>
        <v>19810628</v>
      </c>
      <c r="FX28" s="577">
        <f t="shared" si="51"/>
        <v>1000000</v>
      </c>
      <c r="FY28" s="577">
        <f t="shared" si="51"/>
        <v>3700000</v>
      </c>
      <c r="FZ28" s="577">
        <f t="shared" si="51"/>
        <v>3554955</v>
      </c>
      <c r="GA28" s="577">
        <f t="shared" si="51"/>
        <v>0</v>
      </c>
      <c r="GB28" s="577">
        <f t="shared" si="51"/>
        <v>131150520</v>
      </c>
      <c r="GC28" s="577">
        <f t="shared" si="51"/>
        <v>129468136</v>
      </c>
      <c r="GD28" s="577">
        <f t="shared" si="51"/>
        <v>0</v>
      </c>
      <c r="GE28" s="577">
        <f t="shared" si="51"/>
        <v>680000</v>
      </c>
      <c r="GF28" s="577">
        <f t="shared" si="51"/>
        <v>130000</v>
      </c>
      <c r="GG28" s="577">
        <f t="shared" si="51"/>
        <v>0</v>
      </c>
      <c r="GH28" s="577">
        <f t="shared" si="51"/>
        <v>150138700</v>
      </c>
      <c r="GI28" s="577">
        <f t="shared" si="51"/>
        <v>138700</v>
      </c>
      <c r="GJ28" s="577">
        <f t="shared" si="51"/>
        <v>0</v>
      </c>
      <c r="GK28" s="577">
        <f t="shared" si="51"/>
        <v>12963000</v>
      </c>
      <c r="GL28" s="577">
        <f t="shared" si="51"/>
        <v>0</v>
      </c>
      <c r="GM28" s="577">
        <f t="shared" si="51"/>
        <v>0</v>
      </c>
      <c r="GN28" s="577">
        <f t="shared" si="51"/>
        <v>1358900</v>
      </c>
      <c r="GO28" s="577">
        <f t="shared" si="51"/>
        <v>596900</v>
      </c>
      <c r="GP28" s="696">
        <f t="shared" si="0"/>
        <v>2264138979</v>
      </c>
      <c r="GQ28" s="696">
        <f t="shared" si="1"/>
        <v>156138172</v>
      </c>
      <c r="GS28" s="696">
        <f t="shared" si="2"/>
        <v>2420277151</v>
      </c>
      <c r="GT28" s="696">
        <f t="shared" si="3"/>
        <v>2420277151</v>
      </c>
    </row>
    <row r="29" spans="1:204" x14ac:dyDescent="0.25">
      <c r="A29" s="9" t="s">
        <v>68</v>
      </c>
      <c r="B29" s="13" t="s">
        <v>69</v>
      </c>
      <c r="C29" s="20" t="s">
        <v>70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>
        <v>1740000</v>
      </c>
      <c r="AF29" s="11">
        <v>1791045</v>
      </c>
      <c r="AG29" s="11">
        <v>1791045</v>
      </c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>
        <v>67624907</v>
      </c>
      <c r="DR29" s="11">
        <v>67624907</v>
      </c>
      <c r="DS29" s="11"/>
      <c r="DT29" s="11"/>
      <c r="DU29" s="11"/>
      <c r="DV29" s="592"/>
      <c r="DW29" s="592">
        <v>13353914</v>
      </c>
      <c r="DX29" s="592">
        <v>13353914</v>
      </c>
      <c r="DY29" s="592"/>
      <c r="DZ29" s="592"/>
      <c r="EA29" s="592"/>
      <c r="EB29" s="592"/>
      <c r="EC29" s="592"/>
      <c r="ED29" s="592"/>
      <c r="EE29" s="592"/>
      <c r="EF29" s="592"/>
      <c r="EG29" s="592"/>
      <c r="EH29" s="592"/>
      <c r="EI29" s="592"/>
      <c r="EJ29" s="592"/>
      <c r="EK29" s="592"/>
      <c r="EL29" s="592">
        <v>6840000</v>
      </c>
      <c r="EM29" s="592">
        <v>6840000</v>
      </c>
      <c r="EN29" s="592"/>
      <c r="EO29" s="592"/>
      <c r="EP29" s="592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610"/>
      <c r="FW29" s="609"/>
      <c r="FX29" s="11"/>
      <c r="FY29" s="610">
        <v>0</v>
      </c>
      <c r="FZ29" s="609"/>
      <c r="GA29" s="11"/>
      <c r="GB29" s="816">
        <v>3904012</v>
      </c>
      <c r="GC29" s="795">
        <v>1951033</v>
      </c>
      <c r="GD29" s="11"/>
      <c r="GE29" s="816"/>
      <c r="GF29" s="795"/>
      <c r="GG29" s="11"/>
      <c r="GH29" s="816"/>
      <c r="GI29" s="795"/>
      <c r="GJ29" s="11"/>
      <c r="GK29" s="816"/>
      <c r="GL29" s="795"/>
      <c r="GM29" s="11"/>
      <c r="GN29" s="816"/>
      <c r="GO29" s="795"/>
      <c r="GP29" s="696">
        <f t="shared" si="0"/>
        <v>91560899</v>
      </c>
      <c r="GQ29" s="696">
        <f t="shared" si="1"/>
        <v>0</v>
      </c>
      <c r="GS29" s="696">
        <f t="shared" si="2"/>
        <v>91560899</v>
      </c>
      <c r="GT29" s="696">
        <f t="shared" si="3"/>
        <v>91560899</v>
      </c>
    </row>
    <row r="30" spans="1:204" x14ac:dyDescent="0.25">
      <c r="A30" s="9" t="s">
        <v>71</v>
      </c>
      <c r="B30" s="13" t="s">
        <v>72</v>
      </c>
      <c r="C30" s="20" t="s">
        <v>73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>
        <v>2760000</v>
      </c>
      <c r="DF30" s="11">
        <v>2760000</v>
      </c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>
        <v>301869281</v>
      </c>
      <c r="DR30" s="11">
        <v>301869281</v>
      </c>
      <c r="DS30" s="11"/>
      <c r="DT30" s="11"/>
      <c r="DU30" s="11"/>
      <c r="DV30" s="592"/>
      <c r="DW30" s="592"/>
      <c r="DX30" s="592"/>
      <c r="DY30" s="592"/>
      <c r="DZ30" s="592"/>
      <c r="EA30" s="592"/>
      <c r="EB30" s="592"/>
      <c r="EC30" s="592"/>
      <c r="ED30" s="592"/>
      <c r="EE30" s="592"/>
      <c r="EF30" s="592"/>
      <c r="EG30" s="592"/>
      <c r="EH30" s="592"/>
      <c r="EI30" s="592"/>
      <c r="EJ30" s="592"/>
      <c r="EK30" s="592"/>
      <c r="EL30" s="592">
        <v>2160000</v>
      </c>
      <c r="EM30" s="592">
        <v>2160000</v>
      </c>
      <c r="EN30" s="592"/>
      <c r="EO30" s="592"/>
      <c r="EP30" s="592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610"/>
      <c r="FW30" s="609"/>
      <c r="FX30" s="11"/>
      <c r="FY30" s="610"/>
      <c r="FZ30" s="609"/>
      <c r="GA30" s="11"/>
      <c r="GB30" s="816">
        <v>103001908</v>
      </c>
      <c r="GC30" s="795">
        <v>51501927</v>
      </c>
      <c r="GD30" s="11"/>
      <c r="GE30" s="816"/>
      <c r="GF30" s="795"/>
      <c r="GG30" s="11"/>
      <c r="GH30" s="816">
        <v>150000000</v>
      </c>
      <c r="GI30" s="795">
        <v>150000000</v>
      </c>
      <c r="GJ30" s="11"/>
      <c r="GK30" s="816">
        <v>3000000</v>
      </c>
      <c r="GL30" s="795">
        <v>3000000</v>
      </c>
      <c r="GM30" s="11"/>
      <c r="GN30" s="816"/>
      <c r="GO30" s="795"/>
      <c r="GP30" s="696">
        <f t="shared" si="0"/>
        <v>508531208</v>
      </c>
      <c r="GQ30" s="696">
        <f t="shared" si="1"/>
        <v>2760000</v>
      </c>
      <c r="GS30" s="696">
        <f t="shared" si="2"/>
        <v>511291208</v>
      </c>
      <c r="GT30" s="696">
        <f t="shared" si="3"/>
        <v>511291208</v>
      </c>
    </row>
    <row r="31" spans="1:204" x14ac:dyDescent="0.25">
      <c r="A31" s="9" t="s">
        <v>74</v>
      </c>
      <c r="B31" s="13" t="s">
        <v>75</v>
      </c>
      <c r="C31" s="20" t="s">
        <v>76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592"/>
      <c r="DW31" s="592"/>
      <c r="DX31" s="592"/>
      <c r="DY31" s="592"/>
      <c r="DZ31" s="592"/>
      <c r="EA31" s="592"/>
      <c r="EB31" s="592"/>
      <c r="EC31" s="592"/>
      <c r="ED31" s="592"/>
      <c r="EE31" s="592"/>
      <c r="EF31" s="592"/>
      <c r="EG31" s="592"/>
      <c r="EH31" s="592"/>
      <c r="EI31" s="592"/>
      <c r="EJ31" s="592"/>
      <c r="EK31" s="592"/>
      <c r="EL31" s="592"/>
      <c r="EM31" s="592"/>
      <c r="EN31" s="592"/>
      <c r="EO31" s="592"/>
      <c r="EP31" s="592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610"/>
      <c r="FW31" s="609"/>
      <c r="FX31" s="11"/>
      <c r="FY31" s="610"/>
      <c r="FZ31" s="609"/>
      <c r="GA31" s="11"/>
      <c r="GB31" s="610"/>
      <c r="GC31" s="609"/>
      <c r="GD31" s="11"/>
      <c r="GE31" s="610"/>
      <c r="GF31" s="609"/>
      <c r="GG31" s="11"/>
      <c r="GH31" s="610"/>
      <c r="GI31" s="609"/>
      <c r="GJ31" s="11"/>
      <c r="GK31" s="610"/>
      <c r="GL31" s="609"/>
      <c r="GM31" s="11"/>
      <c r="GN31" s="610"/>
      <c r="GO31" s="609"/>
      <c r="GP31" s="696">
        <f t="shared" si="0"/>
        <v>0</v>
      </c>
      <c r="GQ31" s="696">
        <f t="shared" si="1"/>
        <v>0</v>
      </c>
      <c r="GS31" s="696">
        <f t="shared" si="2"/>
        <v>0</v>
      </c>
      <c r="GT31" s="696">
        <f t="shared" si="3"/>
        <v>0</v>
      </c>
    </row>
    <row r="32" spans="1:204" x14ac:dyDescent="0.25">
      <c r="A32" s="9" t="s">
        <v>77</v>
      </c>
      <c r="B32" s="16" t="s">
        <v>78</v>
      </c>
      <c r="C32" s="20" t="s">
        <v>79</v>
      </c>
      <c r="D32" s="11">
        <v>11563836</v>
      </c>
      <c r="E32" s="11">
        <v>14006947</v>
      </c>
      <c r="F32" s="11">
        <v>13070515</v>
      </c>
      <c r="G32" s="592">
        <v>1139076</v>
      </c>
      <c r="H32" s="592">
        <v>1306389</v>
      </c>
      <c r="I32" s="592">
        <v>957995</v>
      </c>
      <c r="J32" s="592">
        <v>1500000</v>
      </c>
      <c r="K32" s="592">
        <v>644000</v>
      </c>
      <c r="L32" s="592">
        <v>644000</v>
      </c>
      <c r="M32" s="592">
        <v>2100000</v>
      </c>
      <c r="N32" s="592">
        <v>2625412</v>
      </c>
      <c r="O32" s="592">
        <v>2608267</v>
      </c>
      <c r="P32" s="592">
        <v>30000000</v>
      </c>
      <c r="Q32" s="592">
        <v>31664409</v>
      </c>
      <c r="R32" s="592">
        <v>31483919</v>
      </c>
      <c r="S32" s="592"/>
      <c r="T32" s="592"/>
      <c r="U32" s="592"/>
      <c r="V32" s="592">
        <v>120000</v>
      </c>
      <c r="W32" s="592">
        <v>181900</v>
      </c>
      <c r="X32" s="592">
        <v>181900</v>
      </c>
      <c r="Y32" s="11"/>
      <c r="Z32" s="11">
        <v>368000</v>
      </c>
      <c r="AA32" s="11">
        <v>368000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>
        <v>2526195</v>
      </c>
      <c r="AY32" s="11">
        <v>2526195</v>
      </c>
      <c r="AZ32" s="11"/>
      <c r="BA32" s="11"/>
      <c r="BB32" s="11"/>
      <c r="BC32" s="11">
        <v>65000000</v>
      </c>
      <c r="BD32" s="11">
        <v>82628999</v>
      </c>
      <c r="BE32" s="11">
        <v>82628999</v>
      </c>
      <c r="BF32" s="11">
        <v>65000000</v>
      </c>
      <c r="BG32" s="11">
        <v>47371000</v>
      </c>
      <c r="BH32" s="11">
        <v>47371000</v>
      </c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592"/>
      <c r="CB32" s="592"/>
      <c r="CC32" s="592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>
        <v>8992</v>
      </c>
      <c r="CR32" s="11">
        <v>8992</v>
      </c>
      <c r="CS32" s="11"/>
      <c r="CT32" s="11">
        <v>519900</v>
      </c>
      <c r="CU32" s="11">
        <v>519900</v>
      </c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594">
        <v>228600</v>
      </c>
      <c r="DI32" s="594">
        <v>228600</v>
      </c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592"/>
      <c r="DW32" s="592"/>
      <c r="DX32" s="592"/>
      <c r="DY32" s="592"/>
      <c r="DZ32" s="592"/>
      <c r="EA32" s="592"/>
      <c r="EB32" s="592"/>
      <c r="EC32" s="592"/>
      <c r="ED32" s="592"/>
      <c r="EE32" s="592"/>
      <c r="EF32" s="592"/>
      <c r="EG32" s="592"/>
      <c r="EH32" s="592"/>
      <c r="EI32" s="592"/>
      <c r="EJ32" s="592"/>
      <c r="EK32" s="592"/>
      <c r="EL32" s="592"/>
      <c r="EM32" s="592"/>
      <c r="EN32" s="592"/>
      <c r="EO32" s="592"/>
      <c r="EP32" s="592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610"/>
      <c r="FW32" s="609"/>
      <c r="FX32" s="11"/>
      <c r="FY32" s="610"/>
      <c r="FZ32" s="609"/>
      <c r="GA32" s="11"/>
      <c r="GB32" s="610"/>
      <c r="GC32" s="609"/>
      <c r="GD32" s="11"/>
      <c r="GE32" s="610"/>
      <c r="GF32" s="609"/>
      <c r="GG32" s="11"/>
      <c r="GH32" s="610"/>
      <c r="GI32" s="609"/>
      <c r="GJ32" s="11"/>
      <c r="GK32" s="610"/>
      <c r="GL32" s="609"/>
      <c r="GM32" s="11"/>
      <c r="GN32" s="610"/>
      <c r="GO32" s="609"/>
      <c r="GP32" s="696">
        <f t="shared" si="0"/>
        <v>150335863</v>
      </c>
      <c r="GQ32" s="696">
        <f t="shared" si="1"/>
        <v>32262419</v>
      </c>
      <c r="GS32" s="696">
        <f t="shared" si="2"/>
        <v>182598282</v>
      </c>
      <c r="GT32" s="696">
        <f t="shared" si="3"/>
        <v>182598282</v>
      </c>
      <c r="GV32" s="696">
        <f>+F32+I32+L32+O32+R32+U32+X32+AA32+AD32+AG32+AJ32+AM32+AP32+AS32+AV32+AY32+BB32+BE32+BH32+BK32+BN32+BQ32+BT32+BW32+BZ32+CC32+CF32+CI32+CL32+CO32+CR32+CU32+CW32+CZ32+DC32+DF32+DI32+DL32+DO32+DR32+DU32+DX32+EA32+ED32+EG32+EJ32+EM32+EP32+ES32+EV32+EY32+FB32+FE32+FH32+FK32+FN32+FQ32+FT32+FW32+FZ32+GC32</f>
        <v>182598282</v>
      </c>
    </row>
    <row r="33" spans="1:204" x14ac:dyDescent="0.25">
      <c r="A33" s="9" t="s">
        <v>80</v>
      </c>
      <c r="B33" s="13" t="s">
        <v>81</v>
      </c>
      <c r="C33" s="20" t="s">
        <v>82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592"/>
      <c r="BA33" s="592"/>
      <c r="BB33" s="592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592"/>
      <c r="DW33" s="592"/>
      <c r="DX33" s="592"/>
      <c r="DY33" s="592"/>
      <c r="DZ33" s="592"/>
      <c r="EA33" s="592"/>
      <c r="EB33" s="592"/>
      <c r="EC33" s="592"/>
      <c r="ED33" s="592"/>
      <c r="EE33" s="592"/>
      <c r="EF33" s="592"/>
      <c r="EG33" s="592"/>
      <c r="EH33" s="592"/>
      <c r="EI33" s="592"/>
      <c r="EJ33" s="592"/>
      <c r="EK33" s="592"/>
      <c r="EL33" s="592"/>
      <c r="EM33" s="592"/>
      <c r="EN33" s="592"/>
      <c r="EO33" s="592"/>
      <c r="EP33" s="592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610"/>
      <c r="FW33" s="609"/>
      <c r="FX33" s="11"/>
      <c r="FY33" s="610"/>
      <c r="FZ33" s="609"/>
      <c r="GA33" s="11"/>
      <c r="GB33" s="610"/>
      <c r="GC33" s="609"/>
      <c r="GD33" s="11"/>
      <c r="GE33" s="610"/>
      <c r="GF33" s="609"/>
      <c r="GG33" s="11"/>
      <c r="GH33" s="610"/>
      <c r="GI33" s="609"/>
      <c r="GJ33" s="11"/>
      <c r="GK33" s="610"/>
      <c r="GL33" s="609"/>
      <c r="GM33" s="11"/>
      <c r="GN33" s="610"/>
      <c r="GO33" s="609"/>
      <c r="GP33" s="696">
        <f t="shared" si="0"/>
        <v>0</v>
      </c>
      <c r="GQ33" s="696">
        <f t="shared" si="1"/>
        <v>0</v>
      </c>
      <c r="GS33" s="696">
        <f t="shared" si="2"/>
        <v>0</v>
      </c>
      <c r="GT33" s="696">
        <f t="shared" si="3"/>
        <v>0</v>
      </c>
    </row>
    <row r="34" spans="1:204" x14ac:dyDescent="0.25">
      <c r="A34" s="9" t="s">
        <v>83</v>
      </c>
      <c r="B34" s="13" t="s">
        <v>84</v>
      </c>
      <c r="C34" s="20" t="s">
        <v>85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>
        <v>100000</v>
      </c>
      <c r="AA34" s="11">
        <v>100000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592"/>
      <c r="DW34" s="592"/>
      <c r="DX34" s="592"/>
      <c r="DY34" s="592"/>
      <c r="DZ34" s="592"/>
      <c r="EA34" s="592"/>
      <c r="EB34" s="592"/>
      <c r="EC34" s="592"/>
      <c r="ED34" s="592"/>
      <c r="EE34" s="592"/>
      <c r="EF34" s="592"/>
      <c r="EG34" s="592"/>
      <c r="EH34" s="592"/>
      <c r="EI34" s="592"/>
      <c r="EJ34" s="592"/>
      <c r="EK34" s="592"/>
      <c r="EL34" s="592"/>
      <c r="EM34" s="592"/>
      <c r="EN34" s="592"/>
      <c r="EO34" s="592"/>
      <c r="EP34" s="592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610"/>
      <c r="FW34" s="609"/>
      <c r="FX34" s="11"/>
      <c r="FY34" s="610"/>
      <c r="FZ34" s="609"/>
      <c r="GA34" s="11"/>
      <c r="GB34" s="610"/>
      <c r="GC34" s="609"/>
      <c r="GD34" s="11"/>
      <c r="GE34" s="610"/>
      <c r="GF34" s="609"/>
      <c r="GG34" s="11"/>
      <c r="GH34" s="610"/>
      <c r="GI34" s="609"/>
      <c r="GJ34" s="11"/>
      <c r="GK34" s="610"/>
      <c r="GL34" s="609"/>
      <c r="GM34" s="11"/>
      <c r="GN34" s="610"/>
      <c r="GO34" s="609"/>
      <c r="GP34" s="696">
        <f t="shared" si="0"/>
        <v>0</v>
      </c>
      <c r="GQ34" s="696">
        <f t="shared" si="1"/>
        <v>100000</v>
      </c>
      <c r="GS34" s="696">
        <f t="shared" si="2"/>
        <v>100000</v>
      </c>
      <c r="GT34" s="696">
        <f t="shared" si="3"/>
        <v>100000</v>
      </c>
    </row>
    <row r="35" spans="1:204" x14ac:dyDescent="0.25">
      <c r="A35" s="9" t="s">
        <v>86</v>
      </c>
      <c r="B35" s="13" t="s">
        <v>87</v>
      </c>
      <c r="C35" s="20" t="s">
        <v>88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>
        <v>5800720</v>
      </c>
      <c r="AY35" s="11">
        <v>5800720</v>
      </c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592"/>
      <c r="DW35" s="592"/>
      <c r="DX35" s="592"/>
      <c r="DY35" s="592"/>
      <c r="DZ35" s="592"/>
      <c r="EA35" s="592"/>
      <c r="EB35" s="592"/>
      <c r="EC35" s="592"/>
      <c r="ED35" s="592"/>
      <c r="EE35" s="592"/>
      <c r="EF35" s="592"/>
      <c r="EG35" s="592"/>
      <c r="EH35" s="592"/>
      <c r="EI35" s="592"/>
      <c r="EJ35" s="592"/>
      <c r="EK35" s="592"/>
      <c r="EL35" s="592"/>
      <c r="EM35" s="592"/>
      <c r="EN35" s="592"/>
      <c r="EO35" s="592"/>
      <c r="EP35" s="592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610"/>
      <c r="FW35" s="609"/>
      <c r="FX35" s="11"/>
      <c r="FY35" s="610"/>
      <c r="FZ35" s="609"/>
      <c r="GA35" s="11"/>
      <c r="GB35" s="610"/>
      <c r="GC35" s="609"/>
      <c r="GD35" s="11"/>
      <c r="GE35" s="610"/>
      <c r="GF35" s="609"/>
      <c r="GG35" s="11"/>
      <c r="GH35" s="610"/>
      <c r="GI35" s="609"/>
      <c r="GJ35" s="11"/>
      <c r="GK35" s="610"/>
      <c r="GL35" s="609"/>
      <c r="GM35" s="11"/>
      <c r="GN35" s="610"/>
      <c r="GO35" s="609"/>
      <c r="GP35" s="696">
        <f t="shared" si="0"/>
        <v>5800720</v>
      </c>
      <c r="GQ35" s="696">
        <f t="shared" si="1"/>
        <v>0</v>
      </c>
      <c r="GS35" s="696">
        <f t="shared" si="2"/>
        <v>5800720</v>
      </c>
      <c r="GT35" s="696">
        <f t="shared" si="3"/>
        <v>5800720</v>
      </c>
    </row>
    <row r="36" spans="1:204" x14ac:dyDescent="0.25">
      <c r="A36" s="9" t="s">
        <v>89</v>
      </c>
      <c r="B36" s="16" t="s">
        <v>90</v>
      </c>
      <c r="C36" s="20" t="s">
        <v>91</v>
      </c>
      <c r="D36" s="26">
        <f t="shared" ref="D36:T36" si="52">SUM(D29:D35)</f>
        <v>11563836</v>
      </c>
      <c r="E36" s="26">
        <f t="shared" si="52"/>
        <v>14006947</v>
      </c>
      <c r="F36" s="26">
        <f t="shared" si="52"/>
        <v>13070515</v>
      </c>
      <c r="G36" s="26">
        <f t="shared" si="52"/>
        <v>1139076</v>
      </c>
      <c r="H36" s="26">
        <f t="shared" si="52"/>
        <v>1306389</v>
      </c>
      <c r="I36" s="26">
        <f t="shared" si="52"/>
        <v>957995</v>
      </c>
      <c r="J36" s="26">
        <f t="shared" si="52"/>
        <v>1500000</v>
      </c>
      <c r="K36" s="26">
        <f t="shared" si="52"/>
        <v>644000</v>
      </c>
      <c r="L36" s="26">
        <f t="shared" si="52"/>
        <v>644000</v>
      </c>
      <c r="M36" s="26">
        <f t="shared" si="52"/>
        <v>2100000</v>
      </c>
      <c r="N36" s="26">
        <f t="shared" si="52"/>
        <v>2625412</v>
      </c>
      <c r="O36" s="26">
        <f t="shared" si="52"/>
        <v>2608267</v>
      </c>
      <c r="P36" s="26">
        <f t="shared" si="52"/>
        <v>30000000</v>
      </c>
      <c r="Q36" s="26">
        <f t="shared" si="52"/>
        <v>31664409</v>
      </c>
      <c r="R36" s="26">
        <f t="shared" si="52"/>
        <v>31483919</v>
      </c>
      <c r="S36" s="26">
        <f t="shared" si="52"/>
        <v>0</v>
      </c>
      <c r="T36" s="26">
        <f t="shared" si="52"/>
        <v>0</v>
      </c>
      <c r="U36" s="26"/>
      <c r="V36" s="26">
        <f>SUM(V29:V35)</f>
        <v>120000</v>
      </c>
      <c r="W36" s="26">
        <f>SUM(W29:W35)</f>
        <v>181900</v>
      </c>
      <c r="X36" s="26">
        <f>SUM(X29:X35)</f>
        <v>181900</v>
      </c>
      <c r="Y36" s="26">
        <f t="shared" ref="Y36:AA36" si="53">SUM(Y29:Y35)</f>
        <v>0</v>
      </c>
      <c r="Z36" s="26">
        <f t="shared" si="53"/>
        <v>468000</v>
      </c>
      <c r="AA36" s="26">
        <f t="shared" si="53"/>
        <v>468000</v>
      </c>
      <c r="AB36" s="26">
        <f>SUM(AB29:AB35)</f>
        <v>0</v>
      </c>
      <c r="AC36" s="26">
        <f>SUM(AC29:AC35)</f>
        <v>0</v>
      </c>
      <c r="AD36" s="26"/>
      <c r="AE36" s="26">
        <f>SUM(AE29:AE35)</f>
        <v>1740000</v>
      </c>
      <c r="AF36" s="26">
        <f>SUM(AF29:AF35)</f>
        <v>1791045</v>
      </c>
      <c r="AG36" s="26">
        <f>SUM(AG29:AG35)</f>
        <v>1791045</v>
      </c>
      <c r="AH36" s="26">
        <f>SUM(AH29:AH35)</f>
        <v>0</v>
      </c>
      <c r="AI36" s="26">
        <f>SUM(AI29:AI35)</f>
        <v>0</v>
      </c>
      <c r="AJ36" s="26"/>
      <c r="AK36" s="26">
        <f>SUM(AK29:AK35)</f>
        <v>0</v>
      </c>
      <c r="AL36" s="26">
        <f>SUM(AL29:AL35)</f>
        <v>0</v>
      </c>
      <c r="AM36" s="26"/>
      <c r="AN36" s="26">
        <f>SUM(AN29:AN35)</f>
        <v>0</v>
      </c>
      <c r="AO36" s="26">
        <f>SUM(AO29:AO35)</f>
        <v>0</v>
      </c>
      <c r="AP36" s="26"/>
      <c r="AQ36" s="26">
        <f>SUM(AQ29:AQ35)</f>
        <v>0</v>
      </c>
      <c r="AR36" s="26">
        <f>SUM(AR29:AR35)</f>
        <v>0</v>
      </c>
      <c r="AS36" s="26"/>
      <c r="AT36" s="26">
        <f>SUM(AT29:AT35)</f>
        <v>0</v>
      </c>
      <c r="AU36" s="26">
        <f>SUM(AU29:AU35)</f>
        <v>0</v>
      </c>
      <c r="AV36" s="26"/>
      <c r="AW36" s="26">
        <f>SUM(AW29:AW35)</f>
        <v>0</v>
      </c>
      <c r="AX36" s="26">
        <f>SUM(AX29:AX35)</f>
        <v>8326915</v>
      </c>
      <c r="AY36" s="26">
        <f>SUM(AY29:AY35)</f>
        <v>8326915</v>
      </c>
      <c r="AZ36" s="26">
        <f>SUM(AZ29:AZ35)</f>
        <v>0</v>
      </c>
      <c r="BA36" s="26">
        <f>SUM(BA29:BA35)</f>
        <v>0</v>
      </c>
      <c r="BB36" s="26"/>
      <c r="BC36" s="26">
        <f t="shared" ref="BC36:BJ36" si="54">SUM(BC29:BC35)</f>
        <v>65000000</v>
      </c>
      <c r="BD36" s="26">
        <f t="shared" si="54"/>
        <v>82628999</v>
      </c>
      <c r="BE36" s="26">
        <f t="shared" si="54"/>
        <v>82628999</v>
      </c>
      <c r="BF36" s="26">
        <f t="shared" si="54"/>
        <v>65000000</v>
      </c>
      <c r="BG36" s="26">
        <f t="shared" si="54"/>
        <v>47371000</v>
      </c>
      <c r="BH36" s="26">
        <f t="shared" si="54"/>
        <v>47371000</v>
      </c>
      <c r="BI36" s="26">
        <f t="shared" si="54"/>
        <v>0</v>
      </c>
      <c r="BJ36" s="26">
        <f t="shared" si="54"/>
        <v>0</v>
      </c>
      <c r="BK36" s="26"/>
      <c r="BL36" s="26">
        <f>SUM(BL29:BL35)</f>
        <v>0</v>
      </c>
      <c r="BM36" s="26">
        <f>SUM(BM29:BM35)</f>
        <v>0</v>
      </c>
      <c r="BN36" s="26"/>
      <c r="BO36" s="26">
        <f>SUM(BO29:BO35)</f>
        <v>0</v>
      </c>
      <c r="BP36" s="26">
        <f>SUM(BP29:BP35)</f>
        <v>0</v>
      </c>
      <c r="BQ36" s="26"/>
      <c r="BR36" s="26">
        <f>SUM(BR29:BR35)</f>
        <v>0</v>
      </c>
      <c r="BS36" s="26">
        <f>SUM(BS29:BS35)</f>
        <v>0</v>
      </c>
      <c r="BT36" s="26"/>
      <c r="BU36" s="26">
        <f>SUM(BU29:BU35)</f>
        <v>0</v>
      </c>
      <c r="BV36" s="26">
        <f>SUM(BV29:BV35)</f>
        <v>0</v>
      </c>
      <c r="BW36" s="26"/>
      <c r="BX36" s="26">
        <f>SUM(BX29:BX35)</f>
        <v>0</v>
      </c>
      <c r="BY36" s="26">
        <f>SUM(BY29:BY35)</f>
        <v>0</v>
      </c>
      <c r="BZ36" s="26"/>
      <c r="CA36" s="26">
        <f>SUM(CA29:CA35)</f>
        <v>0</v>
      </c>
      <c r="CB36" s="26">
        <f>SUM(CB29:CB35)</f>
        <v>0</v>
      </c>
      <c r="CC36" s="26"/>
      <c r="CD36" s="26">
        <f>SUM(CD29:CD35)</f>
        <v>0</v>
      </c>
      <c r="CE36" s="26">
        <f>SUM(CE29:CE35)</f>
        <v>0</v>
      </c>
      <c r="CF36" s="26"/>
      <c r="CG36" s="26">
        <f>SUM(CG29:CG35)</f>
        <v>0</v>
      </c>
      <c r="CH36" s="26">
        <f>SUM(CH29:CH35)</f>
        <v>0</v>
      </c>
      <c r="CI36" s="26"/>
      <c r="CJ36" s="26">
        <f>SUM(CJ29:CJ35)</f>
        <v>0</v>
      </c>
      <c r="CK36" s="26">
        <f>SUM(CK29:CK35)</f>
        <v>0</v>
      </c>
      <c r="CL36" s="26"/>
      <c r="CM36" s="26">
        <f>SUM(CM29:CM35)</f>
        <v>0</v>
      </c>
      <c r="CN36" s="26">
        <f>SUM(CN29:CN35)</f>
        <v>0</v>
      </c>
      <c r="CO36" s="26"/>
      <c r="CP36" s="26">
        <f t="shared" ref="CP36:CY36" si="55">SUM(CP29:CP35)</f>
        <v>0</v>
      </c>
      <c r="CQ36" s="26">
        <f t="shared" si="55"/>
        <v>8992</v>
      </c>
      <c r="CR36" s="26">
        <f t="shared" si="55"/>
        <v>8992</v>
      </c>
      <c r="CS36" s="26">
        <f t="shared" si="55"/>
        <v>0</v>
      </c>
      <c r="CT36" s="26">
        <f t="shared" si="55"/>
        <v>519900</v>
      </c>
      <c r="CU36" s="26">
        <f t="shared" si="55"/>
        <v>519900</v>
      </c>
      <c r="CV36" s="26">
        <f t="shared" si="55"/>
        <v>0</v>
      </c>
      <c r="CW36" s="26">
        <f t="shared" si="55"/>
        <v>0</v>
      </c>
      <c r="CX36" s="26">
        <f t="shared" si="55"/>
        <v>0</v>
      </c>
      <c r="CY36" s="26">
        <f t="shared" si="55"/>
        <v>0</v>
      </c>
      <c r="CZ36" s="26"/>
      <c r="DA36" s="26">
        <f>SUM(DA29:DA35)</f>
        <v>0</v>
      </c>
      <c r="DB36" s="26">
        <f>SUM(DB29:DB35)</f>
        <v>0</v>
      </c>
      <c r="DC36" s="26"/>
      <c r="DD36" s="26">
        <f t="shared" ref="DD36:DK36" si="56">SUM(DD29:DD35)</f>
        <v>0</v>
      </c>
      <c r="DE36" s="26">
        <f t="shared" si="56"/>
        <v>2760000</v>
      </c>
      <c r="DF36" s="26">
        <f t="shared" si="56"/>
        <v>2760000</v>
      </c>
      <c r="DG36" s="26">
        <f t="shared" si="56"/>
        <v>0</v>
      </c>
      <c r="DH36" s="26">
        <f t="shared" si="56"/>
        <v>228600</v>
      </c>
      <c r="DI36" s="26">
        <f t="shared" si="56"/>
        <v>228600</v>
      </c>
      <c r="DJ36" s="26">
        <f t="shared" si="56"/>
        <v>0</v>
      </c>
      <c r="DK36" s="26">
        <f t="shared" si="56"/>
        <v>0</v>
      </c>
      <c r="DL36" s="26"/>
      <c r="DM36" s="26">
        <f>SUM(DM29:DM35)</f>
        <v>0</v>
      </c>
      <c r="DN36" s="26">
        <f>SUM(DN29:DN35)</f>
        <v>0</v>
      </c>
      <c r="DO36" s="26"/>
      <c r="DP36" s="26">
        <f>SUM(DP29:DP35)</f>
        <v>0</v>
      </c>
      <c r="DQ36" s="26">
        <f>SUM(DQ29:DQ35)</f>
        <v>369494188</v>
      </c>
      <c r="DR36" s="26">
        <f>SUM(DR29:DR35)</f>
        <v>369494188</v>
      </c>
      <c r="DS36" s="26">
        <f>SUM(DS29:DS35)</f>
        <v>0</v>
      </c>
      <c r="DT36" s="26">
        <f>SUM(DT29:DT35)</f>
        <v>0</v>
      </c>
      <c r="DU36" s="26"/>
      <c r="DV36" s="26">
        <f>SUM(DV29:DV35)</f>
        <v>0</v>
      </c>
      <c r="DW36" s="26">
        <f>SUM(DW29:DW35)</f>
        <v>13353914</v>
      </c>
      <c r="DX36" s="26">
        <f>SUM(DX29:DX35)</f>
        <v>13353914</v>
      </c>
      <c r="DY36" s="26">
        <f>SUM(DY29:DY35)</f>
        <v>0</v>
      </c>
      <c r="DZ36" s="26">
        <f>SUM(DZ29:DZ35)</f>
        <v>0</v>
      </c>
      <c r="EA36" s="26"/>
      <c r="EB36" s="26"/>
      <c r="EC36" s="26"/>
      <c r="ED36" s="26"/>
      <c r="EE36" s="26">
        <f>SUM(EE29:EE35)</f>
        <v>0</v>
      </c>
      <c r="EF36" s="26">
        <f>SUM(EF29:EF35)</f>
        <v>0</v>
      </c>
      <c r="EG36" s="26">
        <f t="shared" ref="EG36:EM36" si="57">SUM(EG29:EG35)</f>
        <v>0</v>
      </c>
      <c r="EH36" s="26">
        <f t="shared" si="57"/>
        <v>0</v>
      </c>
      <c r="EI36" s="26">
        <f t="shared" si="57"/>
        <v>0</v>
      </c>
      <c r="EJ36" s="26">
        <f t="shared" si="57"/>
        <v>0</v>
      </c>
      <c r="EK36" s="26">
        <f t="shared" si="57"/>
        <v>0</v>
      </c>
      <c r="EL36" s="26">
        <f t="shared" si="57"/>
        <v>9000000</v>
      </c>
      <c r="EM36" s="26">
        <f t="shared" si="57"/>
        <v>9000000</v>
      </c>
      <c r="EN36" s="26"/>
      <c r="EO36" s="26"/>
      <c r="EP36" s="26"/>
      <c r="EQ36" s="26">
        <f>SUM(EQ29:EQ35)</f>
        <v>0</v>
      </c>
      <c r="ER36" s="26">
        <f>SUM(ER29:ER35)</f>
        <v>0</v>
      </c>
      <c r="ES36" s="26">
        <f>SUM(ES29:ES35)</f>
        <v>0</v>
      </c>
      <c r="ET36" s="26">
        <f>SUM(ET29:ET35)</f>
        <v>0</v>
      </c>
      <c r="EU36" s="26">
        <f>SUM(EU29:EU35)</f>
        <v>0</v>
      </c>
      <c r="EV36" s="26"/>
      <c r="EW36" s="26">
        <f>SUM(EW29:EW35)</f>
        <v>0</v>
      </c>
      <c r="EX36" s="26">
        <f>SUM(EX29:EX35)</f>
        <v>0</v>
      </c>
      <c r="EY36" s="26"/>
      <c r="EZ36" s="26">
        <f>SUM(EZ29:EZ35)</f>
        <v>0</v>
      </c>
      <c r="FA36" s="26">
        <f>SUM(FA29:FA35)</f>
        <v>0</v>
      </c>
      <c r="FB36" s="26">
        <f>SUM(FB29:FB35)</f>
        <v>0</v>
      </c>
      <c r="FC36" s="26">
        <f>SUM(FC29:FC35)</f>
        <v>0</v>
      </c>
      <c r="FD36" s="26">
        <f>SUM(FD29:FD35)</f>
        <v>0</v>
      </c>
      <c r="FE36" s="26"/>
      <c r="FF36" s="26">
        <f>SUM(FF29:FF35)</f>
        <v>0</v>
      </c>
      <c r="FG36" s="26">
        <f>SUM(FG29:FG35)</f>
        <v>0</v>
      </c>
      <c r="FH36" s="26"/>
      <c r="FI36" s="26">
        <f>SUM(FI29:FI35)</f>
        <v>0</v>
      </c>
      <c r="FJ36" s="26">
        <f>SUM(FJ29:FJ35)</f>
        <v>0</v>
      </c>
      <c r="FK36" s="26"/>
      <c r="FL36" s="26">
        <f>SUM(FL29:FL35)</f>
        <v>0</v>
      </c>
      <c r="FM36" s="26">
        <f>SUM(FM29:FM35)</f>
        <v>0</v>
      </c>
      <c r="FN36" s="26"/>
      <c r="FO36" s="26">
        <f>SUM(FO29:FO35)</f>
        <v>0</v>
      </c>
      <c r="FP36" s="26">
        <f>SUM(FP29:FP35)</f>
        <v>0</v>
      </c>
      <c r="FQ36" s="26"/>
      <c r="FR36" s="26">
        <f>SUM(FR29:FR35)</f>
        <v>0</v>
      </c>
      <c r="FS36" s="26">
        <f>SUM(FS29:FS35)</f>
        <v>0</v>
      </c>
      <c r="FT36" s="26"/>
      <c r="FU36" s="26">
        <f>SUM(FU29:FU35)</f>
        <v>0</v>
      </c>
      <c r="FV36" s="26">
        <f>SUM(FV29:FV35)</f>
        <v>0</v>
      </c>
      <c r="FW36" s="26"/>
      <c r="FX36" s="26">
        <f>SUM(FX29:FX35)</f>
        <v>0</v>
      </c>
      <c r="FY36" s="26">
        <f>SUM(FY29:FY35)</f>
        <v>0</v>
      </c>
      <c r="FZ36" s="26">
        <f t="shared" ref="FZ36:GO36" si="58">SUM(FZ29:FZ35)</f>
        <v>0</v>
      </c>
      <c r="GA36" s="26">
        <f t="shared" si="58"/>
        <v>0</v>
      </c>
      <c r="GB36" s="26">
        <f t="shared" si="58"/>
        <v>106905920</v>
      </c>
      <c r="GC36" s="26">
        <f t="shared" si="58"/>
        <v>53452960</v>
      </c>
      <c r="GD36" s="26">
        <f t="shared" si="58"/>
        <v>0</v>
      </c>
      <c r="GE36" s="26">
        <f t="shared" si="58"/>
        <v>0</v>
      </c>
      <c r="GF36" s="26">
        <f t="shared" si="58"/>
        <v>0</v>
      </c>
      <c r="GG36" s="26">
        <f t="shared" si="58"/>
        <v>0</v>
      </c>
      <c r="GH36" s="26">
        <f t="shared" si="58"/>
        <v>150000000</v>
      </c>
      <c r="GI36" s="26">
        <f t="shared" si="58"/>
        <v>150000000</v>
      </c>
      <c r="GJ36" s="26">
        <f t="shared" si="58"/>
        <v>0</v>
      </c>
      <c r="GK36" s="26">
        <f t="shared" si="58"/>
        <v>3000000</v>
      </c>
      <c r="GL36" s="26">
        <f t="shared" si="58"/>
        <v>3000000</v>
      </c>
      <c r="GM36" s="26">
        <f t="shared" si="58"/>
        <v>0</v>
      </c>
      <c r="GN36" s="26">
        <f t="shared" si="58"/>
        <v>0</v>
      </c>
      <c r="GO36" s="26">
        <f t="shared" si="58"/>
        <v>0</v>
      </c>
      <c r="GP36" s="696">
        <f t="shared" si="0"/>
        <v>756228690</v>
      </c>
      <c r="GQ36" s="696">
        <f t="shared" si="1"/>
        <v>35122419</v>
      </c>
      <c r="GS36" s="696">
        <f t="shared" si="2"/>
        <v>791351109</v>
      </c>
      <c r="GT36" s="696">
        <f t="shared" si="3"/>
        <v>791351109</v>
      </c>
    </row>
    <row r="37" spans="1:204" x14ac:dyDescent="0.2">
      <c r="A37" s="9" t="s">
        <v>92</v>
      </c>
      <c r="B37" s="20" t="s">
        <v>93</v>
      </c>
      <c r="C37" s="576" t="s">
        <v>94</v>
      </c>
      <c r="D37" s="577">
        <f>SUM(D39:D43)</f>
        <v>0</v>
      </c>
      <c r="E37" s="577">
        <f>SUM(E39:E43)</f>
        <v>0</v>
      </c>
      <c r="F37" s="577">
        <f>SUM(F39:F43)</f>
        <v>0</v>
      </c>
      <c r="G37" s="577">
        <f>SUM(G39:G43)</f>
        <v>0</v>
      </c>
      <c r="H37" s="577">
        <f>SUM(H39:H43)</f>
        <v>0</v>
      </c>
      <c r="I37" s="577"/>
      <c r="J37" s="577">
        <f>SUM(J39:J43)</f>
        <v>0</v>
      </c>
      <c r="K37" s="577">
        <f>SUM(K39:K43)</f>
        <v>0</v>
      </c>
      <c r="L37" s="577"/>
      <c r="M37" s="577">
        <f>SUM(M39:M43)</f>
        <v>0</v>
      </c>
      <c r="N37" s="577">
        <f>SUM(N39:N43)</f>
        <v>0</v>
      </c>
      <c r="O37" s="577"/>
      <c r="P37" s="577">
        <f>SUM(P39:P43)</f>
        <v>0</v>
      </c>
      <c r="Q37" s="577">
        <f>SUM(Q39:Q43)</f>
        <v>0</v>
      </c>
      <c r="R37" s="577"/>
      <c r="S37" s="577">
        <f>SUM(S39:S43)</f>
        <v>0</v>
      </c>
      <c r="T37" s="577">
        <f>SUM(T39:T43)</f>
        <v>0</v>
      </c>
      <c r="U37" s="577"/>
      <c r="V37" s="577">
        <f>SUM(V39:V43)</f>
        <v>0</v>
      </c>
      <c r="W37" s="577">
        <f>SUM(W39:W43)</f>
        <v>0</v>
      </c>
      <c r="X37" s="577"/>
      <c r="Y37" s="577">
        <f>SUM(Y39:Y43)</f>
        <v>0</v>
      </c>
      <c r="Z37" s="577">
        <f>SUM(Z39:Z43)</f>
        <v>0</v>
      </c>
      <c r="AA37" s="577"/>
      <c r="AB37" s="577">
        <f>SUM(AB39:AB43)</f>
        <v>0</v>
      </c>
      <c r="AC37" s="577">
        <f>SUM(AC39:AC43)</f>
        <v>0</v>
      </c>
      <c r="AD37" s="577"/>
      <c r="AE37" s="577">
        <f>SUM(AE39:AE43)</f>
        <v>0</v>
      </c>
      <c r="AF37" s="577">
        <f>SUM(AF39:AF43)</f>
        <v>0</v>
      </c>
      <c r="AG37" s="577"/>
      <c r="AH37" s="577">
        <f>SUM(AH39:AH43)</f>
        <v>0</v>
      </c>
      <c r="AI37" s="577">
        <f>SUM(AI39:AI43)</f>
        <v>0</v>
      </c>
      <c r="AJ37" s="577"/>
      <c r="AK37" s="577">
        <f>SUM(AK39:AK43)</f>
        <v>0</v>
      </c>
      <c r="AL37" s="577">
        <f>SUM(AL39:AL43)</f>
        <v>0</v>
      </c>
      <c r="AM37" s="577"/>
      <c r="AN37" s="577">
        <f>SUM(AN39:AN43)</f>
        <v>0</v>
      </c>
      <c r="AO37" s="577">
        <f>SUM(AO39:AO43)</f>
        <v>0</v>
      </c>
      <c r="AP37" s="577"/>
      <c r="AQ37" s="577">
        <f>SUM(AQ39:AQ43)</f>
        <v>0</v>
      </c>
      <c r="AR37" s="577">
        <f>SUM(AR39:AR43)</f>
        <v>0</v>
      </c>
      <c r="AS37" s="577"/>
      <c r="AT37" s="577">
        <f>SUM(AT39:AT43)</f>
        <v>0</v>
      </c>
      <c r="AU37" s="577">
        <f>SUM(AU39:AU43)</f>
        <v>0</v>
      </c>
      <c r="AV37" s="577"/>
      <c r="AW37" s="577">
        <f>SUM(AW39:AW43)</f>
        <v>0</v>
      </c>
      <c r="AX37" s="577">
        <f>SUM(AX39:AX43)</f>
        <v>0</v>
      </c>
      <c r="AY37" s="577"/>
      <c r="AZ37" s="577">
        <f>SUM(AZ39:AZ43)</f>
        <v>0</v>
      </c>
      <c r="BA37" s="577">
        <f>SUM(BA39:BA43)</f>
        <v>0</v>
      </c>
      <c r="BB37" s="577"/>
      <c r="BC37" s="577">
        <f>SUM(BC39:BC43)</f>
        <v>0</v>
      </c>
      <c r="BD37" s="577">
        <f>SUM(BD39:BD43)</f>
        <v>0</v>
      </c>
      <c r="BE37" s="577">
        <f>SUM(BE39:BE43)</f>
        <v>0</v>
      </c>
      <c r="BF37" s="577">
        <f>SUM(BF39:BF43)</f>
        <v>0</v>
      </c>
      <c r="BG37" s="577">
        <f>SUM(BG39:BG43)</f>
        <v>0</v>
      </c>
      <c r="BH37" s="577"/>
      <c r="BI37" s="577">
        <f>SUM(BI39:BI43)</f>
        <v>0</v>
      </c>
      <c r="BJ37" s="577">
        <f>SUM(BJ39:BJ43)</f>
        <v>0</v>
      </c>
      <c r="BK37" s="577"/>
      <c r="BL37" s="577">
        <f>SUM(BL39:BL43)</f>
        <v>0</v>
      </c>
      <c r="BM37" s="577">
        <f>SUM(BM39:BM43)</f>
        <v>0</v>
      </c>
      <c r="BN37" s="577"/>
      <c r="BO37" s="577">
        <f>SUM(BO39:BO43)</f>
        <v>0</v>
      </c>
      <c r="BP37" s="577">
        <f>SUM(BP39:BP43)</f>
        <v>0</v>
      </c>
      <c r="BQ37" s="577"/>
      <c r="BR37" s="577">
        <f>SUM(BR39:BR43)</f>
        <v>0</v>
      </c>
      <c r="BS37" s="577">
        <f>SUM(BS39:BS43)</f>
        <v>0</v>
      </c>
      <c r="BT37" s="577"/>
      <c r="BU37" s="577">
        <f>SUM(BU39:BU43)</f>
        <v>0</v>
      </c>
      <c r="BV37" s="577">
        <f>SUM(BV39:BV43)</f>
        <v>0</v>
      </c>
      <c r="BW37" s="577"/>
      <c r="BX37" s="577">
        <f>SUM(BX39:BX43)</f>
        <v>0</v>
      </c>
      <c r="BY37" s="577">
        <f>SUM(BY39:BY43)</f>
        <v>0</v>
      </c>
      <c r="BZ37" s="577"/>
      <c r="CA37" s="577">
        <f>SUM(CA39:CA43)</f>
        <v>0</v>
      </c>
      <c r="CB37" s="577">
        <f>SUM(CB39:CB43)</f>
        <v>0</v>
      </c>
      <c r="CC37" s="577"/>
      <c r="CD37" s="577">
        <f>SUM(CD39:CD43)</f>
        <v>0</v>
      </c>
      <c r="CE37" s="577">
        <f>SUM(CE39:CE43)</f>
        <v>0</v>
      </c>
      <c r="CF37" s="577"/>
      <c r="CG37" s="577">
        <f>SUM(CG39:CG43)</f>
        <v>0</v>
      </c>
      <c r="CH37" s="577">
        <f>SUM(CH39:CH43)</f>
        <v>0</v>
      </c>
      <c r="CI37" s="577"/>
      <c r="CJ37" s="577">
        <f>SUM(CJ39:CJ43)</f>
        <v>0</v>
      </c>
      <c r="CK37" s="577">
        <f>SUM(CK39:CK43)</f>
        <v>0</v>
      </c>
      <c r="CL37" s="577"/>
      <c r="CM37" s="577">
        <f>SUM(CM39:CM43)</f>
        <v>0</v>
      </c>
      <c r="CN37" s="577">
        <f>SUM(CN39:CN43)</f>
        <v>0</v>
      </c>
      <c r="CO37" s="577"/>
      <c r="CP37" s="577">
        <f>SUM(CP39:CP43)</f>
        <v>0</v>
      </c>
      <c r="CQ37" s="577">
        <f>SUM(CQ39:CQ43)</f>
        <v>0</v>
      </c>
      <c r="CR37" s="577"/>
      <c r="CS37" s="577">
        <f>SUM(CS39:CS43)</f>
        <v>0</v>
      </c>
      <c r="CT37" s="577">
        <f>SUM(CT39:CT43)</f>
        <v>0</v>
      </c>
      <c r="CU37" s="577"/>
      <c r="CV37" s="577">
        <f>SUM(CV39:CV43)</f>
        <v>0</v>
      </c>
      <c r="CW37" s="577">
        <f>SUM(CW39:CW43)</f>
        <v>0</v>
      </c>
      <c r="CX37" s="577">
        <f>SUM(CX39:CX43)</f>
        <v>0</v>
      </c>
      <c r="CY37" s="577">
        <f>SUM(CY39:CY43)</f>
        <v>0</v>
      </c>
      <c r="CZ37" s="577"/>
      <c r="DA37" s="577">
        <f>SUM(DA39:DA43)</f>
        <v>0</v>
      </c>
      <c r="DB37" s="577">
        <f>SUM(DB39:DB43)</f>
        <v>0</v>
      </c>
      <c r="DC37" s="577"/>
      <c r="DD37" s="577">
        <f>SUM(DD39:DD43)</f>
        <v>0</v>
      </c>
      <c r="DE37" s="577">
        <f>SUM(DE39:DE43)</f>
        <v>0</v>
      </c>
      <c r="DF37" s="577">
        <f>SUM(DF39:DF43)</f>
        <v>0</v>
      </c>
      <c r="DG37" s="577">
        <f>SUM(DG39:DG43)</f>
        <v>0</v>
      </c>
      <c r="DH37" s="577">
        <f>SUM(DH39:DH43)</f>
        <v>0</v>
      </c>
      <c r="DI37" s="577"/>
      <c r="DJ37" s="577">
        <f>SUM(DJ39:DJ43)</f>
        <v>0</v>
      </c>
      <c r="DK37" s="577">
        <f>SUM(DK39:DK43)</f>
        <v>0</v>
      </c>
      <c r="DL37" s="577"/>
      <c r="DM37" s="577">
        <f>SUM(DM39:DM43)</f>
        <v>0</v>
      </c>
      <c r="DN37" s="577">
        <f>SUM(DN39:DN43)</f>
        <v>0</v>
      </c>
      <c r="DO37" s="577"/>
      <c r="DP37" s="577">
        <f>SUM(DP39:DP43)</f>
        <v>0</v>
      </c>
      <c r="DQ37" s="577">
        <f>SUM(DQ39:DQ43)</f>
        <v>0</v>
      </c>
      <c r="DR37" s="577">
        <f>SUM(DR39:DR43)</f>
        <v>0</v>
      </c>
      <c r="DS37" s="577">
        <f>SUM(DS39:DS43)</f>
        <v>0</v>
      </c>
      <c r="DT37" s="577">
        <f>SUM(DT39:DT43)</f>
        <v>0</v>
      </c>
      <c r="DU37" s="577"/>
      <c r="DV37" s="577">
        <f>SUM(DV39:DV43)</f>
        <v>0</v>
      </c>
      <c r="DW37" s="577">
        <f>SUM(DW39:DW43)</f>
        <v>0</v>
      </c>
      <c r="DX37" s="577">
        <f>SUM(DX39:DX43)</f>
        <v>0</v>
      </c>
      <c r="DY37" s="577">
        <f>SUM(DY39:DY43)</f>
        <v>0</v>
      </c>
      <c r="DZ37" s="577">
        <f>SUM(DZ39:DZ43)</f>
        <v>0</v>
      </c>
      <c r="EA37" s="577"/>
      <c r="EB37" s="577"/>
      <c r="EC37" s="577"/>
      <c r="ED37" s="577"/>
      <c r="EE37" s="577">
        <f>SUM(EE39:EE43)</f>
        <v>0</v>
      </c>
      <c r="EF37" s="577">
        <f>SUM(EF39:EF43)</f>
        <v>0</v>
      </c>
      <c r="EG37" s="577">
        <f t="shared" ref="EG37:EM37" si="59">SUM(EG39:EG43)</f>
        <v>0</v>
      </c>
      <c r="EH37" s="577">
        <f t="shared" si="59"/>
        <v>0</v>
      </c>
      <c r="EI37" s="577">
        <f t="shared" si="59"/>
        <v>0</v>
      </c>
      <c r="EJ37" s="577">
        <f t="shared" si="59"/>
        <v>0</v>
      </c>
      <c r="EK37" s="577">
        <f t="shared" si="59"/>
        <v>0</v>
      </c>
      <c r="EL37" s="577">
        <f t="shared" si="59"/>
        <v>0</v>
      </c>
      <c r="EM37" s="577">
        <f t="shared" si="59"/>
        <v>0</v>
      </c>
      <c r="EN37" s="577"/>
      <c r="EO37" s="577"/>
      <c r="EP37" s="577"/>
      <c r="EQ37" s="577">
        <f>SUM(EQ39:EQ43)</f>
        <v>0</v>
      </c>
      <c r="ER37" s="577">
        <f>SUM(ER39:ER43)</f>
        <v>0</v>
      </c>
      <c r="ES37" s="577">
        <f>SUM(ES39:ES43)</f>
        <v>0</v>
      </c>
      <c r="ET37" s="577">
        <f>SUM(ET39:ET43)</f>
        <v>0</v>
      </c>
      <c r="EU37" s="577">
        <f>SUM(EU39:EU43)</f>
        <v>0</v>
      </c>
      <c r="EV37" s="577"/>
      <c r="EW37" s="577">
        <f>SUM(EW39:EW43)</f>
        <v>0</v>
      </c>
      <c r="EX37" s="577">
        <f>SUM(EX39:EX43)</f>
        <v>0</v>
      </c>
      <c r="EY37" s="577"/>
      <c r="EZ37" s="577">
        <f>SUM(EZ39:EZ43)</f>
        <v>0</v>
      </c>
      <c r="FA37" s="577">
        <f>SUM(FA39:FA43)</f>
        <v>0</v>
      </c>
      <c r="FB37" s="577">
        <f>SUM(FB39:FB43)</f>
        <v>0</v>
      </c>
      <c r="FC37" s="577">
        <f>SUM(FC39:FC43)</f>
        <v>0</v>
      </c>
      <c r="FD37" s="577">
        <f>SUM(FD39:FD43)</f>
        <v>0</v>
      </c>
      <c r="FE37" s="577"/>
      <c r="FF37" s="577">
        <f>SUM(FF39:FF43)</f>
        <v>0</v>
      </c>
      <c r="FG37" s="577">
        <f>SUM(FG39:FG43)</f>
        <v>0</v>
      </c>
      <c r="FH37" s="577"/>
      <c r="FI37" s="577">
        <f>SUM(FI39:FI43)</f>
        <v>0</v>
      </c>
      <c r="FJ37" s="577">
        <f>SUM(FJ39:FJ43)</f>
        <v>0</v>
      </c>
      <c r="FK37" s="577"/>
      <c r="FL37" s="577">
        <f>SUM(FL39:FL43)</f>
        <v>0</v>
      </c>
      <c r="FM37" s="577">
        <f>SUM(FM39:FM43)</f>
        <v>0</v>
      </c>
      <c r="FN37" s="577"/>
      <c r="FO37" s="577">
        <f>SUM(FO39:FO43)</f>
        <v>0</v>
      </c>
      <c r="FP37" s="577">
        <f>SUM(FP39:FP43)</f>
        <v>0</v>
      </c>
      <c r="FQ37" s="577"/>
      <c r="FR37" s="577">
        <f>SUM(FR39:FR43)</f>
        <v>0</v>
      </c>
      <c r="FS37" s="577">
        <f>SUM(FS39:FS43)</f>
        <v>0</v>
      </c>
      <c r="FT37" s="577"/>
      <c r="FU37" s="577">
        <f>SUM(FU39:FU43)</f>
        <v>0</v>
      </c>
      <c r="FV37" s="577">
        <f>SUM(FV39:FV43)</f>
        <v>0</v>
      </c>
      <c r="FW37" s="577"/>
      <c r="FX37" s="577">
        <f>SUM(FX39:FX43)</f>
        <v>0</v>
      </c>
      <c r="FY37" s="577">
        <f>SUM(FY39:FY43)</f>
        <v>0</v>
      </c>
      <c r="FZ37" s="577">
        <f t="shared" ref="FZ37:GO37" si="60">SUM(FZ39:FZ43)</f>
        <v>0</v>
      </c>
      <c r="GA37" s="577">
        <f t="shared" si="60"/>
        <v>0</v>
      </c>
      <c r="GB37" s="577">
        <f t="shared" si="60"/>
        <v>0</v>
      </c>
      <c r="GC37" s="577">
        <f t="shared" si="60"/>
        <v>0</v>
      </c>
      <c r="GD37" s="577">
        <f t="shared" si="60"/>
        <v>0</v>
      </c>
      <c r="GE37" s="577">
        <f t="shared" si="60"/>
        <v>0</v>
      </c>
      <c r="GF37" s="577">
        <f t="shared" si="60"/>
        <v>0</v>
      </c>
      <c r="GG37" s="577">
        <f t="shared" si="60"/>
        <v>0</v>
      </c>
      <c r="GH37" s="577">
        <f t="shared" si="60"/>
        <v>0</v>
      </c>
      <c r="GI37" s="577">
        <f t="shared" si="60"/>
        <v>0</v>
      </c>
      <c r="GJ37" s="577">
        <f t="shared" si="60"/>
        <v>0</v>
      </c>
      <c r="GK37" s="577">
        <f t="shared" si="60"/>
        <v>0</v>
      </c>
      <c r="GL37" s="577">
        <f t="shared" si="60"/>
        <v>0</v>
      </c>
      <c r="GM37" s="577">
        <f t="shared" si="60"/>
        <v>0</v>
      </c>
      <c r="GN37" s="577">
        <f t="shared" si="60"/>
        <v>0</v>
      </c>
      <c r="GO37" s="577">
        <f t="shared" si="60"/>
        <v>0</v>
      </c>
      <c r="GP37" s="696">
        <f t="shared" si="0"/>
        <v>0</v>
      </c>
      <c r="GQ37" s="696">
        <f t="shared" si="1"/>
        <v>0</v>
      </c>
      <c r="GS37" s="696">
        <f t="shared" si="2"/>
        <v>0</v>
      </c>
      <c r="GT37" s="696">
        <f t="shared" si="3"/>
        <v>0</v>
      </c>
    </row>
    <row r="38" spans="1:204" x14ac:dyDescent="0.2">
      <c r="A38" s="9" t="s">
        <v>95</v>
      </c>
      <c r="B38" s="24" t="s">
        <v>1290</v>
      </c>
      <c r="C38" s="576"/>
      <c r="D38" s="624"/>
      <c r="E38" s="624"/>
      <c r="F38" s="624"/>
      <c r="G38" s="624"/>
      <c r="H38" s="624"/>
      <c r="I38" s="624"/>
      <c r="J38" s="624"/>
      <c r="K38" s="624"/>
      <c r="L38" s="624"/>
      <c r="M38" s="624"/>
      <c r="N38" s="624"/>
      <c r="O38" s="624"/>
      <c r="P38" s="624"/>
      <c r="Q38" s="624"/>
      <c r="R38" s="624"/>
      <c r="S38" s="624"/>
      <c r="T38" s="624"/>
      <c r="U38" s="624"/>
      <c r="V38" s="624"/>
      <c r="W38" s="624"/>
      <c r="X38" s="624"/>
      <c r="Y38" s="624"/>
      <c r="Z38" s="624"/>
      <c r="AA38" s="624"/>
      <c r="AB38" s="624"/>
      <c r="AC38" s="624"/>
      <c r="AD38" s="624"/>
      <c r="AE38" s="624"/>
      <c r="AF38" s="624"/>
      <c r="AG38" s="624"/>
      <c r="AH38" s="624"/>
      <c r="AI38" s="624"/>
      <c r="AJ38" s="624"/>
      <c r="AK38" s="624"/>
      <c r="AL38" s="624"/>
      <c r="AM38" s="624"/>
      <c r="AN38" s="624"/>
      <c r="AO38" s="624"/>
      <c r="AP38" s="624"/>
      <c r="AQ38" s="624"/>
      <c r="AR38" s="624"/>
      <c r="AS38" s="624"/>
      <c r="AT38" s="624"/>
      <c r="AU38" s="624"/>
      <c r="AV38" s="624"/>
      <c r="AW38" s="624"/>
      <c r="AX38" s="624"/>
      <c r="AY38" s="624"/>
      <c r="AZ38" s="624"/>
      <c r="BA38" s="624"/>
      <c r="BB38" s="624"/>
      <c r="BC38" s="624"/>
      <c r="BD38" s="624"/>
      <c r="BE38" s="624"/>
      <c r="BF38" s="624"/>
      <c r="BG38" s="624"/>
      <c r="BH38" s="624"/>
      <c r="BI38" s="624"/>
      <c r="BJ38" s="624"/>
      <c r="BK38" s="624"/>
      <c r="BL38" s="624"/>
      <c r="BM38" s="624"/>
      <c r="BN38" s="624"/>
      <c r="BO38" s="624"/>
      <c r="BP38" s="624"/>
      <c r="BQ38" s="624"/>
      <c r="BR38" s="624"/>
      <c r="BS38" s="624"/>
      <c r="BT38" s="624"/>
      <c r="BU38" s="624"/>
      <c r="BV38" s="624"/>
      <c r="BW38" s="624"/>
      <c r="BX38" s="624"/>
      <c r="BY38" s="624"/>
      <c r="BZ38" s="624"/>
      <c r="CA38" s="624"/>
      <c r="CB38" s="624"/>
      <c r="CC38" s="624"/>
      <c r="CD38" s="624"/>
      <c r="CE38" s="624"/>
      <c r="CF38" s="624"/>
      <c r="CG38" s="624"/>
      <c r="CH38" s="624"/>
      <c r="CI38" s="624"/>
      <c r="CJ38" s="624"/>
      <c r="CK38" s="624"/>
      <c r="CL38" s="624"/>
      <c r="CM38" s="624"/>
      <c r="CN38" s="624"/>
      <c r="CO38" s="624"/>
      <c r="CP38" s="624"/>
      <c r="CQ38" s="624"/>
      <c r="CR38" s="624"/>
      <c r="CS38" s="624"/>
      <c r="CT38" s="624"/>
      <c r="CU38" s="624"/>
      <c r="CV38" s="624"/>
      <c r="CW38" s="624"/>
      <c r="CX38" s="624"/>
      <c r="CY38" s="624"/>
      <c r="CZ38" s="624"/>
      <c r="DA38" s="624"/>
      <c r="DB38" s="624"/>
      <c r="DC38" s="624"/>
      <c r="DD38" s="624"/>
      <c r="DE38" s="624"/>
      <c r="DF38" s="624"/>
      <c r="DG38" s="624"/>
      <c r="DH38" s="624"/>
      <c r="DI38" s="624"/>
      <c r="DJ38" s="577"/>
      <c r="DK38" s="577"/>
      <c r="DL38" s="577"/>
      <c r="DM38" s="577"/>
      <c r="DN38" s="624"/>
      <c r="DO38" s="624"/>
      <c r="DP38" s="624"/>
      <c r="DQ38" s="624"/>
      <c r="DR38" s="624"/>
      <c r="DS38" s="624"/>
      <c r="DT38" s="624"/>
      <c r="DU38" s="624"/>
      <c r="DV38" s="624"/>
      <c r="DW38" s="624"/>
      <c r="DX38" s="624"/>
      <c r="DY38" s="624"/>
      <c r="DZ38" s="624"/>
      <c r="EA38" s="624"/>
      <c r="EB38" s="624"/>
      <c r="EC38" s="624"/>
      <c r="ED38" s="624"/>
      <c r="EE38" s="624"/>
      <c r="EF38" s="624"/>
      <c r="EG38" s="624"/>
      <c r="EH38" s="624"/>
      <c r="EI38" s="624"/>
      <c r="EJ38" s="624"/>
      <c r="EK38" s="624"/>
      <c r="EL38" s="624"/>
      <c r="EM38" s="624"/>
      <c r="EN38" s="624"/>
      <c r="EO38" s="624"/>
      <c r="EP38" s="624"/>
      <c r="EQ38" s="624"/>
      <c r="ER38" s="624"/>
      <c r="ES38" s="624"/>
      <c r="ET38" s="624"/>
      <c r="EU38" s="624"/>
      <c r="EV38" s="624"/>
      <c r="EW38" s="624"/>
      <c r="EX38" s="624"/>
      <c r="EY38" s="624"/>
      <c r="EZ38" s="624"/>
      <c r="FA38" s="624"/>
      <c r="FB38" s="624"/>
      <c r="FC38" s="624"/>
      <c r="FD38" s="624"/>
      <c r="FE38" s="624"/>
      <c r="FF38" s="624"/>
      <c r="FG38" s="624"/>
      <c r="FH38" s="624"/>
      <c r="FI38" s="624"/>
      <c r="FJ38" s="624"/>
      <c r="FK38" s="624"/>
      <c r="FL38" s="624"/>
      <c r="FM38" s="624"/>
      <c r="FN38" s="624"/>
      <c r="FO38" s="624"/>
      <c r="FP38" s="624"/>
      <c r="FQ38" s="624"/>
      <c r="FR38" s="624"/>
      <c r="FS38" s="624"/>
      <c r="FT38" s="624"/>
      <c r="FU38" s="624"/>
      <c r="FV38" s="577"/>
      <c r="FW38" s="624"/>
      <c r="FX38" s="624"/>
      <c r="FY38" s="577"/>
      <c r="FZ38" s="624"/>
      <c r="GA38" s="624"/>
      <c r="GB38" s="577"/>
      <c r="GC38" s="624"/>
      <c r="GD38" s="624"/>
      <c r="GE38" s="577"/>
      <c r="GF38" s="624"/>
      <c r="GG38" s="624"/>
      <c r="GH38" s="577"/>
      <c r="GI38" s="624"/>
      <c r="GJ38" s="624"/>
      <c r="GK38" s="577"/>
      <c r="GL38" s="624"/>
      <c r="GM38" s="624"/>
      <c r="GN38" s="577"/>
      <c r="GO38" s="624"/>
      <c r="GP38" s="696">
        <f t="shared" si="0"/>
        <v>0</v>
      </c>
      <c r="GQ38" s="696"/>
      <c r="GS38" s="696"/>
      <c r="GT38" s="696">
        <f t="shared" si="3"/>
        <v>0</v>
      </c>
    </row>
    <row r="39" spans="1:204" x14ac:dyDescent="0.25">
      <c r="A39" s="9" t="s">
        <v>97</v>
      </c>
      <c r="B39" s="24" t="s">
        <v>96</v>
      </c>
      <c r="C39" s="582"/>
      <c r="D39" s="596"/>
      <c r="E39" s="596"/>
      <c r="F39" s="596"/>
      <c r="G39" s="596"/>
      <c r="H39" s="596"/>
      <c r="I39" s="596"/>
      <c r="J39" s="596"/>
      <c r="K39" s="596"/>
      <c r="L39" s="596"/>
      <c r="M39" s="596"/>
      <c r="N39" s="596"/>
      <c r="O39" s="596"/>
      <c r="P39" s="596"/>
      <c r="Q39" s="596"/>
      <c r="R39" s="596"/>
      <c r="S39" s="596"/>
      <c r="T39" s="596"/>
      <c r="U39" s="596"/>
      <c r="V39" s="596"/>
      <c r="W39" s="596"/>
      <c r="X39" s="596"/>
      <c r="Y39" s="596"/>
      <c r="Z39" s="596"/>
      <c r="AA39" s="596"/>
      <c r="AB39" s="596"/>
      <c r="AC39" s="596"/>
      <c r="AD39" s="596"/>
      <c r="AE39" s="596"/>
      <c r="AF39" s="596"/>
      <c r="AG39" s="596"/>
      <c r="AH39" s="596"/>
      <c r="AI39" s="596"/>
      <c r="AJ39" s="596"/>
      <c r="AK39" s="596"/>
      <c r="AL39" s="596"/>
      <c r="AM39" s="596"/>
      <c r="AN39" s="596"/>
      <c r="AO39" s="596"/>
      <c r="AP39" s="596"/>
      <c r="AQ39" s="596"/>
      <c r="AR39" s="596"/>
      <c r="AS39" s="596"/>
      <c r="AT39" s="596"/>
      <c r="AU39" s="596"/>
      <c r="AV39" s="596"/>
      <c r="AW39" s="596"/>
      <c r="AX39" s="596"/>
      <c r="AY39" s="596"/>
      <c r="AZ39" s="596"/>
      <c r="BA39" s="596"/>
      <c r="BB39" s="596"/>
      <c r="BC39" s="596"/>
      <c r="BD39" s="596"/>
      <c r="BE39" s="596"/>
      <c r="BF39" s="596"/>
      <c r="BG39" s="596"/>
      <c r="BH39" s="596"/>
      <c r="BI39" s="596"/>
      <c r="BJ39" s="596"/>
      <c r="BK39" s="596"/>
      <c r="BL39" s="596"/>
      <c r="BM39" s="596"/>
      <c r="BN39" s="596"/>
      <c r="BO39" s="596"/>
      <c r="BP39" s="596"/>
      <c r="BQ39" s="596"/>
      <c r="BR39" s="596"/>
      <c r="BS39" s="596"/>
      <c r="BT39" s="596"/>
      <c r="BU39" s="596"/>
      <c r="BV39" s="596"/>
      <c r="BW39" s="596"/>
      <c r="BX39" s="596"/>
      <c r="BY39" s="596"/>
      <c r="BZ39" s="596"/>
      <c r="CA39" s="596"/>
      <c r="CB39" s="596"/>
      <c r="CC39" s="596"/>
      <c r="CD39" s="596"/>
      <c r="CE39" s="596"/>
      <c r="CF39" s="596"/>
      <c r="CG39" s="596"/>
      <c r="CH39" s="596"/>
      <c r="CI39" s="596"/>
      <c r="CJ39" s="596"/>
      <c r="CK39" s="596"/>
      <c r="CL39" s="596"/>
      <c r="CM39" s="596"/>
      <c r="CN39" s="596"/>
      <c r="CO39" s="596"/>
      <c r="CP39" s="596"/>
      <c r="CQ39" s="596"/>
      <c r="CR39" s="596"/>
      <c r="CS39" s="596"/>
      <c r="CT39" s="596"/>
      <c r="CU39" s="596"/>
      <c r="CV39" s="596"/>
      <c r="CW39" s="596"/>
      <c r="CX39" s="596"/>
      <c r="CY39" s="596"/>
      <c r="CZ39" s="596"/>
      <c r="DA39" s="596"/>
      <c r="DB39" s="596"/>
      <c r="DC39" s="596"/>
      <c r="DD39" s="596"/>
      <c r="DE39" s="596"/>
      <c r="DF39" s="596"/>
      <c r="DG39" s="596"/>
      <c r="DH39" s="596"/>
      <c r="DI39" s="596"/>
      <c r="DJ39" s="595"/>
      <c r="DK39" s="595"/>
      <c r="DL39" s="595"/>
      <c r="DM39" s="595"/>
      <c r="DN39" s="596"/>
      <c r="DO39" s="596"/>
      <c r="DP39" s="596"/>
      <c r="DQ39" s="596"/>
      <c r="DR39" s="596"/>
      <c r="DS39" s="596"/>
      <c r="DT39" s="596"/>
      <c r="DU39" s="596"/>
      <c r="DV39" s="597"/>
      <c r="DW39" s="597"/>
      <c r="DX39" s="597"/>
      <c r="DY39" s="597"/>
      <c r="DZ39" s="597"/>
      <c r="EA39" s="597"/>
      <c r="EB39" s="597"/>
      <c r="EC39" s="597"/>
      <c r="ED39" s="597"/>
      <c r="EE39" s="597"/>
      <c r="EF39" s="597"/>
      <c r="EG39" s="597"/>
      <c r="EH39" s="597"/>
      <c r="EI39" s="597"/>
      <c r="EJ39" s="597"/>
      <c r="EK39" s="597"/>
      <c r="EL39" s="597"/>
      <c r="EM39" s="597"/>
      <c r="EN39" s="597"/>
      <c r="EO39" s="597"/>
      <c r="EP39" s="597"/>
      <c r="EQ39" s="596"/>
      <c r="ER39" s="596"/>
      <c r="ES39" s="596"/>
      <c r="ET39" s="596"/>
      <c r="EU39" s="596"/>
      <c r="EV39" s="596"/>
      <c r="EW39" s="596"/>
      <c r="EX39" s="596"/>
      <c r="EY39" s="596"/>
      <c r="EZ39" s="596"/>
      <c r="FA39" s="596"/>
      <c r="FB39" s="596"/>
      <c r="FC39" s="596"/>
      <c r="FD39" s="596"/>
      <c r="FE39" s="596"/>
      <c r="FF39" s="596"/>
      <c r="FG39" s="596"/>
      <c r="FH39" s="596"/>
      <c r="FI39" s="596"/>
      <c r="FJ39" s="596"/>
      <c r="FK39" s="596"/>
      <c r="FL39" s="596"/>
      <c r="FM39" s="596"/>
      <c r="FN39" s="596"/>
      <c r="FO39" s="596"/>
      <c r="FP39" s="596"/>
      <c r="FQ39" s="596"/>
      <c r="FR39" s="596"/>
      <c r="FS39" s="596"/>
      <c r="FT39" s="596"/>
      <c r="FU39" s="596"/>
      <c r="FV39" s="608"/>
      <c r="FW39" s="607"/>
      <c r="FX39" s="596"/>
      <c r="FY39" s="608"/>
      <c r="FZ39" s="607"/>
      <c r="GA39" s="596"/>
      <c r="GB39" s="608"/>
      <c r="GC39" s="607"/>
      <c r="GD39" s="596"/>
      <c r="GE39" s="608"/>
      <c r="GF39" s="607"/>
      <c r="GG39" s="596"/>
      <c r="GH39" s="608"/>
      <c r="GI39" s="607"/>
      <c r="GJ39" s="596"/>
      <c r="GK39" s="608"/>
      <c r="GL39" s="607"/>
      <c r="GM39" s="596"/>
      <c r="GN39" s="608"/>
      <c r="GO39" s="607"/>
      <c r="GP39" s="696">
        <f t="shared" si="0"/>
        <v>0</v>
      </c>
      <c r="GQ39" s="696">
        <f t="shared" si="1"/>
        <v>0</v>
      </c>
      <c r="GS39" s="696">
        <f t="shared" si="2"/>
        <v>0</v>
      </c>
      <c r="GT39" s="696">
        <f t="shared" si="3"/>
        <v>0</v>
      </c>
    </row>
    <row r="40" spans="1:204" x14ac:dyDescent="0.25">
      <c r="A40" s="9" t="s">
        <v>99</v>
      </c>
      <c r="B40" s="24" t="s">
        <v>98</v>
      </c>
      <c r="C40" s="582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6"/>
      <c r="AJ40" s="596"/>
      <c r="AK40" s="596"/>
      <c r="AL40" s="596"/>
      <c r="AM40" s="596"/>
      <c r="AN40" s="596"/>
      <c r="AO40" s="596"/>
      <c r="AP40" s="596"/>
      <c r="AQ40" s="596"/>
      <c r="AR40" s="596"/>
      <c r="AS40" s="596"/>
      <c r="AT40" s="596"/>
      <c r="AU40" s="596"/>
      <c r="AV40" s="596"/>
      <c r="AW40" s="596"/>
      <c r="AX40" s="596"/>
      <c r="AY40" s="596"/>
      <c r="AZ40" s="596"/>
      <c r="BA40" s="596"/>
      <c r="BB40" s="596"/>
      <c r="BC40" s="596"/>
      <c r="BD40" s="596"/>
      <c r="BE40" s="596"/>
      <c r="BF40" s="596"/>
      <c r="BG40" s="596"/>
      <c r="BH40" s="596"/>
      <c r="BI40" s="596"/>
      <c r="BJ40" s="596"/>
      <c r="BK40" s="596"/>
      <c r="BL40" s="596"/>
      <c r="BM40" s="596"/>
      <c r="BN40" s="596"/>
      <c r="BO40" s="596"/>
      <c r="BP40" s="596"/>
      <c r="BQ40" s="596"/>
      <c r="BR40" s="596"/>
      <c r="BS40" s="596"/>
      <c r="BT40" s="596"/>
      <c r="BU40" s="596"/>
      <c r="BV40" s="596"/>
      <c r="BW40" s="596"/>
      <c r="BX40" s="596"/>
      <c r="BY40" s="596"/>
      <c r="BZ40" s="596"/>
      <c r="CA40" s="596"/>
      <c r="CB40" s="596"/>
      <c r="CC40" s="596"/>
      <c r="CD40" s="596"/>
      <c r="CE40" s="596"/>
      <c r="CF40" s="596"/>
      <c r="CG40" s="596"/>
      <c r="CH40" s="596"/>
      <c r="CI40" s="596"/>
      <c r="CJ40" s="596"/>
      <c r="CK40" s="596"/>
      <c r="CL40" s="596"/>
      <c r="CM40" s="596"/>
      <c r="CN40" s="596"/>
      <c r="CO40" s="596"/>
      <c r="CP40" s="596"/>
      <c r="CQ40" s="596"/>
      <c r="CR40" s="596"/>
      <c r="CS40" s="596"/>
      <c r="CT40" s="596"/>
      <c r="CU40" s="596"/>
      <c r="CV40" s="596"/>
      <c r="CW40" s="596"/>
      <c r="CX40" s="596"/>
      <c r="CY40" s="596"/>
      <c r="CZ40" s="596"/>
      <c r="DA40" s="596"/>
      <c r="DB40" s="596"/>
      <c r="DC40" s="596"/>
      <c r="DD40" s="596"/>
      <c r="DE40" s="596"/>
      <c r="DF40" s="596"/>
      <c r="DG40" s="596"/>
      <c r="DH40" s="596"/>
      <c r="DI40" s="596"/>
      <c r="DJ40" s="595"/>
      <c r="DK40" s="595"/>
      <c r="DL40" s="595"/>
      <c r="DM40" s="595"/>
      <c r="DN40" s="596"/>
      <c r="DO40" s="596"/>
      <c r="DP40" s="596"/>
      <c r="DQ40" s="596"/>
      <c r="DR40" s="596"/>
      <c r="DS40" s="596"/>
      <c r="DT40" s="596"/>
      <c r="DU40" s="596"/>
      <c r="DV40" s="597"/>
      <c r="DW40" s="597"/>
      <c r="DX40" s="597"/>
      <c r="DY40" s="597"/>
      <c r="DZ40" s="597"/>
      <c r="EA40" s="597"/>
      <c r="EB40" s="597"/>
      <c r="EC40" s="597"/>
      <c r="ED40" s="597"/>
      <c r="EE40" s="597"/>
      <c r="EF40" s="597"/>
      <c r="EG40" s="597"/>
      <c r="EH40" s="597"/>
      <c r="EI40" s="597"/>
      <c r="EJ40" s="597"/>
      <c r="EK40" s="597"/>
      <c r="EL40" s="597"/>
      <c r="EM40" s="597"/>
      <c r="EN40" s="597"/>
      <c r="EO40" s="597"/>
      <c r="EP40" s="597"/>
      <c r="EQ40" s="596"/>
      <c r="ER40" s="596"/>
      <c r="ES40" s="596"/>
      <c r="ET40" s="596"/>
      <c r="EU40" s="596"/>
      <c r="EV40" s="596"/>
      <c r="EW40" s="596"/>
      <c r="EX40" s="596"/>
      <c r="EY40" s="596"/>
      <c r="EZ40" s="596"/>
      <c r="FA40" s="596"/>
      <c r="FB40" s="596"/>
      <c r="FC40" s="596"/>
      <c r="FD40" s="596"/>
      <c r="FE40" s="596"/>
      <c r="FF40" s="596"/>
      <c r="FG40" s="596"/>
      <c r="FH40" s="596"/>
      <c r="FI40" s="596"/>
      <c r="FJ40" s="596"/>
      <c r="FK40" s="596"/>
      <c r="FL40" s="596"/>
      <c r="FM40" s="596"/>
      <c r="FN40" s="596"/>
      <c r="FO40" s="596"/>
      <c r="FP40" s="596"/>
      <c r="FQ40" s="596"/>
      <c r="FR40" s="596"/>
      <c r="FS40" s="596"/>
      <c r="FT40" s="596"/>
      <c r="FU40" s="596"/>
      <c r="FV40" s="608"/>
      <c r="FW40" s="607"/>
      <c r="FX40" s="596"/>
      <c r="FY40" s="608"/>
      <c r="FZ40" s="607"/>
      <c r="GA40" s="596"/>
      <c r="GB40" s="608"/>
      <c r="GC40" s="607"/>
      <c r="GD40" s="596"/>
      <c r="GE40" s="608"/>
      <c r="GF40" s="607"/>
      <c r="GG40" s="596"/>
      <c r="GH40" s="608"/>
      <c r="GI40" s="607"/>
      <c r="GJ40" s="596"/>
      <c r="GK40" s="608"/>
      <c r="GL40" s="607"/>
      <c r="GM40" s="596"/>
      <c r="GN40" s="608"/>
      <c r="GO40" s="607"/>
      <c r="GP40" s="696">
        <f t="shared" si="0"/>
        <v>0</v>
      </c>
      <c r="GQ40" s="696">
        <f t="shared" si="1"/>
        <v>0</v>
      </c>
      <c r="GS40" s="696">
        <f t="shared" si="2"/>
        <v>0</v>
      </c>
      <c r="GT40" s="696">
        <f t="shared" si="3"/>
        <v>0</v>
      </c>
    </row>
    <row r="41" spans="1:204" x14ac:dyDescent="0.25">
      <c r="A41" s="9" t="s">
        <v>101</v>
      </c>
      <c r="B41" s="24" t="s">
        <v>100</v>
      </c>
      <c r="C41" s="582"/>
      <c r="D41" s="596"/>
      <c r="E41" s="596"/>
      <c r="F41" s="596"/>
      <c r="G41" s="596"/>
      <c r="H41" s="596"/>
      <c r="I41" s="596"/>
      <c r="J41" s="596"/>
      <c r="K41" s="596"/>
      <c r="L41" s="596"/>
      <c r="M41" s="596"/>
      <c r="N41" s="596"/>
      <c r="O41" s="596"/>
      <c r="P41" s="596"/>
      <c r="Q41" s="596"/>
      <c r="R41" s="596"/>
      <c r="S41" s="596"/>
      <c r="T41" s="596"/>
      <c r="U41" s="596"/>
      <c r="V41" s="596"/>
      <c r="W41" s="59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596"/>
      <c r="AK41" s="596"/>
      <c r="AL41" s="596"/>
      <c r="AM41" s="596"/>
      <c r="AN41" s="596"/>
      <c r="AO41" s="596"/>
      <c r="AP41" s="596"/>
      <c r="AQ41" s="596"/>
      <c r="AR41" s="596"/>
      <c r="AS41" s="596"/>
      <c r="AT41" s="596"/>
      <c r="AU41" s="596"/>
      <c r="AV41" s="596"/>
      <c r="AW41" s="596"/>
      <c r="AX41" s="596"/>
      <c r="AY41" s="596"/>
      <c r="AZ41" s="596"/>
      <c r="BA41" s="596"/>
      <c r="BB41" s="596"/>
      <c r="BC41" s="596"/>
      <c r="BD41" s="596"/>
      <c r="BE41" s="596"/>
      <c r="BF41" s="596"/>
      <c r="BG41" s="596"/>
      <c r="BH41" s="596"/>
      <c r="BI41" s="596"/>
      <c r="BJ41" s="596"/>
      <c r="BK41" s="596"/>
      <c r="BL41" s="596"/>
      <c r="BM41" s="596"/>
      <c r="BN41" s="596"/>
      <c r="BO41" s="596"/>
      <c r="BP41" s="596"/>
      <c r="BQ41" s="596"/>
      <c r="BR41" s="596"/>
      <c r="BS41" s="596"/>
      <c r="BT41" s="596"/>
      <c r="BU41" s="596"/>
      <c r="BV41" s="596"/>
      <c r="BW41" s="596"/>
      <c r="BX41" s="596"/>
      <c r="BY41" s="596"/>
      <c r="BZ41" s="596"/>
      <c r="CA41" s="596"/>
      <c r="CB41" s="596"/>
      <c r="CC41" s="596"/>
      <c r="CD41" s="596"/>
      <c r="CE41" s="596"/>
      <c r="CF41" s="596"/>
      <c r="CG41" s="596"/>
      <c r="CH41" s="596"/>
      <c r="CI41" s="596"/>
      <c r="CJ41" s="596"/>
      <c r="CK41" s="596"/>
      <c r="CL41" s="596"/>
      <c r="CM41" s="596"/>
      <c r="CN41" s="596"/>
      <c r="CO41" s="596"/>
      <c r="CP41" s="596"/>
      <c r="CQ41" s="596"/>
      <c r="CR41" s="596"/>
      <c r="CS41" s="596"/>
      <c r="CT41" s="596"/>
      <c r="CU41" s="596"/>
      <c r="CV41" s="596"/>
      <c r="CW41" s="596"/>
      <c r="CX41" s="596"/>
      <c r="CY41" s="596"/>
      <c r="CZ41" s="596"/>
      <c r="DA41" s="596"/>
      <c r="DB41" s="596"/>
      <c r="DC41" s="596"/>
      <c r="DD41" s="596"/>
      <c r="DE41" s="596"/>
      <c r="DF41" s="596"/>
      <c r="DG41" s="596"/>
      <c r="DH41" s="596"/>
      <c r="DI41" s="596"/>
      <c r="DJ41" s="595"/>
      <c r="DK41" s="595"/>
      <c r="DL41" s="595"/>
      <c r="DM41" s="595"/>
      <c r="DN41" s="596"/>
      <c r="DO41" s="596"/>
      <c r="DP41" s="596"/>
      <c r="DQ41" s="596"/>
      <c r="DR41" s="596"/>
      <c r="DS41" s="596"/>
      <c r="DT41" s="596"/>
      <c r="DU41" s="596"/>
      <c r="DV41" s="597"/>
      <c r="DW41" s="597"/>
      <c r="DX41" s="597"/>
      <c r="DY41" s="597"/>
      <c r="DZ41" s="597"/>
      <c r="EA41" s="597"/>
      <c r="EB41" s="597"/>
      <c r="EC41" s="597"/>
      <c r="ED41" s="597"/>
      <c r="EE41" s="597"/>
      <c r="EF41" s="597"/>
      <c r="EG41" s="597"/>
      <c r="EH41" s="597"/>
      <c r="EI41" s="597"/>
      <c r="EJ41" s="597"/>
      <c r="EK41" s="597"/>
      <c r="EL41" s="597"/>
      <c r="EM41" s="597"/>
      <c r="EN41" s="597"/>
      <c r="EO41" s="597"/>
      <c r="EP41" s="597"/>
      <c r="EQ41" s="596"/>
      <c r="ER41" s="596"/>
      <c r="ES41" s="596"/>
      <c r="ET41" s="596"/>
      <c r="EU41" s="596"/>
      <c r="EV41" s="596"/>
      <c r="EW41" s="596"/>
      <c r="EX41" s="596"/>
      <c r="EY41" s="596"/>
      <c r="EZ41" s="596"/>
      <c r="FA41" s="596"/>
      <c r="FB41" s="596"/>
      <c r="FC41" s="596"/>
      <c r="FD41" s="596"/>
      <c r="FE41" s="596"/>
      <c r="FF41" s="596"/>
      <c r="FG41" s="596"/>
      <c r="FH41" s="596"/>
      <c r="FI41" s="596"/>
      <c r="FJ41" s="596"/>
      <c r="FK41" s="596"/>
      <c r="FL41" s="596"/>
      <c r="FM41" s="596"/>
      <c r="FN41" s="596"/>
      <c r="FO41" s="596"/>
      <c r="FP41" s="596"/>
      <c r="FQ41" s="596"/>
      <c r="FR41" s="596"/>
      <c r="FS41" s="596"/>
      <c r="FT41" s="596"/>
      <c r="FU41" s="596"/>
      <c r="FV41" s="608"/>
      <c r="FW41" s="607"/>
      <c r="FX41" s="596"/>
      <c r="FY41" s="608"/>
      <c r="FZ41" s="607"/>
      <c r="GA41" s="596"/>
      <c r="GB41" s="608"/>
      <c r="GC41" s="607"/>
      <c r="GD41" s="596"/>
      <c r="GE41" s="608"/>
      <c r="GF41" s="607"/>
      <c r="GG41" s="596"/>
      <c r="GH41" s="608"/>
      <c r="GI41" s="607"/>
      <c r="GJ41" s="596"/>
      <c r="GK41" s="608"/>
      <c r="GL41" s="607"/>
      <c r="GM41" s="596"/>
      <c r="GN41" s="608"/>
      <c r="GO41" s="607"/>
      <c r="GP41" s="696">
        <f t="shared" si="0"/>
        <v>0</v>
      </c>
      <c r="GQ41" s="696">
        <f t="shared" si="1"/>
        <v>0</v>
      </c>
      <c r="GS41" s="696">
        <f t="shared" si="2"/>
        <v>0</v>
      </c>
      <c r="GT41" s="696">
        <f t="shared" si="3"/>
        <v>0</v>
      </c>
    </row>
    <row r="42" spans="1:204" x14ac:dyDescent="0.25">
      <c r="A42" s="9" t="s">
        <v>103</v>
      </c>
      <c r="B42" s="24" t="s">
        <v>102</v>
      </c>
      <c r="C42" s="582"/>
      <c r="D42" s="596"/>
      <c r="E42" s="596"/>
      <c r="F42" s="596"/>
      <c r="G42" s="596"/>
      <c r="H42" s="596"/>
      <c r="I42" s="596"/>
      <c r="J42" s="596"/>
      <c r="K42" s="596"/>
      <c r="L42" s="596"/>
      <c r="M42" s="596"/>
      <c r="N42" s="596"/>
      <c r="O42" s="596"/>
      <c r="P42" s="596"/>
      <c r="Q42" s="596"/>
      <c r="R42" s="596"/>
      <c r="S42" s="596"/>
      <c r="T42" s="596"/>
      <c r="U42" s="596"/>
      <c r="V42" s="596"/>
      <c r="W42" s="596"/>
      <c r="X42" s="596"/>
      <c r="Y42" s="596"/>
      <c r="Z42" s="596"/>
      <c r="AA42" s="596"/>
      <c r="AB42" s="596"/>
      <c r="AC42" s="596"/>
      <c r="AD42" s="596"/>
      <c r="AE42" s="596"/>
      <c r="AF42" s="596"/>
      <c r="AG42" s="596"/>
      <c r="AH42" s="596"/>
      <c r="AI42" s="596"/>
      <c r="AJ42" s="596"/>
      <c r="AK42" s="596"/>
      <c r="AL42" s="596"/>
      <c r="AM42" s="596"/>
      <c r="AN42" s="596"/>
      <c r="AO42" s="596"/>
      <c r="AP42" s="596"/>
      <c r="AQ42" s="596"/>
      <c r="AR42" s="596"/>
      <c r="AS42" s="596"/>
      <c r="AT42" s="596"/>
      <c r="AU42" s="596"/>
      <c r="AV42" s="596"/>
      <c r="AW42" s="596"/>
      <c r="AX42" s="596"/>
      <c r="AY42" s="596"/>
      <c r="AZ42" s="596"/>
      <c r="BA42" s="596"/>
      <c r="BB42" s="596"/>
      <c r="BC42" s="596"/>
      <c r="BD42" s="596"/>
      <c r="BE42" s="596"/>
      <c r="BF42" s="596"/>
      <c r="BG42" s="596"/>
      <c r="BH42" s="596"/>
      <c r="BI42" s="596"/>
      <c r="BJ42" s="596"/>
      <c r="BK42" s="596"/>
      <c r="BL42" s="596"/>
      <c r="BM42" s="596"/>
      <c r="BN42" s="596"/>
      <c r="BO42" s="596"/>
      <c r="BP42" s="596"/>
      <c r="BQ42" s="596"/>
      <c r="BR42" s="596"/>
      <c r="BS42" s="596"/>
      <c r="BT42" s="596"/>
      <c r="BU42" s="596"/>
      <c r="BV42" s="596"/>
      <c r="BW42" s="596"/>
      <c r="BX42" s="596"/>
      <c r="BY42" s="596"/>
      <c r="BZ42" s="596"/>
      <c r="CA42" s="596"/>
      <c r="CB42" s="596"/>
      <c r="CC42" s="596"/>
      <c r="CD42" s="596"/>
      <c r="CE42" s="596"/>
      <c r="CF42" s="596"/>
      <c r="CG42" s="596"/>
      <c r="CH42" s="596"/>
      <c r="CI42" s="596"/>
      <c r="CJ42" s="596"/>
      <c r="CK42" s="596"/>
      <c r="CL42" s="596"/>
      <c r="CM42" s="596"/>
      <c r="CN42" s="596"/>
      <c r="CO42" s="596"/>
      <c r="CP42" s="596"/>
      <c r="CQ42" s="596"/>
      <c r="CR42" s="596"/>
      <c r="CS42" s="596"/>
      <c r="CT42" s="596"/>
      <c r="CU42" s="596"/>
      <c r="CV42" s="596"/>
      <c r="CW42" s="596"/>
      <c r="CX42" s="596"/>
      <c r="CY42" s="596"/>
      <c r="CZ42" s="596"/>
      <c r="DA42" s="596"/>
      <c r="DB42" s="596"/>
      <c r="DC42" s="596"/>
      <c r="DD42" s="596"/>
      <c r="DE42" s="596"/>
      <c r="DF42" s="596"/>
      <c r="DG42" s="596"/>
      <c r="DH42" s="596"/>
      <c r="DI42" s="596"/>
      <c r="DJ42" s="595"/>
      <c r="DK42" s="595"/>
      <c r="DL42" s="595"/>
      <c r="DM42" s="595"/>
      <c r="DN42" s="596"/>
      <c r="DO42" s="596"/>
      <c r="DP42" s="596"/>
      <c r="DQ42" s="596"/>
      <c r="DR42" s="596"/>
      <c r="DS42" s="596"/>
      <c r="DT42" s="596"/>
      <c r="DU42" s="596"/>
      <c r="DV42" s="597"/>
      <c r="DW42" s="597"/>
      <c r="DX42" s="597"/>
      <c r="DY42" s="597"/>
      <c r="DZ42" s="597"/>
      <c r="EA42" s="597"/>
      <c r="EB42" s="597"/>
      <c r="EC42" s="597"/>
      <c r="ED42" s="597"/>
      <c r="EE42" s="597"/>
      <c r="EF42" s="597"/>
      <c r="EG42" s="597"/>
      <c r="EH42" s="597"/>
      <c r="EI42" s="597"/>
      <c r="EJ42" s="597"/>
      <c r="EK42" s="597"/>
      <c r="EL42" s="597"/>
      <c r="EM42" s="597"/>
      <c r="EN42" s="597"/>
      <c r="EO42" s="597"/>
      <c r="EP42" s="597"/>
      <c r="EQ42" s="596"/>
      <c r="ER42" s="596"/>
      <c r="ES42" s="596"/>
      <c r="ET42" s="596"/>
      <c r="EU42" s="596"/>
      <c r="EV42" s="596"/>
      <c r="EW42" s="596"/>
      <c r="EX42" s="596"/>
      <c r="EY42" s="596"/>
      <c r="EZ42" s="596"/>
      <c r="FA42" s="596"/>
      <c r="FB42" s="596"/>
      <c r="FC42" s="596"/>
      <c r="FD42" s="596"/>
      <c r="FE42" s="596"/>
      <c r="FF42" s="596"/>
      <c r="FG42" s="596"/>
      <c r="FH42" s="596"/>
      <c r="FI42" s="596"/>
      <c r="FJ42" s="596"/>
      <c r="FK42" s="596"/>
      <c r="FL42" s="596"/>
      <c r="FM42" s="596"/>
      <c r="FN42" s="596"/>
      <c r="FO42" s="596"/>
      <c r="FP42" s="596"/>
      <c r="FQ42" s="596"/>
      <c r="FR42" s="596"/>
      <c r="FS42" s="596"/>
      <c r="FT42" s="596"/>
      <c r="FU42" s="596"/>
      <c r="FV42" s="608"/>
      <c r="FW42" s="607"/>
      <c r="FX42" s="596"/>
      <c r="FY42" s="608"/>
      <c r="FZ42" s="607"/>
      <c r="GA42" s="596"/>
      <c r="GB42" s="608"/>
      <c r="GC42" s="607"/>
      <c r="GD42" s="596"/>
      <c r="GE42" s="608"/>
      <c r="GF42" s="607"/>
      <c r="GG42" s="596"/>
      <c r="GH42" s="608"/>
      <c r="GI42" s="607"/>
      <c r="GJ42" s="596"/>
      <c r="GK42" s="608"/>
      <c r="GL42" s="607"/>
      <c r="GM42" s="596"/>
      <c r="GN42" s="608"/>
      <c r="GO42" s="607"/>
      <c r="GP42" s="696">
        <f t="shared" si="0"/>
        <v>0</v>
      </c>
      <c r="GQ42" s="696">
        <f t="shared" si="1"/>
        <v>0</v>
      </c>
      <c r="GS42" s="696">
        <f t="shared" si="2"/>
        <v>0</v>
      </c>
      <c r="GT42" s="696">
        <f t="shared" si="3"/>
        <v>0</v>
      </c>
    </row>
    <row r="43" spans="1:204" x14ac:dyDescent="0.25">
      <c r="A43" s="9" t="s">
        <v>105</v>
      </c>
      <c r="B43" s="24" t="s">
        <v>104</v>
      </c>
      <c r="C43" s="582"/>
      <c r="D43" s="596"/>
      <c r="E43" s="596"/>
      <c r="F43" s="596"/>
      <c r="G43" s="596"/>
      <c r="H43" s="596"/>
      <c r="I43" s="596"/>
      <c r="J43" s="596"/>
      <c r="K43" s="596"/>
      <c r="L43" s="596"/>
      <c r="M43" s="596"/>
      <c r="N43" s="596"/>
      <c r="O43" s="596"/>
      <c r="P43" s="596"/>
      <c r="Q43" s="596"/>
      <c r="R43" s="596"/>
      <c r="S43" s="596"/>
      <c r="T43" s="596"/>
      <c r="U43" s="596"/>
      <c r="V43" s="596"/>
      <c r="W43" s="596"/>
      <c r="X43" s="596"/>
      <c r="Y43" s="596"/>
      <c r="Z43" s="596"/>
      <c r="AA43" s="596"/>
      <c r="AB43" s="596"/>
      <c r="AC43" s="596"/>
      <c r="AD43" s="596"/>
      <c r="AE43" s="596"/>
      <c r="AF43" s="596"/>
      <c r="AG43" s="596"/>
      <c r="AH43" s="596"/>
      <c r="AI43" s="596"/>
      <c r="AJ43" s="596"/>
      <c r="AK43" s="596"/>
      <c r="AL43" s="596"/>
      <c r="AM43" s="596"/>
      <c r="AN43" s="596"/>
      <c r="AO43" s="596"/>
      <c r="AP43" s="596"/>
      <c r="AQ43" s="596"/>
      <c r="AR43" s="596"/>
      <c r="AS43" s="596"/>
      <c r="AT43" s="596"/>
      <c r="AU43" s="596"/>
      <c r="AV43" s="596"/>
      <c r="AW43" s="596"/>
      <c r="AX43" s="596"/>
      <c r="AY43" s="596"/>
      <c r="AZ43" s="596"/>
      <c r="BA43" s="596"/>
      <c r="BB43" s="596"/>
      <c r="BC43" s="596"/>
      <c r="BD43" s="596"/>
      <c r="BE43" s="596"/>
      <c r="BF43" s="596"/>
      <c r="BG43" s="596"/>
      <c r="BH43" s="596"/>
      <c r="BI43" s="596"/>
      <c r="BJ43" s="596"/>
      <c r="BK43" s="596"/>
      <c r="BL43" s="596"/>
      <c r="BM43" s="596"/>
      <c r="BN43" s="596"/>
      <c r="BO43" s="596"/>
      <c r="BP43" s="596"/>
      <c r="BQ43" s="596"/>
      <c r="BR43" s="596"/>
      <c r="BS43" s="596"/>
      <c r="BT43" s="596"/>
      <c r="BU43" s="596"/>
      <c r="BV43" s="596"/>
      <c r="BW43" s="596"/>
      <c r="BX43" s="596"/>
      <c r="BY43" s="596"/>
      <c r="BZ43" s="596"/>
      <c r="CA43" s="596"/>
      <c r="CB43" s="596"/>
      <c r="CC43" s="596"/>
      <c r="CD43" s="596"/>
      <c r="CE43" s="596"/>
      <c r="CF43" s="596"/>
      <c r="CG43" s="596"/>
      <c r="CH43" s="596"/>
      <c r="CI43" s="596"/>
      <c r="CJ43" s="596"/>
      <c r="CK43" s="596"/>
      <c r="CL43" s="596"/>
      <c r="CM43" s="596"/>
      <c r="CN43" s="596"/>
      <c r="CO43" s="596"/>
      <c r="CP43" s="596"/>
      <c r="CQ43" s="596"/>
      <c r="CR43" s="596"/>
      <c r="CS43" s="596"/>
      <c r="CT43" s="596"/>
      <c r="CU43" s="596"/>
      <c r="CV43" s="596"/>
      <c r="CW43" s="596"/>
      <c r="CX43" s="596"/>
      <c r="CY43" s="596"/>
      <c r="CZ43" s="596"/>
      <c r="DA43" s="596"/>
      <c r="DB43" s="596"/>
      <c r="DC43" s="596"/>
      <c r="DD43" s="596"/>
      <c r="DE43" s="596"/>
      <c r="DF43" s="596"/>
      <c r="DG43" s="596"/>
      <c r="DH43" s="596"/>
      <c r="DI43" s="596"/>
      <c r="DJ43" s="595"/>
      <c r="DK43" s="595"/>
      <c r="DL43" s="595"/>
      <c r="DM43" s="595"/>
      <c r="DN43" s="596"/>
      <c r="DO43" s="596"/>
      <c r="DP43" s="596"/>
      <c r="DQ43" s="596"/>
      <c r="DR43" s="596"/>
      <c r="DS43" s="596"/>
      <c r="DT43" s="596"/>
      <c r="DU43" s="596"/>
      <c r="DV43" s="597"/>
      <c r="DW43" s="597"/>
      <c r="DX43" s="597"/>
      <c r="DY43" s="597"/>
      <c r="DZ43" s="597"/>
      <c r="EA43" s="597"/>
      <c r="EB43" s="597"/>
      <c r="EC43" s="597"/>
      <c r="ED43" s="597"/>
      <c r="EE43" s="597"/>
      <c r="EF43" s="597"/>
      <c r="EG43" s="597"/>
      <c r="EH43" s="597"/>
      <c r="EI43" s="597"/>
      <c r="EJ43" s="597"/>
      <c r="EK43" s="597"/>
      <c r="EL43" s="597"/>
      <c r="EM43" s="597"/>
      <c r="EN43" s="597"/>
      <c r="EO43" s="597"/>
      <c r="EP43" s="597"/>
      <c r="EQ43" s="596"/>
      <c r="ER43" s="596"/>
      <c r="ES43" s="596"/>
      <c r="ET43" s="596"/>
      <c r="EU43" s="596"/>
      <c r="EV43" s="596"/>
      <c r="EW43" s="596"/>
      <c r="EX43" s="596"/>
      <c r="EY43" s="596"/>
      <c r="EZ43" s="596"/>
      <c r="FA43" s="596"/>
      <c r="FB43" s="596"/>
      <c r="FC43" s="596"/>
      <c r="FD43" s="596"/>
      <c r="FE43" s="596"/>
      <c r="FF43" s="596"/>
      <c r="FG43" s="596"/>
      <c r="FH43" s="596"/>
      <c r="FI43" s="596"/>
      <c r="FJ43" s="596"/>
      <c r="FK43" s="596"/>
      <c r="FL43" s="596"/>
      <c r="FM43" s="596"/>
      <c r="FN43" s="596"/>
      <c r="FO43" s="596"/>
      <c r="FP43" s="596"/>
      <c r="FQ43" s="596"/>
      <c r="FR43" s="596"/>
      <c r="FS43" s="596"/>
      <c r="FT43" s="596"/>
      <c r="FU43" s="596"/>
      <c r="FV43" s="608"/>
      <c r="FW43" s="607"/>
      <c r="FX43" s="596"/>
      <c r="FY43" s="608"/>
      <c r="FZ43" s="607"/>
      <c r="GA43" s="596"/>
      <c r="GB43" s="608"/>
      <c r="GC43" s="607"/>
      <c r="GD43" s="596"/>
      <c r="GE43" s="608"/>
      <c r="GF43" s="607"/>
      <c r="GG43" s="596"/>
      <c r="GH43" s="608"/>
      <c r="GI43" s="607"/>
      <c r="GJ43" s="596"/>
      <c r="GK43" s="608"/>
      <c r="GL43" s="607"/>
      <c r="GM43" s="596"/>
      <c r="GN43" s="608"/>
      <c r="GO43" s="607"/>
      <c r="GP43" s="696">
        <f t="shared" si="0"/>
        <v>0</v>
      </c>
      <c r="GQ43" s="696">
        <f t="shared" si="1"/>
        <v>0</v>
      </c>
      <c r="GS43" s="696">
        <f t="shared" si="2"/>
        <v>0</v>
      </c>
      <c r="GT43" s="696">
        <f t="shared" si="3"/>
        <v>0</v>
      </c>
      <c r="GV43" s="696">
        <f>+GC46-GC36</f>
        <v>0</v>
      </c>
    </row>
    <row r="44" spans="1:204" x14ac:dyDescent="0.2">
      <c r="A44" s="9" t="s">
        <v>107</v>
      </c>
      <c r="B44" s="25" t="s">
        <v>106</v>
      </c>
      <c r="C44" s="576"/>
      <c r="D44" s="577">
        <f t="shared" ref="D44:T44" si="61">+D29+D31+D32+D34+D39+D41</f>
        <v>11563836</v>
      </c>
      <c r="E44" s="577">
        <f t="shared" si="61"/>
        <v>14006947</v>
      </c>
      <c r="F44" s="577">
        <f t="shared" si="61"/>
        <v>13070515</v>
      </c>
      <c r="G44" s="577">
        <f t="shared" si="61"/>
        <v>1139076</v>
      </c>
      <c r="H44" s="577">
        <f t="shared" si="61"/>
        <v>1306389</v>
      </c>
      <c r="I44" s="577">
        <f t="shared" si="61"/>
        <v>957995</v>
      </c>
      <c r="J44" s="577">
        <f t="shared" si="61"/>
        <v>1500000</v>
      </c>
      <c r="K44" s="577">
        <f t="shared" si="61"/>
        <v>644000</v>
      </c>
      <c r="L44" s="577">
        <f t="shared" si="61"/>
        <v>644000</v>
      </c>
      <c r="M44" s="577">
        <f t="shared" si="61"/>
        <v>2100000</v>
      </c>
      <c r="N44" s="577">
        <f t="shared" si="61"/>
        <v>2625412</v>
      </c>
      <c r="O44" s="577">
        <f t="shared" si="61"/>
        <v>2608267</v>
      </c>
      <c r="P44" s="577">
        <f t="shared" si="61"/>
        <v>30000000</v>
      </c>
      <c r="Q44" s="577">
        <f t="shared" si="61"/>
        <v>31664409</v>
      </c>
      <c r="R44" s="577">
        <f t="shared" si="61"/>
        <v>31483919</v>
      </c>
      <c r="S44" s="577">
        <f t="shared" si="61"/>
        <v>0</v>
      </c>
      <c r="T44" s="577">
        <f t="shared" si="61"/>
        <v>0</v>
      </c>
      <c r="U44" s="577"/>
      <c r="V44" s="577">
        <f>+V29+V31+V32+V34+V39+V41</f>
        <v>120000</v>
      </c>
      <c r="W44" s="577">
        <f>+W29+W31+W32+W34+W39+W41</f>
        <v>181900</v>
      </c>
      <c r="X44" s="577">
        <f>+X29+X31+X32+X34+X39+X41</f>
        <v>181900</v>
      </c>
      <c r="Y44" s="577">
        <f t="shared" ref="Y44:AA44" si="62">+Y29+Y31+Y32+Y34+Y39+Y41</f>
        <v>0</v>
      </c>
      <c r="Z44" s="577">
        <f t="shared" si="62"/>
        <v>468000</v>
      </c>
      <c r="AA44" s="577">
        <f t="shared" si="62"/>
        <v>468000</v>
      </c>
      <c r="AB44" s="577">
        <f>+AB29+AB31+AB32+AB34+AB39+AB41</f>
        <v>0</v>
      </c>
      <c r="AC44" s="577">
        <f>+AC29+AC31+AC32+AC34+AC39+AC41</f>
        <v>0</v>
      </c>
      <c r="AD44" s="577"/>
      <c r="AE44" s="577">
        <f>+AE29+AE31+AE32+AE34+AE39+AE41</f>
        <v>1740000</v>
      </c>
      <c r="AF44" s="577">
        <f>+AF29+AF31+AF32+AF34+AF39+AF41</f>
        <v>1791045</v>
      </c>
      <c r="AG44" s="577">
        <f>+AG29+AG31+AG32+AG34+AG39+AG41</f>
        <v>1791045</v>
      </c>
      <c r="AH44" s="577">
        <f>+AH29+AH31+AH32+AH34+AH39+AH41</f>
        <v>0</v>
      </c>
      <c r="AI44" s="577">
        <f>+AI29+AI31+AI32+AI34+AI39+AI41</f>
        <v>0</v>
      </c>
      <c r="AJ44" s="577"/>
      <c r="AK44" s="577">
        <f>+AK29+AK31+AK32+AK34+AK39+AK41</f>
        <v>0</v>
      </c>
      <c r="AL44" s="577">
        <f>+AL29+AL31+AL32+AL34+AL39+AL41</f>
        <v>0</v>
      </c>
      <c r="AM44" s="577"/>
      <c r="AN44" s="577">
        <f>+AN29+AN31+AN32+AN34+AN39+AN41</f>
        <v>0</v>
      </c>
      <c r="AO44" s="577">
        <f>+AO29+AO31+AO32+AO34+AO39+AO41</f>
        <v>0</v>
      </c>
      <c r="AP44" s="577"/>
      <c r="AQ44" s="577">
        <f>+AQ29+AQ31+AQ32+AQ34+AQ39+AQ41</f>
        <v>0</v>
      </c>
      <c r="AR44" s="577">
        <f>+AR29+AR31+AR32+AR34+AR39+AR41</f>
        <v>0</v>
      </c>
      <c r="AS44" s="577"/>
      <c r="AT44" s="577">
        <f>+AT29+AT31+AT32+AT34+AT39+AT41</f>
        <v>0</v>
      </c>
      <c r="AU44" s="577">
        <f>+AU29+AU31+AU32+AU34+AU39+AU41</f>
        <v>0</v>
      </c>
      <c r="AV44" s="577"/>
      <c r="AW44" s="577">
        <f>+AW29+AW31+AW32+AW34+AW39+AW41</f>
        <v>0</v>
      </c>
      <c r="AX44" s="577">
        <f>+AX29+AX31+AX32+AX34+AX39+AX41</f>
        <v>2526195</v>
      </c>
      <c r="AY44" s="577">
        <f>+AY29+AY31+AY32+AY34+AY39+AY41</f>
        <v>2526195</v>
      </c>
      <c r="AZ44" s="577">
        <f>+AZ29+AZ31+AZ32+AZ34+AZ39+AZ41</f>
        <v>0</v>
      </c>
      <c r="BA44" s="577">
        <f>+BA29+BA31+BA32+BA34+BA39+BA41</f>
        <v>0</v>
      </c>
      <c r="BB44" s="577"/>
      <c r="BC44" s="577">
        <f t="shared" ref="BC44:BJ44" si="63">+BC29+BC31+BC32+BC34+BC39+BC41</f>
        <v>65000000</v>
      </c>
      <c r="BD44" s="577">
        <f t="shared" si="63"/>
        <v>82628999</v>
      </c>
      <c r="BE44" s="577">
        <f t="shared" si="63"/>
        <v>82628999</v>
      </c>
      <c r="BF44" s="577">
        <f t="shared" si="63"/>
        <v>65000000</v>
      </c>
      <c r="BG44" s="577">
        <f t="shared" si="63"/>
        <v>47371000</v>
      </c>
      <c r="BH44" s="577">
        <f t="shared" si="63"/>
        <v>47371000</v>
      </c>
      <c r="BI44" s="577">
        <f t="shared" si="63"/>
        <v>0</v>
      </c>
      <c r="BJ44" s="577">
        <f t="shared" si="63"/>
        <v>0</v>
      </c>
      <c r="BK44" s="577"/>
      <c r="BL44" s="577">
        <f>+BL29+BL31+BL32+BL34+BL39+BL41</f>
        <v>0</v>
      </c>
      <c r="BM44" s="577">
        <f>+BM29+BM31+BM32+BM34+BM39+BM41</f>
        <v>0</v>
      </c>
      <c r="BN44" s="577"/>
      <c r="BO44" s="577">
        <f>+BO29+BO31+BO32+BO34+BO39+BO41</f>
        <v>0</v>
      </c>
      <c r="BP44" s="577">
        <f>+BP29+BP31+BP32+BP34+BP39+BP41</f>
        <v>0</v>
      </c>
      <c r="BQ44" s="577"/>
      <c r="BR44" s="577">
        <f>+BR29+BR31+BR32+BR34+BR39+BR41</f>
        <v>0</v>
      </c>
      <c r="BS44" s="577">
        <f>+BS29+BS31+BS32+BS34+BS39+BS41</f>
        <v>0</v>
      </c>
      <c r="BT44" s="577"/>
      <c r="BU44" s="577">
        <f>+BU29+BU31+BU32+BU34+BU39+BU41</f>
        <v>0</v>
      </c>
      <c r="BV44" s="577">
        <f>+BV29+BV31+BV32+BV34+BV39+BV41</f>
        <v>0</v>
      </c>
      <c r="BW44" s="577"/>
      <c r="BX44" s="577">
        <f>+BX29+BX31+BX32+BX34+BX39+BX41</f>
        <v>0</v>
      </c>
      <c r="BY44" s="577">
        <f>+BY29+BY31+BY32+BY34+BY39+BY41</f>
        <v>0</v>
      </c>
      <c r="BZ44" s="577"/>
      <c r="CA44" s="577">
        <f>+CA29+CA31+CA32+CA34+CA39+CA41</f>
        <v>0</v>
      </c>
      <c r="CB44" s="577">
        <f>+CB29+CB31+CB32+CB34+CB39+CB41</f>
        <v>0</v>
      </c>
      <c r="CC44" s="577"/>
      <c r="CD44" s="577">
        <f>+CD29+CD31+CD32+CD34+CD39+CD41</f>
        <v>0</v>
      </c>
      <c r="CE44" s="577">
        <f>+CE29+CE31+CE32+CE34+CE39+CE41</f>
        <v>0</v>
      </c>
      <c r="CF44" s="577"/>
      <c r="CG44" s="577">
        <f>+CG29+CG31+CG32+CG34+CG39+CG41</f>
        <v>0</v>
      </c>
      <c r="CH44" s="577">
        <f>+CH29+CH31+CH32+CH34+CH39+CH41</f>
        <v>0</v>
      </c>
      <c r="CI44" s="577"/>
      <c r="CJ44" s="577">
        <f>+CJ29+CJ31+CJ32+CJ34+CJ39+CJ41</f>
        <v>0</v>
      </c>
      <c r="CK44" s="577">
        <f>+CK29+CK31+CK32+CK34+CK39+CK41</f>
        <v>0</v>
      </c>
      <c r="CL44" s="577"/>
      <c r="CM44" s="577">
        <f>+CM29+CM31+CM32+CM34+CM39+CM41</f>
        <v>0</v>
      </c>
      <c r="CN44" s="577">
        <f>+CN29+CN31+CN32+CN34+CN39+CN41</f>
        <v>0</v>
      </c>
      <c r="CO44" s="577"/>
      <c r="CP44" s="577">
        <f t="shared" ref="CP44:CY44" si="64">+CP29+CP31+CP32+CP34+CP39+CP41</f>
        <v>0</v>
      </c>
      <c r="CQ44" s="577">
        <f t="shared" si="64"/>
        <v>8992</v>
      </c>
      <c r="CR44" s="577">
        <f t="shared" si="64"/>
        <v>8992</v>
      </c>
      <c r="CS44" s="577">
        <f t="shared" si="64"/>
        <v>0</v>
      </c>
      <c r="CT44" s="577">
        <f t="shared" si="64"/>
        <v>519900</v>
      </c>
      <c r="CU44" s="577">
        <f t="shared" si="64"/>
        <v>519900</v>
      </c>
      <c r="CV44" s="577">
        <f t="shared" si="64"/>
        <v>0</v>
      </c>
      <c r="CW44" s="577">
        <f t="shared" si="64"/>
        <v>0</v>
      </c>
      <c r="CX44" s="577">
        <f t="shared" si="64"/>
        <v>0</v>
      </c>
      <c r="CY44" s="577">
        <f t="shared" si="64"/>
        <v>0</v>
      </c>
      <c r="CZ44" s="577"/>
      <c r="DA44" s="577">
        <f>+DA29+DA31+DA32+DA34+DA39+DA41</f>
        <v>0</v>
      </c>
      <c r="DB44" s="577">
        <f>+DB29+DB31+DB32+DB34+DB39+DB41</f>
        <v>0</v>
      </c>
      <c r="DC44" s="577"/>
      <c r="DD44" s="577">
        <f t="shared" ref="DD44:DK44" si="65">+DD29+DD31+DD32+DD34+DD39+DD41</f>
        <v>0</v>
      </c>
      <c r="DE44" s="577">
        <f t="shared" si="65"/>
        <v>0</v>
      </c>
      <c r="DF44" s="577">
        <f t="shared" si="65"/>
        <v>0</v>
      </c>
      <c r="DG44" s="577">
        <f t="shared" si="65"/>
        <v>0</v>
      </c>
      <c r="DH44" s="577">
        <f t="shared" si="65"/>
        <v>228600</v>
      </c>
      <c r="DI44" s="577">
        <f t="shared" si="65"/>
        <v>228600</v>
      </c>
      <c r="DJ44" s="577">
        <f t="shared" si="65"/>
        <v>0</v>
      </c>
      <c r="DK44" s="577">
        <f t="shared" si="65"/>
        <v>0</v>
      </c>
      <c r="DL44" s="577"/>
      <c r="DM44" s="577">
        <f>+DM29+DM31+DM32+DM34+DM39+DM41</f>
        <v>0</v>
      </c>
      <c r="DN44" s="577">
        <f>+DN29+DN31+DN32+DN34+DN39+DN41</f>
        <v>0</v>
      </c>
      <c r="DO44" s="577"/>
      <c r="DP44" s="577">
        <f>+DP29+DP31+DP32+DP34+DP39+DP41</f>
        <v>0</v>
      </c>
      <c r="DQ44" s="577">
        <f>+DQ29+DQ31+DQ32+DQ34+DQ39+DQ41</f>
        <v>67624907</v>
      </c>
      <c r="DR44" s="577">
        <f>+DR29+DR31+DR32+DR34+DR39+DR41</f>
        <v>67624907</v>
      </c>
      <c r="DS44" s="577">
        <f>+DS29+DS31+DS32+DS34+DS39+DS41</f>
        <v>0</v>
      </c>
      <c r="DT44" s="577">
        <f>+DT29+DT31+DT32+DT34+DT39+DT41</f>
        <v>0</v>
      </c>
      <c r="DU44" s="577"/>
      <c r="DV44" s="577">
        <f>+DV29+DV31+DV32+DV34+DV39+DV41</f>
        <v>0</v>
      </c>
      <c r="DW44" s="577">
        <f>+DW29+DW31+DW32+DW34+DW39+DW41</f>
        <v>13353914</v>
      </c>
      <c r="DX44" s="577">
        <f>+DX29+DX31+DX32+DX34+DX39+DX41</f>
        <v>13353914</v>
      </c>
      <c r="DY44" s="577">
        <f>+DY29+DY31+DY32+DY34+DY39+DY41</f>
        <v>0</v>
      </c>
      <c r="DZ44" s="577">
        <f>+DZ29+DZ31+DZ32+DZ34+DZ39+DZ41</f>
        <v>0</v>
      </c>
      <c r="EA44" s="577">
        <f t="shared" ref="EA44:ED44" si="66">+EA29+EA31+EA32+EA34+EA39+EA41</f>
        <v>0</v>
      </c>
      <c r="EB44" s="577">
        <f t="shared" si="66"/>
        <v>0</v>
      </c>
      <c r="EC44" s="577">
        <f t="shared" si="66"/>
        <v>0</v>
      </c>
      <c r="ED44" s="577">
        <f t="shared" si="66"/>
        <v>0</v>
      </c>
      <c r="EE44" s="577">
        <f>+EE29+EE31+EE32+EE34+EE39+EE41</f>
        <v>0</v>
      </c>
      <c r="EF44" s="577">
        <f>+EF29+EF31+EF32+EF34+EF39+EF41</f>
        <v>0</v>
      </c>
      <c r="EG44" s="577">
        <f t="shared" ref="EG44:EQ44" si="67">+EG29+EG31+EG32+EG34+EG39+EG41</f>
        <v>0</v>
      </c>
      <c r="EH44" s="577">
        <f t="shared" si="67"/>
        <v>0</v>
      </c>
      <c r="EI44" s="577">
        <f t="shared" si="67"/>
        <v>0</v>
      </c>
      <c r="EJ44" s="577">
        <f t="shared" si="67"/>
        <v>0</v>
      </c>
      <c r="EK44" s="577">
        <f t="shared" si="67"/>
        <v>0</v>
      </c>
      <c r="EL44" s="577">
        <f t="shared" si="67"/>
        <v>6840000</v>
      </c>
      <c r="EM44" s="577">
        <f t="shared" si="67"/>
        <v>6840000</v>
      </c>
      <c r="EN44" s="577">
        <f t="shared" si="67"/>
        <v>0</v>
      </c>
      <c r="EO44" s="577">
        <f t="shared" si="67"/>
        <v>0</v>
      </c>
      <c r="EP44" s="577">
        <f t="shared" si="67"/>
        <v>0</v>
      </c>
      <c r="EQ44" s="577">
        <f t="shared" si="67"/>
        <v>0</v>
      </c>
      <c r="ER44" s="577">
        <f>+ER29+ER31+ER32+ER34+ER39+ER41</f>
        <v>0</v>
      </c>
      <c r="ES44" s="577"/>
      <c r="ET44" s="577">
        <f>+ET29+ET31+ET32+ET34+ET39+ET41</f>
        <v>0</v>
      </c>
      <c r="EU44" s="577">
        <f>+EU29+EU31+EU32+EU34+EU39+EU41</f>
        <v>0</v>
      </c>
      <c r="EV44" s="577"/>
      <c r="EW44" s="577">
        <f>+EW29+EW31+EW32+EW34+EW39+EW41</f>
        <v>0</v>
      </c>
      <c r="EX44" s="577">
        <f>+EX29+EX31+EX32+EX34+EX39+EX41</f>
        <v>0</v>
      </c>
      <c r="EY44" s="577"/>
      <c r="EZ44" s="577">
        <f>+EZ29+EZ31+EZ32+EZ34+EZ39+EZ41</f>
        <v>0</v>
      </c>
      <c r="FA44" s="577">
        <f>+FA29+FA31+FA32+FA34+FA39+FA41</f>
        <v>0</v>
      </c>
      <c r="FB44" s="577"/>
      <c r="FC44" s="577">
        <f>+FC29+FC31+FC32+FC34+FC39+FC41</f>
        <v>0</v>
      </c>
      <c r="FD44" s="577">
        <f>+FD29+FD31+FD32+FD34+FD39+FD41</f>
        <v>0</v>
      </c>
      <c r="FE44" s="577"/>
      <c r="FF44" s="577">
        <f>+FF29+FF31+FF32+FF34+FF39+FF41</f>
        <v>0</v>
      </c>
      <c r="FG44" s="577">
        <f>+FG29+FG31+FG32+FG34+FG39+FG41</f>
        <v>0</v>
      </c>
      <c r="FH44" s="577"/>
      <c r="FI44" s="577">
        <f>+FI29+FI31+FI32+FI34+FI39+FI41</f>
        <v>0</v>
      </c>
      <c r="FJ44" s="577">
        <f>+FJ29+FJ31+FJ32+FJ34+FJ39+FJ41</f>
        <v>0</v>
      </c>
      <c r="FK44" s="577"/>
      <c r="FL44" s="577">
        <f>+FL29+FL31+FL32+FL34+FL39+FL41</f>
        <v>0</v>
      </c>
      <c r="FM44" s="577">
        <f>+FM29+FM31+FM32+FM34+FM39+FM41</f>
        <v>0</v>
      </c>
      <c r="FN44" s="577"/>
      <c r="FO44" s="577">
        <f>+FO29+FO31+FO32+FO34+FO39+FO41</f>
        <v>0</v>
      </c>
      <c r="FP44" s="577">
        <f>+FP29+FP31+FP32+FP34+FP39+FP41</f>
        <v>0</v>
      </c>
      <c r="FQ44" s="577"/>
      <c r="FR44" s="577">
        <f>+FR29+FR31+FR32+FR34+FR39+FR41</f>
        <v>0</v>
      </c>
      <c r="FS44" s="577">
        <f>+FS29+FS31+FS32+FS34+FS39+FS41</f>
        <v>0</v>
      </c>
      <c r="FT44" s="577"/>
      <c r="FU44" s="577">
        <f>+FU29+FU31+FU32+FU34+FU39+FU41</f>
        <v>0</v>
      </c>
      <c r="FV44" s="577">
        <f>+FV29+FV31+FV32+FV34+FV39+FV41</f>
        <v>0</v>
      </c>
      <c r="FW44" s="577"/>
      <c r="FX44" s="577">
        <f>+FX29+FX31+FX32+FX34+FX39+FX41</f>
        <v>0</v>
      </c>
      <c r="FY44" s="577">
        <f>+FY29+FY31+FY32+FY34+FY39+FY41</f>
        <v>0</v>
      </c>
      <c r="FZ44" s="577">
        <f t="shared" ref="FZ44:GO44" si="68">+FZ29+FZ31+FZ32+FZ34+FZ39+FZ41</f>
        <v>0</v>
      </c>
      <c r="GA44" s="577">
        <f t="shared" si="68"/>
        <v>0</v>
      </c>
      <c r="GB44" s="577">
        <f t="shared" si="68"/>
        <v>3904012</v>
      </c>
      <c r="GC44" s="577">
        <f t="shared" si="68"/>
        <v>1951033</v>
      </c>
      <c r="GD44" s="577">
        <f t="shared" si="68"/>
        <v>0</v>
      </c>
      <c r="GE44" s="577">
        <f t="shared" si="68"/>
        <v>0</v>
      </c>
      <c r="GF44" s="577">
        <f t="shared" si="68"/>
        <v>0</v>
      </c>
      <c r="GG44" s="577">
        <f t="shared" si="68"/>
        <v>0</v>
      </c>
      <c r="GH44" s="577">
        <f t="shared" si="68"/>
        <v>0</v>
      </c>
      <c r="GI44" s="577">
        <f t="shared" si="68"/>
        <v>0</v>
      </c>
      <c r="GJ44" s="577">
        <f t="shared" si="68"/>
        <v>0</v>
      </c>
      <c r="GK44" s="577">
        <f t="shared" si="68"/>
        <v>0</v>
      </c>
      <c r="GL44" s="577">
        <f t="shared" si="68"/>
        <v>0</v>
      </c>
      <c r="GM44" s="577">
        <f t="shared" si="68"/>
        <v>0</v>
      </c>
      <c r="GN44" s="577">
        <f t="shared" si="68"/>
        <v>0</v>
      </c>
      <c r="GO44" s="577">
        <f t="shared" si="68"/>
        <v>0</v>
      </c>
      <c r="GP44" s="696">
        <f t="shared" si="0"/>
        <v>241896762</v>
      </c>
      <c r="GQ44" s="696">
        <f t="shared" si="1"/>
        <v>32362419</v>
      </c>
      <c r="GS44" s="696">
        <f t="shared" si="2"/>
        <v>274259181</v>
      </c>
      <c r="GT44" s="696">
        <f t="shared" si="3"/>
        <v>274259181</v>
      </c>
    </row>
    <row r="45" spans="1:204" x14ac:dyDescent="0.2">
      <c r="A45" s="9" t="s">
        <v>109</v>
      </c>
      <c r="B45" s="25" t="s">
        <v>108</v>
      </c>
      <c r="C45" s="576"/>
      <c r="D45" s="577">
        <f t="shared" ref="D45:K45" si="69">+D30+D33+D35+D40+D42+D43</f>
        <v>0</v>
      </c>
      <c r="E45" s="577">
        <f t="shared" si="69"/>
        <v>0</v>
      </c>
      <c r="F45" s="577">
        <f t="shared" si="69"/>
        <v>0</v>
      </c>
      <c r="G45" s="577">
        <f t="shared" si="69"/>
        <v>0</v>
      </c>
      <c r="H45" s="577">
        <f t="shared" si="69"/>
        <v>0</v>
      </c>
      <c r="I45" s="577">
        <f t="shared" si="69"/>
        <v>0</v>
      </c>
      <c r="J45" s="577">
        <f t="shared" si="69"/>
        <v>0</v>
      </c>
      <c r="K45" s="577">
        <f t="shared" si="69"/>
        <v>0</v>
      </c>
      <c r="L45" s="577"/>
      <c r="M45" s="577">
        <f>+M30+M33+M35+M40+M42+M43</f>
        <v>0</v>
      </c>
      <c r="N45" s="577">
        <f>+N30+N33+N35+N40+N42+N43</f>
        <v>0</v>
      </c>
      <c r="O45" s="577"/>
      <c r="P45" s="577">
        <f>+P30+P33+P35+P40+P42+P43</f>
        <v>0</v>
      </c>
      <c r="Q45" s="577">
        <f>+Q30+Q33+Q35+Q40+Q42+Q43</f>
        <v>0</v>
      </c>
      <c r="R45" s="577">
        <f>+R30+R33+R35+R40+R42+R43</f>
        <v>0</v>
      </c>
      <c r="S45" s="577">
        <f>+S30+S33+S35+S40+S42+S43</f>
        <v>0</v>
      </c>
      <c r="T45" s="577">
        <f>+T30+T33+T35+T40+T42+T43</f>
        <v>0</v>
      </c>
      <c r="U45" s="577"/>
      <c r="V45" s="577">
        <f>+V30+V33+V35+V40+V42+V43</f>
        <v>0</v>
      </c>
      <c r="W45" s="577">
        <f>+W30+W33+W35+W40+W42+W43</f>
        <v>0</v>
      </c>
      <c r="X45" s="577"/>
      <c r="Y45" s="577">
        <f>+Y30+Y33+Y35+Y40+Y42+Y43</f>
        <v>0</v>
      </c>
      <c r="Z45" s="577">
        <f>+Z30+Z33+Z35+Z40+Z42+Z43</f>
        <v>0</v>
      </c>
      <c r="AA45" s="577"/>
      <c r="AB45" s="577">
        <f>+AB30+AB33+AB35+AB40+AB42+AB43</f>
        <v>0</v>
      </c>
      <c r="AC45" s="577">
        <f>+AC30+AC33+AC35+AC40+AC42+AC43</f>
        <v>0</v>
      </c>
      <c r="AD45" s="577"/>
      <c r="AE45" s="577">
        <f>+AE30+AE33+AE35+AE40+AE42+AE43</f>
        <v>0</v>
      </c>
      <c r="AF45" s="577">
        <f>+AF30+AF33+AF35+AF40+AF42+AF43</f>
        <v>0</v>
      </c>
      <c r="AG45" s="577">
        <f>+AG30+AG33+AG35+AG40+AG42+AG43</f>
        <v>0</v>
      </c>
      <c r="AH45" s="577">
        <f>+AH30+AH33+AH35+AH40+AH42+AH43</f>
        <v>0</v>
      </c>
      <c r="AI45" s="577">
        <f>+AI30+AI33+AI35+AI40+AI42+AI43</f>
        <v>0</v>
      </c>
      <c r="AJ45" s="577"/>
      <c r="AK45" s="577">
        <f>+AK30+AK33+AK35+AK40+AK42+AK43</f>
        <v>0</v>
      </c>
      <c r="AL45" s="577">
        <f>+AL30+AL33+AL35+AL40+AL42+AL43</f>
        <v>0</v>
      </c>
      <c r="AM45" s="577"/>
      <c r="AN45" s="577">
        <f>+AN30+AN33+AN35+AN40+AN42+AN43</f>
        <v>0</v>
      </c>
      <c r="AO45" s="577">
        <f>+AO30+AO33+AO35+AO40+AO42+AO43</f>
        <v>0</v>
      </c>
      <c r="AP45" s="577"/>
      <c r="AQ45" s="577">
        <f>+AQ30+AQ33+AQ35+AQ40+AQ42+AQ43</f>
        <v>0</v>
      </c>
      <c r="AR45" s="577">
        <f>+AR30+AR33+AR35+AR40+AR42+AR43</f>
        <v>0</v>
      </c>
      <c r="AS45" s="577"/>
      <c r="AT45" s="577">
        <f>+AT30+AT33+AT35+AT40+AT42+AT43</f>
        <v>0</v>
      </c>
      <c r="AU45" s="577">
        <f>+AU30+AU33+AU35+AU40+AU42+AU43</f>
        <v>0</v>
      </c>
      <c r="AV45" s="577"/>
      <c r="AW45" s="577">
        <f>+AW30+AW33+AW35+AW40+AW42+AW43</f>
        <v>0</v>
      </c>
      <c r="AX45" s="577">
        <f>+AX30+AX33+AX35+AX40+AX42+AX43</f>
        <v>5800720</v>
      </c>
      <c r="AY45" s="577">
        <f>+AY30+AY33+AY35+AY40+AY42+AY43</f>
        <v>5800720</v>
      </c>
      <c r="AZ45" s="577">
        <f>+AZ30+AZ33+AZ35+AZ40+AZ42+AZ43</f>
        <v>0</v>
      </c>
      <c r="BA45" s="577">
        <f>+BA30+BA33+BA35+BA40+BA42+BA43</f>
        <v>0</v>
      </c>
      <c r="BB45" s="577"/>
      <c r="BC45" s="577">
        <f>+BC30+BC33+BC35+BC40+BC42+BC43</f>
        <v>0</v>
      </c>
      <c r="BD45" s="577">
        <f>+BD30+BD33+BD35+BD40+BD42+BD43</f>
        <v>0</v>
      </c>
      <c r="BE45" s="577">
        <f>+BE30+BE33+BE35+BE40+BE42+BE43</f>
        <v>0</v>
      </c>
      <c r="BF45" s="577">
        <f>+BF30+BF33+BF35+BF40+BF42+BF43</f>
        <v>0</v>
      </c>
      <c r="BG45" s="577">
        <f>+BG30+BG33+BG35+BG40+BG42+BG43</f>
        <v>0</v>
      </c>
      <c r="BH45" s="577"/>
      <c r="BI45" s="577">
        <f>+BI30+BI33+BI35+BI40+BI42+BI43</f>
        <v>0</v>
      </c>
      <c r="BJ45" s="577">
        <f>+BJ30+BJ33+BJ35+BJ40+BJ42+BJ43</f>
        <v>0</v>
      </c>
      <c r="BK45" s="577"/>
      <c r="BL45" s="577">
        <f>+BL30+BL33+BL35+BL40+BL42+BL43</f>
        <v>0</v>
      </c>
      <c r="BM45" s="577">
        <f>+BM30+BM33+BM35+BM40+BM42+BM43</f>
        <v>0</v>
      </c>
      <c r="BN45" s="577"/>
      <c r="BO45" s="577">
        <f>+BO30+BO33+BO35+BO40+BO42+BO43</f>
        <v>0</v>
      </c>
      <c r="BP45" s="577">
        <f>+BP30+BP33+BP35+BP40+BP42+BP43</f>
        <v>0</v>
      </c>
      <c r="BQ45" s="577"/>
      <c r="BR45" s="577">
        <f>+BR30+BR33+BR35+BR40+BR42+BR43</f>
        <v>0</v>
      </c>
      <c r="BS45" s="577">
        <f>+BS30+BS33+BS35+BS40+BS42+BS43</f>
        <v>0</v>
      </c>
      <c r="BT45" s="577"/>
      <c r="BU45" s="577">
        <f>+BU30+BU33+BU35+BU40+BU42+BU43</f>
        <v>0</v>
      </c>
      <c r="BV45" s="577">
        <f>+BV30+BV33+BV35+BV40+BV42+BV43</f>
        <v>0</v>
      </c>
      <c r="BW45" s="577"/>
      <c r="BX45" s="577">
        <f>+BX30+BX33+BX35+BX40+BX42+BX43</f>
        <v>0</v>
      </c>
      <c r="BY45" s="577">
        <f>+BY30+BY33+BY35+BY40+BY42+BY43</f>
        <v>0</v>
      </c>
      <c r="BZ45" s="577"/>
      <c r="CA45" s="577">
        <f>+CA30+CA33+CA35+CA40+CA42+CA43</f>
        <v>0</v>
      </c>
      <c r="CB45" s="577">
        <f>+CB30+CB33+CB35+CB40+CB42+CB43</f>
        <v>0</v>
      </c>
      <c r="CC45" s="577"/>
      <c r="CD45" s="577">
        <f>+CD30+CD33+CD35+CD40+CD42+CD43</f>
        <v>0</v>
      </c>
      <c r="CE45" s="577">
        <f>+CE30+CE33+CE35+CE40+CE42+CE43</f>
        <v>0</v>
      </c>
      <c r="CF45" s="577"/>
      <c r="CG45" s="577">
        <f>+CG30+CG33+CG35+CG40+CG42+CG43</f>
        <v>0</v>
      </c>
      <c r="CH45" s="577">
        <f>+CH30+CH33+CH35+CH40+CH42+CH43</f>
        <v>0</v>
      </c>
      <c r="CI45" s="577"/>
      <c r="CJ45" s="577">
        <f>+CJ30+CJ33+CJ35+CJ40+CJ42+CJ43</f>
        <v>0</v>
      </c>
      <c r="CK45" s="577">
        <f>+CK30+CK33+CK35+CK40+CK42+CK43</f>
        <v>0</v>
      </c>
      <c r="CL45" s="577"/>
      <c r="CM45" s="577">
        <f>+CM30+CM33+CM35+CM40+CM42+CM43</f>
        <v>0</v>
      </c>
      <c r="CN45" s="577">
        <f>+CN30+CN33+CN35+CN40+CN42+CN43</f>
        <v>0</v>
      </c>
      <c r="CO45" s="577"/>
      <c r="CP45" s="577">
        <f>+CP30+CP33+CP35+CP40+CP42+CP43</f>
        <v>0</v>
      </c>
      <c r="CQ45" s="577">
        <f>+CQ30+CQ33+CQ35+CQ40+CQ42+CQ43</f>
        <v>0</v>
      </c>
      <c r="CR45" s="577"/>
      <c r="CS45" s="577">
        <f>+CS30+CS33+CS35+CS40+CS42+CS43</f>
        <v>0</v>
      </c>
      <c r="CT45" s="577">
        <f>+CT30+CT33+CT35+CT40+CT42+CT43</f>
        <v>0</v>
      </c>
      <c r="CU45" s="577"/>
      <c r="CV45" s="577">
        <f>+CV30+CV33+CV35+CV40+CV42+CV43</f>
        <v>0</v>
      </c>
      <c r="CW45" s="577">
        <f>+CW30+CW33+CW35+CW40+CW42+CW43</f>
        <v>0</v>
      </c>
      <c r="CX45" s="577">
        <f>+CX30+CX33+CX35+CX40+CX42+CX43</f>
        <v>0</v>
      </c>
      <c r="CY45" s="577">
        <f>+CY30+CY33+CY35+CY40+CY42+CY43</f>
        <v>0</v>
      </c>
      <c r="CZ45" s="577"/>
      <c r="DA45" s="577">
        <f>+DA30+DA33+DA35+DA40+DA42+DA43</f>
        <v>0</v>
      </c>
      <c r="DB45" s="577">
        <f>+DB30+DB33+DB35+DB40+DB42+DB43</f>
        <v>0</v>
      </c>
      <c r="DC45" s="577"/>
      <c r="DD45" s="577">
        <f t="shared" ref="DD45:DK45" si="70">+DD30+DD33+DD35+DD40+DD42+DD43</f>
        <v>0</v>
      </c>
      <c r="DE45" s="577">
        <f t="shared" si="70"/>
        <v>2760000</v>
      </c>
      <c r="DF45" s="577">
        <f t="shared" si="70"/>
        <v>2760000</v>
      </c>
      <c r="DG45" s="577">
        <f t="shared" si="70"/>
        <v>0</v>
      </c>
      <c r="DH45" s="577">
        <f t="shared" si="70"/>
        <v>0</v>
      </c>
      <c r="DI45" s="577">
        <f t="shared" si="70"/>
        <v>0</v>
      </c>
      <c r="DJ45" s="577">
        <f t="shared" si="70"/>
        <v>0</v>
      </c>
      <c r="DK45" s="577">
        <f t="shared" si="70"/>
        <v>0</v>
      </c>
      <c r="DL45" s="577"/>
      <c r="DM45" s="577">
        <f>+DM30+DM33+DM35+DM40+DM42+DM43</f>
        <v>0</v>
      </c>
      <c r="DN45" s="577">
        <f>+DN30+DN33+DN35+DN40+DN42+DN43</f>
        <v>0</v>
      </c>
      <c r="DO45" s="577"/>
      <c r="DP45" s="577">
        <f>+DP30+DP33+DP35+DP40+DP42+DP43</f>
        <v>0</v>
      </c>
      <c r="DQ45" s="577">
        <f>+DQ30+DQ33+DQ35+DQ40+DQ42+DQ43</f>
        <v>301869281</v>
      </c>
      <c r="DR45" s="577">
        <f>+DR30+DR33+DR35+DR40+DR42+DR43</f>
        <v>301869281</v>
      </c>
      <c r="DS45" s="577">
        <f>+DS30+DS33+DS35+DS40+DS42+DS43</f>
        <v>0</v>
      </c>
      <c r="DT45" s="577">
        <f>+DT30+DT33+DT35+DT40+DT42+DT43</f>
        <v>0</v>
      </c>
      <c r="DU45" s="577"/>
      <c r="DV45" s="577">
        <f>+DV30+DV33+DV35+DV40+DV42+DV43</f>
        <v>0</v>
      </c>
      <c r="DW45" s="577">
        <f>+DW30+DW33+DW35+DW40+DW42+DW43</f>
        <v>0</v>
      </c>
      <c r="DX45" s="577">
        <f>+DX30+DX33+DX35+DX40+DX42+DX43</f>
        <v>0</v>
      </c>
      <c r="DY45" s="577">
        <f>+DY30+DY33+DY35+DY40+DY42+DY43</f>
        <v>0</v>
      </c>
      <c r="DZ45" s="577">
        <f>+DZ30+DZ33+DZ35+DZ40+DZ42+DZ43</f>
        <v>0</v>
      </c>
      <c r="EA45" s="577">
        <f t="shared" ref="EA45:ED45" si="71">+EA30+EA33+EA35+EA40+EA42+EA43</f>
        <v>0</v>
      </c>
      <c r="EB45" s="577">
        <f t="shared" si="71"/>
        <v>0</v>
      </c>
      <c r="EC45" s="577">
        <f t="shared" si="71"/>
        <v>0</v>
      </c>
      <c r="ED45" s="577">
        <f t="shared" si="71"/>
        <v>0</v>
      </c>
      <c r="EE45" s="577">
        <f>+EE30+EE33+EE35+EE40+EE42+EE43</f>
        <v>0</v>
      </c>
      <c r="EF45" s="577">
        <f>+EF30+EF33+EF35+EF40+EF42+EF43</f>
        <v>0</v>
      </c>
      <c r="EG45" s="577">
        <f t="shared" ref="EG45:EQ45" si="72">+EG30+EG33+EG35+EG40+EG42+EG43</f>
        <v>0</v>
      </c>
      <c r="EH45" s="577">
        <f t="shared" si="72"/>
        <v>0</v>
      </c>
      <c r="EI45" s="577">
        <f t="shared" si="72"/>
        <v>0</v>
      </c>
      <c r="EJ45" s="577">
        <f t="shared" si="72"/>
        <v>0</v>
      </c>
      <c r="EK45" s="577">
        <f t="shared" si="72"/>
        <v>0</v>
      </c>
      <c r="EL45" s="577">
        <f t="shared" si="72"/>
        <v>2160000</v>
      </c>
      <c r="EM45" s="577">
        <f t="shared" si="72"/>
        <v>2160000</v>
      </c>
      <c r="EN45" s="577">
        <f t="shared" si="72"/>
        <v>0</v>
      </c>
      <c r="EO45" s="577">
        <f t="shared" si="72"/>
        <v>0</v>
      </c>
      <c r="EP45" s="577">
        <f t="shared" si="72"/>
        <v>0</v>
      </c>
      <c r="EQ45" s="577">
        <f t="shared" si="72"/>
        <v>0</v>
      </c>
      <c r="ER45" s="577">
        <f>+ER30+ER33+ER35+ER40+ER42+ER43</f>
        <v>0</v>
      </c>
      <c r="ES45" s="577"/>
      <c r="ET45" s="577">
        <f>+ET30+ET33+ET35+ET40+ET42+ET43</f>
        <v>0</v>
      </c>
      <c r="EU45" s="577">
        <f>+EU30+EU33+EU35+EU40+EU42+EU43</f>
        <v>0</v>
      </c>
      <c r="EV45" s="577"/>
      <c r="EW45" s="577">
        <f>+EW30+EW33+EW35+EW40+EW42+EW43</f>
        <v>0</v>
      </c>
      <c r="EX45" s="577">
        <f>+EX30+EX33+EX35+EX40+EX42+EX43</f>
        <v>0</v>
      </c>
      <c r="EY45" s="577"/>
      <c r="EZ45" s="577">
        <f>+EZ30+EZ33+EZ35+EZ40+EZ42+EZ43</f>
        <v>0</v>
      </c>
      <c r="FA45" s="577">
        <f>+FA30+FA33+FA35+FA40+FA42+FA43</f>
        <v>0</v>
      </c>
      <c r="FB45" s="577"/>
      <c r="FC45" s="577">
        <f>+FC30+FC33+FC35+FC40+FC42+FC43</f>
        <v>0</v>
      </c>
      <c r="FD45" s="577">
        <f>+FD30+FD33+FD35+FD40+FD42+FD43</f>
        <v>0</v>
      </c>
      <c r="FE45" s="577"/>
      <c r="FF45" s="577">
        <f>+FF30+FF33+FF35+FF40+FF42+FF43</f>
        <v>0</v>
      </c>
      <c r="FG45" s="577">
        <f>+FG30+FG33+FG35+FG40+FG42+FG43</f>
        <v>0</v>
      </c>
      <c r="FH45" s="577"/>
      <c r="FI45" s="577">
        <f>+FI30+FI33+FI35+FI40+FI42+FI43</f>
        <v>0</v>
      </c>
      <c r="FJ45" s="577">
        <f>+FJ30+FJ33+FJ35+FJ40+FJ42+FJ43</f>
        <v>0</v>
      </c>
      <c r="FK45" s="577"/>
      <c r="FL45" s="577">
        <f>+FL30+FL33+FL35+FL40+FL42+FL43</f>
        <v>0</v>
      </c>
      <c r="FM45" s="577">
        <f>+FM30+FM33+FM35+FM40+FM42+FM43</f>
        <v>0</v>
      </c>
      <c r="FN45" s="577"/>
      <c r="FO45" s="577">
        <f>+FO30+FO33+FO35+FO40+FO42+FO43</f>
        <v>0</v>
      </c>
      <c r="FP45" s="577">
        <f>+FP30+FP33+FP35+FP40+FP42+FP43</f>
        <v>0</v>
      </c>
      <c r="FQ45" s="577"/>
      <c r="FR45" s="577">
        <f>+FR30+FR33+FR35+FR40+FR42+FR43</f>
        <v>0</v>
      </c>
      <c r="FS45" s="577">
        <f>+FS30+FS33+FS35+FS40+FS42+FS43</f>
        <v>0</v>
      </c>
      <c r="FT45" s="577"/>
      <c r="FU45" s="577">
        <f>+FU30+FU33+FU35+FU40+FU42+FU43</f>
        <v>0</v>
      </c>
      <c r="FV45" s="577">
        <f>+FV30+FV33+FV35+FV40+FV42+FV43</f>
        <v>0</v>
      </c>
      <c r="FW45" s="577"/>
      <c r="FX45" s="577">
        <f>+FX30+FX33+FX35+FX40+FX42+FX43</f>
        <v>0</v>
      </c>
      <c r="FY45" s="577">
        <f>+FY30+FY33+FY35+FY40+FY42+FY43</f>
        <v>0</v>
      </c>
      <c r="FZ45" s="577">
        <f t="shared" ref="FZ45:GO45" si="73">+FZ30+FZ33+FZ35+FZ40+FZ42+FZ43</f>
        <v>0</v>
      </c>
      <c r="GA45" s="577">
        <f t="shared" si="73"/>
        <v>0</v>
      </c>
      <c r="GB45" s="577">
        <f t="shared" si="73"/>
        <v>103001908</v>
      </c>
      <c r="GC45" s="577">
        <f t="shared" si="73"/>
        <v>51501927</v>
      </c>
      <c r="GD45" s="577">
        <f t="shared" si="73"/>
        <v>0</v>
      </c>
      <c r="GE45" s="577">
        <f t="shared" si="73"/>
        <v>0</v>
      </c>
      <c r="GF45" s="577">
        <f t="shared" si="73"/>
        <v>0</v>
      </c>
      <c r="GG45" s="577">
        <f t="shared" si="73"/>
        <v>0</v>
      </c>
      <c r="GH45" s="577">
        <f t="shared" si="73"/>
        <v>150000000</v>
      </c>
      <c r="GI45" s="577">
        <f t="shared" si="73"/>
        <v>150000000</v>
      </c>
      <c r="GJ45" s="577">
        <f t="shared" si="73"/>
        <v>0</v>
      </c>
      <c r="GK45" s="577">
        <f t="shared" si="73"/>
        <v>3000000</v>
      </c>
      <c r="GL45" s="577">
        <f t="shared" si="73"/>
        <v>3000000</v>
      </c>
      <c r="GM45" s="577">
        <f t="shared" si="73"/>
        <v>0</v>
      </c>
      <c r="GN45" s="577">
        <f t="shared" si="73"/>
        <v>0</v>
      </c>
      <c r="GO45" s="577">
        <f t="shared" si="73"/>
        <v>0</v>
      </c>
      <c r="GP45" s="696">
        <f t="shared" si="0"/>
        <v>514331928</v>
      </c>
      <c r="GQ45" s="696">
        <f t="shared" si="1"/>
        <v>2760000</v>
      </c>
      <c r="GS45" s="696">
        <f t="shared" si="2"/>
        <v>517091928</v>
      </c>
      <c r="GT45" s="696">
        <f t="shared" si="3"/>
        <v>517091928</v>
      </c>
      <c r="GV45" s="696">
        <f>+GC46-GC45-GC44</f>
        <v>0</v>
      </c>
    </row>
    <row r="46" spans="1:204" x14ac:dyDescent="0.2">
      <c r="A46" s="9" t="s">
        <v>111</v>
      </c>
      <c r="B46" s="25" t="s">
        <v>110</v>
      </c>
      <c r="C46" s="576"/>
      <c r="D46" s="598">
        <f t="shared" ref="D46:T46" si="74">+D44+D45</f>
        <v>11563836</v>
      </c>
      <c r="E46" s="598">
        <f t="shared" si="74"/>
        <v>14006947</v>
      </c>
      <c r="F46" s="598">
        <f t="shared" si="74"/>
        <v>13070515</v>
      </c>
      <c r="G46" s="598">
        <f t="shared" si="74"/>
        <v>1139076</v>
      </c>
      <c r="H46" s="598">
        <f t="shared" si="74"/>
        <v>1306389</v>
      </c>
      <c r="I46" s="598">
        <f t="shared" si="74"/>
        <v>957995</v>
      </c>
      <c r="J46" s="598">
        <f t="shared" si="74"/>
        <v>1500000</v>
      </c>
      <c r="K46" s="598">
        <f t="shared" si="74"/>
        <v>644000</v>
      </c>
      <c r="L46" s="598">
        <f t="shared" si="74"/>
        <v>644000</v>
      </c>
      <c r="M46" s="598">
        <f t="shared" si="74"/>
        <v>2100000</v>
      </c>
      <c r="N46" s="598">
        <f t="shared" si="74"/>
        <v>2625412</v>
      </c>
      <c r="O46" s="598">
        <f t="shared" si="74"/>
        <v>2608267</v>
      </c>
      <c r="P46" s="598">
        <f t="shared" si="74"/>
        <v>30000000</v>
      </c>
      <c r="Q46" s="598">
        <f t="shared" si="74"/>
        <v>31664409</v>
      </c>
      <c r="R46" s="598">
        <f t="shared" si="74"/>
        <v>31483919</v>
      </c>
      <c r="S46" s="598">
        <f t="shared" si="74"/>
        <v>0</v>
      </c>
      <c r="T46" s="598">
        <f t="shared" si="74"/>
        <v>0</v>
      </c>
      <c r="U46" s="598"/>
      <c r="V46" s="598">
        <f t="shared" ref="V46:AC46" si="75">+V44+V45</f>
        <v>120000</v>
      </c>
      <c r="W46" s="598">
        <f t="shared" si="75"/>
        <v>181900</v>
      </c>
      <c r="X46" s="598">
        <f t="shared" si="75"/>
        <v>181900</v>
      </c>
      <c r="Y46" s="598">
        <f t="shared" si="75"/>
        <v>0</v>
      </c>
      <c r="Z46" s="598">
        <f t="shared" si="75"/>
        <v>468000</v>
      </c>
      <c r="AA46" s="598">
        <f t="shared" si="75"/>
        <v>468000</v>
      </c>
      <c r="AB46" s="598">
        <f t="shared" si="75"/>
        <v>0</v>
      </c>
      <c r="AC46" s="598">
        <f t="shared" si="75"/>
        <v>0</v>
      </c>
      <c r="AD46" s="598"/>
      <c r="AE46" s="598">
        <f>+AE44+AE45</f>
        <v>1740000</v>
      </c>
      <c r="AF46" s="598">
        <f>+AF44+AF45</f>
        <v>1791045</v>
      </c>
      <c r="AG46" s="598">
        <f>+AG44+AG45</f>
        <v>1791045</v>
      </c>
      <c r="AH46" s="598">
        <f>+AH44+AH45</f>
        <v>0</v>
      </c>
      <c r="AI46" s="598">
        <f>+AI44+AI45</f>
        <v>0</v>
      </c>
      <c r="AJ46" s="598"/>
      <c r="AK46" s="598">
        <f>+AK44+AK45</f>
        <v>0</v>
      </c>
      <c r="AL46" s="598">
        <f>+AL44+AL45</f>
        <v>0</v>
      </c>
      <c r="AM46" s="598"/>
      <c r="AN46" s="598">
        <f>+AN44+AN45</f>
        <v>0</v>
      </c>
      <c r="AO46" s="598">
        <f>+AO44+AO45</f>
        <v>0</v>
      </c>
      <c r="AP46" s="598"/>
      <c r="AQ46" s="598">
        <f>+AQ44+AQ45</f>
        <v>0</v>
      </c>
      <c r="AR46" s="598">
        <f>+AR44+AR45</f>
        <v>0</v>
      </c>
      <c r="AS46" s="598"/>
      <c r="AT46" s="598">
        <f>+AT44+AT45</f>
        <v>0</v>
      </c>
      <c r="AU46" s="598">
        <f>+AU44+AU45</f>
        <v>0</v>
      </c>
      <c r="AV46" s="598"/>
      <c r="AW46" s="598">
        <f>+AW44+AW45</f>
        <v>0</v>
      </c>
      <c r="AX46" s="598">
        <f>+AX44+AX45</f>
        <v>8326915</v>
      </c>
      <c r="AY46" s="577">
        <f>+AY44+AY45</f>
        <v>8326915</v>
      </c>
      <c r="AZ46" s="598">
        <f>+AZ44+AZ45</f>
        <v>0</v>
      </c>
      <c r="BA46" s="598">
        <f>+BA44+BA45</f>
        <v>0</v>
      </c>
      <c r="BB46" s="598"/>
      <c r="BC46" s="598">
        <f t="shared" ref="BC46:BJ46" si="76">+BC44+BC45</f>
        <v>65000000</v>
      </c>
      <c r="BD46" s="598">
        <f t="shared" si="76"/>
        <v>82628999</v>
      </c>
      <c r="BE46" s="598">
        <f t="shared" si="76"/>
        <v>82628999</v>
      </c>
      <c r="BF46" s="598">
        <f t="shared" si="76"/>
        <v>65000000</v>
      </c>
      <c r="BG46" s="598">
        <f t="shared" si="76"/>
        <v>47371000</v>
      </c>
      <c r="BH46" s="598">
        <f t="shared" si="76"/>
        <v>47371000</v>
      </c>
      <c r="BI46" s="598">
        <f t="shared" si="76"/>
        <v>0</v>
      </c>
      <c r="BJ46" s="598">
        <f t="shared" si="76"/>
        <v>0</v>
      </c>
      <c r="BK46" s="598"/>
      <c r="BL46" s="598">
        <f>+BL44+BL45</f>
        <v>0</v>
      </c>
      <c r="BM46" s="598">
        <f>+BM44+BM45</f>
        <v>0</v>
      </c>
      <c r="BN46" s="598"/>
      <c r="BO46" s="598">
        <f>+BO44+BO45</f>
        <v>0</v>
      </c>
      <c r="BP46" s="598">
        <f>+BP44+BP45</f>
        <v>0</v>
      </c>
      <c r="BQ46" s="598"/>
      <c r="BR46" s="598">
        <f>+BR44+BR45</f>
        <v>0</v>
      </c>
      <c r="BS46" s="598">
        <f>+BS44+BS45</f>
        <v>0</v>
      </c>
      <c r="BT46" s="598"/>
      <c r="BU46" s="598">
        <f>+BU44+BU45</f>
        <v>0</v>
      </c>
      <c r="BV46" s="598">
        <f>+BV44+BV45</f>
        <v>0</v>
      </c>
      <c r="BW46" s="598"/>
      <c r="BX46" s="598">
        <f>+BX44+BX45</f>
        <v>0</v>
      </c>
      <c r="BY46" s="598">
        <f>+BY44+BY45</f>
        <v>0</v>
      </c>
      <c r="BZ46" s="598"/>
      <c r="CA46" s="598">
        <f>+CA44+CA45</f>
        <v>0</v>
      </c>
      <c r="CB46" s="598">
        <f>+CB44+CB45</f>
        <v>0</v>
      </c>
      <c r="CC46" s="598"/>
      <c r="CD46" s="598">
        <f>+CD44+CD45</f>
        <v>0</v>
      </c>
      <c r="CE46" s="598">
        <f>+CE44+CE45</f>
        <v>0</v>
      </c>
      <c r="CF46" s="598"/>
      <c r="CG46" s="598">
        <f>+CG44+CG45</f>
        <v>0</v>
      </c>
      <c r="CH46" s="598">
        <f>+CH44+CH45</f>
        <v>0</v>
      </c>
      <c r="CI46" s="598"/>
      <c r="CJ46" s="598">
        <f>+CJ44+CJ45</f>
        <v>0</v>
      </c>
      <c r="CK46" s="598">
        <f>+CK44+CK45</f>
        <v>0</v>
      </c>
      <c r="CL46" s="598"/>
      <c r="CM46" s="598">
        <f>+CM44+CM45</f>
        <v>0</v>
      </c>
      <c r="CN46" s="598">
        <f>+CN44+CN45</f>
        <v>0</v>
      </c>
      <c r="CO46" s="598"/>
      <c r="CP46" s="598">
        <f t="shared" ref="CP46:CY46" si="77">+CP44+CP45</f>
        <v>0</v>
      </c>
      <c r="CQ46" s="598">
        <f t="shared" si="77"/>
        <v>8992</v>
      </c>
      <c r="CR46" s="598">
        <f t="shared" si="77"/>
        <v>8992</v>
      </c>
      <c r="CS46" s="598">
        <f t="shared" si="77"/>
        <v>0</v>
      </c>
      <c r="CT46" s="598">
        <f t="shared" si="77"/>
        <v>519900</v>
      </c>
      <c r="CU46" s="598">
        <f t="shared" si="77"/>
        <v>519900</v>
      </c>
      <c r="CV46" s="598">
        <f t="shared" si="77"/>
        <v>0</v>
      </c>
      <c r="CW46" s="598">
        <f t="shared" si="77"/>
        <v>0</v>
      </c>
      <c r="CX46" s="598">
        <f t="shared" si="77"/>
        <v>0</v>
      </c>
      <c r="CY46" s="598">
        <f t="shared" si="77"/>
        <v>0</v>
      </c>
      <c r="CZ46" s="598"/>
      <c r="DA46" s="598">
        <f>+DA44+DA45</f>
        <v>0</v>
      </c>
      <c r="DB46" s="598">
        <f>+DB44+DB45</f>
        <v>0</v>
      </c>
      <c r="DC46" s="598"/>
      <c r="DD46" s="598">
        <f t="shared" ref="DD46:DK46" si="78">+DD44+DD45</f>
        <v>0</v>
      </c>
      <c r="DE46" s="598">
        <f t="shared" si="78"/>
        <v>2760000</v>
      </c>
      <c r="DF46" s="598">
        <f t="shared" si="78"/>
        <v>2760000</v>
      </c>
      <c r="DG46" s="598">
        <f t="shared" si="78"/>
        <v>0</v>
      </c>
      <c r="DH46" s="598">
        <f t="shared" si="78"/>
        <v>228600</v>
      </c>
      <c r="DI46" s="598">
        <f t="shared" si="78"/>
        <v>228600</v>
      </c>
      <c r="DJ46" s="598">
        <f t="shared" si="78"/>
        <v>0</v>
      </c>
      <c r="DK46" s="598">
        <f t="shared" si="78"/>
        <v>0</v>
      </c>
      <c r="DL46" s="598"/>
      <c r="DM46" s="598">
        <f>+DM44+DM45</f>
        <v>0</v>
      </c>
      <c r="DN46" s="598">
        <f>+DN44+DN45</f>
        <v>0</v>
      </c>
      <c r="DO46" s="598"/>
      <c r="DP46" s="598">
        <f>+DP44+DP45</f>
        <v>0</v>
      </c>
      <c r="DQ46" s="598">
        <f>+DQ44+DQ45</f>
        <v>369494188</v>
      </c>
      <c r="DR46" s="598">
        <f>+DR44+DR45</f>
        <v>369494188</v>
      </c>
      <c r="DS46" s="598">
        <f>+DS44+DS45</f>
        <v>0</v>
      </c>
      <c r="DT46" s="598">
        <f>+DT44+DT45</f>
        <v>0</v>
      </c>
      <c r="DU46" s="598"/>
      <c r="DV46" s="598">
        <f>+DV44+DV45</f>
        <v>0</v>
      </c>
      <c r="DW46" s="598">
        <f>+DW44+DW45</f>
        <v>13353914</v>
      </c>
      <c r="DX46" s="598">
        <f>+DX44+DX45</f>
        <v>13353914</v>
      </c>
      <c r="DY46" s="598">
        <f>+DY44+DY45</f>
        <v>0</v>
      </c>
      <c r="DZ46" s="598">
        <f>+DZ44+DZ45</f>
        <v>0</v>
      </c>
      <c r="EA46" s="598">
        <f t="shared" ref="EA46:ED46" si="79">+EA44+EA45</f>
        <v>0</v>
      </c>
      <c r="EB46" s="598">
        <f t="shared" si="79"/>
        <v>0</v>
      </c>
      <c r="EC46" s="598">
        <f t="shared" si="79"/>
        <v>0</v>
      </c>
      <c r="ED46" s="598">
        <f t="shared" si="79"/>
        <v>0</v>
      </c>
      <c r="EE46" s="598">
        <f>+EE44+EE45</f>
        <v>0</v>
      </c>
      <c r="EF46" s="598">
        <f>+EF44+EF45</f>
        <v>0</v>
      </c>
      <c r="EG46" s="598">
        <f t="shared" ref="EG46:EQ46" si="80">+EG44+EG45</f>
        <v>0</v>
      </c>
      <c r="EH46" s="598">
        <f t="shared" si="80"/>
        <v>0</v>
      </c>
      <c r="EI46" s="598">
        <f t="shared" si="80"/>
        <v>0</v>
      </c>
      <c r="EJ46" s="598">
        <f t="shared" si="80"/>
        <v>0</v>
      </c>
      <c r="EK46" s="598">
        <f t="shared" si="80"/>
        <v>0</v>
      </c>
      <c r="EL46" s="598">
        <f t="shared" si="80"/>
        <v>9000000</v>
      </c>
      <c r="EM46" s="598">
        <f t="shared" si="80"/>
        <v>9000000</v>
      </c>
      <c r="EN46" s="598">
        <f t="shared" si="80"/>
        <v>0</v>
      </c>
      <c r="EO46" s="598">
        <f t="shared" si="80"/>
        <v>0</v>
      </c>
      <c r="EP46" s="598">
        <f t="shared" si="80"/>
        <v>0</v>
      </c>
      <c r="EQ46" s="598">
        <f t="shared" si="80"/>
        <v>0</v>
      </c>
      <c r="ER46" s="598">
        <f>+ER44+ER45</f>
        <v>0</v>
      </c>
      <c r="ES46" s="598"/>
      <c r="ET46" s="598">
        <f>+ET44+ET45</f>
        <v>0</v>
      </c>
      <c r="EU46" s="598">
        <f>+EU44+EU45</f>
        <v>0</v>
      </c>
      <c r="EV46" s="598"/>
      <c r="EW46" s="598">
        <f>+EW44+EW45</f>
        <v>0</v>
      </c>
      <c r="EX46" s="598">
        <f>+EX44+EX45</f>
        <v>0</v>
      </c>
      <c r="EY46" s="598"/>
      <c r="EZ46" s="598">
        <f>+EZ44+EZ45</f>
        <v>0</v>
      </c>
      <c r="FA46" s="598">
        <f>+FA44+FA45</f>
        <v>0</v>
      </c>
      <c r="FB46" s="598"/>
      <c r="FC46" s="598">
        <f>+FC44+FC45</f>
        <v>0</v>
      </c>
      <c r="FD46" s="598">
        <f>+FD44+FD45</f>
        <v>0</v>
      </c>
      <c r="FE46" s="598"/>
      <c r="FF46" s="598">
        <f>+FF44+FF45</f>
        <v>0</v>
      </c>
      <c r="FG46" s="598">
        <f>+FG44+FG45</f>
        <v>0</v>
      </c>
      <c r="FH46" s="598"/>
      <c r="FI46" s="598">
        <f>+FI44+FI45</f>
        <v>0</v>
      </c>
      <c r="FJ46" s="598">
        <f>+FJ44+FJ45</f>
        <v>0</v>
      </c>
      <c r="FK46" s="598"/>
      <c r="FL46" s="598">
        <f>+FL44+FL45</f>
        <v>0</v>
      </c>
      <c r="FM46" s="598">
        <f>+FM44+FM45</f>
        <v>0</v>
      </c>
      <c r="FN46" s="598"/>
      <c r="FO46" s="598">
        <f>+FO44+FO45</f>
        <v>0</v>
      </c>
      <c r="FP46" s="598">
        <f>+FP44+FP45</f>
        <v>0</v>
      </c>
      <c r="FQ46" s="598"/>
      <c r="FR46" s="598">
        <f>+FR44+FR45</f>
        <v>0</v>
      </c>
      <c r="FS46" s="598">
        <f>+FS44+FS45</f>
        <v>0</v>
      </c>
      <c r="FT46" s="598"/>
      <c r="FU46" s="598">
        <f>+FU44+FU45</f>
        <v>0</v>
      </c>
      <c r="FV46" s="598">
        <f>+FV44+FV45</f>
        <v>0</v>
      </c>
      <c r="FW46" s="598"/>
      <c r="FX46" s="598">
        <f>+FX44+FX45</f>
        <v>0</v>
      </c>
      <c r="FY46" s="598">
        <f>+FY44+FY45</f>
        <v>0</v>
      </c>
      <c r="FZ46" s="598">
        <f t="shared" ref="FZ46:GL46" si="81">+FZ44+FZ45</f>
        <v>0</v>
      </c>
      <c r="GA46" s="598">
        <f t="shared" si="81"/>
        <v>0</v>
      </c>
      <c r="GB46" s="598">
        <f t="shared" si="81"/>
        <v>106905920</v>
      </c>
      <c r="GC46" s="598">
        <f t="shared" si="81"/>
        <v>53452960</v>
      </c>
      <c r="GD46" s="598">
        <f t="shared" si="81"/>
        <v>0</v>
      </c>
      <c r="GE46" s="598">
        <f t="shared" si="81"/>
        <v>0</v>
      </c>
      <c r="GF46" s="598">
        <f t="shared" si="81"/>
        <v>0</v>
      </c>
      <c r="GG46" s="598">
        <f t="shared" si="81"/>
        <v>0</v>
      </c>
      <c r="GH46" s="598">
        <f t="shared" si="81"/>
        <v>150000000</v>
      </c>
      <c r="GI46" s="598">
        <f t="shared" si="81"/>
        <v>150000000</v>
      </c>
      <c r="GJ46" s="598">
        <f t="shared" si="81"/>
        <v>0</v>
      </c>
      <c r="GK46" s="598">
        <f t="shared" si="81"/>
        <v>3000000</v>
      </c>
      <c r="GL46" s="598">
        <f t="shared" si="81"/>
        <v>3000000</v>
      </c>
      <c r="GM46" s="598"/>
      <c r="GN46" s="598"/>
      <c r="GO46" s="598"/>
      <c r="GP46" s="696">
        <f t="shared" si="0"/>
        <v>756228690</v>
      </c>
      <c r="GQ46" s="696">
        <f t="shared" si="1"/>
        <v>35122419</v>
      </c>
      <c r="GS46" s="696">
        <f t="shared" si="2"/>
        <v>791351109</v>
      </c>
      <c r="GT46" s="696">
        <f t="shared" si="3"/>
        <v>791351109</v>
      </c>
    </row>
    <row r="47" spans="1:204" x14ac:dyDescent="0.25">
      <c r="A47" s="9" t="s">
        <v>113</v>
      </c>
      <c r="B47" s="25" t="s">
        <v>112</v>
      </c>
      <c r="C47" s="576"/>
      <c r="D47" s="598"/>
      <c r="E47" s="598"/>
      <c r="F47" s="598"/>
      <c r="G47" s="598"/>
      <c r="H47" s="598"/>
      <c r="I47" s="598"/>
      <c r="J47" s="598">
        <v>3</v>
      </c>
      <c r="K47" s="598">
        <v>0</v>
      </c>
      <c r="L47" s="598">
        <v>0</v>
      </c>
      <c r="M47" s="598">
        <v>2</v>
      </c>
      <c r="N47" s="598">
        <f>M47</f>
        <v>2</v>
      </c>
      <c r="O47" s="598">
        <v>2</v>
      </c>
      <c r="P47" s="598">
        <v>4</v>
      </c>
      <c r="Q47" s="598">
        <v>5</v>
      </c>
      <c r="R47" s="598">
        <v>5</v>
      </c>
      <c r="S47" s="598"/>
      <c r="T47" s="598"/>
      <c r="U47" s="598"/>
      <c r="V47" s="598"/>
      <c r="W47" s="598"/>
      <c r="X47" s="598"/>
      <c r="Y47" s="598"/>
      <c r="Z47" s="598"/>
      <c r="AA47" s="598"/>
      <c r="AB47" s="598"/>
      <c r="AC47" s="598"/>
      <c r="AD47" s="598"/>
      <c r="AE47" s="598"/>
      <c r="AF47" s="598"/>
      <c r="AG47" s="598"/>
      <c r="AH47" s="598"/>
      <c r="AI47" s="598"/>
      <c r="AJ47" s="598"/>
      <c r="AK47" s="598"/>
      <c r="AL47" s="598"/>
      <c r="AM47" s="598"/>
      <c r="AN47" s="598"/>
      <c r="AO47" s="598"/>
      <c r="AP47" s="598"/>
      <c r="AQ47" s="598"/>
      <c r="AR47" s="598"/>
      <c r="AS47" s="598"/>
      <c r="AT47" s="598"/>
      <c r="AU47" s="598"/>
      <c r="AV47" s="598"/>
      <c r="AW47" s="598"/>
      <c r="AX47" s="598"/>
      <c r="AY47" s="598"/>
      <c r="AZ47" s="598"/>
      <c r="BA47" s="598"/>
      <c r="BB47" s="598"/>
      <c r="BC47" s="598"/>
      <c r="BD47" s="598"/>
      <c r="BE47" s="598"/>
      <c r="BF47" s="598"/>
      <c r="BG47" s="598"/>
      <c r="BH47" s="598"/>
      <c r="BI47" s="598"/>
      <c r="BJ47" s="598"/>
      <c r="BK47" s="598"/>
      <c r="BL47" s="598"/>
      <c r="BM47" s="598"/>
      <c r="BN47" s="598"/>
      <c r="BO47" s="598"/>
      <c r="BP47" s="598"/>
      <c r="BQ47" s="598"/>
      <c r="BR47" s="598"/>
      <c r="BS47" s="598"/>
      <c r="BT47" s="598"/>
      <c r="BU47" s="598"/>
      <c r="BV47" s="598"/>
      <c r="BW47" s="598"/>
      <c r="BX47" s="598"/>
      <c r="BY47" s="598"/>
      <c r="BZ47" s="598"/>
      <c r="CA47" s="598"/>
      <c r="CB47" s="598"/>
      <c r="CC47" s="598"/>
      <c r="CD47" s="598"/>
      <c r="CE47" s="598"/>
      <c r="CF47" s="598"/>
      <c r="CG47" s="598"/>
      <c r="CH47" s="598"/>
      <c r="CI47" s="598"/>
      <c r="CJ47" s="598"/>
      <c r="CK47" s="598"/>
      <c r="CL47" s="598"/>
      <c r="CM47" s="598"/>
      <c r="CN47" s="598"/>
      <c r="CO47" s="598"/>
      <c r="CP47" s="598"/>
      <c r="CQ47" s="598"/>
      <c r="CR47" s="598"/>
      <c r="CS47" s="598"/>
      <c r="CT47" s="598"/>
      <c r="CU47" s="598"/>
      <c r="CV47" s="598"/>
      <c r="CW47" s="598"/>
      <c r="CX47" s="598"/>
      <c r="CY47" s="598"/>
      <c r="CZ47" s="598"/>
      <c r="DA47" s="598"/>
      <c r="DB47" s="598"/>
      <c r="DC47" s="598"/>
      <c r="DD47" s="598"/>
      <c r="DE47" s="598"/>
      <c r="DF47" s="598"/>
      <c r="DG47" s="598"/>
      <c r="DH47" s="598"/>
      <c r="DI47" s="598"/>
      <c r="DJ47" s="598"/>
      <c r="DK47" s="598"/>
      <c r="DL47" s="598"/>
      <c r="DM47" s="598"/>
      <c r="DN47" s="598"/>
      <c r="DO47" s="598"/>
      <c r="DP47" s="598"/>
      <c r="DQ47" s="598"/>
      <c r="DR47" s="598"/>
      <c r="DS47" s="598"/>
      <c r="DT47" s="598"/>
      <c r="DU47" s="598"/>
      <c r="DV47" s="599"/>
      <c r="DW47" s="599"/>
      <c r="DX47" s="599"/>
      <c r="DY47" s="599"/>
      <c r="DZ47" s="599"/>
      <c r="EA47" s="599"/>
      <c r="EB47" s="599"/>
      <c r="EC47" s="599"/>
      <c r="ED47" s="599"/>
      <c r="EE47" s="599"/>
      <c r="EF47" s="599"/>
      <c r="EG47" s="599"/>
      <c r="EH47" s="599"/>
      <c r="EI47" s="599"/>
      <c r="EJ47" s="599"/>
      <c r="EK47" s="599"/>
      <c r="EL47" s="599"/>
      <c r="EM47" s="599"/>
      <c r="EN47" s="599"/>
      <c r="EO47" s="599"/>
      <c r="EP47" s="599"/>
      <c r="EQ47" s="598"/>
      <c r="ER47" s="598"/>
      <c r="ES47" s="598"/>
      <c r="ET47" s="598"/>
      <c r="EU47" s="598"/>
      <c r="EV47" s="598"/>
      <c r="EW47" s="598"/>
      <c r="EX47" s="598"/>
      <c r="EY47" s="598"/>
      <c r="EZ47" s="598"/>
      <c r="FA47" s="598"/>
      <c r="FB47" s="598"/>
      <c r="FC47" s="598"/>
      <c r="FD47" s="598"/>
      <c r="FE47" s="598"/>
      <c r="FF47" s="598"/>
      <c r="FG47" s="598"/>
      <c r="FH47" s="598"/>
      <c r="FI47" s="598"/>
      <c r="FJ47" s="598"/>
      <c r="FK47" s="598"/>
      <c r="FL47" s="598"/>
      <c r="FM47" s="598"/>
      <c r="FN47" s="598"/>
      <c r="FO47" s="598"/>
      <c r="FP47" s="598"/>
      <c r="FQ47" s="598"/>
      <c r="FR47" s="598"/>
      <c r="FS47" s="598"/>
      <c r="FT47" s="598"/>
      <c r="FU47" s="598"/>
      <c r="FV47" s="606"/>
      <c r="FW47" s="605"/>
      <c r="FX47" s="598"/>
      <c r="FY47" s="606"/>
      <c r="FZ47" s="605"/>
      <c r="GA47" s="598"/>
      <c r="GB47" s="606"/>
      <c r="GC47" s="605"/>
      <c r="GD47" s="598"/>
      <c r="GE47" s="606"/>
      <c r="GF47" s="605"/>
      <c r="GG47" s="598"/>
      <c r="GH47" s="606"/>
      <c r="GI47" s="605"/>
      <c r="GJ47" s="598"/>
      <c r="GK47" s="606"/>
      <c r="GL47" s="605"/>
      <c r="GM47" s="598"/>
      <c r="GN47" s="606"/>
      <c r="GO47" s="605"/>
      <c r="GP47" s="696">
        <f t="shared" si="0"/>
        <v>2</v>
      </c>
      <c r="GQ47" s="696">
        <f t="shared" si="1"/>
        <v>5</v>
      </c>
      <c r="GS47" s="696">
        <f>+GP47+GQ47+GR47</f>
        <v>7</v>
      </c>
      <c r="GT47" s="696">
        <f t="shared" si="3"/>
        <v>7</v>
      </c>
    </row>
    <row r="48" spans="1:204" x14ac:dyDescent="0.25">
      <c r="A48" s="9" t="s">
        <v>250</v>
      </c>
      <c r="B48" s="25" t="s">
        <v>114</v>
      </c>
      <c r="C48" s="576"/>
      <c r="D48" s="598"/>
      <c r="E48" s="598"/>
      <c r="F48" s="598"/>
      <c r="G48" s="598"/>
      <c r="H48" s="598"/>
      <c r="I48" s="598"/>
      <c r="J48" s="598"/>
      <c r="K48" s="598"/>
      <c r="L48" s="598"/>
      <c r="M48" s="598">
        <f>'[1]6.sz. Beruházások'!U51</f>
        <v>10000000</v>
      </c>
      <c r="N48" s="598">
        <f>M48-10000000</f>
        <v>0</v>
      </c>
      <c r="O48" s="598"/>
      <c r="P48" s="598"/>
      <c r="Q48" s="598"/>
      <c r="R48" s="598"/>
      <c r="S48" s="598">
        <v>30250000</v>
      </c>
      <c r="T48" s="598">
        <f>S48-30250000</f>
        <v>0</v>
      </c>
      <c r="U48" s="598"/>
      <c r="V48" s="598">
        <v>6000000</v>
      </c>
      <c r="W48" s="598">
        <f>V48-6000000</f>
        <v>0</v>
      </c>
      <c r="X48" s="598"/>
      <c r="Y48" s="598">
        <v>10000000</v>
      </c>
      <c r="Z48" s="598">
        <f>Y48-10000000</f>
        <v>0</v>
      </c>
      <c r="AA48" s="598"/>
      <c r="AB48" s="598"/>
      <c r="AC48" s="598"/>
      <c r="AD48" s="598"/>
      <c r="AE48" s="598"/>
      <c r="AF48" s="598"/>
      <c r="AG48" s="598"/>
      <c r="AH48" s="598"/>
      <c r="AI48" s="598"/>
      <c r="AJ48" s="598"/>
      <c r="AK48" s="598"/>
      <c r="AL48" s="598"/>
      <c r="AM48" s="598"/>
      <c r="AN48" s="598"/>
      <c r="AO48" s="598"/>
      <c r="AP48" s="598"/>
      <c r="AQ48" s="598"/>
      <c r="AR48" s="598"/>
      <c r="AS48" s="598"/>
      <c r="AT48" s="598"/>
      <c r="AU48" s="598"/>
      <c r="AV48" s="598"/>
      <c r="AW48" s="598"/>
      <c r="AX48" s="598"/>
      <c r="AY48" s="598"/>
      <c r="AZ48" s="598"/>
      <c r="BA48" s="598"/>
      <c r="BB48" s="598"/>
      <c r="BC48" s="598"/>
      <c r="BD48" s="598"/>
      <c r="BE48" s="598"/>
      <c r="BF48" s="598"/>
      <c r="BG48" s="598"/>
      <c r="BH48" s="598"/>
      <c r="BI48" s="598"/>
      <c r="BJ48" s="598"/>
      <c r="BK48" s="598"/>
      <c r="BL48" s="598"/>
      <c r="BM48" s="598"/>
      <c r="BN48" s="598"/>
      <c r="BO48" s="598"/>
      <c r="BP48" s="598"/>
      <c r="BQ48" s="598"/>
      <c r="BR48" s="598"/>
      <c r="BS48" s="598"/>
      <c r="BT48" s="598"/>
      <c r="BU48" s="598"/>
      <c r="BV48" s="598"/>
      <c r="BW48" s="598"/>
      <c r="BX48" s="598"/>
      <c r="BY48" s="598"/>
      <c r="BZ48" s="598"/>
      <c r="CA48" s="598"/>
      <c r="CB48" s="598"/>
      <c r="CC48" s="598"/>
      <c r="CD48" s="598"/>
      <c r="CE48" s="598"/>
      <c r="CF48" s="598"/>
      <c r="CG48" s="598"/>
      <c r="CH48" s="598"/>
      <c r="CI48" s="598"/>
      <c r="CJ48" s="598"/>
      <c r="CK48" s="598"/>
      <c r="CL48" s="598"/>
      <c r="CM48" s="598"/>
      <c r="CN48" s="598"/>
      <c r="CO48" s="598"/>
      <c r="CP48" s="598"/>
      <c r="CQ48" s="598"/>
      <c r="CR48" s="598"/>
      <c r="CS48" s="598"/>
      <c r="CT48" s="598"/>
      <c r="CU48" s="598"/>
      <c r="CV48" s="598">
        <v>207822000</v>
      </c>
      <c r="CW48" s="598">
        <f>CV48-207822000</f>
        <v>0</v>
      </c>
      <c r="CX48" s="598"/>
      <c r="CY48" s="598"/>
      <c r="CZ48" s="598"/>
      <c r="DA48" s="598"/>
      <c r="DB48" s="598"/>
      <c r="DC48" s="598"/>
      <c r="DD48" s="598"/>
      <c r="DE48" s="598"/>
      <c r="DF48" s="598"/>
      <c r="DG48" s="598">
        <v>9000000</v>
      </c>
      <c r="DH48" s="598">
        <f>DG48-9000000</f>
        <v>0</v>
      </c>
      <c r="DI48" s="598"/>
      <c r="DJ48" s="598"/>
      <c r="DK48" s="598"/>
      <c r="DL48" s="598"/>
      <c r="DM48" s="598"/>
      <c r="DN48" s="598"/>
      <c r="DO48" s="598"/>
      <c r="DP48" s="598"/>
      <c r="DQ48" s="598"/>
      <c r="DR48" s="598"/>
      <c r="DS48" s="598"/>
      <c r="DT48" s="598"/>
      <c r="DU48" s="598"/>
      <c r="DV48" s="599"/>
      <c r="DW48" s="599"/>
      <c r="DX48" s="599"/>
      <c r="DY48" s="599"/>
      <c r="DZ48" s="599"/>
      <c r="EA48" s="599"/>
      <c r="EB48" s="599"/>
      <c r="EC48" s="599"/>
      <c r="ED48" s="599"/>
      <c r="EE48" s="599">
        <v>6000000</v>
      </c>
      <c r="EF48" s="599">
        <f>EE48-6000000</f>
        <v>0</v>
      </c>
      <c r="EG48" s="599"/>
      <c r="EH48" s="599"/>
      <c r="EI48" s="599"/>
      <c r="EJ48" s="599"/>
      <c r="EK48" s="599"/>
      <c r="EL48" s="599"/>
      <c r="EM48" s="599"/>
      <c r="EN48" s="599"/>
      <c r="EO48" s="599"/>
      <c r="EP48" s="599"/>
      <c r="EQ48" s="598"/>
      <c r="ER48" s="598"/>
      <c r="ES48" s="598"/>
      <c r="ET48" s="598"/>
      <c r="EU48" s="598"/>
      <c r="EV48" s="598"/>
      <c r="EW48" s="598"/>
      <c r="EX48" s="598"/>
      <c r="EY48" s="598"/>
      <c r="EZ48" s="598">
        <v>5000000</v>
      </c>
      <c r="FA48" s="598">
        <f>EZ48-5000000</f>
        <v>0</v>
      </c>
      <c r="FB48" s="598"/>
      <c r="FC48" s="598"/>
      <c r="FD48" s="598"/>
      <c r="FE48" s="598"/>
      <c r="FF48" s="598"/>
      <c r="FG48" s="598"/>
      <c r="FH48" s="598"/>
      <c r="FI48" s="598">
        <v>6000000</v>
      </c>
      <c r="FJ48" s="598">
        <f>FI48-6000000</f>
        <v>0</v>
      </c>
      <c r="FK48" s="598"/>
      <c r="FL48" s="598">
        <v>250000</v>
      </c>
      <c r="FM48" s="598">
        <f>FL48-250000</f>
        <v>0</v>
      </c>
      <c r="FN48" s="598"/>
      <c r="FO48" s="598">
        <v>350000</v>
      </c>
      <c r="FP48" s="598">
        <f>FO48-350000</f>
        <v>0</v>
      </c>
      <c r="FQ48" s="598"/>
      <c r="FR48" s="598"/>
      <c r="FS48" s="598"/>
      <c r="FT48" s="598"/>
      <c r="FU48" s="598"/>
      <c r="FV48" s="606"/>
      <c r="FW48" s="605"/>
      <c r="FX48" s="598">
        <v>1000000</v>
      </c>
      <c r="FY48" s="606">
        <f>FX48-1000000</f>
        <v>0</v>
      </c>
      <c r="FZ48" s="605"/>
      <c r="GA48" s="598"/>
      <c r="GB48" s="606"/>
      <c r="GC48" s="605"/>
      <c r="GD48" s="598"/>
      <c r="GE48" s="606"/>
      <c r="GF48" s="605"/>
      <c r="GG48" s="598"/>
      <c r="GH48" s="606"/>
      <c r="GI48" s="605"/>
      <c r="GJ48" s="598"/>
      <c r="GK48" s="606"/>
      <c r="GL48" s="605"/>
      <c r="GM48" s="598"/>
      <c r="GN48" s="606"/>
      <c r="GO48" s="605"/>
      <c r="GP48" s="696">
        <f t="shared" si="0"/>
        <v>0</v>
      </c>
      <c r="GQ48" s="696">
        <f t="shared" si="1"/>
        <v>0</v>
      </c>
      <c r="GS48" s="696">
        <f t="shared" si="2"/>
        <v>0</v>
      </c>
    </row>
    <row r="49" spans="1:203" x14ac:dyDescent="0.25">
      <c r="A49" s="3"/>
      <c r="D49" s="12">
        <f>SUM(D48:D48)</f>
        <v>0</v>
      </c>
      <c r="E49" s="12"/>
      <c r="F49" s="12"/>
      <c r="G49" s="12">
        <f>SUM(G48:G48)</f>
        <v>0</v>
      </c>
      <c r="H49" s="12"/>
      <c r="I49" s="12"/>
      <c r="J49" s="12">
        <f>SUM(J48:J48)</f>
        <v>0</v>
      </c>
      <c r="K49" s="12"/>
      <c r="L49" s="12"/>
      <c r="M49" s="12">
        <f>SUM(M48:M48)</f>
        <v>10000000</v>
      </c>
      <c r="N49" s="12"/>
      <c r="O49" s="12"/>
      <c r="P49" s="12">
        <f>SUM(P48:P48)</f>
        <v>0</v>
      </c>
      <c r="Q49" s="12"/>
      <c r="R49" s="12"/>
      <c r="S49" s="12">
        <f>SUM(S48:S48)</f>
        <v>30250000</v>
      </c>
      <c r="T49" s="12"/>
      <c r="U49" s="12"/>
      <c r="V49" s="12">
        <f>SUM(V48:V48)</f>
        <v>6000000</v>
      </c>
      <c r="W49" s="12"/>
      <c r="X49" s="12"/>
      <c r="Y49" s="12">
        <f>SUM(Y48:Y48)</f>
        <v>10000000</v>
      </c>
      <c r="Z49" s="12"/>
      <c r="AA49" s="12"/>
      <c r="AB49" s="12">
        <f>SUM(AB48:AB48)</f>
        <v>0</v>
      </c>
      <c r="AC49" s="12"/>
      <c r="AD49" s="12"/>
      <c r="AE49" s="12">
        <f>SUM(AE48:AE48)</f>
        <v>0</v>
      </c>
      <c r="AF49" s="12"/>
      <c r="AG49" s="12"/>
      <c r="AH49" s="12">
        <f>SUM(AH48:AH48)</f>
        <v>0</v>
      </c>
      <c r="AI49" s="12"/>
      <c r="AJ49" s="12"/>
      <c r="AK49" s="12">
        <f>SUM(AK48:AK48)</f>
        <v>0</v>
      </c>
      <c r="AL49" s="12"/>
      <c r="AM49" s="12"/>
      <c r="AN49" s="12">
        <f>SUM(AN48:AN48)</f>
        <v>0</v>
      </c>
      <c r="AO49" s="12"/>
      <c r="AP49" s="12"/>
      <c r="AQ49" s="12">
        <f>SUM(AQ48:AQ48)</f>
        <v>0</v>
      </c>
      <c r="AR49" s="12"/>
      <c r="AS49" s="12"/>
      <c r="AT49" s="12"/>
      <c r="AU49" s="12"/>
      <c r="AV49" s="12"/>
      <c r="AW49" s="12"/>
      <c r="AX49" s="12"/>
      <c r="AY49" s="12"/>
      <c r="AZ49" s="12">
        <f>SUM(AZ48:AZ48)</f>
        <v>0</v>
      </c>
      <c r="BA49" s="12"/>
      <c r="BB49" s="12"/>
      <c r="BC49" s="12">
        <f>SUM(BC48:BC48)</f>
        <v>0</v>
      </c>
      <c r="BD49" s="12"/>
      <c r="BE49" s="12"/>
      <c r="BF49" s="12"/>
      <c r="BG49" s="12"/>
      <c r="BH49" s="12"/>
      <c r="BI49" s="12">
        <f>SUM(BI48:BI48)</f>
        <v>0</v>
      </c>
      <c r="BJ49" s="12"/>
      <c r="BK49" s="12"/>
      <c r="BL49" s="12">
        <f>SUM(BL48:BL48)</f>
        <v>0</v>
      </c>
      <c r="BM49" s="12"/>
      <c r="BN49" s="12"/>
      <c r="BO49" s="12">
        <f>SUM(BO48:BO48)</f>
        <v>0</v>
      </c>
      <c r="BP49" s="12"/>
      <c r="BQ49" s="12"/>
      <c r="BR49" s="12">
        <f>SUM(BR48:BR48)</f>
        <v>0</v>
      </c>
      <c r="BS49" s="12"/>
      <c r="BT49" s="12"/>
      <c r="BU49" s="12">
        <f>SUM(BU48:BU48)</f>
        <v>0</v>
      </c>
      <c r="BV49" s="12"/>
      <c r="BW49" s="12"/>
      <c r="BX49" s="12">
        <f>SUM(BX48:BX48)</f>
        <v>0</v>
      </c>
      <c r="BY49" s="12"/>
      <c r="BZ49" s="12"/>
      <c r="CA49" s="12">
        <f>SUM(CA48:CA48)</f>
        <v>0</v>
      </c>
      <c r="CB49" s="12"/>
      <c r="CC49" s="12"/>
      <c r="CD49" s="12">
        <f>SUM(CD48:CD48)</f>
        <v>0</v>
      </c>
      <c r="CE49" s="12"/>
      <c r="CF49" s="12"/>
      <c r="CG49" s="12">
        <f>SUM(CG48:CG48)</f>
        <v>0</v>
      </c>
      <c r="CH49" s="12"/>
      <c r="CI49" s="12"/>
      <c r="CJ49" s="12">
        <f>SUM(CJ48:CJ48)</f>
        <v>0</v>
      </c>
      <c r="CK49" s="12"/>
      <c r="CL49" s="12"/>
      <c r="CM49" s="12">
        <f>SUM(CM48:CM48)</f>
        <v>0</v>
      </c>
      <c r="CN49" s="12"/>
      <c r="CO49" s="12"/>
      <c r="CP49" s="12">
        <f>SUM(CP48:CP48)</f>
        <v>0</v>
      </c>
      <c r="CQ49" s="12"/>
      <c r="CR49" s="12"/>
      <c r="CS49" s="12">
        <f>SUM(CS48:CS48)</f>
        <v>0</v>
      </c>
      <c r="CT49" s="12"/>
      <c r="CU49" s="12"/>
      <c r="CV49" s="12">
        <f>SUM(CV48:CV48)</f>
        <v>207822000</v>
      </c>
      <c r="CW49" s="12"/>
      <c r="CX49" s="12">
        <f>SUM(CX48:CX48)</f>
        <v>0</v>
      </c>
      <c r="CY49" s="12"/>
      <c r="CZ49" s="12"/>
      <c r="DA49" s="12">
        <f>SUM(DA48:DA48)</f>
        <v>0</v>
      </c>
      <c r="DB49" s="12"/>
      <c r="DC49" s="12"/>
      <c r="DD49" s="12"/>
      <c r="DE49" s="12"/>
      <c r="DF49" s="12"/>
      <c r="DG49" s="12"/>
      <c r="DH49" s="12"/>
      <c r="DI49" s="12"/>
      <c r="DJ49" s="12">
        <f>SUM(DJ48:DJ48)</f>
        <v>0</v>
      </c>
      <c r="DK49" s="12"/>
      <c r="DL49" s="12"/>
      <c r="DM49" s="12">
        <f>SUM(DM48:DM48)</f>
        <v>0</v>
      </c>
      <c r="DN49" s="12"/>
      <c r="DO49" s="12"/>
      <c r="DP49" s="12"/>
      <c r="DQ49" s="12"/>
      <c r="DR49" s="12"/>
      <c r="DS49" s="12"/>
      <c r="DT49" s="12"/>
      <c r="DU49" s="12"/>
      <c r="DV49" s="12">
        <f>SUM(DV48:DV48)</f>
        <v>0</v>
      </c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>
        <f>SUM(EQ48:EQ48)</f>
        <v>0</v>
      </c>
      <c r="ER49" s="12"/>
      <c r="ES49" s="12"/>
      <c r="ET49" s="12">
        <f>SUM(ET48:ET48)</f>
        <v>0</v>
      </c>
      <c r="EU49" s="12"/>
      <c r="EV49" s="12"/>
      <c r="EW49" s="12">
        <f>SUM(EW48:EW48)</f>
        <v>0</v>
      </c>
      <c r="EX49" s="12"/>
      <c r="EY49" s="12"/>
      <c r="EZ49" s="12">
        <f>SUM(EZ48:EZ48)</f>
        <v>5000000</v>
      </c>
      <c r="FA49" s="12"/>
      <c r="FB49" s="12"/>
      <c r="FC49" s="12">
        <f>SUM(FC48:FC48)</f>
        <v>0</v>
      </c>
      <c r="FD49" s="12"/>
      <c r="FE49" s="12"/>
      <c r="FF49" s="12"/>
      <c r="FG49" s="12"/>
      <c r="FH49" s="12"/>
      <c r="FI49" s="12">
        <f>SUM(FI48:FI48)</f>
        <v>6000000</v>
      </c>
      <c r="FJ49" s="12"/>
      <c r="FK49" s="12"/>
      <c r="FL49" s="12">
        <f>SUM(FL48:FL48)</f>
        <v>250000</v>
      </c>
      <c r="FM49" s="12"/>
      <c r="FN49" s="12"/>
      <c r="FO49" s="12">
        <f>SUM(FO48:FO48)</f>
        <v>350000</v>
      </c>
      <c r="FP49" s="12"/>
      <c r="FQ49" s="12"/>
      <c r="FR49" s="12"/>
      <c r="FS49" s="12"/>
      <c r="FT49" s="12"/>
      <c r="FU49" s="12"/>
      <c r="FV49" s="12"/>
      <c r="FW49" s="12"/>
      <c r="FX49" s="12">
        <f>SUM(FY48:FY48)</f>
        <v>0</v>
      </c>
      <c r="FY49" s="12"/>
      <c r="FZ49" s="12">
        <f>SUM(FZ48:FZ48)</f>
        <v>0</v>
      </c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</row>
    <row r="50" spans="1:203" x14ac:dyDescent="0.25">
      <c r="A50" s="3"/>
      <c r="D50" s="12">
        <f>+D29+D31+D32+D34+D37</f>
        <v>11563836</v>
      </c>
      <c r="E50" s="12"/>
      <c r="F50" s="12"/>
      <c r="G50" s="12">
        <f>+G29+G31+G32+G34+G37</f>
        <v>1139076</v>
      </c>
      <c r="H50" s="12"/>
      <c r="I50" s="12"/>
      <c r="J50" s="12">
        <f>+J29+J31+J32+J34+J37</f>
        <v>1500000</v>
      </c>
      <c r="K50" s="12"/>
      <c r="L50" s="12"/>
      <c r="M50" s="12">
        <f>+M29+M31+M32+M34+M37</f>
        <v>2100000</v>
      </c>
      <c r="N50" s="12"/>
      <c r="O50" s="12"/>
      <c r="P50" s="12">
        <f>+P29+P31+P32+P34+P37</f>
        <v>30000000</v>
      </c>
      <c r="Q50" s="12"/>
      <c r="R50" s="12"/>
      <c r="S50" s="12">
        <f>+S29+S31+S32+S34+S37</f>
        <v>0</v>
      </c>
      <c r="T50" s="12"/>
      <c r="U50" s="12"/>
      <c r="V50" s="12">
        <f>+V29+V31+V32+V34+V37</f>
        <v>120000</v>
      </c>
      <c r="W50" s="12"/>
      <c r="X50" s="12"/>
      <c r="Y50" s="12">
        <f>+Y29+Y31+Y32+Y34+Y37</f>
        <v>0</v>
      </c>
      <c r="Z50" s="12"/>
      <c r="AA50" s="12"/>
      <c r="AB50" s="12">
        <f>+AB29+AB31+AB32+AB34+AB37</f>
        <v>0</v>
      </c>
      <c r="AC50" s="12"/>
      <c r="AD50" s="12"/>
      <c r="AE50" s="12">
        <f>+AE29+AE31+AE32+AE34+AE37</f>
        <v>1740000</v>
      </c>
      <c r="AF50" s="12"/>
      <c r="AG50" s="12"/>
      <c r="AH50" s="12">
        <f>+AH29+AH31+AH32+AH34+AH37</f>
        <v>0</v>
      </c>
      <c r="AI50" s="12"/>
      <c r="AJ50" s="12"/>
      <c r="AK50" s="12">
        <f>+AK29+AK31+AK32+AK34+AK37</f>
        <v>0</v>
      </c>
      <c r="AL50" s="12"/>
      <c r="AM50" s="12"/>
      <c r="AN50" s="12">
        <f>+AN29+AN31+AN32+AN34+AN37</f>
        <v>0</v>
      </c>
      <c r="AO50" s="12"/>
      <c r="AP50" s="12"/>
      <c r="AQ50" s="12">
        <f>+AQ29+AQ31+AQ32+AQ34+AQ37</f>
        <v>0</v>
      </c>
      <c r="AR50" s="12"/>
      <c r="AS50" s="12"/>
      <c r="AT50" s="12"/>
      <c r="AU50" s="12"/>
      <c r="AV50" s="12"/>
      <c r="AW50" s="12"/>
      <c r="AX50" s="12"/>
      <c r="AY50" s="12"/>
      <c r="AZ50" s="12">
        <f>+AZ29+AZ31+AZ33+AZ34+AZ37</f>
        <v>0</v>
      </c>
      <c r="BA50" s="12"/>
      <c r="BB50" s="12"/>
      <c r="BC50" s="12">
        <f>+BC29+BC31+BC32+BC34+BC37</f>
        <v>65000000</v>
      </c>
      <c r="BD50" s="12"/>
      <c r="BE50" s="12"/>
      <c r="BF50" s="12"/>
      <c r="BG50" s="12"/>
      <c r="BH50" s="12"/>
      <c r="BI50" s="12">
        <f>+BI29+BI31+BI32+BI34+BI37</f>
        <v>0</v>
      </c>
      <c r="BJ50" s="12"/>
      <c r="BK50" s="12"/>
      <c r="BL50" s="12">
        <f>+BL29+BL31+BL32+BL34+BL37</f>
        <v>0</v>
      </c>
      <c r="BM50" s="12"/>
      <c r="BN50" s="12"/>
      <c r="BO50" s="12">
        <f>+BO29+BO31+BO32+BO34+BO37</f>
        <v>0</v>
      </c>
      <c r="BP50" s="12"/>
      <c r="BQ50" s="12"/>
      <c r="BR50" s="12">
        <f>+BR29+BR31+BR32+BR34+BR37</f>
        <v>0</v>
      </c>
      <c r="BS50" s="12"/>
      <c r="BT50" s="12"/>
      <c r="BU50" s="12">
        <f>+BU29+BU31+BU32+BU34+BU37</f>
        <v>0</v>
      </c>
      <c r="BV50" s="12"/>
      <c r="BW50" s="12"/>
      <c r="BX50" s="12">
        <f>+BX29+BX31+BX32+BX34+BX37</f>
        <v>0</v>
      </c>
      <c r="BY50" s="12"/>
      <c r="BZ50" s="12"/>
      <c r="CA50" s="12">
        <f>+CA29+CA31+CA32+CA34+CA37</f>
        <v>0</v>
      </c>
      <c r="CB50" s="12"/>
      <c r="CC50" s="12"/>
      <c r="CD50" s="12">
        <f>+CD29+CD31+CD32+CD34+CD37</f>
        <v>0</v>
      </c>
      <c r="CE50" s="12"/>
      <c r="CF50" s="12"/>
      <c r="CG50" s="12">
        <f>+CG29+CG31+CG32+CG34+CG37</f>
        <v>0</v>
      </c>
      <c r="CH50" s="12"/>
      <c r="CI50" s="12"/>
      <c r="CJ50" s="12">
        <f>+CJ29+CJ31+CJ32+CJ34+CJ37</f>
        <v>0</v>
      </c>
      <c r="CK50" s="12"/>
      <c r="CL50" s="12"/>
      <c r="CM50" s="12">
        <f>+CM29+CM31+CM32+CM34+CM37</f>
        <v>0</v>
      </c>
      <c r="CN50" s="12"/>
      <c r="CO50" s="12"/>
      <c r="CP50" s="12">
        <f>+CP29+CP31+CP32+CP34+CP37</f>
        <v>0</v>
      </c>
      <c r="CQ50" s="12"/>
      <c r="CR50" s="12"/>
      <c r="CS50" s="12">
        <f>+CS29+CS31+CS32+CS34+CS37</f>
        <v>0</v>
      </c>
      <c r="CT50" s="12"/>
      <c r="CU50" s="12"/>
      <c r="CV50" s="12">
        <f>+CV29+CV31+CV32+CV34+CV37</f>
        <v>0</v>
      </c>
      <c r="CW50" s="12"/>
      <c r="CX50" s="12">
        <f>+CX29+CX31+CX32+CX34+CX37</f>
        <v>0</v>
      </c>
      <c r="CY50" s="12"/>
      <c r="CZ50" s="12"/>
      <c r="DA50" s="12">
        <f>+DA29+DA31+DA32+DA34+DA37</f>
        <v>0</v>
      </c>
      <c r="DB50" s="12"/>
      <c r="DC50" s="12"/>
      <c r="DD50" s="12"/>
      <c r="DE50" s="12"/>
      <c r="DF50" s="12"/>
      <c r="DG50" s="12"/>
      <c r="DH50" s="12"/>
      <c r="DI50" s="12"/>
      <c r="DJ50" s="12">
        <f>+DJ29+DJ31+DJ32+DJ34+DJ37</f>
        <v>0</v>
      </c>
      <c r="DK50" s="12"/>
      <c r="DL50" s="12"/>
      <c r="DM50" s="12">
        <f>+DM29+DM31+DM32+DM34+DM37</f>
        <v>0</v>
      </c>
      <c r="DN50" s="12"/>
      <c r="DO50" s="12"/>
      <c r="DP50" s="12"/>
      <c r="DQ50" s="12"/>
      <c r="DR50" s="12"/>
      <c r="DS50" s="12"/>
      <c r="DT50" s="12"/>
      <c r="DU50" s="12"/>
      <c r="DV50" s="12">
        <f>+DV29+DV31+DV32+DV34+DV37</f>
        <v>0</v>
      </c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>
        <f>+EQ29+EQ31+EQ32+EQ34+EQ37</f>
        <v>0</v>
      </c>
      <c r="ER50" s="12"/>
      <c r="ES50" s="12"/>
      <c r="ET50" s="12">
        <f>+ET29+ET31+ET32+ET34+ET37</f>
        <v>0</v>
      </c>
      <c r="EU50" s="12"/>
      <c r="EV50" s="12"/>
      <c r="EW50" s="12">
        <f>+EW29+EW31+EW32+EW34+EW37</f>
        <v>0</v>
      </c>
      <c r="EX50" s="12"/>
      <c r="EY50" s="12"/>
      <c r="EZ50" s="12">
        <f>+EZ29+EZ31+EZ32+EZ34+EZ37</f>
        <v>0</v>
      </c>
      <c r="FA50" s="12"/>
      <c r="FB50" s="12"/>
      <c r="FC50" s="12">
        <f>+FC29+FC31+FC32+FC34+FC37</f>
        <v>0</v>
      </c>
      <c r="FD50" s="12"/>
      <c r="FE50" s="12"/>
      <c r="FF50" s="12"/>
      <c r="FG50" s="12"/>
      <c r="FH50" s="12"/>
      <c r="FI50" s="12">
        <f>+FI29+FI31+FI32+FI34+FI37</f>
        <v>0</v>
      </c>
      <c r="FJ50" s="12"/>
      <c r="FK50" s="12"/>
      <c r="FL50" s="12">
        <f>+FL29+FL31+FL32+FL34+FL37</f>
        <v>0</v>
      </c>
      <c r="FM50" s="12"/>
      <c r="FN50" s="12"/>
      <c r="FO50" s="12">
        <f>+FO29+FO31+FO32+FO34+FO37</f>
        <v>0</v>
      </c>
      <c r="FP50" s="12"/>
      <c r="FQ50" s="12"/>
      <c r="FR50" s="12">
        <f>+FR29+FR31+FR32+FR34+FR37</f>
        <v>0</v>
      </c>
      <c r="FS50" s="12"/>
      <c r="FT50" s="12"/>
      <c r="FU50" s="12"/>
      <c r="FV50" s="12"/>
      <c r="FW50" s="12"/>
      <c r="FX50" s="12">
        <f>+FY29+FY31+FY32+FY34+FY37</f>
        <v>0</v>
      </c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</row>
    <row r="51" spans="1:203" x14ac:dyDescent="0.25">
      <c r="A51" s="3"/>
      <c r="D51" s="12">
        <f>+D44</f>
        <v>11563836</v>
      </c>
      <c r="E51" s="12"/>
      <c r="F51" s="12"/>
      <c r="G51" s="12">
        <f>+G44</f>
        <v>1139076</v>
      </c>
      <c r="H51" s="12"/>
      <c r="I51" s="12"/>
      <c r="J51" s="12">
        <f>+J44</f>
        <v>1500000</v>
      </c>
      <c r="K51" s="12"/>
      <c r="L51" s="12"/>
      <c r="M51" s="12">
        <f>+M44</f>
        <v>2100000</v>
      </c>
      <c r="N51" s="12"/>
      <c r="O51" s="12"/>
      <c r="P51" s="12">
        <f>+P44</f>
        <v>30000000</v>
      </c>
      <c r="Q51" s="12"/>
      <c r="R51" s="12"/>
      <c r="S51" s="12">
        <f>+S44</f>
        <v>0</v>
      </c>
      <c r="T51" s="12"/>
      <c r="U51" s="12"/>
      <c r="V51" s="12">
        <f>+V44</f>
        <v>120000</v>
      </c>
      <c r="W51" s="12"/>
      <c r="X51" s="12"/>
      <c r="Y51" s="12">
        <f>+Y44</f>
        <v>0</v>
      </c>
      <c r="Z51" s="12"/>
      <c r="AA51" s="12"/>
      <c r="AB51" s="12">
        <f>+AB44</f>
        <v>0</v>
      </c>
      <c r="AC51" s="12"/>
      <c r="AD51" s="12"/>
      <c r="AE51" s="12">
        <f>+AE44</f>
        <v>1740000</v>
      </c>
      <c r="AF51" s="12"/>
      <c r="AG51" s="12"/>
      <c r="AH51" s="12">
        <f>+AH44</f>
        <v>0</v>
      </c>
      <c r="AI51" s="12"/>
      <c r="AJ51" s="12"/>
      <c r="AK51" s="12">
        <f>+AK44</f>
        <v>0</v>
      </c>
      <c r="AL51" s="12"/>
      <c r="AM51" s="12"/>
      <c r="AN51" s="12">
        <f>+AN44</f>
        <v>0</v>
      </c>
      <c r="AO51" s="12"/>
      <c r="AP51" s="12"/>
      <c r="AQ51" s="12">
        <f>+AQ44</f>
        <v>0</v>
      </c>
      <c r="AR51" s="12"/>
      <c r="AS51" s="12"/>
      <c r="AT51" s="12"/>
      <c r="AU51" s="12"/>
      <c r="AV51" s="12"/>
      <c r="AW51" s="12"/>
      <c r="AX51" s="12"/>
      <c r="AY51" s="12"/>
      <c r="AZ51" s="12">
        <f>+AZ44</f>
        <v>0</v>
      </c>
      <c r="BA51" s="12"/>
      <c r="BB51" s="12"/>
      <c r="BC51" s="12">
        <f>+BC44</f>
        <v>65000000</v>
      </c>
      <c r="BD51" s="12"/>
      <c r="BE51" s="12"/>
      <c r="BF51" s="12"/>
      <c r="BG51" s="12"/>
      <c r="BH51" s="12"/>
      <c r="BI51" s="12">
        <f>+BI44</f>
        <v>0</v>
      </c>
      <c r="BJ51" s="12"/>
      <c r="BK51" s="12"/>
      <c r="BL51" s="12">
        <f>+BL44</f>
        <v>0</v>
      </c>
      <c r="BM51" s="12"/>
      <c r="BN51" s="12"/>
      <c r="BO51" s="12">
        <f>+BO44</f>
        <v>0</v>
      </c>
      <c r="BP51" s="12"/>
      <c r="BQ51" s="12"/>
      <c r="BR51" s="12">
        <f>+BR44</f>
        <v>0</v>
      </c>
      <c r="BS51" s="12"/>
      <c r="BT51" s="12"/>
      <c r="BU51" s="12">
        <f>+BU44</f>
        <v>0</v>
      </c>
      <c r="BV51" s="12"/>
      <c r="BW51" s="12"/>
      <c r="BX51" s="12">
        <f>+BX44</f>
        <v>0</v>
      </c>
      <c r="BY51" s="12"/>
      <c r="BZ51" s="12"/>
      <c r="CA51" s="12">
        <f>+CA44</f>
        <v>0</v>
      </c>
      <c r="CB51" s="12"/>
      <c r="CC51" s="12"/>
      <c r="CD51" s="12">
        <f>+CD44</f>
        <v>0</v>
      </c>
      <c r="CE51" s="12"/>
      <c r="CF51" s="12"/>
      <c r="CG51" s="12">
        <f>+CG44</f>
        <v>0</v>
      </c>
      <c r="CH51" s="12"/>
      <c r="CI51" s="12"/>
      <c r="CJ51" s="12">
        <f>+CJ44</f>
        <v>0</v>
      </c>
      <c r="CK51" s="12"/>
      <c r="CL51" s="12"/>
      <c r="CM51" s="12">
        <f>+CM44</f>
        <v>0</v>
      </c>
      <c r="CN51" s="12"/>
      <c r="CO51" s="12"/>
      <c r="CP51" s="12">
        <f>+CP44</f>
        <v>0</v>
      </c>
      <c r="CQ51" s="12"/>
      <c r="CR51" s="12"/>
      <c r="CS51" s="12">
        <f>+CS44</f>
        <v>0</v>
      </c>
      <c r="CT51" s="12"/>
      <c r="CU51" s="12"/>
      <c r="CV51" s="12">
        <f>+CV44</f>
        <v>0</v>
      </c>
      <c r="CW51" s="12"/>
      <c r="CX51" s="12">
        <f>+CX44</f>
        <v>0</v>
      </c>
      <c r="CY51" s="12"/>
      <c r="CZ51" s="12"/>
      <c r="DA51" s="12">
        <f>+DA44</f>
        <v>0</v>
      </c>
      <c r="DB51" s="12"/>
      <c r="DC51" s="12"/>
      <c r="DD51" s="12"/>
      <c r="DE51" s="12"/>
      <c r="DF51" s="12"/>
      <c r="DG51" s="12"/>
      <c r="DH51" s="12"/>
      <c r="DI51" s="12"/>
      <c r="DJ51" s="12">
        <f>+DJ44</f>
        <v>0</v>
      </c>
      <c r="DK51" s="12"/>
      <c r="DL51" s="12"/>
      <c r="DM51" s="12">
        <f>+DM44</f>
        <v>0</v>
      </c>
      <c r="DN51" s="12"/>
      <c r="DO51" s="12"/>
      <c r="DP51" s="12"/>
      <c r="DQ51" s="12"/>
      <c r="DR51" s="12"/>
      <c r="DS51" s="12"/>
      <c r="DT51" s="12"/>
      <c r="DU51" s="12"/>
      <c r="DV51" s="12">
        <f>+DV44</f>
        <v>0</v>
      </c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>
        <f>+EQ44</f>
        <v>0</v>
      </c>
      <c r="ER51" s="12"/>
      <c r="ES51" s="12"/>
      <c r="ET51" s="12">
        <f>+ET44</f>
        <v>0</v>
      </c>
      <c r="EU51" s="12"/>
      <c r="EV51" s="12"/>
      <c r="EW51" s="12">
        <f>+EW44</f>
        <v>0</v>
      </c>
      <c r="EX51" s="12"/>
      <c r="EY51" s="12"/>
      <c r="EZ51" s="12">
        <f>+EZ44</f>
        <v>0</v>
      </c>
      <c r="FA51" s="12"/>
      <c r="FB51" s="12"/>
      <c r="FC51" s="12">
        <f>+FC44</f>
        <v>0</v>
      </c>
      <c r="FD51" s="12"/>
      <c r="FE51" s="12"/>
      <c r="FF51" s="12"/>
      <c r="FG51" s="12"/>
      <c r="FH51" s="12"/>
      <c r="FI51" s="12">
        <f>+FI44</f>
        <v>0</v>
      </c>
      <c r="FJ51" s="12"/>
      <c r="FK51" s="12"/>
      <c r="FL51" s="12">
        <f>+FL44</f>
        <v>0</v>
      </c>
      <c r="FM51" s="12"/>
      <c r="FN51" s="12"/>
      <c r="FO51" s="12">
        <f>+FO44</f>
        <v>0</v>
      </c>
      <c r="FP51" s="12"/>
      <c r="FQ51" s="12"/>
      <c r="FR51" s="12">
        <f>+FR44</f>
        <v>0</v>
      </c>
      <c r="FS51" s="12"/>
      <c r="FT51" s="12"/>
      <c r="FU51" s="12"/>
      <c r="FV51" s="12"/>
      <c r="FW51" s="12"/>
      <c r="FX51" s="12">
        <f>+FY44</f>
        <v>0</v>
      </c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</row>
    <row r="52" spans="1:203" x14ac:dyDescent="0.25">
      <c r="A52" s="3"/>
      <c r="D52" s="12">
        <f>+D50-D51</f>
        <v>0</v>
      </c>
      <c r="E52" s="12"/>
      <c r="F52" s="12"/>
      <c r="G52" s="12">
        <f>+G50-G51</f>
        <v>0</v>
      </c>
      <c r="H52" s="12"/>
      <c r="I52" s="12"/>
      <c r="J52" s="12">
        <f>+J50-J51</f>
        <v>0</v>
      </c>
      <c r="K52" s="12"/>
      <c r="L52" s="12"/>
      <c r="M52" s="12">
        <f>+M50-M51</f>
        <v>0</v>
      </c>
      <c r="N52" s="12"/>
      <c r="O52" s="12"/>
      <c r="P52" s="12">
        <f>+P50-P51</f>
        <v>0</v>
      </c>
      <c r="Q52" s="12"/>
      <c r="R52" s="12"/>
      <c r="S52" s="12">
        <f>+S50-S51</f>
        <v>0</v>
      </c>
      <c r="T52" s="12"/>
      <c r="U52" s="12"/>
      <c r="V52" s="12">
        <f>+V50-V51</f>
        <v>0</v>
      </c>
      <c r="W52" s="12"/>
      <c r="X52" s="12"/>
      <c r="Y52" s="12">
        <f>+Y50-Y51</f>
        <v>0</v>
      </c>
      <c r="Z52" s="12"/>
      <c r="AA52" s="12"/>
      <c r="AB52" s="12">
        <f>+AB50-AB51</f>
        <v>0</v>
      </c>
      <c r="AC52" s="12"/>
      <c r="AD52" s="12"/>
      <c r="AE52" s="12">
        <f>+AE50-AE51</f>
        <v>0</v>
      </c>
      <c r="AF52" s="12"/>
      <c r="AG52" s="12"/>
      <c r="AH52" s="12">
        <f>+AH50-AH51</f>
        <v>0</v>
      </c>
      <c r="AI52" s="12"/>
      <c r="AJ52" s="12"/>
      <c r="AK52" s="12">
        <f>+AK50-AK51</f>
        <v>0</v>
      </c>
      <c r="AL52" s="12"/>
      <c r="AM52" s="12"/>
      <c r="AN52" s="12">
        <f>+AN50-AN51</f>
        <v>0</v>
      </c>
      <c r="AO52" s="12"/>
      <c r="AP52" s="12"/>
      <c r="AQ52" s="12">
        <f>+AQ50-AQ51</f>
        <v>0</v>
      </c>
      <c r="AR52" s="12"/>
      <c r="AS52" s="12"/>
      <c r="AT52" s="12"/>
      <c r="AU52" s="12"/>
      <c r="AV52" s="12"/>
      <c r="AW52" s="12"/>
      <c r="AX52" s="12"/>
      <c r="AY52" s="12"/>
      <c r="AZ52" s="12">
        <f>+AZ50-AZ51</f>
        <v>0</v>
      </c>
      <c r="BA52" s="12"/>
      <c r="BB52" s="12"/>
      <c r="BC52" s="12">
        <f>+BC50-BC51</f>
        <v>0</v>
      </c>
      <c r="BD52" s="12"/>
      <c r="BE52" s="12"/>
      <c r="BF52" s="12"/>
      <c r="BG52" s="12"/>
      <c r="BH52" s="12"/>
      <c r="BI52" s="12">
        <f>+BI50-BI51</f>
        <v>0</v>
      </c>
      <c r="BJ52" s="12"/>
      <c r="BK52" s="12"/>
      <c r="BL52" s="12">
        <f>+BL50-BL51</f>
        <v>0</v>
      </c>
      <c r="BM52" s="12"/>
      <c r="BN52" s="12"/>
      <c r="BO52" s="12">
        <f>+BO50-BO51</f>
        <v>0</v>
      </c>
      <c r="BP52" s="12"/>
      <c r="BQ52" s="12"/>
      <c r="BR52" s="12">
        <f>+BR50-BR51</f>
        <v>0</v>
      </c>
      <c r="BS52" s="12"/>
      <c r="BT52" s="12"/>
      <c r="BU52" s="12">
        <f>+BU50-BU51</f>
        <v>0</v>
      </c>
      <c r="BV52" s="12"/>
      <c r="BW52" s="12"/>
      <c r="BX52" s="12">
        <f>+BX50-BX51</f>
        <v>0</v>
      </c>
      <c r="BY52" s="12"/>
      <c r="BZ52" s="12"/>
      <c r="CA52" s="12">
        <f>+CA50-CA51</f>
        <v>0</v>
      </c>
      <c r="CB52" s="12"/>
      <c r="CC52" s="12"/>
      <c r="CD52" s="12">
        <f>+CD50-CD51</f>
        <v>0</v>
      </c>
      <c r="CE52" s="12"/>
      <c r="CF52" s="12"/>
      <c r="CG52" s="12">
        <f>+CG50-CG51</f>
        <v>0</v>
      </c>
      <c r="CH52" s="12"/>
      <c r="CI52" s="12"/>
      <c r="CJ52" s="12">
        <f>+CJ50-CJ51</f>
        <v>0</v>
      </c>
      <c r="CK52" s="12"/>
      <c r="CL52" s="12"/>
      <c r="CM52" s="12">
        <f>+CM50-CM51</f>
        <v>0</v>
      </c>
      <c r="CN52" s="12"/>
      <c r="CO52" s="12"/>
      <c r="CP52" s="12">
        <f>+CP50-CP51</f>
        <v>0</v>
      </c>
      <c r="CQ52" s="12"/>
      <c r="CR52" s="12"/>
      <c r="CS52" s="12">
        <f>+CS50-CS51</f>
        <v>0</v>
      </c>
      <c r="CT52" s="12"/>
      <c r="CU52" s="12"/>
      <c r="CV52" s="12">
        <f>+CV50-CV51</f>
        <v>0</v>
      </c>
      <c r="CW52" s="12"/>
      <c r="CX52" s="12">
        <f>+CX50-CX51</f>
        <v>0</v>
      </c>
      <c r="CY52" s="12"/>
      <c r="CZ52" s="12"/>
      <c r="DA52" s="12">
        <f>+DA50-DA51</f>
        <v>0</v>
      </c>
      <c r="DB52" s="12"/>
      <c r="DC52" s="12"/>
      <c r="DD52" s="12"/>
      <c r="DE52" s="12"/>
      <c r="DF52" s="12"/>
      <c r="DG52" s="12"/>
      <c r="DH52" s="12"/>
      <c r="DI52" s="12"/>
      <c r="DJ52" s="12">
        <f>+DJ50-DJ51</f>
        <v>0</v>
      </c>
      <c r="DK52" s="12"/>
      <c r="DL52" s="12"/>
      <c r="DM52" s="12">
        <f>+DM50-DM51</f>
        <v>0</v>
      </c>
      <c r="DN52" s="12"/>
      <c r="DO52" s="12"/>
      <c r="DP52" s="12"/>
      <c r="DQ52" s="12"/>
      <c r="DR52" s="12"/>
      <c r="DS52" s="12"/>
      <c r="DT52" s="12"/>
      <c r="DU52" s="12"/>
      <c r="DV52" s="12">
        <f>+DV50-DV51</f>
        <v>0</v>
      </c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>
        <f>+EQ50-EQ51</f>
        <v>0</v>
      </c>
      <c r="ER52" s="12"/>
      <c r="ES52" s="12"/>
      <c r="ET52" s="12">
        <f>+ET50-ET51</f>
        <v>0</v>
      </c>
      <c r="EU52" s="12"/>
      <c r="EV52" s="12"/>
      <c r="EW52" s="12">
        <f>+EW50-EW51</f>
        <v>0</v>
      </c>
      <c r="EX52" s="12"/>
      <c r="EY52" s="12"/>
      <c r="EZ52" s="12">
        <f>+EZ50-EZ51</f>
        <v>0</v>
      </c>
      <c r="FA52" s="12"/>
      <c r="FB52" s="12"/>
      <c r="FC52" s="12">
        <f>+FC50-FC51</f>
        <v>0</v>
      </c>
      <c r="FD52" s="12"/>
      <c r="FE52" s="12"/>
      <c r="FF52" s="12"/>
      <c r="FG52" s="12"/>
      <c r="FH52" s="12"/>
      <c r="FI52" s="12">
        <f>+FI50-FI51</f>
        <v>0</v>
      </c>
      <c r="FJ52" s="12"/>
      <c r="FK52" s="12"/>
      <c r="FL52" s="12">
        <f>+FL50-FL51</f>
        <v>0</v>
      </c>
      <c r="FM52" s="12"/>
      <c r="FN52" s="12"/>
      <c r="FO52" s="12">
        <f>+FO50-FO51</f>
        <v>0</v>
      </c>
      <c r="FP52" s="12"/>
      <c r="FQ52" s="12"/>
      <c r="FR52" s="12">
        <f>+FR50-FR51</f>
        <v>0</v>
      </c>
      <c r="FS52" s="12"/>
      <c r="FT52" s="12"/>
      <c r="FU52" s="12"/>
      <c r="FV52" s="12"/>
      <c r="FW52" s="12"/>
      <c r="FX52" s="12">
        <f>+FX50-FX51</f>
        <v>0</v>
      </c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</row>
    <row r="53" spans="1:203" x14ac:dyDescent="0.25">
      <c r="A53" s="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</row>
    <row r="54" spans="1:203" x14ac:dyDescent="0.25">
      <c r="A54" s="3"/>
      <c r="D54" s="12"/>
      <c r="E54" s="12">
        <f>+E46-E45-E44</f>
        <v>0</v>
      </c>
      <c r="F54" s="12">
        <f t="shared" ref="F54:BQ54" si="82">+F46-F45-F44</f>
        <v>0</v>
      </c>
      <c r="G54" s="12">
        <f t="shared" si="82"/>
        <v>0</v>
      </c>
      <c r="H54" s="12">
        <f t="shared" si="82"/>
        <v>0</v>
      </c>
      <c r="I54" s="12">
        <f t="shared" si="82"/>
        <v>0</v>
      </c>
      <c r="J54" s="12">
        <f t="shared" si="82"/>
        <v>0</v>
      </c>
      <c r="K54" s="12">
        <f t="shared" si="82"/>
        <v>0</v>
      </c>
      <c r="L54" s="12">
        <f t="shared" si="82"/>
        <v>0</v>
      </c>
      <c r="M54" s="12">
        <f t="shared" si="82"/>
        <v>0</v>
      </c>
      <c r="N54" s="12">
        <f t="shared" si="82"/>
        <v>0</v>
      </c>
      <c r="O54" s="12">
        <f t="shared" si="82"/>
        <v>0</v>
      </c>
      <c r="P54" s="12">
        <f t="shared" si="82"/>
        <v>0</v>
      </c>
      <c r="Q54" s="12">
        <f t="shared" si="82"/>
        <v>0</v>
      </c>
      <c r="R54" s="12">
        <f t="shared" si="82"/>
        <v>0</v>
      </c>
      <c r="S54" s="12">
        <f t="shared" si="82"/>
        <v>0</v>
      </c>
      <c r="T54" s="12">
        <f t="shared" si="82"/>
        <v>0</v>
      </c>
      <c r="U54" s="12">
        <f t="shared" si="82"/>
        <v>0</v>
      </c>
      <c r="V54" s="12">
        <f t="shared" si="82"/>
        <v>0</v>
      </c>
      <c r="W54" s="12">
        <f t="shared" si="82"/>
        <v>0</v>
      </c>
      <c r="X54" s="12">
        <f t="shared" si="82"/>
        <v>0</v>
      </c>
      <c r="Y54" s="12">
        <f t="shared" si="82"/>
        <v>0</v>
      </c>
      <c r="Z54" s="12">
        <f t="shared" si="82"/>
        <v>0</v>
      </c>
      <c r="AA54" s="12">
        <f t="shared" si="82"/>
        <v>0</v>
      </c>
      <c r="AB54" s="12">
        <f t="shared" si="82"/>
        <v>0</v>
      </c>
      <c r="AC54" s="12">
        <f t="shared" si="82"/>
        <v>0</v>
      </c>
      <c r="AD54" s="12">
        <f t="shared" si="82"/>
        <v>0</v>
      </c>
      <c r="AE54" s="12">
        <f t="shared" si="82"/>
        <v>0</v>
      </c>
      <c r="AF54" s="12">
        <f t="shared" si="82"/>
        <v>0</v>
      </c>
      <c r="AG54" s="12">
        <f t="shared" si="82"/>
        <v>0</v>
      </c>
      <c r="AH54" s="12">
        <f t="shared" si="82"/>
        <v>0</v>
      </c>
      <c r="AI54" s="12">
        <f t="shared" si="82"/>
        <v>0</v>
      </c>
      <c r="AJ54" s="12">
        <f t="shared" si="82"/>
        <v>0</v>
      </c>
      <c r="AK54" s="12">
        <f t="shared" si="82"/>
        <v>0</v>
      </c>
      <c r="AL54" s="12">
        <f t="shared" si="82"/>
        <v>0</v>
      </c>
      <c r="AM54" s="12">
        <f t="shared" si="82"/>
        <v>0</v>
      </c>
      <c r="AN54" s="12">
        <f t="shared" si="82"/>
        <v>0</v>
      </c>
      <c r="AO54" s="12">
        <f t="shared" si="82"/>
        <v>0</v>
      </c>
      <c r="AP54" s="12">
        <f t="shared" si="82"/>
        <v>0</v>
      </c>
      <c r="AQ54" s="12">
        <f t="shared" si="82"/>
        <v>0</v>
      </c>
      <c r="AR54" s="12">
        <f t="shared" si="82"/>
        <v>0</v>
      </c>
      <c r="AS54" s="12">
        <f t="shared" si="82"/>
        <v>0</v>
      </c>
      <c r="AT54" s="12">
        <f t="shared" si="82"/>
        <v>0</v>
      </c>
      <c r="AU54" s="12">
        <f t="shared" si="82"/>
        <v>0</v>
      </c>
      <c r="AV54" s="12">
        <f t="shared" si="82"/>
        <v>0</v>
      </c>
      <c r="AW54" s="12">
        <f t="shared" si="82"/>
        <v>0</v>
      </c>
      <c r="AX54" s="12">
        <f t="shared" si="82"/>
        <v>0</v>
      </c>
      <c r="AY54" s="12">
        <f t="shared" si="82"/>
        <v>0</v>
      </c>
      <c r="AZ54" s="12">
        <f t="shared" si="82"/>
        <v>0</v>
      </c>
      <c r="BA54" s="12">
        <f t="shared" si="82"/>
        <v>0</v>
      </c>
      <c r="BB54" s="12">
        <f t="shared" si="82"/>
        <v>0</v>
      </c>
      <c r="BC54" s="12">
        <f t="shared" si="82"/>
        <v>0</v>
      </c>
      <c r="BD54" s="12">
        <f t="shared" si="82"/>
        <v>0</v>
      </c>
      <c r="BE54" s="12">
        <f t="shared" si="82"/>
        <v>0</v>
      </c>
      <c r="BF54" s="12">
        <f t="shared" si="82"/>
        <v>0</v>
      </c>
      <c r="BG54" s="12">
        <f t="shared" si="82"/>
        <v>0</v>
      </c>
      <c r="BH54" s="12">
        <f t="shared" si="82"/>
        <v>0</v>
      </c>
      <c r="BI54" s="12">
        <f t="shared" si="82"/>
        <v>0</v>
      </c>
      <c r="BJ54" s="12">
        <f t="shared" si="82"/>
        <v>0</v>
      </c>
      <c r="BK54" s="12">
        <f t="shared" si="82"/>
        <v>0</v>
      </c>
      <c r="BL54" s="12">
        <f t="shared" si="82"/>
        <v>0</v>
      </c>
      <c r="BM54" s="12">
        <f t="shared" si="82"/>
        <v>0</v>
      </c>
      <c r="BN54" s="12">
        <f t="shared" si="82"/>
        <v>0</v>
      </c>
      <c r="BO54" s="12">
        <f t="shared" si="82"/>
        <v>0</v>
      </c>
      <c r="BP54" s="12">
        <f t="shared" si="82"/>
        <v>0</v>
      </c>
      <c r="BQ54" s="12">
        <f t="shared" si="82"/>
        <v>0</v>
      </c>
      <c r="BR54" s="12">
        <f t="shared" ref="BR54:EC54" si="83">+BR46-BR45-BR44</f>
        <v>0</v>
      </c>
      <c r="BS54" s="12">
        <f t="shared" si="83"/>
        <v>0</v>
      </c>
      <c r="BT54" s="12">
        <f t="shared" si="83"/>
        <v>0</v>
      </c>
      <c r="BU54" s="12">
        <f t="shared" si="83"/>
        <v>0</v>
      </c>
      <c r="BV54" s="12">
        <f t="shared" si="83"/>
        <v>0</v>
      </c>
      <c r="BW54" s="12">
        <f t="shared" si="83"/>
        <v>0</v>
      </c>
      <c r="BX54" s="12">
        <f t="shared" si="83"/>
        <v>0</v>
      </c>
      <c r="BY54" s="12">
        <f t="shared" si="83"/>
        <v>0</v>
      </c>
      <c r="BZ54" s="12">
        <f t="shared" si="83"/>
        <v>0</v>
      </c>
      <c r="CA54" s="12">
        <f t="shared" si="83"/>
        <v>0</v>
      </c>
      <c r="CB54" s="12">
        <f t="shared" si="83"/>
        <v>0</v>
      </c>
      <c r="CC54" s="12">
        <f t="shared" si="83"/>
        <v>0</v>
      </c>
      <c r="CD54" s="12">
        <f t="shared" si="83"/>
        <v>0</v>
      </c>
      <c r="CE54" s="12">
        <f t="shared" si="83"/>
        <v>0</v>
      </c>
      <c r="CF54" s="12">
        <f t="shared" si="83"/>
        <v>0</v>
      </c>
      <c r="CG54" s="12">
        <f t="shared" si="83"/>
        <v>0</v>
      </c>
      <c r="CH54" s="12">
        <f t="shared" si="83"/>
        <v>0</v>
      </c>
      <c r="CI54" s="12">
        <f t="shared" si="83"/>
        <v>0</v>
      </c>
      <c r="CJ54" s="12">
        <f t="shared" si="83"/>
        <v>0</v>
      </c>
      <c r="CK54" s="12">
        <f t="shared" si="83"/>
        <v>0</v>
      </c>
      <c r="CL54" s="12">
        <f t="shared" si="83"/>
        <v>0</v>
      </c>
      <c r="CM54" s="12">
        <f t="shared" si="83"/>
        <v>0</v>
      </c>
      <c r="CN54" s="12">
        <f t="shared" si="83"/>
        <v>0</v>
      </c>
      <c r="CO54" s="12">
        <f t="shared" si="83"/>
        <v>0</v>
      </c>
      <c r="CP54" s="12">
        <f t="shared" si="83"/>
        <v>0</v>
      </c>
      <c r="CQ54" s="12">
        <f t="shared" si="83"/>
        <v>0</v>
      </c>
      <c r="CR54" s="12">
        <f t="shared" si="83"/>
        <v>0</v>
      </c>
      <c r="CS54" s="12">
        <f t="shared" si="83"/>
        <v>0</v>
      </c>
      <c r="CT54" s="12">
        <f t="shared" si="83"/>
        <v>0</v>
      </c>
      <c r="CU54" s="12">
        <f t="shared" si="83"/>
        <v>0</v>
      </c>
      <c r="CV54" s="12">
        <f t="shared" si="83"/>
        <v>0</v>
      </c>
      <c r="CW54" s="12">
        <f t="shared" si="83"/>
        <v>0</v>
      </c>
      <c r="CX54" s="12">
        <f t="shared" si="83"/>
        <v>0</v>
      </c>
      <c r="CY54" s="12">
        <f t="shared" si="83"/>
        <v>0</v>
      </c>
      <c r="CZ54" s="12">
        <f t="shared" si="83"/>
        <v>0</v>
      </c>
      <c r="DA54" s="12">
        <f t="shared" si="83"/>
        <v>0</v>
      </c>
      <c r="DB54" s="12">
        <f t="shared" si="83"/>
        <v>0</v>
      </c>
      <c r="DC54" s="12">
        <f t="shared" si="83"/>
        <v>0</v>
      </c>
      <c r="DD54" s="12">
        <f t="shared" si="83"/>
        <v>0</v>
      </c>
      <c r="DE54" s="12">
        <f t="shared" si="83"/>
        <v>0</v>
      </c>
      <c r="DF54" s="12">
        <f t="shared" si="83"/>
        <v>0</v>
      </c>
      <c r="DG54" s="12">
        <f t="shared" si="83"/>
        <v>0</v>
      </c>
      <c r="DH54" s="12">
        <f t="shared" si="83"/>
        <v>0</v>
      </c>
      <c r="DI54" s="12">
        <f t="shared" si="83"/>
        <v>0</v>
      </c>
      <c r="DJ54" s="12">
        <f t="shared" si="83"/>
        <v>0</v>
      </c>
      <c r="DK54" s="12">
        <f t="shared" si="83"/>
        <v>0</v>
      </c>
      <c r="DL54" s="12">
        <f t="shared" si="83"/>
        <v>0</v>
      </c>
      <c r="DM54" s="12">
        <f t="shared" si="83"/>
        <v>0</v>
      </c>
      <c r="DN54" s="12">
        <f t="shared" si="83"/>
        <v>0</v>
      </c>
      <c r="DO54" s="12">
        <f t="shared" si="83"/>
        <v>0</v>
      </c>
      <c r="DP54" s="12">
        <f t="shared" si="83"/>
        <v>0</v>
      </c>
      <c r="DQ54" s="12">
        <f t="shared" si="83"/>
        <v>0</v>
      </c>
      <c r="DR54" s="12">
        <f t="shared" si="83"/>
        <v>0</v>
      </c>
      <c r="DS54" s="12">
        <f t="shared" si="83"/>
        <v>0</v>
      </c>
      <c r="DT54" s="12">
        <f t="shared" si="83"/>
        <v>0</v>
      </c>
      <c r="DU54" s="12">
        <f t="shared" si="83"/>
        <v>0</v>
      </c>
      <c r="DV54" s="12">
        <f t="shared" si="83"/>
        <v>0</v>
      </c>
      <c r="DW54" s="12">
        <f t="shared" si="83"/>
        <v>0</v>
      </c>
      <c r="DX54" s="12">
        <f t="shared" si="83"/>
        <v>0</v>
      </c>
      <c r="DY54" s="12">
        <f t="shared" si="83"/>
        <v>0</v>
      </c>
      <c r="DZ54" s="12">
        <f t="shared" si="83"/>
        <v>0</v>
      </c>
      <c r="EA54" s="12">
        <f t="shared" si="83"/>
        <v>0</v>
      </c>
      <c r="EB54" s="12">
        <f t="shared" si="83"/>
        <v>0</v>
      </c>
      <c r="EC54" s="12">
        <f t="shared" si="83"/>
        <v>0</v>
      </c>
      <c r="ED54" s="12">
        <f t="shared" ref="ED54:GU54" si="84">+ED46-ED45-ED44</f>
        <v>0</v>
      </c>
      <c r="EE54" s="12">
        <f t="shared" si="84"/>
        <v>0</v>
      </c>
      <c r="EF54" s="12">
        <f t="shared" si="84"/>
        <v>0</v>
      </c>
      <c r="EG54" s="12">
        <f t="shared" si="84"/>
        <v>0</v>
      </c>
      <c r="EH54" s="12">
        <f t="shared" si="84"/>
        <v>0</v>
      </c>
      <c r="EI54" s="12">
        <f t="shared" si="84"/>
        <v>0</v>
      </c>
      <c r="EJ54" s="12">
        <f t="shared" si="84"/>
        <v>0</v>
      </c>
      <c r="EK54" s="12">
        <f t="shared" si="84"/>
        <v>0</v>
      </c>
      <c r="EL54" s="12">
        <f t="shared" si="84"/>
        <v>0</v>
      </c>
      <c r="EM54" s="12">
        <f t="shared" si="84"/>
        <v>0</v>
      </c>
      <c r="EN54" s="12">
        <f t="shared" si="84"/>
        <v>0</v>
      </c>
      <c r="EO54" s="12">
        <f t="shared" si="84"/>
        <v>0</v>
      </c>
      <c r="EP54" s="12">
        <f t="shared" si="84"/>
        <v>0</v>
      </c>
      <c r="EQ54" s="12">
        <f t="shared" si="84"/>
        <v>0</v>
      </c>
      <c r="ER54" s="12">
        <f t="shared" si="84"/>
        <v>0</v>
      </c>
      <c r="ES54" s="12">
        <f t="shared" si="84"/>
        <v>0</v>
      </c>
      <c r="ET54" s="12">
        <f t="shared" si="84"/>
        <v>0</v>
      </c>
      <c r="EU54" s="12">
        <f t="shared" si="84"/>
        <v>0</v>
      </c>
      <c r="EV54" s="12">
        <f t="shared" si="84"/>
        <v>0</v>
      </c>
      <c r="EW54" s="12">
        <f t="shared" si="84"/>
        <v>0</v>
      </c>
      <c r="EX54" s="12">
        <f t="shared" si="84"/>
        <v>0</v>
      </c>
      <c r="EY54" s="12">
        <f t="shared" si="84"/>
        <v>0</v>
      </c>
      <c r="EZ54" s="12">
        <f t="shared" si="84"/>
        <v>0</v>
      </c>
      <c r="FA54" s="12">
        <f t="shared" si="84"/>
        <v>0</v>
      </c>
      <c r="FB54" s="12">
        <f t="shared" si="84"/>
        <v>0</v>
      </c>
      <c r="FC54" s="12">
        <f t="shared" si="84"/>
        <v>0</v>
      </c>
      <c r="FD54" s="12">
        <f t="shared" si="84"/>
        <v>0</v>
      </c>
      <c r="FE54" s="12">
        <f t="shared" si="84"/>
        <v>0</v>
      </c>
      <c r="FF54" s="12">
        <f t="shared" si="84"/>
        <v>0</v>
      </c>
      <c r="FG54" s="12">
        <f t="shared" si="84"/>
        <v>0</v>
      </c>
      <c r="FH54" s="12">
        <f t="shared" si="84"/>
        <v>0</v>
      </c>
      <c r="FI54" s="12">
        <f t="shared" si="84"/>
        <v>0</v>
      </c>
      <c r="FJ54" s="12">
        <f t="shared" si="84"/>
        <v>0</v>
      </c>
      <c r="FK54" s="12">
        <f t="shared" si="84"/>
        <v>0</v>
      </c>
      <c r="FL54" s="12">
        <f t="shared" si="84"/>
        <v>0</v>
      </c>
      <c r="FM54" s="12">
        <f t="shared" si="84"/>
        <v>0</v>
      </c>
      <c r="FN54" s="12">
        <f t="shared" si="84"/>
        <v>0</v>
      </c>
      <c r="FO54" s="12">
        <f t="shared" si="84"/>
        <v>0</v>
      </c>
      <c r="FP54" s="12">
        <f t="shared" si="84"/>
        <v>0</v>
      </c>
      <c r="FQ54" s="12">
        <f t="shared" si="84"/>
        <v>0</v>
      </c>
      <c r="FR54" s="12">
        <f t="shared" si="84"/>
        <v>0</v>
      </c>
      <c r="FS54" s="12">
        <f t="shared" si="84"/>
        <v>0</v>
      </c>
      <c r="FT54" s="12">
        <f t="shared" si="84"/>
        <v>0</v>
      </c>
      <c r="FU54" s="12">
        <f t="shared" si="84"/>
        <v>0</v>
      </c>
      <c r="FV54" s="12">
        <f t="shared" si="84"/>
        <v>0</v>
      </c>
      <c r="FW54" s="12">
        <f t="shared" si="84"/>
        <v>0</v>
      </c>
      <c r="FX54" s="12">
        <f t="shared" si="84"/>
        <v>0</v>
      </c>
      <c r="FY54" s="12">
        <f t="shared" si="84"/>
        <v>0</v>
      </c>
      <c r="FZ54" s="12">
        <f t="shared" si="84"/>
        <v>0</v>
      </c>
      <c r="GA54" s="12">
        <f t="shared" si="84"/>
        <v>0</v>
      </c>
      <c r="GB54" s="12">
        <f t="shared" si="84"/>
        <v>0</v>
      </c>
      <c r="GC54" s="12">
        <f t="shared" si="84"/>
        <v>0</v>
      </c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>
        <f t="shared" si="84"/>
        <v>0</v>
      </c>
      <c r="GQ54" s="12">
        <f t="shared" si="84"/>
        <v>0</v>
      </c>
      <c r="GR54" s="12">
        <f t="shared" si="84"/>
        <v>0</v>
      </c>
      <c r="GS54" s="12">
        <f t="shared" si="84"/>
        <v>0</v>
      </c>
      <c r="GT54" s="12">
        <f t="shared" si="84"/>
        <v>0</v>
      </c>
      <c r="GU54" s="12">
        <f t="shared" si="84"/>
        <v>0</v>
      </c>
    </row>
    <row r="56" spans="1:203" x14ac:dyDescent="0.25">
      <c r="D56" s="12">
        <f>+D20+D21</f>
        <v>1000000</v>
      </c>
      <c r="E56" s="12">
        <f t="shared" ref="E56:BP56" si="85">+E20+E21</f>
        <v>1000000</v>
      </c>
      <c r="F56" s="12">
        <f t="shared" si="85"/>
        <v>278049</v>
      </c>
      <c r="G56" s="12">
        <f t="shared" si="85"/>
        <v>2600000</v>
      </c>
      <c r="H56" s="12">
        <f t="shared" si="85"/>
        <v>2418919</v>
      </c>
      <c r="I56" s="12">
        <f t="shared" si="85"/>
        <v>1224625</v>
      </c>
      <c r="J56" s="12">
        <f t="shared" si="85"/>
        <v>37565567</v>
      </c>
      <c r="K56" s="12">
        <f t="shared" si="85"/>
        <v>19684525</v>
      </c>
      <c r="L56" s="12">
        <f t="shared" si="85"/>
        <v>19684525</v>
      </c>
      <c r="M56" s="12">
        <f t="shared" si="85"/>
        <v>17525650</v>
      </c>
      <c r="N56" s="12">
        <f t="shared" si="85"/>
        <v>18470139</v>
      </c>
      <c r="O56" s="12">
        <f t="shared" si="85"/>
        <v>16668542</v>
      </c>
      <c r="P56" s="12">
        <f t="shared" si="85"/>
        <v>36741035</v>
      </c>
      <c r="Q56" s="12">
        <f t="shared" si="85"/>
        <v>39925997</v>
      </c>
      <c r="R56" s="12">
        <f t="shared" si="85"/>
        <v>34818399</v>
      </c>
      <c r="S56" s="12">
        <f t="shared" si="85"/>
        <v>20716674</v>
      </c>
      <c r="T56" s="12">
        <f t="shared" si="85"/>
        <v>55224726</v>
      </c>
      <c r="U56" s="12">
        <f t="shared" si="85"/>
        <v>47759451</v>
      </c>
      <c r="V56" s="12">
        <f t="shared" si="85"/>
        <v>7911250</v>
      </c>
      <c r="W56" s="12">
        <f t="shared" si="85"/>
        <v>14000250</v>
      </c>
      <c r="X56" s="12">
        <f t="shared" si="85"/>
        <v>11942278</v>
      </c>
      <c r="Y56" s="12">
        <f t="shared" si="85"/>
        <v>6000000</v>
      </c>
      <c r="Z56" s="12">
        <f t="shared" si="85"/>
        <v>23920902</v>
      </c>
      <c r="AA56" s="12">
        <f t="shared" si="85"/>
        <v>23940902</v>
      </c>
      <c r="AB56" s="12">
        <f t="shared" si="85"/>
        <v>2000000</v>
      </c>
      <c r="AC56" s="12">
        <f t="shared" si="85"/>
        <v>0</v>
      </c>
      <c r="AD56" s="12">
        <f t="shared" si="85"/>
        <v>0</v>
      </c>
      <c r="AE56" s="12">
        <f t="shared" si="85"/>
        <v>20038632</v>
      </c>
      <c r="AF56" s="12">
        <f t="shared" si="85"/>
        <v>20038632</v>
      </c>
      <c r="AG56" s="12">
        <f t="shared" si="85"/>
        <v>19467888</v>
      </c>
      <c r="AH56" s="12">
        <f t="shared" si="85"/>
        <v>11811000</v>
      </c>
      <c r="AI56" s="12">
        <f t="shared" si="85"/>
        <v>11811000</v>
      </c>
      <c r="AJ56" s="12">
        <f t="shared" si="85"/>
        <v>11811000</v>
      </c>
      <c r="AK56" s="12">
        <f t="shared" si="85"/>
        <v>2000000</v>
      </c>
      <c r="AL56" s="12">
        <f t="shared" si="85"/>
        <v>1971268</v>
      </c>
      <c r="AM56" s="12">
        <f t="shared" si="85"/>
        <v>1911078</v>
      </c>
      <c r="AN56" s="12">
        <f t="shared" si="85"/>
        <v>503000</v>
      </c>
      <c r="AO56" s="12">
        <f t="shared" si="85"/>
        <v>144021</v>
      </c>
      <c r="AP56" s="12">
        <f t="shared" si="85"/>
        <v>144021</v>
      </c>
      <c r="AQ56" s="12">
        <f t="shared" si="85"/>
        <v>2000000</v>
      </c>
      <c r="AR56" s="12">
        <f t="shared" si="85"/>
        <v>397256</v>
      </c>
      <c r="AS56" s="12">
        <f t="shared" si="85"/>
        <v>397256</v>
      </c>
      <c r="AT56" s="12">
        <f t="shared" si="85"/>
        <v>1500000</v>
      </c>
      <c r="AU56" s="12">
        <f t="shared" si="85"/>
        <v>1500000</v>
      </c>
      <c r="AV56" s="12">
        <f t="shared" si="85"/>
        <v>1005481</v>
      </c>
      <c r="AW56" s="12">
        <f t="shared" si="85"/>
        <v>0</v>
      </c>
      <c r="AX56" s="12">
        <f t="shared" si="85"/>
        <v>10488573</v>
      </c>
      <c r="AY56" s="12">
        <f t="shared" si="85"/>
        <v>4468321</v>
      </c>
      <c r="AZ56" s="12">
        <f t="shared" si="85"/>
        <v>46919478</v>
      </c>
      <c r="BA56" s="12">
        <f t="shared" si="85"/>
        <v>46919478</v>
      </c>
      <c r="BB56" s="12">
        <f t="shared" si="85"/>
        <v>46919478</v>
      </c>
      <c r="BC56" s="12">
        <f t="shared" si="85"/>
        <v>65000000</v>
      </c>
      <c r="BD56" s="12">
        <f t="shared" si="85"/>
        <v>99322740</v>
      </c>
      <c r="BE56" s="12">
        <f t="shared" si="85"/>
        <v>0</v>
      </c>
      <c r="BF56" s="12">
        <f t="shared" si="85"/>
        <v>65000000</v>
      </c>
      <c r="BG56" s="12">
        <f t="shared" si="85"/>
        <v>47371000</v>
      </c>
      <c r="BH56" s="12">
        <f t="shared" si="85"/>
        <v>0</v>
      </c>
      <c r="BI56" s="12">
        <f t="shared" si="85"/>
        <v>1500000</v>
      </c>
      <c r="BJ56" s="12">
        <f t="shared" si="85"/>
        <v>1500000</v>
      </c>
      <c r="BK56" s="12">
        <f t="shared" si="85"/>
        <v>1499757</v>
      </c>
      <c r="BL56" s="12">
        <f t="shared" si="85"/>
        <v>2700000</v>
      </c>
      <c r="BM56" s="12">
        <f t="shared" si="85"/>
        <v>2750000</v>
      </c>
      <c r="BN56" s="12">
        <f t="shared" si="85"/>
        <v>2747394</v>
      </c>
      <c r="BO56" s="12">
        <f t="shared" si="85"/>
        <v>3885000</v>
      </c>
      <c r="BP56" s="12">
        <f t="shared" si="85"/>
        <v>4477000</v>
      </c>
      <c r="BQ56" s="12">
        <f t="shared" ref="BQ56:EB56" si="86">+BQ20+BQ21</f>
        <v>4155476</v>
      </c>
      <c r="BR56" s="12">
        <f t="shared" si="86"/>
        <v>400000</v>
      </c>
      <c r="BS56" s="12">
        <f t="shared" si="86"/>
        <v>400000</v>
      </c>
      <c r="BT56" s="12">
        <f t="shared" si="86"/>
        <v>400000</v>
      </c>
      <c r="BU56" s="12">
        <f t="shared" si="86"/>
        <v>2647718</v>
      </c>
      <c r="BV56" s="12">
        <f t="shared" si="86"/>
        <v>3305774</v>
      </c>
      <c r="BW56" s="12">
        <f t="shared" si="86"/>
        <v>3301280</v>
      </c>
      <c r="BX56" s="12">
        <f t="shared" si="86"/>
        <v>3673011</v>
      </c>
      <c r="BY56" s="12">
        <f t="shared" si="86"/>
        <v>20091743</v>
      </c>
      <c r="BZ56" s="12">
        <f t="shared" si="86"/>
        <v>20079679</v>
      </c>
      <c r="CA56" s="12">
        <f t="shared" si="86"/>
        <v>3957385</v>
      </c>
      <c r="CB56" s="12">
        <f t="shared" si="86"/>
        <v>2980604</v>
      </c>
      <c r="CC56" s="12">
        <f t="shared" si="86"/>
        <v>2980604</v>
      </c>
      <c r="CD56" s="12">
        <f t="shared" si="86"/>
        <v>5522047</v>
      </c>
      <c r="CE56" s="12">
        <f t="shared" si="86"/>
        <v>3680097</v>
      </c>
      <c r="CF56" s="12">
        <f t="shared" si="86"/>
        <v>3423224</v>
      </c>
      <c r="CG56" s="12">
        <f t="shared" si="86"/>
        <v>3575528</v>
      </c>
      <c r="CH56" s="12">
        <f t="shared" si="86"/>
        <v>8586071</v>
      </c>
      <c r="CI56" s="12">
        <f t="shared" si="86"/>
        <v>8500158</v>
      </c>
      <c r="CJ56" s="12">
        <f t="shared" si="86"/>
        <v>3938336</v>
      </c>
      <c r="CK56" s="12">
        <f t="shared" si="86"/>
        <v>3032266</v>
      </c>
      <c r="CL56" s="12">
        <f t="shared" si="86"/>
        <v>2860748</v>
      </c>
      <c r="CM56" s="12">
        <f t="shared" si="86"/>
        <v>5634412</v>
      </c>
      <c r="CN56" s="12">
        <f t="shared" si="86"/>
        <v>4094468</v>
      </c>
      <c r="CO56" s="12">
        <f t="shared" si="86"/>
        <v>3897822</v>
      </c>
      <c r="CP56" s="12">
        <f t="shared" si="86"/>
        <v>720124</v>
      </c>
      <c r="CQ56" s="12">
        <f t="shared" si="86"/>
        <v>720124</v>
      </c>
      <c r="CR56" s="12">
        <f t="shared" si="86"/>
        <v>208563</v>
      </c>
      <c r="CS56" s="12">
        <f t="shared" si="86"/>
        <v>2018549</v>
      </c>
      <c r="CT56" s="12">
        <f t="shared" si="86"/>
        <v>1290154</v>
      </c>
      <c r="CU56" s="12">
        <f t="shared" si="86"/>
        <v>1077158</v>
      </c>
      <c r="CV56" s="12">
        <f t="shared" si="86"/>
        <v>395029201</v>
      </c>
      <c r="CW56" s="12">
        <f t="shared" si="86"/>
        <v>835415764</v>
      </c>
      <c r="CX56" s="12">
        <f t="shared" si="86"/>
        <v>1909725535</v>
      </c>
      <c r="CY56" s="12">
        <f t="shared" si="86"/>
        <v>1982685354</v>
      </c>
      <c r="CZ56" s="12">
        <f t="shared" si="86"/>
        <v>1830471809</v>
      </c>
      <c r="DA56" s="12">
        <f t="shared" si="86"/>
        <v>0</v>
      </c>
      <c r="DB56" s="12">
        <f t="shared" si="86"/>
        <v>0</v>
      </c>
      <c r="DC56" s="12">
        <f t="shared" si="86"/>
        <v>0</v>
      </c>
      <c r="DD56" s="12">
        <f t="shared" si="86"/>
        <v>635000</v>
      </c>
      <c r="DE56" s="12">
        <f t="shared" si="86"/>
        <v>3395000</v>
      </c>
      <c r="DF56" s="12">
        <f t="shared" si="86"/>
        <v>0</v>
      </c>
      <c r="DG56" s="12">
        <f t="shared" si="86"/>
        <v>10020080</v>
      </c>
      <c r="DH56" s="12">
        <f t="shared" si="86"/>
        <v>19020080</v>
      </c>
      <c r="DI56" s="12">
        <f t="shared" si="86"/>
        <v>14772260</v>
      </c>
      <c r="DJ56" s="12">
        <f t="shared" si="86"/>
        <v>0</v>
      </c>
      <c r="DK56" s="12">
        <f t="shared" si="86"/>
        <v>60471732</v>
      </c>
      <c r="DL56" s="12">
        <f t="shared" si="86"/>
        <v>0</v>
      </c>
      <c r="DM56" s="12">
        <f t="shared" si="86"/>
        <v>3235875</v>
      </c>
      <c r="DN56" s="12">
        <f t="shared" si="86"/>
        <v>3127061</v>
      </c>
      <c r="DO56" s="12">
        <f t="shared" si="86"/>
        <v>3127061</v>
      </c>
      <c r="DP56" s="12">
        <f t="shared" si="86"/>
        <v>400050</v>
      </c>
      <c r="DQ56" s="12">
        <f t="shared" si="86"/>
        <v>311004474</v>
      </c>
      <c r="DR56" s="12">
        <f t="shared" si="86"/>
        <v>15641220</v>
      </c>
      <c r="DS56" s="12">
        <f t="shared" si="86"/>
        <v>4825500</v>
      </c>
      <c r="DT56" s="12">
        <f t="shared" si="86"/>
        <v>325500</v>
      </c>
      <c r="DU56" s="12">
        <f t="shared" si="86"/>
        <v>0</v>
      </c>
      <c r="DV56" s="12">
        <f t="shared" si="86"/>
        <v>8855000</v>
      </c>
      <c r="DW56" s="12">
        <f t="shared" si="86"/>
        <v>22208914</v>
      </c>
      <c r="DX56" s="12">
        <f t="shared" si="86"/>
        <v>16391315</v>
      </c>
      <c r="DY56" s="12">
        <f t="shared" si="86"/>
        <v>2350000</v>
      </c>
      <c r="DZ56" s="12">
        <f t="shared" si="86"/>
        <v>2350000</v>
      </c>
      <c r="EA56" s="12">
        <f t="shared" si="86"/>
        <v>2310612</v>
      </c>
      <c r="EB56" s="12">
        <f t="shared" si="86"/>
        <v>0</v>
      </c>
      <c r="EC56" s="12">
        <f t="shared" ref="EC56:GL56" si="87">+EC20+EC21</f>
        <v>16759884</v>
      </c>
      <c r="ED56" s="12">
        <f t="shared" si="87"/>
        <v>16133837</v>
      </c>
      <c r="EE56" s="12">
        <f t="shared" si="87"/>
        <v>6000000</v>
      </c>
      <c r="EF56" s="12">
        <f t="shared" si="87"/>
        <v>18000000</v>
      </c>
      <c r="EG56" s="12">
        <f t="shared" si="87"/>
        <v>18000000</v>
      </c>
      <c r="EH56" s="12">
        <f t="shared" si="87"/>
        <v>0</v>
      </c>
      <c r="EI56" s="12">
        <f t="shared" si="87"/>
        <v>2541088</v>
      </c>
      <c r="EJ56" s="12">
        <f t="shared" si="87"/>
        <v>2541088</v>
      </c>
      <c r="EK56" s="12">
        <f t="shared" si="87"/>
        <v>0</v>
      </c>
      <c r="EL56" s="12">
        <f t="shared" si="87"/>
        <v>9000000</v>
      </c>
      <c r="EM56" s="12">
        <f t="shared" si="87"/>
        <v>0</v>
      </c>
      <c r="EN56" s="12">
        <f t="shared" si="87"/>
        <v>0</v>
      </c>
      <c r="EO56" s="12">
        <f t="shared" si="87"/>
        <v>2586000</v>
      </c>
      <c r="EP56" s="12">
        <f t="shared" si="87"/>
        <v>2538600</v>
      </c>
      <c r="EQ56" s="12">
        <f t="shared" si="87"/>
        <v>4500000</v>
      </c>
      <c r="ER56" s="12">
        <f t="shared" si="87"/>
        <v>4500000</v>
      </c>
      <c r="ES56" s="12">
        <f t="shared" si="87"/>
        <v>3642000</v>
      </c>
      <c r="ET56" s="12">
        <f t="shared" si="87"/>
        <v>5000000</v>
      </c>
      <c r="EU56" s="12">
        <f t="shared" si="87"/>
        <v>0</v>
      </c>
      <c r="EV56" s="12">
        <f t="shared" si="87"/>
        <v>0</v>
      </c>
      <c r="EW56" s="12">
        <f t="shared" si="87"/>
        <v>4449513</v>
      </c>
      <c r="EX56" s="12">
        <f t="shared" si="87"/>
        <v>6349513</v>
      </c>
      <c r="EY56" s="12">
        <f t="shared" si="87"/>
        <v>5765535</v>
      </c>
      <c r="EZ56" s="12">
        <f t="shared" si="87"/>
        <v>5000000</v>
      </c>
      <c r="FA56" s="12">
        <f t="shared" si="87"/>
        <v>594360</v>
      </c>
      <c r="FB56" s="12">
        <f t="shared" si="87"/>
        <v>594360</v>
      </c>
      <c r="FC56" s="12">
        <f t="shared" si="87"/>
        <v>13191583</v>
      </c>
      <c r="FD56" s="12">
        <f t="shared" si="87"/>
        <v>17691583</v>
      </c>
      <c r="FE56" s="12">
        <f t="shared" si="87"/>
        <v>14581601</v>
      </c>
      <c r="FF56" s="12">
        <f t="shared" si="87"/>
        <v>6314100</v>
      </c>
      <c r="FG56" s="12">
        <f t="shared" si="87"/>
        <v>6314100</v>
      </c>
      <c r="FH56" s="12">
        <f t="shared" si="87"/>
        <v>6134100</v>
      </c>
      <c r="FI56" s="12">
        <f t="shared" si="87"/>
        <v>0</v>
      </c>
      <c r="FJ56" s="12">
        <f t="shared" si="87"/>
        <v>6856623</v>
      </c>
      <c r="FK56" s="12">
        <f t="shared" si="87"/>
        <v>6856623</v>
      </c>
      <c r="FL56" s="12">
        <f t="shared" si="87"/>
        <v>250000</v>
      </c>
      <c r="FM56" s="12">
        <f t="shared" si="87"/>
        <v>500000</v>
      </c>
      <c r="FN56" s="12">
        <f t="shared" si="87"/>
        <v>418000</v>
      </c>
      <c r="FO56" s="12">
        <f t="shared" si="87"/>
        <v>350000</v>
      </c>
      <c r="FP56" s="12">
        <f t="shared" si="87"/>
        <v>700000</v>
      </c>
      <c r="FQ56" s="12">
        <f t="shared" si="87"/>
        <v>79398</v>
      </c>
      <c r="FR56" s="12">
        <f t="shared" si="87"/>
        <v>11500000</v>
      </c>
      <c r="FS56" s="12">
        <f t="shared" si="87"/>
        <v>14000000</v>
      </c>
      <c r="FT56" s="12">
        <f t="shared" si="87"/>
        <v>9005256</v>
      </c>
      <c r="FU56" s="12">
        <f t="shared" si="87"/>
        <v>19000000</v>
      </c>
      <c r="FV56" s="12">
        <f t="shared" si="87"/>
        <v>19835401</v>
      </c>
      <c r="FW56" s="12">
        <f t="shared" si="87"/>
        <v>19810628</v>
      </c>
      <c r="FX56" s="12">
        <f t="shared" si="87"/>
        <v>1000000</v>
      </c>
      <c r="FY56" s="12">
        <f t="shared" si="87"/>
        <v>3700000</v>
      </c>
      <c r="FZ56" s="12">
        <f t="shared" si="87"/>
        <v>3554955</v>
      </c>
      <c r="GA56" s="12">
        <f t="shared" si="87"/>
        <v>0</v>
      </c>
      <c r="GB56" s="12">
        <f t="shared" si="87"/>
        <v>131150520</v>
      </c>
      <c r="GC56" s="12">
        <f t="shared" si="87"/>
        <v>129468136</v>
      </c>
      <c r="GD56" s="12">
        <f t="shared" si="87"/>
        <v>0</v>
      </c>
      <c r="GE56" s="12">
        <f t="shared" si="87"/>
        <v>680000</v>
      </c>
      <c r="GF56" s="12">
        <f t="shared" si="87"/>
        <v>130000</v>
      </c>
      <c r="GG56" s="12">
        <f t="shared" si="87"/>
        <v>0</v>
      </c>
      <c r="GH56" s="12">
        <f t="shared" si="87"/>
        <v>150138700</v>
      </c>
      <c r="GI56" s="12">
        <f t="shared" si="87"/>
        <v>138700</v>
      </c>
      <c r="GJ56" s="12">
        <f t="shared" si="87"/>
        <v>0</v>
      </c>
      <c r="GK56" s="12">
        <f t="shared" si="87"/>
        <v>12963000</v>
      </c>
      <c r="GL56" s="12">
        <f t="shared" si="87"/>
        <v>0</v>
      </c>
      <c r="GM56" s="12">
        <f>+GM20+GM21</f>
        <v>0</v>
      </c>
      <c r="GN56" s="12">
        <f t="shared" ref="GN56:GO56" si="88">+GN20+GN21</f>
        <v>1358900</v>
      </c>
      <c r="GO56" s="12">
        <f t="shared" si="88"/>
        <v>596900</v>
      </c>
    </row>
    <row r="57" spans="1:203" x14ac:dyDescent="0.25">
      <c r="D57" s="12">
        <f>+D28-D56</f>
        <v>0</v>
      </c>
      <c r="E57" s="12">
        <f t="shared" ref="E57:BP57" si="89">+E28-E56</f>
        <v>0</v>
      </c>
      <c r="F57" s="12">
        <f t="shared" si="89"/>
        <v>0</v>
      </c>
      <c r="G57" s="12">
        <f t="shared" si="89"/>
        <v>0</v>
      </c>
      <c r="H57" s="12">
        <f t="shared" si="89"/>
        <v>0</v>
      </c>
      <c r="I57" s="12">
        <f t="shared" si="89"/>
        <v>0</v>
      </c>
      <c r="J57" s="12">
        <f t="shared" si="89"/>
        <v>0</v>
      </c>
      <c r="K57" s="12">
        <f t="shared" si="89"/>
        <v>0</v>
      </c>
      <c r="L57" s="12">
        <f t="shared" si="89"/>
        <v>0</v>
      </c>
      <c r="M57" s="12">
        <f t="shared" si="89"/>
        <v>0</v>
      </c>
      <c r="N57" s="12">
        <f t="shared" si="89"/>
        <v>0</v>
      </c>
      <c r="O57" s="12">
        <f t="shared" si="89"/>
        <v>0</v>
      </c>
      <c r="P57" s="12">
        <f t="shared" si="89"/>
        <v>0</v>
      </c>
      <c r="Q57" s="12">
        <f t="shared" si="89"/>
        <v>0</v>
      </c>
      <c r="R57" s="12">
        <f t="shared" si="89"/>
        <v>0</v>
      </c>
      <c r="S57" s="12">
        <f t="shared" si="89"/>
        <v>0</v>
      </c>
      <c r="T57" s="12">
        <f t="shared" si="89"/>
        <v>0</v>
      </c>
      <c r="U57" s="12">
        <f t="shared" si="89"/>
        <v>0</v>
      </c>
      <c r="V57" s="12">
        <f t="shared" si="89"/>
        <v>0</v>
      </c>
      <c r="W57" s="12">
        <f t="shared" si="89"/>
        <v>0</v>
      </c>
      <c r="X57" s="12">
        <f t="shared" si="89"/>
        <v>0</v>
      </c>
      <c r="Y57" s="12">
        <f t="shared" si="89"/>
        <v>0</v>
      </c>
      <c r="Z57" s="12">
        <f t="shared" si="89"/>
        <v>0</v>
      </c>
      <c r="AA57" s="12">
        <f t="shared" si="89"/>
        <v>0</v>
      </c>
      <c r="AB57" s="12">
        <f t="shared" si="89"/>
        <v>0</v>
      </c>
      <c r="AC57" s="12">
        <f t="shared" si="89"/>
        <v>0</v>
      </c>
      <c r="AD57" s="12">
        <f t="shared" si="89"/>
        <v>0</v>
      </c>
      <c r="AE57" s="12">
        <f t="shared" si="89"/>
        <v>0</v>
      </c>
      <c r="AF57" s="12">
        <f t="shared" si="89"/>
        <v>0</v>
      </c>
      <c r="AG57" s="12">
        <f t="shared" si="89"/>
        <v>0</v>
      </c>
      <c r="AH57" s="12">
        <f t="shared" si="89"/>
        <v>0</v>
      </c>
      <c r="AI57" s="12">
        <f t="shared" si="89"/>
        <v>0</v>
      </c>
      <c r="AJ57" s="12">
        <f t="shared" si="89"/>
        <v>0</v>
      </c>
      <c r="AK57" s="12">
        <f t="shared" si="89"/>
        <v>0</v>
      </c>
      <c r="AL57" s="12">
        <f t="shared" si="89"/>
        <v>0</v>
      </c>
      <c r="AM57" s="12">
        <f t="shared" si="89"/>
        <v>0</v>
      </c>
      <c r="AN57" s="12">
        <f t="shared" si="89"/>
        <v>0</v>
      </c>
      <c r="AO57" s="12">
        <f t="shared" si="89"/>
        <v>0</v>
      </c>
      <c r="AP57" s="12">
        <f t="shared" si="89"/>
        <v>0</v>
      </c>
      <c r="AQ57" s="12">
        <f t="shared" si="89"/>
        <v>0</v>
      </c>
      <c r="AR57" s="12">
        <f t="shared" si="89"/>
        <v>0</v>
      </c>
      <c r="AS57" s="12">
        <f t="shared" si="89"/>
        <v>0</v>
      </c>
      <c r="AT57" s="12">
        <f t="shared" si="89"/>
        <v>0</v>
      </c>
      <c r="AU57" s="12">
        <f t="shared" si="89"/>
        <v>0</v>
      </c>
      <c r="AV57" s="12">
        <f t="shared" si="89"/>
        <v>0</v>
      </c>
      <c r="AW57" s="12">
        <f t="shared" si="89"/>
        <v>0</v>
      </c>
      <c r="AX57" s="12">
        <f t="shared" si="89"/>
        <v>0</v>
      </c>
      <c r="AY57" s="12">
        <f t="shared" si="89"/>
        <v>0</v>
      </c>
      <c r="AZ57" s="12">
        <f t="shared" si="89"/>
        <v>0</v>
      </c>
      <c r="BA57" s="12">
        <f t="shared" si="89"/>
        <v>0</v>
      </c>
      <c r="BB57" s="12">
        <f t="shared" si="89"/>
        <v>0</v>
      </c>
      <c r="BC57" s="12">
        <f t="shared" si="89"/>
        <v>0</v>
      </c>
      <c r="BD57" s="12">
        <f t="shared" si="89"/>
        <v>0</v>
      </c>
      <c r="BE57" s="12">
        <f t="shared" si="89"/>
        <v>0</v>
      </c>
      <c r="BF57" s="12">
        <f t="shared" si="89"/>
        <v>0</v>
      </c>
      <c r="BG57" s="12">
        <f t="shared" si="89"/>
        <v>0</v>
      </c>
      <c r="BH57" s="12">
        <f t="shared" si="89"/>
        <v>0</v>
      </c>
      <c r="BI57" s="12">
        <f t="shared" si="89"/>
        <v>0</v>
      </c>
      <c r="BJ57" s="12">
        <f t="shared" si="89"/>
        <v>0</v>
      </c>
      <c r="BK57" s="12">
        <f t="shared" si="89"/>
        <v>0</v>
      </c>
      <c r="BL57" s="12">
        <f t="shared" si="89"/>
        <v>0</v>
      </c>
      <c r="BM57" s="12">
        <f t="shared" si="89"/>
        <v>0</v>
      </c>
      <c r="BN57" s="12">
        <f t="shared" si="89"/>
        <v>0</v>
      </c>
      <c r="BO57" s="12">
        <f t="shared" si="89"/>
        <v>0</v>
      </c>
      <c r="BP57" s="12">
        <f t="shared" si="89"/>
        <v>0</v>
      </c>
      <c r="BQ57" s="12">
        <f t="shared" ref="BQ57:EB57" si="90">+BQ28-BQ56</f>
        <v>0</v>
      </c>
      <c r="BR57" s="12">
        <f t="shared" si="90"/>
        <v>0</v>
      </c>
      <c r="BS57" s="12">
        <f t="shared" si="90"/>
        <v>0</v>
      </c>
      <c r="BT57" s="12">
        <f t="shared" si="90"/>
        <v>0</v>
      </c>
      <c r="BU57" s="12">
        <f t="shared" si="90"/>
        <v>0</v>
      </c>
      <c r="BV57" s="12">
        <f t="shared" si="90"/>
        <v>0</v>
      </c>
      <c r="BW57" s="12">
        <f t="shared" si="90"/>
        <v>0</v>
      </c>
      <c r="BX57" s="12">
        <f t="shared" si="90"/>
        <v>0</v>
      </c>
      <c r="BY57" s="12">
        <f t="shared" si="90"/>
        <v>0</v>
      </c>
      <c r="BZ57" s="12">
        <f t="shared" si="90"/>
        <v>0</v>
      </c>
      <c r="CA57" s="12">
        <f t="shared" si="90"/>
        <v>0</v>
      </c>
      <c r="CB57" s="12">
        <f t="shared" si="90"/>
        <v>0</v>
      </c>
      <c r="CC57" s="12">
        <f t="shared" si="90"/>
        <v>0</v>
      </c>
      <c r="CD57" s="12">
        <f t="shared" si="90"/>
        <v>0</v>
      </c>
      <c r="CE57" s="12">
        <f t="shared" si="90"/>
        <v>0</v>
      </c>
      <c r="CF57" s="12">
        <f t="shared" si="90"/>
        <v>0</v>
      </c>
      <c r="CG57" s="12">
        <f t="shared" si="90"/>
        <v>0</v>
      </c>
      <c r="CH57" s="12">
        <f t="shared" si="90"/>
        <v>0</v>
      </c>
      <c r="CI57" s="12">
        <f t="shared" si="90"/>
        <v>0</v>
      </c>
      <c r="CJ57" s="12">
        <f t="shared" si="90"/>
        <v>0</v>
      </c>
      <c r="CK57" s="12">
        <f t="shared" si="90"/>
        <v>0</v>
      </c>
      <c r="CL57" s="12">
        <f t="shared" si="90"/>
        <v>0</v>
      </c>
      <c r="CM57" s="12">
        <f t="shared" si="90"/>
        <v>0</v>
      </c>
      <c r="CN57" s="12">
        <f t="shared" si="90"/>
        <v>0</v>
      </c>
      <c r="CO57" s="12">
        <f t="shared" si="90"/>
        <v>0</v>
      </c>
      <c r="CP57" s="12">
        <f t="shared" si="90"/>
        <v>0</v>
      </c>
      <c r="CQ57" s="12">
        <f t="shared" si="90"/>
        <v>0</v>
      </c>
      <c r="CR57" s="12">
        <f t="shared" si="90"/>
        <v>0</v>
      </c>
      <c r="CS57" s="12">
        <f t="shared" si="90"/>
        <v>0</v>
      </c>
      <c r="CT57" s="12">
        <f t="shared" si="90"/>
        <v>0</v>
      </c>
      <c r="CU57" s="12">
        <f t="shared" si="90"/>
        <v>0</v>
      </c>
      <c r="CV57" s="12">
        <f t="shared" si="90"/>
        <v>0</v>
      </c>
      <c r="CW57" s="12">
        <f t="shared" si="90"/>
        <v>0</v>
      </c>
      <c r="CX57" s="12">
        <f t="shared" si="90"/>
        <v>0</v>
      </c>
      <c r="CY57" s="12">
        <f t="shared" si="90"/>
        <v>0</v>
      </c>
      <c r="CZ57" s="12">
        <f t="shared" si="90"/>
        <v>0</v>
      </c>
      <c r="DA57" s="12">
        <f t="shared" si="90"/>
        <v>0</v>
      </c>
      <c r="DB57" s="12">
        <f t="shared" si="90"/>
        <v>0</v>
      </c>
      <c r="DC57" s="12">
        <f t="shared" si="90"/>
        <v>0</v>
      </c>
      <c r="DD57" s="12">
        <f t="shared" si="90"/>
        <v>0</v>
      </c>
      <c r="DE57" s="12">
        <f t="shared" si="90"/>
        <v>0</v>
      </c>
      <c r="DF57" s="12">
        <f t="shared" si="90"/>
        <v>0</v>
      </c>
      <c r="DG57" s="12">
        <f t="shared" si="90"/>
        <v>0</v>
      </c>
      <c r="DH57" s="12">
        <f t="shared" si="90"/>
        <v>0</v>
      </c>
      <c r="DI57" s="12">
        <f t="shared" si="90"/>
        <v>0</v>
      </c>
      <c r="DJ57" s="12">
        <f t="shared" si="90"/>
        <v>0</v>
      </c>
      <c r="DK57" s="12">
        <f t="shared" si="90"/>
        <v>0</v>
      </c>
      <c r="DL57" s="12">
        <f t="shared" si="90"/>
        <v>0</v>
      </c>
      <c r="DM57" s="12">
        <f t="shared" si="90"/>
        <v>0</v>
      </c>
      <c r="DN57" s="12">
        <f t="shared" si="90"/>
        <v>0</v>
      </c>
      <c r="DO57" s="12">
        <f t="shared" si="90"/>
        <v>0</v>
      </c>
      <c r="DP57" s="12">
        <f t="shared" si="90"/>
        <v>0</v>
      </c>
      <c r="DQ57" s="12">
        <f t="shared" si="90"/>
        <v>0</v>
      </c>
      <c r="DR57" s="12">
        <f t="shared" si="90"/>
        <v>0</v>
      </c>
      <c r="DS57" s="12">
        <f t="shared" si="90"/>
        <v>0</v>
      </c>
      <c r="DT57" s="12">
        <f t="shared" si="90"/>
        <v>0</v>
      </c>
      <c r="DU57" s="12">
        <f t="shared" si="90"/>
        <v>0</v>
      </c>
      <c r="DV57" s="12">
        <f t="shared" si="90"/>
        <v>0</v>
      </c>
      <c r="DW57" s="12">
        <f t="shared" si="90"/>
        <v>0</v>
      </c>
      <c r="DX57" s="12">
        <f t="shared" si="90"/>
        <v>0</v>
      </c>
      <c r="DY57" s="12">
        <f t="shared" si="90"/>
        <v>0</v>
      </c>
      <c r="DZ57" s="12">
        <f t="shared" si="90"/>
        <v>0</v>
      </c>
      <c r="EA57" s="12">
        <f t="shared" si="90"/>
        <v>0</v>
      </c>
      <c r="EB57" s="12">
        <f t="shared" si="90"/>
        <v>0</v>
      </c>
      <c r="EC57" s="12">
        <f t="shared" ref="EC57:GL57" si="91">+EC28-EC56</f>
        <v>0</v>
      </c>
      <c r="ED57" s="12">
        <f t="shared" si="91"/>
        <v>0</v>
      </c>
      <c r="EE57" s="12">
        <f t="shared" si="91"/>
        <v>0</v>
      </c>
      <c r="EF57" s="12">
        <f t="shared" si="91"/>
        <v>0</v>
      </c>
      <c r="EG57" s="12">
        <f t="shared" si="91"/>
        <v>0</v>
      </c>
      <c r="EH57" s="12">
        <f t="shared" si="91"/>
        <v>0</v>
      </c>
      <c r="EI57" s="12">
        <f t="shared" si="91"/>
        <v>0</v>
      </c>
      <c r="EJ57" s="12">
        <f t="shared" si="91"/>
        <v>0</v>
      </c>
      <c r="EK57" s="12">
        <f t="shared" si="91"/>
        <v>0</v>
      </c>
      <c r="EL57" s="12">
        <f t="shared" si="91"/>
        <v>0</v>
      </c>
      <c r="EM57" s="12">
        <f t="shared" si="91"/>
        <v>0</v>
      </c>
      <c r="EN57" s="12">
        <f t="shared" si="91"/>
        <v>0</v>
      </c>
      <c r="EO57" s="12">
        <f t="shared" si="91"/>
        <v>0</v>
      </c>
      <c r="EP57" s="12">
        <f t="shared" si="91"/>
        <v>0</v>
      </c>
      <c r="EQ57" s="12">
        <f t="shared" si="91"/>
        <v>0</v>
      </c>
      <c r="ER57" s="12">
        <f t="shared" si="91"/>
        <v>0</v>
      </c>
      <c r="ES57" s="12">
        <f t="shared" si="91"/>
        <v>0</v>
      </c>
      <c r="ET57" s="12">
        <f t="shared" si="91"/>
        <v>0</v>
      </c>
      <c r="EU57" s="12">
        <f t="shared" si="91"/>
        <v>0</v>
      </c>
      <c r="EV57" s="12">
        <f t="shared" si="91"/>
        <v>0</v>
      </c>
      <c r="EW57" s="12">
        <f t="shared" si="91"/>
        <v>0</v>
      </c>
      <c r="EX57" s="12">
        <f t="shared" si="91"/>
        <v>0</v>
      </c>
      <c r="EY57" s="12">
        <f t="shared" si="91"/>
        <v>0</v>
      </c>
      <c r="EZ57" s="12">
        <f t="shared" si="91"/>
        <v>0</v>
      </c>
      <c r="FA57" s="12">
        <f t="shared" si="91"/>
        <v>0</v>
      </c>
      <c r="FB57" s="12">
        <f t="shared" si="91"/>
        <v>0</v>
      </c>
      <c r="FC57" s="12">
        <f t="shared" si="91"/>
        <v>0</v>
      </c>
      <c r="FD57" s="12">
        <f t="shared" si="91"/>
        <v>0</v>
      </c>
      <c r="FE57" s="12">
        <f t="shared" si="91"/>
        <v>0</v>
      </c>
      <c r="FF57" s="12">
        <f t="shared" si="91"/>
        <v>0</v>
      </c>
      <c r="FG57" s="12">
        <f t="shared" si="91"/>
        <v>0</v>
      </c>
      <c r="FH57" s="12">
        <f t="shared" si="91"/>
        <v>0</v>
      </c>
      <c r="FI57" s="12">
        <f t="shared" si="91"/>
        <v>0</v>
      </c>
      <c r="FJ57" s="12">
        <f t="shared" si="91"/>
        <v>0</v>
      </c>
      <c r="FK57" s="12">
        <f t="shared" si="91"/>
        <v>0</v>
      </c>
      <c r="FL57" s="12">
        <f t="shared" si="91"/>
        <v>0</v>
      </c>
      <c r="FM57" s="12">
        <f t="shared" si="91"/>
        <v>0</v>
      </c>
      <c r="FN57" s="12">
        <f t="shared" si="91"/>
        <v>0</v>
      </c>
      <c r="FO57" s="12">
        <f t="shared" si="91"/>
        <v>0</v>
      </c>
      <c r="FP57" s="12">
        <f t="shared" si="91"/>
        <v>0</v>
      </c>
      <c r="FQ57" s="12">
        <f t="shared" si="91"/>
        <v>0</v>
      </c>
      <c r="FR57" s="12">
        <f t="shared" si="91"/>
        <v>0</v>
      </c>
      <c r="FS57" s="12">
        <f t="shared" si="91"/>
        <v>0</v>
      </c>
      <c r="FT57" s="12">
        <f t="shared" si="91"/>
        <v>0</v>
      </c>
      <c r="FU57" s="12">
        <f t="shared" si="91"/>
        <v>0</v>
      </c>
      <c r="FV57" s="12">
        <f t="shared" si="91"/>
        <v>0</v>
      </c>
      <c r="FW57" s="12">
        <f t="shared" si="91"/>
        <v>0</v>
      </c>
      <c r="FX57" s="12">
        <f t="shared" si="91"/>
        <v>0</v>
      </c>
      <c r="FY57" s="12">
        <f t="shared" si="91"/>
        <v>0</v>
      </c>
      <c r="FZ57" s="12">
        <f t="shared" si="91"/>
        <v>0</v>
      </c>
      <c r="GA57" s="12">
        <f t="shared" si="91"/>
        <v>0</v>
      </c>
      <c r="GB57" s="12">
        <f t="shared" si="91"/>
        <v>0</v>
      </c>
      <c r="GC57" s="12">
        <f t="shared" si="91"/>
        <v>0</v>
      </c>
      <c r="GD57" s="12">
        <f t="shared" si="91"/>
        <v>0</v>
      </c>
      <c r="GE57" s="12">
        <f t="shared" si="91"/>
        <v>0</v>
      </c>
      <c r="GF57" s="12">
        <f t="shared" si="91"/>
        <v>0</v>
      </c>
      <c r="GG57" s="12">
        <f t="shared" si="91"/>
        <v>0</v>
      </c>
      <c r="GH57" s="12">
        <f t="shared" si="91"/>
        <v>0</v>
      </c>
      <c r="GI57" s="12">
        <f t="shared" si="91"/>
        <v>0</v>
      </c>
      <c r="GJ57" s="12">
        <f t="shared" si="91"/>
        <v>0</v>
      </c>
      <c r="GK57" s="12">
        <f t="shared" si="91"/>
        <v>0</v>
      </c>
      <c r="GL57" s="12">
        <f t="shared" si="91"/>
        <v>0</v>
      </c>
      <c r="GM57" s="12">
        <f>+GM28-GM56</f>
        <v>0</v>
      </c>
      <c r="GN57" s="12">
        <f t="shared" ref="GN57" si="92">+GN28-GN56</f>
        <v>0</v>
      </c>
      <c r="GO57" s="12">
        <f t="shared" ref="GO57" si="93">+GO28-GO56</f>
        <v>0</v>
      </c>
      <c r="GP57" s="696">
        <f>SUM(D57:GO57)</f>
        <v>0</v>
      </c>
    </row>
    <row r="59" spans="1:203" x14ac:dyDescent="0.25">
      <c r="A59" s="3"/>
    </row>
  </sheetData>
  <mergeCells count="264">
    <mergeCell ref="BU5:BW6"/>
    <mergeCell ref="BX5:BZ6"/>
    <mergeCell ref="AN7:AP7"/>
    <mergeCell ref="AQ7:AS7"/>
    <mergeCell ref="AT7:AV7"/>
    <mergeCell ref="AW7:AY7"/>
    <mergeCell ref="AZ7:BB7"/>
    <mergeCell ref="BC7:BE7"/>
    <mergeCell ref="BL5:BN6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FU7:FW7"/>
    <mergeCell ref="FX7:FZ7"/>
    <mergeCell ref="FU5:FW6"/>
    <mergeCell ref="FX5:FZ6"/>
    <mergeCell ref="BL7:BN7"/>
    <mergeCell ref="BO7:BQ7"/>
    <mergeCell ref="BR7:BT7"/>
    <mergeCell ref="BU7:BW7"/>
    <mergeCell ref="BX7:BZ7"/>
    <mergeCell ref="CA7:CC7"/>
    <mergeCell ref="CD7:CF7"/>
    <mergeCell ref="FR7:FT7"/>
    <mergeCell ref="CP7:CR7"/>
    <mergeCell ref="CS7:CU7"/>
    <mergeCell ref="CV7:CW7"/>
    <mergeCell ref="CX7:CZ7"/>
    <mergeCell ref="DA7:DC7"/>
    <mergeCell ref="DD7:DF7"/>
    <mergeCell ref="DG7:DI7"/>
    <mergeCell ref="DJ7:DL7"/>
    <mergeCell ref="DM7:DO7"/>
    <mergeCell ref="EB5:ED6"/>
    <mergeCell ref="EH5:EJ6"/>
    <mergeCell ref="EH7:EJ7"/>
    <mergeCell ref="FX4:FZ4"/>
    <mergeCell ref="CA5:CC6"/>
    <mergeCell ref="DY4:EA4"/>
    <mergeCell ref="EE4:EG4"/>
    <mergeCell ref="EQ4:ES4"/>
    <mergeCell ref="ET4:EV4"/>
    <mergeCell ref="EW4:EY4"/>
    <mergeCell ref="CS5:CU6"/>
    <mergeCell ref="CV5:CW6"/>
    <mergeCell ref="CX5:CZ6"/>
    <mergeCell ref="DA5:DC6"/>
    <mergeCell ref="CD5:CF6"/>
    <mergeCell ref="CG5:CI6"/>
    <mergeCell ref="CJ5:CL6"/>
    <mergeCell ref="CM5:CO6"/>
    <mergeCell ref="CP5:CR6"/>
    <mergeCell ref="FI4:FK4"/>
    <mergeCell ref="CX4:CZ4"/>
    <mergeCell ref="DA4:DC4"/>
    <mergeCell ref="DD4:DF4"/>
    <mergeCell ref="DG4:DI4"/>
    <mergeCell ref="EK5:EM6"/>
    <mergeCell ref="FR4:FT4"/>
    <mergeCell ref="FU4:FW4"/>
    <mergeCell ref="BC4:BE4"/>
    <mergeCell ref="BF4:BH4"/>
    <mergeCell ref="BI4:BK4"/>
    <mergeCell ref="BL4:BN4"/>
    <mergeCell ref="BO4:BQ4"/>
    <mergeCell ref="BR4:BT4"/>
    <mergeCell ref="AE7:AG7"/>
    <mergeCell ref="AH7:AJ7"/>
    <mergeCell ref="AK7:AM7"/>
    <mergeCell ref="AH5:AJ6"/>
    <mergeCell ref="AK5:AM6"/>
    <mergeCell ref="AN5:AP6"/>
    <mergeCell ref="AQ5:AS6"/>
    <mergeCell ref="AT5:AV6"/>
    <mergeCell ref="BF7:BH7"/>
    <mergeCell ref="BI7:BK7"/>
    <mergeCell ref="AW5:AY6"/>
    <mergeCell ref="AZ5:BB6"/>
    <mergeCell ref="BC5:BE6"/>
    <mergeCell ref="BF5:BH6"/>
    <mergeCell ref="BI5:BK6"/>
    <mergeCell ref="BO5:BQ6"/>
    <mergeCell ref="BR5:BT6"/>
    <mergeCell ref="AE5:AG6"/>
    <mergeCell ref="FC4:FE4"/>
    <mergeCell ref="FF4:FH4"/>
    <mergeCell ref="DJ4:DL4"/>
    <mergeCell ref="DM4:DO4"/>
    <mergeCell ref="DP4:DR4"/>
    <mergeCell ref="EB4:ED4"/>
    <mergeCell ref="EH4:EJ4"/>
    <mergeCell ref="EK4:EM4"/>
    <mergeCell ref="EZ4:FB4"/>
    <mergeCell ref="FL4:FN4"/>
    <mergeCell ref="FO4:FQ4"/>
    <mergeCell ref="DP7:DR7"/>
    <mergeCell ref="DS7:DU7"/>
    <mergeCell ref="DV7:DX7"/>
    <mergeCell ref="DY7:EA7"/>
    <mergeCell ref="DS4:DU4"/>
    <mergeCell ref="DV4:DX4"/>
    <mergeCell ref="BX4:BZ4"/>
    <mergeCell ref="CA4:CC4"/>
    <mergeCell ref="CD4:CF4"/>
    <mergeCell ref="CG4:CI4"/>
    <mergeCell ref="CJ4:CL4"/>
    <mergeCell ref="CM4:CO4"/>
    <mergeCell ref="CP4:CR4"/>
    <mergeCell ref="CS4:CU4"/>
    <mergeCell ref="CV4:CW4"/>
    <mergeCell ref="DD5:DF6"/>
    <mergeCell ref="DG5:DI6"/>
    <mergeCell ref="DJ5:DL6"/>
    <mergeCell ref="DM5:DO6"/>
    <mergeCell ref="DP5:DR6"/>
    <mergeCell ref="CG7:CI7"/>
    <mergeCell ref="CJ7:CL7"/>
    <mergeCell ref="CM7:CO7"/>
    <mergeCell ref="DS5:DU6"/>
    <mergeCell ref="EQ5:ES6"/>
    <mergeCell ref="ET5:EV6"/>
    <mergeCell ref="EW5:EY6"/>
    <mergeCell ref="EZ5:FB6"/>
    <mergeCell ref="EE7:EG7"/>
    <mergeCell ref="EQ7:ES7"/>
    <mergeCell ref="ET7:EV7"/>
    <mergeCell ref="EW7:EY7"/>
    <mergeCell ref="EZ7:FB7"/>
    <mergeCell ref="EE5:EG6"/>
    <mergeCell ref="EK7:EM7"/>
    <mergeCell ref="DV5:DX6"/>
    <mergeCell ref="DY5:EA6"/>
    <mergeCell ref="A2:C2"/>
    <mergeCell ref="A3:A6"/>
    <mergeCell ref="B3:C3"/>
    <mergeCell ref="B4:C4"/>
    <mergeCell ref="B5:C5"/>
    <mergeCell ref="D3:F3"/>
    <mergeCell ref="G3:I3"/>
    <mergeCell ref="AW4:AY4"/>
    <mergeCell ref="AE4:AG4"/>
    <mergeCell ref="AH4:AJ4"/>
    <mergeCell ref="AK4:AM4"/>
    <mergeCell ref="AN4:AP4"/>
    <mergeCell ref="AQ4:AS4"/>
    <mergeCell ref="AT4:AV4"/>
    <mergeCell ref="V5:X6"/>
    <mergeCell ref="Y5:AA6"/>
    <mergeCell ref="D5:F6"/>
    <mergeCell ref="G5:I6"/>
    <mergeCell ref="J5:L6"/>
    <mergeCell ref="M5:O6"/>
    <mergeCell ref="P5:R6"/>
    <mergeCell ref="S5:U6"/>
    <mergeCell ref="AB5:AD6"/>
    <mergeCell ref="BU4:BW4"/>
    <mergeCell ref="D4:F4"/>
    <mergeCell ref="G4:I4"/>
    <mergeCell ref="J4:L4"/>
    <mergeCell ref="M4:O4"/>
    <mergeCell ref="P4:R4"/>
    <mergeCell ref="S4:U4"/>
    <mergeCell ref="AB3:AD3"/>
    <mergeCell ref="AE3:AG3"/>
    <mergeCell ref="AH3:AJ3"/>
    <mergeCell ref="AK3:AM3"/>
    <mergeCell ref="AN3:AP3"/>
    <mergeCell ref="AQ3:AS3"/>
    <mergeCell ref="V4:X4"/>
    <mergeCell ref="Y4:AA4"/>
    <mergeCell ref="AB4:AD4"/>
    <mergeCell ref="J3:L3"/>
    <mergeCell ref="M3:O3"/>
    <mergeCell ref="P3:R3"/>
    <mergeCell ref="S3:U3"/>
    <mergeCell ref="V3:X3"/>
    <mergeCell ref="Y3:AA3"/>
    <mergeCell ref="BU3:BW3"/>
    <mergeCell ref="AZ4:BB4"/>
    <mergeCell ref="BX3:BZ3"/>
    <mergeCell ref="CA3:CC3"/>
    <mergeCell ref="AT3:AV3"/>
    <mergeCell ref="AW3:AY3"/>
    <mergeCell ref="AZ3:BB3"/>
    <mergeCell ref="BC3:BE3"/>
    <mergeCell ref="BF3:BH3"/>
    <mergeCell ref="BI3:BK3"/>
    <mergeCell ref="FI3:FK3"/>
    <mergeCell ref="CD3:CF3"/>
    <mergeCell ref="CG3:CI3"/>
    <mergeCell ref="CJ3:CL3"/>
    <mergeCell ref="CM3:CO3"/>
    <mergeCell ref="CP3:CR3"/>
    <mergeCell ref="CS3:CU3"/>
    <mergeCell ref="CV3:CW3"/>
    <mergeCell ref="CX3:CZ3"/>
    <mergeCell ref="DA3:DC3"/>
    <mergeCell ref="BL3:BN3"/>
    <mergeCell ref="BO3:BQ3"/>
    <mergeCell ref="BR3:BT3"/>
    <mergeCell ref="DD3:DF3"/>
    <mergeCell ref="DG3:DI3"/>
    <mergeCell ref="DJ3:DL3"/>
    <mergeCell ref="DM3:DO3"/>
    <mergeCell ref="FC3:FE3"/>
    <mergeCell ref="FF3:FH3"/>
    <mergeCell ref="EE3:EG3"/>
    <mergeCell ref="EQ3:ES3"/>
    <mergeCell ref="ET3:EV3"/>
    <mergeCell ref="EW3:EY3"/>
    <mergeCell ref="EZ3:FB3"/>
    <mergeCell ref="EB3:ED3"/>
    <mergeCell ref="EH3:EJ3"/>
    <mergeCell ref="EK3:EM3"/>
    <mergeCell ref="DP3:DR3"/>
    <mergeCell ref="DS3:DU3"/>
    <mergeCell ref="DV3:DX3"/>
    <mergeCell ref="DY3:EA3"/>
    <mergeCell ref="GA3:GC3"/>
    <mergeCell ref="GA4:GC4"/>
    <mergeCell ref="GA5:GC6"/>
    <mergeCell ref="GA7:GC7"/>
    <mergeCell ref="EN3:EP3"/>
    <mergeCell ref="EN4:EP4"/>
    <mergeCell ref="EN5:EP6"/>
    <mergeCell ref="EN7:EP7"/>
    <mergeCell ref="FL3:FN3"/>
    <mergeCell ref="FO3:FQ3"/>
    <mergeCell ref="FR3:FT3"/>
    <mergeCell ref="FU3:FW3"/>
    <mergeCell ref="FX3:FZ3"/>
    <mergeCell ref="FC5:FE6"/>
    <mergeCell ref="FF5:FH6"/>
    <mergeCell ref="FI5:FK6"/>
    <mergeCell ref="FL5:FN6"/>
    <mergeCell ref="FO5:FQ6"/>
    <mergeCell ref="FR5:FT6"/>
    <mergeCell ref="FC7:FE7"/>
    <mergeCell ref="FF7:FH7"/>
    <mergeCell ref="FI7:FK7"/>
    <mergeCell ref="FL7:FN7"/>
    <mergeCell ref="FO7:FQ7"/>
    <mergeCell ref="GM3:GO3"/>
    <mergeCell ref="GM4:GO4"/>
    <mergeCell ref="GM5:GO6"/>
    <mergeCell ref="GM7:GO7"/>
    <mergeCell ref="GD3:GF3"/>
    <mergeCell ref="GD4:GF4"/>
    <mergeCell ref="GD5:GF6"/>
    <mergeCell ref="GD7:GF7"/>
    <mergeCell ref="GG3:GI3"/>
    <mergeCell ref="GG4:GI4"/>
    <mergeCell ref="GG5:GI6"/>
    <mergeCell ref="GG7:GI7"/>
    <mergeCell ref="GJ3:GL3"/>
    <mergeCell ref="GJ4:GL4"/>
    <mergeCell ref="GJ5:GL6"/>
    <mergeCell ref="GJ7:GL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&amp;CDunaharaszti Város Önkormányzat 2017. évi zárszámadás&amp;R&amp;A</oddHeader>
    <oddFooter>&amp;C&amp;P/&amp;N</oddFooter>
  </headerFooter>
  <rowBreaks count="1" manualBreakCount="1">
    <brk id="48" max="16383" man="1"/>
  </rowBreaks>
  <colBreaks count="31" manualBreakCount="31">
    <brk id="9" max="47" man="1"/>
    <brk id="15" max="47" man="1"/>
    <brk id="21" max="47" man="1"/>
    <brk id="27" max="47" man="1"/>
    <brk id="33" max="47" man="1"/>
    <brk id="39" max="47" man="1"/>
    <brk id="45" max="47" man="1"/>
    <brk id="51" max="47" man="1"/>
    <brk id="57" max="47" man="1"/>
    <brk id="63" max="47" man="1"/>
    <brk id="69" max="47" man="1"/>
    <brk id="75" max="47" man="1"/>
    <brk id="81" max="47" man="1"/>
    <brk id="87" max="47" man="1"/>
    <brk id="93" max="47" man="1"/>
    <brk id="99" max="47" man="1"/>
    <brk id="104" max="47" man="1"/>
    <brk id="110" max="47" man="1"/>
    <brk id="116" max="47" man="1"/>
    <brk id="122" max="47" man="1"/>
    <brk id="128" max="47" man="1"/>
    <brk id="134" max="47" man="1"/>
    <brk id="140" max="47" man="1"/>
    <brk id="146" max="47" man="1"/>
    <brk id="152" max="47" man="1"/>
    <brk id="158" max="47" man="1"/>
    <brk id="164" max="47" man="1"/>
    <brk id="170" max="47" man="1"/>
    <brk id="176" max="47" man="1"/>
    <brk id="182" max="47" man="1"/>
    <brk id="19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H55"/>
  <sheetViews>
    <sheetView view="pageBreakPreview" topLeftCell="BG3" zoomScale="70" zoomScaleNormal="70" zoomScaleSheetLayoutView="70" workbookViewId="0">
      <selection activeCell="D54" sqref="D54:BK55"/>
    </sheetView>
  </sheetViews>
  <sheetFormatPr defaultRowHeight="12.75" x14ac:dyDescent="0.2"/>
  <cols>
    <col min="1" max="1" width="6.42578125" customWidth="1"/>
    <col min="2" max="2" width="65.28515625" customWidth="1"/>
    <col min="3" max="3" width="7.140625" customWidth="1"/>
    <col min="4" max="6" width="17" customWidth="1"/>
    <col min="7" max="9" width="16.28515625" customWidth="1"/>
    <col min="10" max="12" width="18.85546875" customWidth="1"/>
    <col min="13" max="14" width="16.28515625" customWidth="1"/>
    <col min="15" max="15" width="18.28515625" customWidth="1"/>
    <col min="16" max="16" width="16.7109375" customWidth="1"/>
    <col min="17" max="21" width="16.28515625" customWidth="1"/>
    <col min="22" max="22" width="19.5703125" customWidth="1"/>
    <col min="23" max="24" width="18.85546875" customWidth="1"/>
    <col min="25" max="25" width="19.28515625" customWidth="1"/>
    <col min="26" max="27" width="20.140625" customWidth="1"/>
    <col min="28" max="28" width="17.42578125" customWidth="1"/>
    <col min="29" max="30" width="16.28515625" customWidth="1"/>
    <col min="31" max="33" width="17.5703125" customWidth="1"/>
    <col min="34" max="39" width="16.28515625" customWidth="1"/>
    <col min="40" max="40" width="18.140625" customWidth="1"/>
    <col min="41" max="42" width="18" customWidth="1"/>
    <col min="43" max="45" width="16.28515625" customWidth="1"/>
    <col min="46" max="46" width="18.28515625" customWidth="1"/>
    <col min="47" max="48" width="18.5703125" customWidth="1"/>
    <col min="49" max="63" width="16.28515625" customWidth="1"/>
    <col min="64" max="64" width="18.85546875" customWidth="1"/>
    <col min="65" max="65" width="18" customWidth="1"/>
    <col min="66" max="66" width="20.42578125" bestFit="1" customWidth="1"/>
    <col min="67" max="67" width="16.28515625" customWidth="1"/>
    <col min="68" max="68" width="18.140625" customWidth="1"/>
    <col min="69" max="69" width="18.42578125" bestFit="1" customWidth="1"/>
    <col min="70" max="70" width="17.140625" customWidth="1"/>
    <col min="71" max="72" width="17" customWidth="1"/>
    <col min="73" max="73" width="18.5703125" customWidth="1"/>
    <col min="74" max="74" width="17.28515625" customWidth="1"/>
    <col min="75" max="75" width="20.42578125" bestFit="1" customWidth="1"/>
    <col min="76" max="77" width="14.28515625" customWidth="1"/>
    <col min="78" max="78" width="13.28515625" customWidth="1"/>
    <col min="79" max="82" width="17.7109375" customWidth="1"/>
    <col min="84" max="84" width="15.7109375" bestFit="1" customWidth="1"/>
    <col min="85" max="85" width="17.140625" customWidth="1"/>
  </cols>
  <sheetData>
    <row r="1" spans="1:86" ht="15.75" x14ac:dyDescent="0.25">
      <c r="A1" s="2"/>
      <c r="B1" s="2"/>
      <c r="C1" s="574"/>
      <c r="D1" s="4"/>
      <c r="E1" s="4"/>
      <c r="F1" s="4"/>
      <c r="G1" s="4"/>
      <c r="H1" s="4" t="s">
        <v>0</v>
      </c>
      <c r="I1" s="4"/>
      <c r="J1" s="4"/>
      <c r="K1" s="4"/>
      <c r="L1" s="4"/>
      <c r="M1" s="4"/>
      <c r="N1" s="4" t="s">
        <v>0</v>
      </c>
      <c r="O1" s="4"/>
      <c r="P1" s="3"/>
      <c r="Q1" s="3"/>
      <c r="R1" s="3"/>
      <c r="S1" s="4"/>
      <c r="T1" s="4" t="s">
        <v>0</v>
      </c>
      <c r="U1" s="4"/>
      <c r="V1" s="4"/>
      <c r="W1" s="4"/>
      <c r="X1" s="4"/>
      <c r="Y1" s="4"/>
      <c r="Z1" s="4" t="s">
        <v>0</v>
      </c>
      <c r="AA1" s="4"/>
      <c r="AB1" s="3"/>
      <c r="AC1" s="3"/>
      <c r="AD1" s="3"/>
      <c r="AE1" s="4"/>
      <c r="AF1" s="4" t="s">
        <v>0</v>
      </c>
      <c r="AG1" s="4"/>
      <c r="AH1" s="4"/>
      <c r="AI1" s="4"/>
      <c r="AJ1" s="4"/>
      <c r="AK1" s="4"/>
      <c r="AL1" s="4" t="s">
        <v>0</v>
      </c>
      <c r="AM1" s="4"/>
      <c r="AN1" s="4"/>
      <c r="AO1" s="4"/>
      <c r="AP1" s="4"/>
      <c r="AQ1" s="3"/>
      <c r="AR1" s="4" t="s">
        <v>0</v>
      </c>
      <c r="AS1" s="4"/>
      <c r="AT1" s="4"/>
      <c r="AU1" s="4"/>
      <c r="AV1" s="4"/>
      <c r="AW1" s="4"/>
      <c r="AX1" s="4" t="s">
        <v>0</v>
      </c>
      <c r="AY1" s="4"/>
      <c r="AZ1" s="3"/>
      <c r="BA1" s="3"/>
      <c r="BB1" s="3"/>
      <c r="BC1" s="3"/>
      <c r="BD1" s="4" t="s">
        <v>0</v>
      </c>
      <c r="BE1" s="4"/>
      <c r="BF1" s="4"/>
      <c r="BG1" s="4"/>
      <c r="BH1" s="4"/>
      <c r="BI1" s="4"/>
      <c r="BJ1" s="620" t="s">
        <v>0</v>
      </c>
      <c r="BK1" s="619"/>
      <c r="BL1" s="31"/>
      <c r="BM1" s="31"/>
      <c r="BN1" s="31"/>
      <c r="BO1" s="31"/>
      <c r="BP1" s="620" t="s">
        <v>0</v>
      </c>
      <c r="BQ1" s="619"/>
      <c r="BR1" s="31"/>
      <c r="BS1" s="31"/>
      <c r="BT1" s="31"/>
      <c r="BU1" s="620"/>
      <c r="BV1" s="620"/>
      <c r="BW1" s="620"/>
      <c r="BX1" s="620"/>
      <c r="BY1" s="620" t="s">
        <v>0</v>
      </c>
    </row>
    <row r="2" spans="1:86" ht="40.5" customHeight="1" x14ac:dyDescent="0.2">
      <c r="A2" s="896" t="s">
        <v>1</v>
      </c>
      <c r="B2" s="896"/>
      <c r="C2" s="896"/>
      <c r="D2" s="560" t="s">
        <v>6</v>
      </c>
      <c r="E2" s="560" t="s">
        <v>7</v>
      </c>
      <c r="F2" s="560" t="s">
        <v>788</v>
      </c>
      <c r="G2" s="560" t="s">
        <v>6</v>
      </c>
      <c r="H2" s="560" t="s">
        <v>7</v>
      </c>
      <c r="I2" s="560" t="s">
        <v>788</v>
      </c>
      <c r="J2" s="560" t="s">
        <v>6</v>
      </c>
      <c r="K2" s="560" t="s">
        <v>7</v>
      </c>
      <c r="L2" s="560" t="s">
        <v>788</v>
      </c>
      <c r="M2" s="560" t="s">
        <v>6</v>
      </c>
      <c r="N2" s="560" t="s">
        <v>7</v>
      </c>
      <c r="O2" s="560" t="s">
        <v>788</v>
      </c>
      <c r="P2" s="560" t="s">
        <v>6</v>
      </c>
      <c r="Q2" s="560" t="s">
        <v>7</v>
      </c>
      <c r="R2" s="560" t="s">
        <v>788</v>
      </c>
      <c r="S2" s="560" t="s">
        <v>6</v>
      </c>
      <c r="T2" s="560" t="s">
        <v>7</v>
      </c>
      <c r="U2" s="560" t="s">
        <v>788</v>
      </c>
      <c r="V2" s="560" t="s">
        <v>6</v>
      </c>
      <c r="W2" s="560" t="s">
        <v>7</v>
      </c>
      <c r="X2" s="560" t="s">
        <v>788</v>
      </c>
      <c r="Y2" s="560" t="s">
        <v>6</v>
      </c>
      <c r="Z2" s="560" t="s">
        <v>7</v>
      </c>
      <c r="AA2" s="560" t="s">
        <v>788</v>
      </c>
      <c r="AB2" s="560" t="s">
        <v>6</v>
      </c>
      <c r="AC2" s="560" t="s">
        <v>7</v>
      </c>
      <c r="AD2" s="560" t="s">
        <v>788</v>
      </c>
      <c r="AE2" s="560" t="s">
        <v>6</v>
      </c>
      <c r="AF2" s="560" t="s">
        <v>7</v>
      </c>
      <c r="AG2" s="560" t="s">
        <v>788</v>
      </c>
      <c r="AH2" s="560" t="s">
        <v>6</v>
      </c>
      <c r="AI2" s="560" t="s">
        <v>7</v>
      </c>
      <c r="AJ2" s="560" t="s">
        <v>788</v>
      </c>
      <c r="AK2" s="560" t="s">
        <v>6</v>
      </c>
      <c r="AL2" s="560" t="s">
        <v>7</v>
      </c>
      <c r="AM2" s="560" t="s">
        <v>788</v>
      </c>
      <c r="AN2" s="560" t="s">
        <v>6</v>
      </c>
      <c r="AO2" s="560" t="s">
        <v>7</v>
      </c>
      <c r="AP2" s="560" t="s">
        <v>788</v>
      </c>
      <c r="AQ2" s="560" t="s">
        <v>6</v>
      </c>
      <c r="AR2" s="560" t="s">
        <v>7</v>
      </c>
      <c r="AS2" s="560" t="s">
        <v>788</v>
      </c>
      <c r="AT2" s="560" t="s">
        <v>6</v>
      </c>
      <c r="AU2" s="560" t="s">
        <v>7</v>
      </c>
      <c r="AV2" s="560" t="s">
        <v>788</v>
      </c>
      <c r="AW2" s="560" t="s">
        <v>6</v>
      </c>
      <c r="AX2" s="560" t="s">
        <v>7</v>
      </c>
      <c r="AY2" s="560" t="s">
        <v>788</v>
      </c>
      <c r="AZ2" s="560" t="s">
        <v>6</v>
      </c>
      <c r="BA2" s="560" t="s">
        <v>7</v>
      </c>
      <c r="BB2" s="560" t="s">
        <v>788</v>
      </c>
      <c r="BC2" s="560" t="s">
        <v>6</v>
      </c>
      <c r="BD2" s="560" t="s">
        <v>7</v>
      </c>
      <c r="BE2" s="560" t="s">
        <v>788</v>
      </c>
      <c r="BF2" s="560" t="s">
        <v>6</v>
      </c>
      <c r="BG2" s="560" t="s">
        <v>7</v>
      </c>
      <c r="BH2" s="560" t="s">
        <v>788</v>
      </c>
      <c r="BI2" s="560" t="s">
        <v>6</v>
      </c>
      <c r="BJ2" s="560" t="s">
        <v>7</v>
      </c>
      <c r="BK2" s="560" t="s">
        <v>788</v>
      </c>
      <c r="BL2" s="560" t="s">
        <v>6</v>
      </c>
      <c r="BM2" s="560" t="s">
        <v>7</v>
      </c>
      <c r="BN2" s="560" t="s">
        <v>788</v>
      </c>
      <c r="BO2" s="560" t="s">
        <v>6</v>
      </c>
      <c r="BP2" s="560" t="s">
        <v>7</v>
      </c>
      <c r="BQ2" s="560" t="s">
        <v>788</v>
      </c>
      <c r="BR2" s="560" t="s">
        <v>6</v>
      </c>
      <c r="BS2" s="560" t="s">
        <v>7</v>
      </c>
      <c r="BT2" s="560" t="s">
        <v>788</v>
      </c>
      <c r="BU2" s="560" t="s">
        <v>6</v>
      </c>
      <c r="BV2" s="560" t="s">
        <v>7</v>
      </c>
      <c r="BW2" s="560" t="s">
        <v>788</v>
      </c>
      <c r="BX2" s="560" t="s">
        <v>6</v>
      </c>
      <c r="BY2" s="560" t="s">
        <v>7</v>
      </c>
      <c r="BZ2" s="560" t="s">
        <v>788</v>
      </c>
    </row>
    <row r="3" spans="1:86" ht="121.5" customHeight="1" x14ac:dyDescent="0.2">
      <c r="A3" s="915" t="s">
        <v>3</v>
      </c>
      <c r="B3" s="896" t="s">
        <v>4</v>
      </c>
      <c r="C3" s="896"/>
      <c r="D3" s="923" t="s">
        <v>1197</v>
      </c>
      <c r="E3" s="924"/>
      <c r="F3" s="925"/>
      <c r="G3" s="923" t="s">
        <v>1198</v>
      </c>
      <c r="H3" s="924" t="s">
        <v>1199</v>
      </c>
      <c r="I3" s="925"/>
      <c r="J3" s="923" t="s">
        <v>1200</v>
      </c>
      <c r="K3" s="924" t="s">
        <v>1201</v>
      </c>
      <c r="L3" s="925"/>
      <c r="M3" s="923" t="s">
        <v>1202</v>
      </c>
      <c r="N3" s="924" t="s">
        <v>1202</v>
      </c>
      <c r="O3" s="925"/>
      <c r="P3" s="923" t="s">
        <v>1202</v>
      </c>
      <c r="Q3" s="924" t="s">
        <v>1202</v>
      </c>
      <c r="R3" s="925"/>
      <c r="S3" s="923" t="s">
        <v>1202</v>
      </c>
      <c r="T3" s="924" t="s">
        <v>1202</v>
      </c>
      <c r="U3" s="925"/>
      <c r="V3" s="923" t="s">
        <v>1202</v>
      </c>
      <c r="W3" s="924" t="s">
        <v>1202</v>
      </c>
      <c r="X3" s="925"/>
      <c r="Y3" s="923" t="s">
        <v>1202</v>
      </c>
      <c r="Z3" s="924" t="s">
        <v>1202</v>
      </c>
      <c r="AA3" s="925"/>
      <c r="AB3" s="923" t="s">
        <v>1202</v>
      </c>
      <c r="AC3" s="924" t="s">
        <v>1202</v>
      </c>
      <c r="AD3" s="925"/>
      <c r="AE3" s="923" t="s">
        <v>1202</v>
      </c>
      <c r="AF3" s="924" t="s">
        <v>1202</v>
      </c>
      <c r="AG3" s="925"/>
      <c r="AH3" s="923" t="s">
        <v>1202</v>
      </c>
      <c r="AI3" s="924" t="s">
        <v>1202</v>
      </c>
      <c r="AJ3" s="925"/>
      <c r="AK3" s="923" t="s">
        <v>851</v>
      </c>
      <c r="AL3" s="924" t="s">
        <v>1203</v>
      </c>
      <c r="AM3" s="925"/>
      <c r="AN3" s="923" t="s">
        <v>853</v>
      </c>
      <c r="AO3" s="924" t="s">
        <v>1204</v>
      </c>
      <c r="AP3" s="925"/>
      <c r="AQ3" s="923" t="s">
        <v>1191</v>
      </c>
      <c r="AR3" s="924" t="s">
        <v>1205</v>
      </c>
      <c r="AS3" s="925"/>
      <c r="AT3" s="923" t="s">
        <v>851</v>
      </c>
      <c r="AU3" s="924" t="s">
        <v>1204</v>
      </c>
      <c r="AV3" s="925"/>
      <c r="AW3" s="923" t="s">
        <v>1206</v>
      </c>
      <c r="AX3" s="924" t="s">
        <v>1207</v>
      </c>
      <c r="AY3" s="925"/>
      <c r="AZ3" s="923" t="s">
        <v>1208</v>
      </c>
      <c r="BA3" s="924" t="s">
        <v>1209</v>
      </c>
      <c r="BB3" s="925"/>
      <c r="BC3" s="923" t="s">
        <v>1210</v>
      </c>
      <c r="BD3" s="924" t="s">
        <v>1210</v>
      </c>
      <c r="BE3" s="925"/>
      <c r="BF3" s="923" t="s">
        <v>1202</v>
      </c>
      <c r="BG3" s="924" t="s">
        <v>1202</v>
      </c>
      <c r="BH3" s="925"/>
      <c r="BI3" s="923" t="s">
        <v>1211</v>
      </c>
      <c r="BJ3" s="924" t="s">
        <v>1211</v>
      </c>
      <c r="BK3" s="925"/>
      <c r="BL3" s="934" t="s">
        <v>1212</v>
      </c>
      <c r="BM3" s="935"/>
      <c r="BN3" s="935"/>
      <c r="BO3" s="935"/>
      <c r="BP3" s="935"/>
      <c r="BQ3" s="936"/>
      <c r="BR3" s="929" t="s">
        <v>1212</v>
      </c>
      <c r="BS3" s="930"/>
      <c r="BT3" s="930"/>
      <c r="BU3" s="930"/>
      <c r="BV3" s="930"/>
      <c r="BW3" s="931"/>
      <c r="BX3" s="929" t="s">
        <v>1213</v>
      </c>
      <c r="BY3" s="930"/>
      <c r="BZ3" s="930"/>
    </row>
    <row r="4" spans="1:86" ht="27" customHeight="1" x14ac:dyDescent="0.2">
      <c r="A4" s="915"/>
      <c r="B4" s="896" t="s">
        <v>5</v>
      </c>
      <c r="C4" s="896"/>
      <c r="D4" s="923" t="s">
        <v>11</v>
      </c>
      <c r="E4" s="924"/>
      <c r="F4" s="925"/>
      <c r="G4" s="923" t="s">
        <v>11</v>
      </c>
      <c r="H4" s="924" t="s">
        <v>11</v>
      </c>
      <c r="I4" s="925"/>
      <c r="J4" s="923" t="s">
        <v>164</v>
      </c>
      <c r="K4" s="924" t="s">
        <v>164</v>
      </c>
      <c r="L4" s="925"/>
      <c r="M4" s="923" t="s">
        <v>11</v>
      </c>
      <c r="N4" s="924" t="s">
        <v>11</v>
      </c>
      <c r="O4" s="925"/>
      <c r="P4" s="923" t="s">
        <v>11</v>
      </c>
      <c r="Q4" s="924" t="s">
        <v>11</v>
      </c>
      <c r="R4" s="925"/>
      <c r="S4" s="923" t="s">
        <v>11</v>
      </c>
      <c r="T4" s="924" t="s">
        <v>11</v>
      </c>
      <c r="U4" s="925"/>
      <c r="V4" s="923" t="s">
        <v>11</v>
      </c>
      <c r="W4" s="924" t="s">
        <v>11</v>
      </c>
      <c r="X4" s="925"/>
      <c r="Y4" s="923" t="s">
        <v>11</v>
      </c>
      <c r="Z4" s="924" t="s">
        <v>11</v>
      </c>
      <c r="AA4" s="925"/>
      <c r="AB4" s="923" t="s">
        <v>11</v>
      </c>
      <c r="AC4" s="924" t="s">
        <v>11</v>
      </c>
      <c r="AD4" s="925"/>
      <c r="AE4" s="923" t="s">
        <v>11</v>
      </c>
      <c r="AF4" s="924" t="s">
        <v>11</v>
      </c>
      <c r="AG4" s="925"/>
      <c r="AH4" s="923" t="s">
        <v>11</v>
      </c>
      <c r="AI4" s="924" t="s">
        <v>11</v>
      </c>
      <c r="AJ4" s="925"/>
      <c r="AK4" s="923" t="s">
        <v>11</v>
      </c>
      <c r="AL4" s="924" t="s">
        <v>11</v>
      </c>
      <c r="AM4" s="925"/>
      <c r="AN4" s="923" t="s">
        <v>11</v>
      </c>
      <c r="AO4" s="924" t="s">
        <v>11</v>
      </c>
      <c r="AP4" s="925"/>
      <c r="AQ4" s="923" t="s">
        <v>11</v>
      </c>
      <c r="AR4" s="924" t="s">
        <v>11</v>
      </c>
      <c r="AS4" s="925"/>
      <c r="AT4" s="923" t="s">
        <v>164</v>
      </c>
      <c r="AU4" s="924" t="s">
        <v>164</v>
      </c>
      <c r="AV4" s="925"/>
      <c r="AW4" s="923" t="s">
        <v>164</v>
      </c>
      <c r="AX4" s="924" t="s">
        <v>164</v>
      </c>
      <c r="AY4" s="925"/>
      <c r="AZ4" s="923" t="s">
        <v>164</v>
      </c>
      <c r="BA4" s="924" t="s">
        <v>164</v>
      </c>
      <c r="BB4" s="925"/>
      <c r="BC4" s="923" t="s">
        <v>11</v>
      </c>
      <c r="BD4" s="924" t="s">
        <v>11</v>
      </c>
      <c r="BE4" s="925"/>
      <c r="BF4" s="923" t="s">
        <v>11</v>
      </c>
      <c r="BG4" s="924" t="s">
        <v>11</v>
      </c>
      <c r="BH4" s="925"/>
      <c r="BI4" s="923" t="s">
        <v>11</v>
      </c>
      <c r="BJ4" s="924" t="s">
        <v>11</v>
      </c>
      <c r="BK4" s="925"/>
      <c r="BL4" s="916" t="s">
        <v>11</v>
      </c>
      <c r="BM4" s="917"/>
      <c r="BN4" s="918"/>
      <c r="BO4" s="916" t="s">
        <v>12</v>
      </c>
      <c r="BP4" s="917" t="s">
        <v>12</v>
      </c>
      <c r="BQ4" s="918"/>
      <c r="BR4" s="916" t="s">
        <v>13</v>
      </c>
      <c r="BS4" s="917"/>
      <c r="BT4" s="918"/>
      <c r="BU4" s="916" t="s">
        <v>14</v>
      </c>
      <c r="BV4" s="917" t="s">
        <v>14</v>
      </c>
      <c r="BW4" s="918"/>
      <c r="BX4" s="932"/>
      <c r="BY4" s="933"/>
      <c r="BZ4" s="933"/>
    </row>
    <row r="5" spans="1:86" ht="29.25" customHeight="1" x14ac:dyDescent="0.2">
      <c r="A5" s="915"/>
      <c r="B5" s="896" t="s">
        <v>8</v>
      </c>
      <c r="C5" s="896"/>
      <c r="D5" s="916" t="s">
        <v>1214</v>
      </c>
      <c r="E5" s="917"/>
      <c r="F5" s="918"/>
      <c r="G5" s="916" t="s">
        <v>1215</v>
      </c>
      <c r="H5" s="917" t="s">
        <v>1216</v>
      </c>
      <c r="I5" s="918"/>
      <c r="J5" s="916" t="s">
        <v>1217</v>
      </c>
      <c r="K5" s="917" t="s">
        <v>1218</v>
      </c>
      <c r="L5" s="918"/>
      <c r="M5" s="916" t="s">
        <v>1285</v>
      </c>
      <c r="N5" s="917" t="s">
        <v>1219</v>
      </c>
      <c r="O5" s="918"/>
      <c r="P5" s="916" t="s">
        <v>1220</v>
      </c>
      <c r="Q5" s="917" t="s">
        <v>1221</v>
      </c>
      <c r="R5" s="918"/>
      <c r="S5" s="916" t="s">
        <v>1222</v>
      </c>
      <c r="T5" s="917" t="s">
        <v>1223</v>
      </c>
      <c r="U5" s="918"/>
      <c r="V5" s="916" t="s">
        <v>1224</v>
      </c>
      <c r="W5" s="917" t="s">
        <v>1225</v>
      </c>
      <c r="X5" s="918"/>
      <c r="Y5" s="916" t="s">
        <v>1226</v>
      </c>
      <c r="Z5" s="917" t="s">
        <v>1227</v>
      </c>
      <c r="AA5" s="918"/>
      <c r="AB5" s="916" t="s">
        <v>1228</v>
      </c>
      <c r="AC5" s="917" t="s">
        <v>1229</v>
      </c>
      <c r="AD5" s="918"/>
      <c r="AE5" s="916" t="s">
        <v>1230</v>
      </c>
      <c r="AF5" s="917" t="s">
        <v>1230</v>
      </c>
      <c r="AG5" s="918"/>
      <c r="AH5" s="916" t="s">
        <v>1231</v>
      </c>
      <c r="AI5" s="917" t="s">
        <v>1231</v>
      </c>
      <c r="AJ5" s="918"/>
      <c r="AK5" s="916" t="s">
        <v>1232</v>
      </c>
      <c r="AL5" s="917" t="s">
        <v>1233</v>
      </c>
      <c r="AM5" s="918"/>
      <c r="AN5" s="916" t="s">
        <v>1234</v>
      </c>
      <c r="AO5" s="917" t="s">
        <v>1234</v>
      </c>
      <c r="AP5" s="918"/>
      <c r="AQ5" s="916" t="s">
        <v>1235</v>
      </c>
      <c r="AR5" s="917" t="s">
        <v>1236</v>
      </c>
      <c r="AS5" s="918"/>
      <c r="AT5" s="916" t="s">
        <v>1237</v>
      </c>
      <c r="AU5" s="917" t="s">
        <v>1238</v>
      </c>
      <c r="AV5" s="918"/>
      <c r="AW5" s="916" t="s">
        <v>1239</v>
      </c>
      <c r="AX5" s="917" t="s">
        <v>1240</v>
      </c>
      <c r="AY5" s="918"/>
      <c r="AZ5" s="916" t="s">
        <v>1241</v>
      </c>
      <c r="BA5" s="917" t="s">
        <v>1242</v>
      </c>
      <c r="BB5" s="918"/>
      <c r="BC5" s="916" t="s">
        <v>1243</v>
      </c>
      <c r="BD5" s="917" t="s">
        <v>1244</v>
      </c>
      <c r="BE5" s="918"/>
      <c r="BF5" s="916" t="s">
        <v>1245</v>
      </c>
      <c r="BG5" s="917" t="s">
        <v>1246</v>
      </c>
      <c r="BH5" s="918"/>
      <c r="BI5" s="916" t="s">
        <v>1247</v>
      </c>
      <c r="BJ5" s="917" t="s">
        <v>1248</v>
      </c>
      <c r="BK5" s="918"/>
      <c r="BL5" s="926"/>
      <c r="BM5" s="927"/>
      <c r="BN5" s="928"/>
      <c r="BO5" s="926"/>
      <c r="BP5" s="927"/>
      <c r="BQ5" s="928"/>
      <c r="BR5" s="926"/>
      <c r="BS5" s="927"/>
      <c r="BT5" s="928"/>
      <c r="BU5" s="926"/>
      <c r="BV5" s="927"/>
      <c r="BW5" s="928"/>
      <c r="BX5" s="932"/>
      <c r="BY5" s="933"/>
      <c r="BZ5" s="933"/>
    </row>
    <row r="6" spans="1:86" ht="99.75" customHeight="1" x14ac:dyDescent="0.2">
      <c r="A6" s="915"/>
      <c r="B6" s="559" t="s">
        <v>9</v>
      </c>
      <c r="C6" s="575" t="s">
        <v>10</v>
      </c>
      <c r="D6" s="919"/>
      <c r="E6" s="920"/>
      <c r="F6" s="921"/>
      <c r="G6" s="919"/>
      <c r="H6" s="920"/>
      <c r="I6" s="921"/>
      <c r="J6" s="919"/>
      <c r="K6" s="920"/>
      <c r="L6" s="921"/>
      <c r="M6" s="919"/>
      <c r="N6" s="920"/>
      <c r="O6" s="921"/>
      <c r="P6" s="919"/>
      <c r="Q6" s="920"/>
      <c r="R6" s="921"/>
      <c r="S6" s="919"/>
      <c r="T6" s="920"/>
      <c r="U6" s="921"/>
      <c r="V6" s="919"/>
      <c r="W6" s="920"/>
      <c r="X6" s="921"/>
      <c r="Y6" s="919"/>
      <c r="Z6" s="920"/>
      <c r="AA6" s="921"/>
      <c r="AB6" s="919"/>
      <c r="AC6" s="920"/>
      <c r="AD6" s="921"/>
      <c r="AE6" s="919"/>
      <c r="AF6" s="920"/>
      <c r="AG6" s="921"/>
      <c r="AH6" s="919"/>
      <c r="AI6" s="920"/>
      <c r="AJ6" s="921"/>
      <c r="AK6" s="919"/>
      <c r="AL6" s="920"/>
      <c r="AM6" s="921"/>
      <c r="AN6" s="919"/>
      <c r="AO6" s="920"/>
      <c r="AP6" s="921"/>
      <c r="AQ6" s="919"/>
      <c r="AR6" s="920"/>
      <c r="AS6" s="921"/>
      <c r="AT6" s="919"/>
      <c r="AU6" s="920"/>
      <c r="AV6" s="921"/>
      <c r="AW6" s="919"/>
      <c r="AX6" s="920"/>
      <c r="AY6" s="921"/>
      <c r="AZ6" s="919"/>
      <c r="BA6" s="920"/>
      <c r="BB6" s="921"/>
      <c r="BC6" s="919"/>
      <c r="BD6" s="920"/>
      <c r="BE6" s="921"/>
      <c r="BF6" s="919"/>
      <c r="BG6" s="920"/>
      <c r="BH6" s="921"/>
      <c r="BI6" s="919"/>
      <c r="BJ6" s="920"/>
      <c r="BK6" s="921"/>
      <c r="BL6" s="919"/>
      <c r="BM6" s="920"/>
      <c r="BN6" s="921"/>
      <c r="BO6" s="919"/>
      <c r="BP6" s="920"/>
      <c r="BQ6" s="921"/>
      <c r="BR6" s="919"/>
      <c r="BS6" s="920"/>
      <c r="BT6" s="921"/>
      <c r="BU6" s="919"/>
      <c r="BV6" s="920"/>
      <c r="BW6" s="921"/>
      <c r="BX6" s="932"/>
      <c r="BY6" s="933"/>
      <c r="BZ6" s="933"/>
    </row>
    <row r="7" spans="1:86" ht="15.75" x14ac:dyDescent="0.2">
      <c r="A7" s="7" t="s">
        <v>15</v>
      </c>
      <c r="B7" s="8" t="s">
        <v>16</v>
      </c>
      <c r="C7" s="8" t="s">
        <v>17</v>
      </c>
      <c r="D7" s="884" t="s">
        <v>18</v>
      </c>
      <c r="E7" s="885"/>
      <c r="F7" s="886"/>
      <c r="G7" s="884" t="s">
        <v>19</v>
      </c>
      <c r="H7" s="885"/>
      <c r="I7" s="886"/>
      <c r="J7" s="884" t="s">
        <v>20</v>
      </c>
      <c r="K7" s="885"/>
      <c r="L7" s="886"/>
      <c r="M7" s="884" t="s">
        <v>21</v>
      </c>
      <c r="N7" s="885"/>
      <c r="O7" s="886"/>
      <c r="P7" s="884" t="s">
        <v>22</v>
      </c>
      <c r="Q7" s="885"/>
      <c r="R7" s="886"/>
      <c r="S7" s="884" t="s">
        <v>36</v>
      </c>
      <c r="T7" s="885"/>
      <c r="U7" s="886"/>
      <c r="V7" s="884" t="s">
        <v>39</v>
      </c>
      <c r="W7" s="885"/>
      <c r="X7" s="886"/>
      <c r="Y7" s="884" t="s">
        <v>42</v>
      </c>
      <c r="Z7" s="885"/>
      <c r="AA7" s="886"/>
      <c r="AB7" s="884" t="s">
        <v>45</v>
      </c>
      <c r="AC7" s="885"/>
      <c r="AD7" s="886"/>
      <c r="AE7" s="884" t="s">
        <v>47</v>
      </c>
      <c r="AF7" s="885"/>
      <c r="AG7" s="886"/>
      <c r="AH7" s="884" t="s">
        <v>50</v>
      </c>
      <c r="AI7" s="885"/>
      <c r="AJ7" s="886"/>
      <c r="AK7" s="884" t="s">
        <v>53</v>
      </c>
      <c r="AL7" s="885"/>
      <c r="AM7" s="886"/>
      <c r="AN7" s="884" t="s">
        <v>55</v>
      </c>
      <c r="AO7" s="885"/>
      <c r="AP7" s="886"/>
      <c r="AQ7" s="884" t="s">
        <v>57</v>
      </c>
      <c r="AR7" s="885"/>
      <c r="AS7" s="886"/>
      <c r="AT7" s="884" t="s">
        <v>59</v>
      </c>
      <c r="AU7" s="885"/>
      <c r="AV7" s="886"/>
      <c r="AW7" s="884" t="s">
        <v>61</v>
      </c>
      <c r="AX7" s="885"/>
      <c r="AY7" s="886"/>
      <c r="AZ7" s="884" t="s">
        <v>63</v>
      </c>
      <c r="BA7" s="885"/>
      <c r="BB7" s="886"/>
      <c r="BC7" s="884" t="s">
        <v>65</v>
      </c>
      <c r="BD7" s="885"/>
      <c r="BE7" s="886"/>
      <c r="BF7" s="884" t="s">
        <v>68</v>
      </c>
      <c r="BG7" s="885"/>
      <c r="BH7" s="886"/>
      <c r="BI7" s="884" t="s">
        <v>71</v>
      </c>
      <c r="BJ7" s="885"/>
      <c r="BK7" s="886"/>
      <c r="BL7" s="884" t="s">
        <v>74</v>
      </c>
      <c r="BM7" s="885"/>
      <c r="BN7" s="886"/>
      <c r="BO7" s="884" t="s">
        <v>77</v>
      </c>
      <c r="BP7" s="885"/>
      <c r="BQ7" s="886"/>
      <c r="BR7" s="884" t="s">
        <v>80</v>
      </c>
      <c r="BS7" s="885"/>
      <c r="BT7" s="886"/>
      <c r="BU7" s="884" t="s">
        <v>83</v>
      </c>
      <c r="BV7" s="885"/>
      <c r="BW7" s="886"/>
      <c r="BX7" s="884" t="s">
        <v>86</v>
      </c>
      <c r="BY7" s="885"/>
      <c r="BZ7" s="886"/>
      <c r="CA7" t="s">
        <v>1289</v>
      </c>
      <c r="CB7" t="s">
        <v>1286</v>
      </c>
      <c r="CC7" t="s">
        <v>13</v>
      </c>
      <c r="CD7" t="s">
        <v>14</v>
      </c>
    </row>
    <row r="8" spans="1:86" ht="19.5" customHeight="1" x14ac:dyDescent="0.25">
      <c r="A8" s="9" t="s">
        <v>15</v>
      </c>
      <c r="B8" s="6" t="s">
        <v>23</v>
      </c>
      <c r="C8" s="576" t="s">
        <v>24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621"/>
      <c r="AY8" s="621"/>
      <c r="AZ8" s="621"/>
      <c r="BA8" s="621"/>
      <c r="BB8" s="621"/>
      <c r="BC8" s="11"/>
      <c r="BD8" s="11"/>
      <c r="BE8" s="11"/>
      <c r="BF8" s="11"/>
      <c r="BG8" s="11"/>
      <c r="BH8" s="11"/>
      <c r="BI8" s="11"/>
      <c r="BJ8" s="11"/>
      <c r="BK8" s="11"/>
      <c r="BL8" s="11">
        <v>125764290</v>
      </c>
      <c r="BM8" s="11">
        <v>137736017</v>
      </c>
      <c r="BN8" s="11">
        <f>+'1.1 sz. Önkormányzat 2017.'!FM8+'1.2 sz Önkormányzat 2017.'!GP8+'1.3 sz.Önkormányzat 2017.B'!CA8</f>
        <v>127803410</v>
      </c>
      <c r="BO8" s="11">
        <v>23060500</v>
      </c>
      <c r="BP8" s="11">
        <v>26380027</v>
      </c>
      <c r="BQ8" s="11">
        <f>+CB8+'1.2 sz Önkormányzat 2017.'!GQ8+'1.1 sz. Önkormányzat 2017.'!FN8</f>
        <v>23312235</v>
      </c>
      <c r="BR8" s="11">
        <v>0</v>
      </c>
      <c r="BS8" s="11">
        <v>0</v>
      </c>
      <c r="BT8" s="11">
        <f>+CC8+'1.2 sz Önkormányzat 2017.'!GR8+'1.1 sz. Önkormányzat 2017.'!FO8</f>
        <v>0</v>
      </c>
      <c r="BU8" s="11">
        <v>148824790</v>
      </c>
      <c r="BV8" s="11">
        <v>164116044</v>
      </c>
      <c r="BW8" s="11">
        <f>+BN8+BQ8+BT8</f>
        <v>151115645</v>
      </c>
      <c r="BX8" s="11">
        <v>0</v>
      </c>
      <c r="BY8" s="11">
        <v>1748437</v>
      </c>
      <c r="BZ8" s="698">
        <f>+'1.2 sz Önkormányzat 2017.'!DR8+'1.2 sz Önkormányzat 2017.'!EM8</f>
        <v>131080</v>
      </c>
      <c r="CA8" s="696">
        <f>+F8+I8+O8+R8+U8+X8+AA8+AD8+AG8+AJ8+AM8+AP8+AS8+BE8+BH8+BK8</f>
        <v>0</v>
      </c>
      <c r="CB8" s="696">
        <f>+L8+AV8+AY8+BB8</f>
        <v>0</v>
      </c>
      <c r="CD8" s="696">
        <f>+CA8+CB8+CC8</f>
        <v>0</v>
      </c>
      <c r="CF8">
        <v>151115645</v>
      </c>
      <c r="CG8" s="696">
        <f>+CF8-BW8</f>
        <v>0</v>
      </c>
    </row>
    <row r="9" spans="1:86" ht="19.5" customHeight="1" x14ac:dyDescent="0.25">
      <c r="A9" s="9" t="s">
        <v>16</v>
      </c>
      <c r="B9" s="13" t="s">
        <v>25</v>
      </c>
      <c r="C9" s="576" t="s">
        <v>26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622"/>
      <c r="AY9" s="622"/>
      <c r="AZ9" s="622"/>
      <c r="BA9" s="622"/>
      <c r="BB9" s="622"/>
      <c r="BC9" s="26"/>
      <c r="BD9" s="26"/>
      <c r="BE9" s="26"/>
      <c r="BF9" s="26"/>
      <c r="BG9" s="26"/>
      <c r="BH9" s="26"/>
      <c r="BI9" s="26"/>
      <c r="BJ9" s="26"/>
      <c r="BK9" s="26"/>
      <c r="BL9" s="11">
        <v>30292456</v>
      </c>
      <c r="BM9" s="11">
        <v>32318820</v>
      </c>
      <c r="BN9" s="11">
        <f>+'1.1 sz. Önkormányzat 2017.'!FM9+'1.2 sz Önkormányzat 2017.'!GP9+'1.3 sz.Önkormányzat 2017.B'!CA9</f>
        <v>27167114</v>
      </c>
      <c r="BO9" s="11">
        <v>5370152</v>
      </c>
      <c r="BP9" s="11">
        <v>6218923</v>
      </c>
      <c r="BQ9" s="11">
        <f>+CB9+'1.2 sz Önkormányzat 2017.'!GQ9+'1.1 sz. Önkormányzat 2017.'!FN9</f>
        <v>5009967</v>
      </c>
      <c r="BR9" s="11">
        <v>0</v>
      </c>
      <c r="BS9" s="11">
        <v>0</v>
      </c>
      <c r="BT9" s="11">
        <f>+CC9+'1.2 sz Önkormányzat 2017.'!GR9+'1.1 sz. Önkormányzat 2017.'!FO9</f>
        <v>0</v>
      </c>
      <c r="BU9" s="11">
        <v>35662608</v>
      </c>
      <c r="BV9" s="11">
        <v>38537743</v>
      </c>
      <c r="BW9" s="11">
        <f t="shared" ref="BW9:BW46" si="0">+BN9+BQ9+BT9</f>
        <v>32177081</v>
      </c>
      <c r="BX9" s="11">
        <v>0</v>
      </c>
      <c r="BY9" s="11">
        <v>352563</v>
      </c>
      <c r="BZ9" s="698">
        <f>+'1.2 sz Önkormányzat 2017.'!DR9+'1.2 sz Önkormányzat 2017.'!EM9</f>
        <v>25954</v>
      </c>
      <c r="CA9" s="696">
        <f t="shared" ref="CA9:CA49" si="1">+F9+I9+O9+R9+U9+X9+AA9+AD9+AG9+AJ9+AM9+AP9+AS9+BE9+BH9+BK9</f>
        <v>0</v>
      </c>
      <c r="CB9" s="696">
        <f t="shared" ref="CB9:CB48" si="2">+L9+AV9+AY9+BB9</f>
        <v>0</v>
      </c>
      <c r="CD9" s="696">
        <f t="shared" ref="CD9:CD48" si="3">+CA9+CB9+CC9</f>
        <v>0</v>
      </c>
      <c r="CF9">
        <v>32177081</v>
      </c>
      <c r="CG9" s="696">
        <f>+CF9-BW9</f>
        <v>0</v>
      </c>
    </row>
    <row r="10" spans="1:86" ht="19.5" customHeight="1" x14ac:dyDescent="0.25">
      <c r="A10" s="9" t="s">
        <v>17</v>
      </c>
      <c r="B10" s="13" t="s">
        <v>27</v>
      </c>
      <c r="C10" s="576" t="s">
        <v>28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>
        <v>59322411</v>
      </c>
      <c r="AO10" s="11">
        <v>61846774</v>
      </c>
      <c r="AP10" s="11">
        <v>61753146</v>
      </c>
      <c r="AQ10" s="11"/>
      <c r="AR10" s="11"/>
      <c r="AS10" s="11"/>
      <c r="AT10" s="11"/>
      <c r="AU10" s="11"/>
      <c r="AV10" s="11"/>
      <c r="AW10" s="11"/>
      <c r="AX10" s="621"/>
      <c r="AY10" s="621"/>
      <c r="AZ10" s="621"/>
      <c r="BA10" s="621"/>
      <c r="BB10" s="621"/>
      <c r="BC10" s="11"/>
      <c r="BD10" s="11"/>
      <c r="BE10" s="11"/>
      <c r="BF10" s="11"/>
      <c r="BG10" s="11"/>
      <c r="BH10" s="11"/>
      <c r="BI10" s="11"/>
      <c r="BJ10" s="11"/>
      <c r="BK10" s="11"/>
      <c r="BL10" s="11">
        <v>705216136</v>
      </c>
      <c r="BM10" s="11">
        <v>1024232231</v>
      </c>
      <c r="BN10" s="11">
        <f>+'1.1 sz. Önkormányzat 2017.'!FM10+'1.2 sz Önkormányzat 2017.'!GP10+'1.3 sz.Önkormányzat 2017.B'!CA10</f>
        <v>885349291</v>
      </c>
      <c r="BO10" s="11">
        <v>96891713</v>
      </c>
      <c r="BP10" s="11">
        <v>134652090</v>
      </c>
      <c r="BQ10" s="11">
        <f>+CB10+'1.2 sz Önkormányzat 2017.'!GQ10+'1.1 sz. Önkormányzat 2017.'!FN10</f>
        <v>116442819</v>
      </c>
      <c r="BR10" s="11">
        <v>0</v>
      </c>
      <c r="BS10" s="11">
        <v>0</v>
      </c>
      <c r="BT10" s="11">
        <f>+CC10+'1.2 sz Önkormányzat 2017.'!GR10+'1.1 sz. Önkormányzat 2017.'!FO10</f>
        <v>0</v>
      </c>
      <c r="BU10" s="11">
        <v>802107849</v>
      </c>
      <c r="BV10" s="11">
        <v>1158884321</v>
      </c>
      <c r="BW10" s="11">
        <f t="shared" si="0"/>
        <v>1001792110</v>
      </c>
      <c r="BX10" s="11">
        <v>0</v>
      </c>
      <c r="BY10" s="698">
        <v>13874193</v>
      </c>
      <c r="BZ10" s="698">
        <f>+'1.2 sz Önkormányzat 2017.'!DR10+'1.2 sz Önkormányzat 2017.'!EM10</f>
        <v>3328480</v>
      </c>
      <c r="CA10" s="696">
        <f t="shared" si="1"/>
        <v>61753146</v>
      </c>
      <c r="CB10" s="696">
        <f t="shared" si="2"/>
        <v>0</v>
      </c>
      <c r="CD10" s="696">
        <f t="shared" si="3"/>
        <v>61753146</v>
      </c>
      <c r="CF10">
        <v>1001792110</v>
      </c>
      <c r="CG10" s="696">
        <f t="shared" ref="CG10:CG37" si="4">+CF10-BW10</f>
        <v>0</v>
      </c>
    </row>
    <row r="11" spans="1:86" ht="19.5" customHeight="1" x14ac:dyDescent="0.25">
      <c r="A11" s="9" t="s">
        <v>18</v>
      </c>
      <c r="B11" s="16" t="s">
        <v>29</v>
      </c>
      <c r="C11" s="576" t="s">
        <v>30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621"/>
      <c r="AY11" s="621"/>
      <c r="AZ11" s="621"/>
      <c r="BA11" s="621"/>
      <c r="BB11" s="621"/>
      <c r="BC11" s="11"/>
      <c r="BD11" s="11"/>
      <c r="BE11" s="11"/>
      <c r="BF11" s="11"/>
      <c r="BG11" s="11"/>
      <c r="BH11" s="11"/>
      <c r="BI11" s="11"/>
      <c r="BJ11" s="11"/>
      <c r="BK11" s="11"/>
      <c r="BL11" s="11">
        <v>22604500</v>
      </c>
      <c r="BM11" s="11">
        <v>45085500</v>
      </c>
      <c r="BN11" s="11">
        <f>+'1.1 sz. Önkormányzat 2017.'!FM11+'1.2 sz Önkormányzat 2017.'!GP11+'1.3 sz.Önkormányzat 2017.B'!CA11</f>
        <v>35804121</v>
      </c>
      <c r="BO11" s="11">
        <v>1500000</v>
      </c>
      <c r="BP11" s="11">
        <v>3000000</v>
      </c>
      <c r="BQ11" s="11">
        <f>+CB11+'1.2 sz Önkormányzat 2017.'!GQ11+'1.1 sz. Önkormányzat 2017.'!FN11</f>
        <v>2102900</v>
      </c>
      <c r="BR11" s="11">
        <v>750000</v>
      </c>
      <c r="BS11" s="11">
        <v>1850000</v>
      </c>
      <c r="BT11" s="11">
        <f>+CC11+'1.2 sz Önkormányzat 2017.'!GR11+'1.1 sz. Önkormányzat 2017.'!FO11</f>
        <v>1447307</v>
      </c>
      <c r="BU11" s="11">
        <v>24854500</v>
      </c>
      <c r="BV11" s="11">
        <v>49935500</v>
      </c>
      <c r="BW11" s="11">
        <f t="shared" si="0"/>
        <v>39354328</v>
      </c>
      <c r="BX11" s="11">
        <v>0</v>
      </c>
      <c r="BY11" s="11">
        <v>0</v>
      </c>
      <c r="BZ11" s="698">
        <f>+'1.2 sz Önkormányzat 2017.'!DR11+'1.2 sz Önkormányzat 2017.'!EM11</f>
        <v>0</v>
      </c>
      <c r="CA11" s="696">
        <f t="shared" si="1"/>
        <v>0</v>
      </c>
      <c r="CB11" s="696">
        <f t="shared" si="2"/>
        <v>0</v>
      </c>
      <c r="CD11" s="696">
        <f t="shared" si="3"/>
        <v>0</v>
      </c>
      <c r="CF11">
        <v>39354328</v>
      </c>
      <c r="CG11" s="696">
        <f t="shared" si="4"/>
        <v>0</v>
      </c>
    </row>
    <row r="12" spans="1:86" ht="19.5" customHeight="1" x14ac:dyDescent="0.25">
      <c r="A12" s="9" t="s">
        <v>19</v>
      </c>
      <c r="B12" s="16" t="s">
        <v>31</v>
      </c>
      <c r="C12" s="576" t="s">
        <v>32</v>
      </c>
      <c r="D12" s="577">
        <f t="shared" ref="D12:BJ12" si="5">+D13+D14+D15</f>
        <v>0</v>
      </c>
      <c r="E12" s="577">
        <f t="shared" si="5"/>
        <v>0</v>
      </c>
      <c r="F12" s="577"/>
      <c r="G12" s="577">
        <v>186957722</v>
      </c>
      <c r="H12" s="577">
        <v>186957722</v>
      </c>
      <c r="I12" s="577">
        <v>186957722</v>
      </c>
      <c r="J12" s="577">
        <f t="shared" si="5"/>
        <v>0</v>
      </c>
      <c r="K12" s="577">
        <f t="shared" si="5"/>
        <v>0</v>
      </c>
      <c r="L12" s="577"/>
      <c r="M12" s="577">
        <f t="shared" si="5"/>
        <v>0</v>
      </c>
      <c r="N12" s="577">
        <f t="shared" si="5"/>
        <v>0</v>
      </c>
      <c r="O12" s="577"/>
      <c r="P12" s="577">
        <f t="shared" si="5"/>
        <v>0</v>
      </c>
      <c r="Q12" s="577">
        <f t="shared" si="5"/>
        <v>0</v>
      </c>
      <c r="R12" s="577"/>
      <c r="S12" s="577">
        <f t="shared" si="5"/>
        <v>0</v>
      </c>
      <c r="T12" s="577">
        <f t="shared" si="5"/>
        <v>0</v>
      </c>
      <c r="U12" s="577"/>
      <c r="V12" s="577">
        <f t="shared" si="5"/>
        <v>0</v>
      </c>
      <c r="W12" s="577">
        <f t="shared" si="5"/>
        <v>0</v>
      </c>
      <c r="X12" s="577"/>
      <c r="Y12" s="577">
        <f t="shared" si="5"/>
        <v>0</v>
      </c>
      <c r="Z12" s="577">
        <f t="shared" si="5"/>
        <v>0</v>
      </c>
      <c r="AA12" s="577"/>
      <c r="AB12" s="577">
        <f t="shared" si="5"/>
        <v>0</v>
      </c>
      <c r="AC12" s="577">
        <f t="shared" si="5"/>
        <v>0</v>
      </c>
      <c r="AD12" s="577"/>
      <c r="AE12" s="577">
        <f t="shared" si="5"/>
        <v>0</v>
      </c>
      <c r="AF12" s="577">
        <f t="shared" si="5"/>
        <v>0</v>
      </c>
      <c r="AG12" s="577"/>
      <c r="AH12" s="577">
        <f t="shared" si="5"/>
        <v>0</v>
      </c>
      <c r="AI12" s="577">
        <f t="shared" si="5"/>
        <v>0</v>
      </c>
      <c r="AJ12" s="577"/>
      <c r="AK12" s="577">
        <f t="shared" si="5"/>
        <v>0</v>
      </c>
      <c r="AL12" s="577">
        <f t="shared" si="5"/>
        <v>0</v>
      </c>
      <c r="AM12" s="577"/>
      <c r="AN12" s="577">
        <f t="shared" si="5"/>
        <v>0</v>
      </c>
      <c r="AO12" s="577">
        <f t="shared" si="5"/>
        <v>0</v>
      </c>
      <c r="AP12" s="577"/>
      <c r="AQ12" s="577">
        <f t="shared" si="5"/>
        <v>0</v>
      </c>
      <c r="AR12" s="577">
        <f t="shared" si="5"/>
        <v>0</v>
      </c>
      <c r="AS12" s="577"/>
      <c r="AT12" s="577">
        <f t="shared" si="5"/>
        <v>0</v>
      </c>
      <c r="AU12" s="577">
        <f t="shared" si="5"/>
        <v>0</v>
      </c>
      <c r="AV12" s="577"/>
      <c r="AW12" s="577">
        <f t="shared" si="5"/>
        <v>0</v>
      </c>
      <c r="AX12" s="577">
        <f t="shared" si="5"/>
        <v>0</v>
      </c>
      <c r="AY12" s="577"/>
      <c r="AZ12" s="577">
        <f t="shared" si="5"/>
        <v>0</v>
      </c>
      <c r="BA12" s="577">
        <f t="shared" si="5"/>
        <v>0</v>
      </c>
      <c r="BB12" s="577"/>
      <c r="BC12" s="577">
        <f t="shared" si="5"/>
        <v>0</v>
      </c>
      <c r="BD12" s="577">
        <f t="shared" si="5"/>
        <v>0</v>
      </c>
      <c r="BE12" s="577"/>
      <c r="BF12" s="577">
        <f t="shared" si="5"/>
        <v>0</v>
      </c>
      <c r="BG12" s="577">
        <f t="shared" si="5"/>
        <v>0</v>
      </c>
      <c r="BH12" s="577"/>
      <c r="BI12" s="577">
        <f t="shared" si="5"/>
        <v>0</v>
      </c>
      <c r="BJ12" s="577">
        <f t="shared" si="5"/>
        <v>0</v>
      </c>
      <c r="BK12" s="577"/>
      <c r="BL12" s="11">
        <v>615242923</v>
      </c>
      <c r="BM12" s="11">
        <v>1066029486</v>
      </c>
      <c r="BN12" s="11">
        <f>+'1.1 sz. Önkormányzat 2017.'!FM12+'1.2 sz Önkormányzat 2017.'!GP12+'1.3 sz.Önkormányzat 2017.B'!CA12</f>
        <v>230529722</v>
      </c>
      <c r="BO12" s="11">
        <v>78077821</v>
      </c>
      <c r="BP12" s="11">
        <v>173046821</v>
      </c>
      <c r="BQ12" s="11">
        <f>+CB12+'1.2 sz Önkormányzat 2017.'!GQ12+'1.1 sz. Önkormányzat 2017.'!FN12</f>
        <v>152181261</v>
      </c>
      <c r="BR12" s="11">
        <v>0</v>
      </c>
      <c r="BS12" s="11">
        <v>0</v>
      </c>
      <c r="BT12" s="11">
        <f>+CC12+'1.2 sz Önkormányzat 2017.'!GR12+'1.1 sz. Önkormányzat 2017.'!FO12</f>
        <v>0</v>
      </c>
      <c r="BU12" s="11">
        <v>693320744</v>
      </c>
      <c r="BV12" s="11">
        <v>1239076307</v>
      </c>
      <c r="BW12" s="11">
        <f t="shared" si="0"/>
        <v>382710983</v>
      </c>
      <c r="BX12" s="11">
        <v>0</v>
      </c>
      <c r="BY12" s="11">
        <v>0</v>
      </c>
      <c r="BZ12" s="698">
        <f>+'1.2 sz Önkormányzat 2017.'!DR12+'1.2 sz Önkormányzat 2017.'!EM12</f>
        <v>0</v>
      </c>
      <c r="CA12" s="696">
        <f t="shared" si="1"/>
        <v>186957722</v>
      </c>
      <c r="CB12" s="696">
        <f t="shared" si="2"/>
        <v>0</v>
      </c>
      <c r="CD12" s="696">
        <f t="shared" si="3"/>
        <v>186957722</v>
      </c>
      <c r="CF12">
        <v>382710983</v>
      </c>
      <c r="CG12" s="696">
        <f t="shared" si="4"/>
        <v>0</v>
      </c>
    </row>
    <row r="13" spans="1:86" ht="19.5" customHeight="1" x14ac:dyDescent="0.25">
      <c r="A13" s="9" t="s">
        <v>20</v>
      </c>
      <c r="B13" s="17" t="s">
        <v>33</v>
      </c>
      <c r="C13" s="576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621"/>
      <c r="AY13" s="621"/>
      <c r="AZ13" s="621"/>
      <c r="BA13" s="621"/>
      <c r="BB13" s="621"/>
      <c r="BC13" s="11"/>
      <c r="BD13" s="11"/>
      <c r="BE13" s="11"/>
      <c r="BF13" s="11"/>
      <c r="BG13" s="11"/>
      <c r="BH13" s="11"/>
      <c r="BI13" s="11"/>
      <c r="BJ13" s="11"/>
      <c r="BK13" s="11"/>
      <c r="BL13" s="11">
        <v>33256000</v>
      </c>
      <c r="BM13" s="11">
        <v>43656000</v>
      </c>
      <c r="BN13" s="11">
        <f>+'1.1 sz. Önkormányzat 2017.'!FM13+'1.2 sz Önkormányzat 2017.'!GP13+'1.3 sz.Önkormányzat 2017.B'!CA13</f>
        <v>43572000</v>
      </c>
      <c r="BO13" s="11">
        <v>78077821</v>
      </c>
      <c r="BP13" s="11">
        <v>173046821</v>
      </c>
      <c r="BQ13" s="11">
        <f>+CB13+'1.2 sz Önkormányzat 2017.'!GQ13+'1.1 sz. Önkormányzat 2017.'!FN13</f>
        <v>152181261</v>
      </c>
      <c r="BR13" s="11">
        <v>0</v>
      </c>
      <c r="BS13" s="11">
        <v>0</v>
      </c>
      <c r="BT13" s="11">
        <f>+CC13+'1.2 sz Önkormányzat 2017.'!GR13+'1.1 sz. Önkormányzat 2017.'!FO13</f>
        <v>0</v>
      </c>
      <c r="BU13" s="11">
        <v>111333821</v>
      </c>
      <c r="BV13" s="11">
        <v>216702821</v>
      </c>
      <c r="BW13" s="11">
        <f t="shared" si="0"/>
        <v>195753261</v>
      </c>
      <c r="BX13" s="11">
        <v>0</v>
      </c>
      <c r="BY13" s="11">
        <v>0</v>
      </c>
      <c r="BZ13" s="698">
        <f>+'1.2 sz Önkormányzat 2017.'!DR13+'1.2 sz Önkormányzat 2017.'!EM13</f>
        <v>0</v>
      </c>
      <c r="CA13" s="696">
        <f t="shared" si="1"/>
        <v>0</v>
      </c>
      <c r="CB13" s="696">
        <f t="shared" si="2"/>
        <v>0</v>
      </c>
      <c r="CD13" s="696">
        <f t="shared" si="3"/>
        <v>0</v>
      </c>
      <c r="CG13" s="696"/>
      <c r="CH13" s="696">
        <f>+BW12-BW13-BW15</f>
        <v>0</v>
      </c>
    </row>
    <row r="14" spans="1:86" ht="19.5" customHeight="1" x14ac:dyDescent="0.25">
      <c r="A14" s="9" t="s">
        <v>21</v>
      </c>
      <c r="B14" s="17" t="s">
        <v>34</v>
      </c>
      <c r="C14" s="582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611"/>
      <c r="AG14" s="611"/>
      <c r="AH14" s="611"/>
      <c r="AI14" s="611"/>
      <c r="AJ14" s="611"/>
      <c r="AK14" s="611"/>
      <c r="AL14" s="611"/>
      <c r="AM14" s="611"/>
      <c r="AN14" s="611"/>
      <c r="AO14" s="611"/>
      <c r="AP14" s="611"/>
      <c r="AQ14" s="611"/>
      <c r="AR14" s="611"/>
      <c r="AS14" s="611"/>
      <c r="AT14" s="611"/>
      <c r="AU14" s="611"/>
      <c r="AV14" s="611"/>
      <c r="AW14" s="611"/>
      <c r="AX14" s="623"/>
      <c r="AY14" s="623"/>
      <c r="AZ14" s="623"/>
      <c r="BA14" s="623"/>
      <c r="BB14" s="623"/>
      <c r="BC14" s="611"/>
      <c r="BD14" s="611"/>
      <c r="BE14" s="611"/>
      <c r="BF14" s="611"/>
      <c r="BG14" s="611"/>
      <c r="BH14" s="611"/>
      <c r="BI14" s="611"/>
      <c r="BJ14" s="611"/>
      <c r="BK14" s="611"/>
      <c r="BL14" s="11">
        <v>395029201</v>
      </c>
      <c r="BM14" s="11">
        <v>835415764</v>
      </c>
      <c r="BN14" s="11">
        <f>+'1.1 sz. Önkormányzat 2017.'!FM14+'1.2 sz Önkormányzat 2017.'!GP14+'1.3 sz.Önkormányzat 2017.B'!CA14</f>
        <v>0</v>
      </c>
      <c r="BO14" s="11">
        <v>0</v>
      </c>
      <c r="BP14" s="11">
        <v>0</v>
      </c>
      <c r="BQ14" s="11">
        <f>+CB14+'1.2 sz Önkormányzat 2017.'!GQ14+'1.1 sz. Önkormányzat 2017.'!FN14</f>
        <v>0</v>
      </c>
      <c r="BR14" s="11">
        <v>0</v>
      </c>
      <c r="BS14" s="11">
        <v>0</v>
      </c>
      <c r="BT14" s="11">
        <f>+CC14+'1.2 sz Önkormányzat 2017.'!GR14+'1.1 sz. Önkormányzat 2017.'!FO14</f>
        <v>0</v>
      </c>
      <c r="BU14" s="11">
        <v>395029201</v>
      </c>
      <c r="BV14" s="11">
        <v>835415764</v>
      </c>
      <c r="BW14" s="11">
        <f t="shared" si="0"/>
        <v>0</v>
      </c>
      <c r="BX14" s="11">
        <v>0</v>
      </c>
      <c r="BY14" s="11">
        <v>0</v>
      </c>
      <c r="BZ14" s="698">
        <f>+'1.2 sz Önkormányzat 2017.'!DR14+'1.2 sz Önkormányzat 2017.'!EM14</f>
        <v>0</v>
      </c>
      <c r="CA14" s="696">
        <f t="shared" si="1"/>
        <v>0</v>
      </c>
      <c r="CB14" s="696">
        <f t="shared" si="2"/>
        <v>0</v>
      </c>
      <c r="CD14" s="696">
        <f t="shared" si="3"/>
        <v>0</v>
      </c>
      <c r="CG14" s="696">
        <f t="shared" si="4"/>
        <v>0</v>
      </c>
    </row>
    <row r="15" spans="1:86" ht="19.5" customHeight="1" x14ac:dyDescent="0.25">
      <c r="A15" s="9" t="s">
        <v>22</v>
      </c>
      <c r="B15" s="17" t="s">
        <v>35</v>
      </c>
      <c r="C15" s="582"/>
      <c r="D15" s="611"/>
      <c r="E15" s="611"/>
      <c r="F15" s="611"/>
      <c r="G15" s="11">
        <v>186957722</v>
      </c>
      <c r="H15" s="11">
        <v>186957722</v>
      </c>
      <c r="I15" s="11">
        <v>186957722</v>
      </c>
      <c r="J15" s="611"/>
      <c r="K15" s="611"/>
      <c r="L15" s="611"/>
      <c r="M15" s="611"/>
      <c r="N15" s="611"/>
      <c r="O15" s="611"/>
      <c r="P15" s="611"/>
      <c r="Q15" s="611"/>
      <c r="R15" s="611"/>
      <c r="S15" s="611"/>
      <c r="T15" s="611"/>
      <c r="U15" s="611"/>
      <c r="V15" s="611"/>
      <c r="W15" s="611"/>
      <c r="X15" s="611"/>
      <c r="Y15" s="611"/>
      <c r="Z15" s="611"/>
      <c r="AA15" s="611"/>
      <c r="AB15" s="611"/>
      <c r="AC15" s="611"/>
      <c r="AD15" s="611"/>
      <c r="AE15" s="611"/>
      <c r="AF15" s="611"/>
      <c r="AG15" s="611"/>
      <c r="AH15" s="611"/>
      <c r="AI15" s="611"/>
      <c r="AJ15" s="611"/>
      <c r="AK15" s="611"/>
      <c r="AL15" s="611"/>
      <c r="AM15" s="611"/>
      <c r="AN15" s="611"/>
      <c r="AO15" s="611"/>
      <c r="AP15" s="611"/>
      <c r="AQ15" s="611"/>
      <c r="AR15" s="611"/>
      <c r="AS15" s="611"/>
      <c r="AT15" s="611"/>
      <c r="AU15" s="611"/>
      <c r="AV15" s="611"/>
      <c r="AW15" s="611"/>
      <c r="AX15" s="623"/>
      <c r="AY15" s="623"/>
      <c r="AZ15" s="623"/>
      <c r="BA15" s="623"/>
      <c r="BB15" s="623"/>
      <c r="BC15" s="611"/>
      <c r="BD15" s="611"/>
      <c r="BE15" s="611"/>
      <c r="BF15" s="611"/>
      <c r="BG15" s="611"/>
      <c r="BH15" s="611"/>
      <c r="BI15" s="611"/>
      <c r="BJ15" s="611"/>
      <c r="BK15" s="611"/>
      <c r="BL15" s="11">
        <v>186957722</v>
      </c>
      <c r="BM15" s="11">
        <v>186957722</v>
      </c>
      <c r="BN15" s="11">
        <f>+'1.1 sz. Önkormányzat 2017.'!FM15+'1.2 sz Önkormányzat 2017.'!GP15+'1.3 sz.Önkormányzat 2017.B'!CA15</f>
        <v>186957722</v>
      </c>
      <c r="BO15" s="11">
        <v>0</v>
      </c>
      <c r="BP15" s="11">
        <v>0</v>
      </c>
      <c r="BQ15" s="11">
        <f>+CB15+'1.2 sz Önkormányzat 2017.'!GQ15+'1.1 sz. Önkormányzat 2017.'!FN15</f>
        <v>0</v>
      </c>
      <c r="BR15" s="11">
        <v>0</v>
      </c>
      <c r="BS15" s="11">
        <v>0</v>
      </c>
      <c r="BT15" s="11">
        <f>+CC15+'1.2 sz Önkormányzat 2017.'!GR15+'1.1 sz. Önkormányzat 2017.'!FO15</f>
        <v>0</v>
      </c>
      <c r="BU15" s="11">
        <v>186957722</v>
      </c>
      <c r="BV15" s="11">
        <v>186957722</v>
      </c>
      <c r="BW15" s="11">
        <f t="shared" si="0"/>
        <v>186957722</v>
      </c>
      <c r="BX15" s="11">
        <v>0</v>
      </c>
      <c r="BY15" s="11">
        <v>0</v>
      </c>
      <c r="BZ15" s="698">
        <f>+'1.2 sz Önkormányzat 2017.'!DR15+'1.2 sz Önkormányzat 2017.'!EM15</f>
        <v>0</v>
      </c>
      <c r="CA15" s="696">
        <f t="shared" si="1"/>
        <v>186957722</v>
      </c>
      <c r="CB15" s="696">
        <f t="shared" si="2"/>
        <v>0</v>
      </c>
      <c r="CD15" s="696">
        <f t="shared" si="3"/>
        <v>186957722</v>
      </c>
      <c r="CG15" s="696"/>
    </row>
    <row r="16" spans="1:86" ht="19.5" customHeight="1" x14ac:dyDescent="0.25">
      <c r="A16" s="9" t="s">
        <v>36</v>
      </c>
      <c r="B16" s="20" t="s">
        <v>37</v>
      </c>
      <c r="C16" s="576" t="s">
        <v>38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622"/>
      <c r="AY16" s="622"/>
      <c r="AZ16" s="622"/>
      <c r="BA16" s="622"/>
      <c r="BB16" s="622"/>
      <c r="BC16" s="26"/>
      <c r="BD16" s="26"/>
      <c r="BE16" s="26"/>
      <c r="BF16" s="26"/>
      <c r="BG16" s="26"/>
      <c r="BH16" s="26"/>
      <c r="BI16" s="26"/>
      <c r="BJ16" s="26"/>
      <c r="BK16" s="26"/>
      <c r="BL16" s="11">
        <v>168020050</v>
      </c>
      <c r="BM16" s="11">
        <v>800412660</v>
      </c>
      <c r="BN16" s="11">
        <f>+'1.1 sz. Önkormányzat 2017.'!FM16+'1.2 sz Önkormányzat 2017.'!GP16+'1.3 sz.Önkormányzat 2017.B'!CA16</f>
        <v>332767413</v>
      </c>
      <c r="BO16" s="11">
        <v>36634100</v>
      </c>
      <c r="BP16" s="11">
        <v>56164801</v>
      </c>
      <c r="BQ16" s="11">
        <f>+CB16+'1.2 sz Önkormányzat 2017.'!GQ16+'1.1 sz. Önkormányzat 2017.'!FN16</f>
        <v>34825384</v>
      </c>
      <c r="BR16" s="11">
        <v>0</v>
      </c>
      <c r="BS16" s="11">
        <v>0</v>
      </c>
      <c r="BT16" s="11">
        <f>+CC16+'1.2 sz Önkormányzat 2017.'!GR16+'1.1 sz. Önkormányzat 2017.'!FO16</f>
        <v>0</v>
      </c>
      <c r="BU16" s="11">
        <v>204654150</v>
      </c>
      <c r="BV16" s="11">
        <v>856577461</v>
      </c>
      <c r="BW16" s="11">
        <f t="shared" si="0"/>
        <v>367592797</v>
      </c>
      <c r="BX16" s="11">
        <v>0</v>
      </c>
      <c r="BY16" s="698">
        <v>304029281</v>
      </c>
      <c r="BZ16" s="698">
        <f>+'1.2 sz Önkormányzat 2017.'!DR16+'1.2 sz Önkormányzat 2017.'!EM16</f>
        <v>12155706</v>
      </c>
      <c r="CA16" s="696">
        <f t="shared" si="1"/>
        <v>0</v>
      </c>
      <c r="CB16" s="696">
        <f t="shared" si="2"/>
        <v>0</v>
      </c>
      <c r="CD16" s="696">
        <f t="shared" si="3"/>
        <v>0</v>
      </c>
      <c r="CF16">
        <v>367592797</v>
      </c>
      <c r="CG16" s="696">
        <f t="shared" si="4"/>
        <v>0</v>
      </c>
    </row>
    <row r="17" spans="1:85" ht="19.5" customHeight="1" x14ac:dyDescent="0.25">
      <c r="A17" s="9" t="s">
        <v>39</v>
      </c>
      <c r="B17" s="16" t="s">
        <v>40</v>
      </c>
      <c r="C17" s="576" t="s">
        <v>41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622"/>
      <c r="AY17" s="622"/>
      <c r="AZ17" s="622"/>
      <c r="BA17" s="622"/>
      <c r="BB17" s="622"/>
      <c r="BC17" s="26"/>
      <c r="BD17" s="26"/>
      <c r="BE17" s="26"/>
      <c r="BF17" s="26"/>
      <c r="BG17" s="26"/>
      <c r="BH17" s="26"/>
      <c r="BI17" s="26"/>
      <c r="BJ17" s="26"/>
      <c r="BK17" s="26"/>
      <c r="BL17" s="11">
        <v>86919478</v>
      </c>
      <c r="BM17" s="11">
        <v>411522809</v>
      </c>
      <c r="BN17" s="11">
        <f>+'1.1 sz. Önkormányzat 2017.'!FM17+'1.2 sz Önkormányzat 2017.'!GP17+'1.3 sz.Önkormányzat 2017.B'!CA17</f>
        <v>262655211</v>
      </c>
      <c r="BO17" s="11">
        <v>0</v>
      </c>
      <c r="BP17" s="11">
        <v>0</v>
      </c>
      <c r="BQ17" s="11">
        <f>+CB17+'1.2 sz Önkormányzat 2017.'!GQ17+'1.1 sz. Önkormányzat 2017.'!FN17</f>
        <v>0</v>
      </c>
      <c r="BR17" s="11">
        <v>0</v>
      </c>
      <c r="BS17" s="11">
        <v>0</v>
      </c>
      <c r="BT17" s="11">
        <f>+CC17+'1.2 sz Önkormányzat 2017.'!GR17+'1.1 sz. Önkormányzat 2017.'!FO17</f>
        <v>0</v>
      </c>
      <c r="BU17" s="11">
        <v>86919478</v>
      </c>
      <c r="BV17" s="11">
        <v>411522809</v>
      </c>
      <c r="BW17" s="11">
        <f t="shared" si="0"/>
        <v>262655211</v>
      </c>
      <c r="BX17" s="11">
        <v>0</v>
      </c>
      <c r="BY17" s="11">
        <v>0</v>
      </c>
      <c r="BZ17" s="698">
        <f>+'1.2 sz Önkormányzat 2017.'!DR17+'1.2 sz Önkormányzat 2017.'!EM17</f>
        <v>0</v>
      </c>
      <c r="CA17" s="696">
        <f t="shared" si="1"/>
        <v>0</v>
      </c>
      <c r="CB17" s="696">
        <f t="shared" si="2"/>
        <v>0</v>
      </c>
      <c r="CD17" s="696">
        <f t="shared" si="3"/>
        <v>0</v>
      </c>
      <c r="CF17">
        <v>262655211</v>
      </c>
      <c r="CG17" s="696">
        <f t="shared" si="4"/>
        <v>0</v>
      </c>
    </row>
    <row r="18" spans="1:85" ht="19.5" customHeight="1" x14ac:dyDescent="0.25">
      <c r="A18" s="9" t="s">
        <v>42</v>
      </c>
      <c r="B18" s="16" t="s">
        <v>43</v>
      </c>
      <c r="C18" s="576" t="s">
        <v>44</v>
      </c>
      <c r="D18" s="577">
        <f t="shared" ref="D18:BJ18" si="6">+D19</f>
        <v>0</v>
      </c>
      <c r="E18" s="577">
        <f t="shared" si="6"/>
        <v>0</v>
      </c>
      <c r="F18" s="577"/>
      <c r="G18" s="577">
        <f t="shared" si="6"/>
        <v>0</v>
      </c>
      <c r="H18" s="577">
        <f t="shared" si="6"/>
        <v>0</v>
      </c>
      <c r="I18" s="577"/>
      <c r="J18" s="577">
        <f t="shared" si="6"/>
        <v>0</v>
      </c>
      <c r="K18" s="577">
        <f t="shared" si="6"/>
        <v>0</v>
      </c>
      <c r="L18" s="577"/>
      <c r="M18" s="577">
        <f t="shared" si="6"/>
        <v>0</v>
      </c>
      <c r="N18" s="577">
        <f t="shared" si="6"/>
        <v>0</v>
      </c>
      <c r="O18" s="577"/>
      <c r="P18" s="577">
        <f t="shared" si="6"/>
        <v>0</v>
      </c>
      <c r="Q18" s="577">
        <f t="shared" si="6"/>
        <v>0</v>
      </c>
      <c r="R18" s="577"/>
      <c r="S18" s="577">
        <f t="shared" si="6"/>
        <v>0</v>
      </c>
      <c r="T18" s="577">
        <f t="shared" si="6"/>
        <v>0</v>
      </c>
      <c r="U18" s="577"/>
      <c r="V18" s="577">
        <f t="shared" si="6"/>
        <v>0</v>
      </c>
      <c r="W18" s="577">
        <f t="shared" si="6"/>
        <v>0</v>
      </c>
      <c r="X18" s="577"/>
      <c r="Y18" s="577">
        <f t="shared" si="6"/>
        <v>0</v>
      </c>
      <c r="Z18" s="577">
        <f t="shared" si="6"/>
        <v>0</v>
      </c>
      <c r="AA18" s="577"/>
      <c r="AB18" s="577">
        <f t="shared" si="6"/>
        <v>0</v>
      </c>
      <c r="AC18" s="577">
        <f t="shared" si="6"/>
        <v>0</v>
      </c>
      <c r="AD18" s="577"/>
      <c r="AE18" s="577">
        <f t="shared" si="6"/>
        <v>0</v>
      </c>
      <c r="AF18" s="577">
        <f t="shared" si="6"/>
        <v>0</v>
      </c>
      <c r="AG18" s="577"/>
      <c r="AH18" s="577">
        <f t="shared" si="6"/>
        <v>0</v>
      </c>
      <c r="AI18" s="577">
        <f t="shared" si="6"/>
        <v>0</v>
      </c>
      <c r="AJ18" s="577"/>
      <c r="AK18" s="577">
        <f t="shared" si="6"/>
        <v>0</v>
      </c>
      <c r="AL18" s="577">
        <f t="shared" si="6"/>
        <v>0</v>
      </c>
      <c r="AM18" s="577"/>
      <c r="AN18" s="577">
        <f t="shared" si="6"/>
        <v>0</v>
      </c>
      <c r="AO18" s="577">
        <f t="shared" si="6"/>
        <v>0</v>
      </c>
      <c r="AP18" s="577"/>
      <c r="AQ18" s="577">
        <f t="shared" si="6"/>
        <v>0</v>
      </c>
      <c r="AR18" s="577">
        <f t="shared" si="6"/>
        <v>0</v>
      </c>
      <c r="AS18" s="577"/>
      <c r="AT18" s="577">
        <f t="shared" si="6"/>
        <v>0</v>
      </c>
      <c r="AU18" s="577">
        <f t="shared" si="6"/>
        <v>0</v>
      </c>
      <c r="AV18" s="577"/>
      <c r="AW18" s="577">
        <f t="shared" si="6"/>
        <v>0</v>
      </c>
      <c r="AX18" s="577">
        <f t="shared" si="6"/>
        <v>0</v>
      </c>
      <c r="AY18" s="577"/>
      <c r="AZ18" s="577">
        <f t="shared" si="6"/>
        <v>0</v>
      </c>
      <c r="BA18" s="577">
        <f t="shared" si="6"/>
        <v>0</v>
      </c>
      <c r="BB18" s="577"/>
      <c r="BC18" s="577">
        <f t="shared" si="6"/>
        <v>0</v>
      </c>
      <c r="BD18" s="577">
        <f t="shared" si="6"/>
        <v>0</v>
      </c>
      <c r="BE18" s="577"/>
      <c r="BF18" s="577">
        <f t="shared" si="6"/>
        <v>0</v>
      </c>
      <c r="BG18" s="577">
        <f t="shared" si="6"/>
        <v>0</v>
      </c>
      <c r="BH18" s="577"/>
      <c r="BI18" s="577">
        <f t="shared" si="6"/>
        <v>0</v>
      </c>
      <c r="BJ18" s="577">
        <f t="shared" si="6"/>
        <v>0</v>
      </c>
      <c r="BK18" s="577"/>
      <c r="BL18" s="11">
        <v>0</v>
      </c>
      <c r="BM18" s="11">
        <v>0</v>
      </c>
      <c r="BN18" s="11">
        <f>+'1.1 sz. Önkormányzat 2017.'!FM18+'1.2 sz Önkormányzat 2017.'!GP18+'1.3 sz.Önkormányzat 2017.B'!CA18</f>
        <v>0</v>
      </c>
      <c r="BO18" s="11">
        <v>400881180</v>
      </c>
      <c r="BP18" s="11">
        <v>497217180</v>
      </c>
      <c r="BQ18" s="11">
        <f>+CB18+'1.2 sz Önkormányzat 2017.'!GQ18+'1.1 sz. Önkormányzat 2017.'!FN18</f>
        <v>495872780</v>
      </c>
      <c r="BR18" s="11">
        <v>0</v>
      </c>
      <c r="BS18" s="11">
        <v>0</v>
      </c>
      <c r="BT18" s="11">
        <f>+CC18+'1.2 sz Önkormányzat 2017.'!GR18+'1.1 sz. Önkormányzat 2017.'!FO18</f>
        <v>0</v>
      </c>
      <c r="BU18" s="11">
        <v>400881180</v>
      </c>
      <c r="BV18" s="11">
        <v>497313180</v>
      </c>
      <c r="BW18" s="11">
        <f t="shared" si="0"/>
        <v>495872780</v>
      </c>
      <c r="BX18" s="11">
        <v>0</v>
      </c>
      <c r="BY18" s="11"/>
      <c r="BZ18" s="698">
        <f>+'1.2 sz Önkormányzat 2017.'!DR18+'1.2 sz Önkormányzat 2017.'!EM18</f>
        <v>0</v>
      </c>
      <c r="CA18" s="696">
        <f t="shared" si="1"/>
        <v>0</v>
      </c>
      <c r="CB18" s="696">
        <f t="shared" si="2"/>
        <v>0</v>
      </c>
      <c r="CD18" s="696">
        <f t="shared" si="3"/>
        <v>0</v>
      </c>
      <c r="CF18">
        <v>495872780</v>
      </c>
      <c r="CG18" s="696">
        <f t="shared" si="4"/>
        <v>0</v>
      </c>
    </row>
    <row r="19" spans="1:85" ht="19.5" customHeight="1" x14ac:dyDescent="0.25">
      <c r="A19" s="9" t="s">
        <v>45</v>
      </c>
      <c r="B19" s="17" t="s">
        <v>46</v>
      </c>
      <c r="C19" s="576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621"/>
      <c r="AY19" s="621"/>
      <c r="AZ19" s="621"/>
      <c r="BA19" s="621"/>
      <c r="BB19" s="621"/>
      <c r="BC19" s="11"/>
      <c r="BD19" s="11"/>
      <c r="BE19" s="11"/>
      <c r="BF19" s="11"/>
      <c r="BG19" s="11"/>
      <c r="BH19" s="11"/>
      <c r="BI19" s="11"/>
      <c r="BJ19" s="11"/>
      <c r="BK19" s="11"/>
      <c r="BL19" s="11">
        <v>0</v>
      </c>
      <c r="BM19" s="11">
        <v>0</v>
      </c>
      <c r="BN19" s="11">
        <f>+'1.1 sz. Önkormányzat 2017.'!FM19+'1.2 sz Önkormányzat 2017.'!GP19+'1.3 sz.Önkormányzat 2017.B'!CA19</f>
        <v>0</v>
      </c>
      <c r="BO19" s="11">
        <v>400881180</v>
      </c>
      <c r="BP19" s="11">
        <v>497217180</v>
      </c>
      <c r="BQ19" s="11">
        <f>+CB19+'1.2 sz Önkormányzat 2017.'!GQ19+'1.1 sz. Önkormányzat 2017.'!FN19</f>
        <v>495872780</v>
      </c>
      <c r="BR19" s="11">
        <v>0</v>
      </c>
      <c r="BS19" s="11">
        <v>0</v>
      </c>
      <c r="BT19" s="11">
        <f>+CC19+'1.2 sz Önkormányzat 2017.'!GR19+'1.1 sz. Önkormányzat 2017.'!FO19</f>
        <v>0</v>
      </c>
      <c r="BU19" s="11">
        <v>400881180</v>
      </c>
      <c r="BV19" s="11">
        <v>497313180</v>
      </c>
      <c r="BW19" s="11">
        <f t="shared" si="0"/>
        <v>495872780</v>
      </c>
      <c r="BX19" s="11">
        <v>0</v>
      </c>
      <c r="BY19" s="11">
        <v>0</v>
      </c>
      <c r="BZ19" s="698">
        <f>+'1.2 sz Önkormányzat 2017.'!DR19+'1.2 sz Önkormányzat 2017.'!EM19</f>
        <v>0</v>
      </c>
      <c r="CA19" s="696">
        <f t="shared" si="1"/>
        <v>0</v>
      </c>
      <c r="CB19" s="696">
        <f t="shared" si="2"/>
        <v>0</v>
      </c>
      <c r="CD19" s="696">
        <f t="shared" si="3"/>
        <v>0</v>
      </c>
      <c r="CG19" s="696"/>
    </row>
    <row r="20" spans="1:85" ht="19.5" customHeight="1" x14ac:dyDescent="0.25">
      <c r="A20" s="9" t="s">
        <v>47</v>
      </c>
      <c r="B20" s="20" t="s">
        <v>48</v>
      </c>
      <c r="C20" s="576" t="s">
        <v>49</v>
      </c>
      <c r="D20" s="26">
        <f>+D18+D17+D16+D12+D11+D10+D9+D8</f>
        <v>0</v>
      </c>
      <c r="E20" s="26">
        <f t="shared" ref="E20:BJ20" si="7">+E18+E17+E16+E12+E11+E10+E9+E8</f>
        <v>0</v>
      </c>
      <c r="F20" s="26"/>
      <c r="G20" s="26">
        <f t="shared" si="7"/>
        <v>186957722</v>
      </c>
      <c r="H20" s="26">
        <f t="shared" si="7"/>
        <v>186957722</v>
      </c>
      <c r="I20" s="26">
        <f t="shared" si="7"/>
        <v>186957722</v>
      </c>
      <c r="J20" s="26">
        <f t="shared" si="7"/>
        <v>0</v>
      </c>
      <c r="K20" s="26">
        <f t="shared" si="7"/>
        <v>0</v>
      </c>
      <c r="L20" s="26"/>
      <c r="M20" s="26">
        <f t="shared" si="7"/>
        <v>0</v>
      </c>
      <c r="N20" s="26">
        <f t="shared" si="7"/>
        <v>0</v>
      </c>
      <c r="O20" s="26"/>
      <c r="P20" s="26">
        <f t="shared" si="7"/>
        <v>0</v>
      </c>
      <c r="Q20" s="26">
        <f t="shared" si="7"/>
        <v>0</v>
      </c>
      <c r="R20" s="26"/>
      <c r="S20" s="26">
        <f t="shared" si="7"/>
        <v>0</v>
      </c>
      <c r="T20" s="26">
        <f t="shared" si="7"/>
        <v>0</v>
      </c>
      <c r="U20" s="26"/>
      <c r="V20" s="26">
        <f t="shared" si="7"/>
        <v>0</v>
      </c>
      <c r="W20" s="26">
        <f>+W18+W17+W16+W12+W11+W10+W9+W8</f>
        <v>0</v>
      </c>
      <c r="X20" s="26"/>
      <c r="Y20" s="26">
        <f t="shared" si="7"/>
        <v>0</v>
      </c>
      <c r="Z20" s="26">
        <f t="shared" si="7"/>
        <v>0</v>
      </c>
      <c r="AA20" s="26"/>
      <c r="AB20" s="26">
        <f t="shared" si="7"/>
        <v>0</v>
      </c>
      <c r="AC20" s="26">
        <f t="shared" si="7"/>
        <v>0</v>
      </c>
      <c r="AD20" s="26"/>
      <c r="AE20" s="26">
        <f t="shared" si="7"/>
        <v>0</v>
      </c>
      <c r="AF20" s="26">
        <f t="shared" si="7"/>
        <v>0</v>
      </c>
      <c r="AG20" s="26"/>
      <c r="AH20" s="26">
        <f t="shared" si="7"/>
        <v>0</v>
      </c>
      <c r="AI20" s="26">
        <f t="shared" si="7"/>
        <v>0</v>
      </c>
      <c r="AJ20" s="26"/>
      <c r="AK20" s="26">
        <f t="shared" si="7"/>
        <v>0</v>
      </c>
      <c r="AL20" s="26">
        <f t="shared" si="7"/>
        <v>0</v>
      </c>
      <c r="AM20" s="26"/>
      <c r="AN20" s="26">
        <f t="shared" si="7"/>
        <v>59322411</v>
      </c>
      <c r="AO20" s="26">
        <f t="shared" si="7"/>
        <v>61846774</v>
      </c>
      <c r="AP20" s="26">
        <f t="shared" si="7"/>
        <v>61753146</v>
      </c>
      <c r="AQ20" s="26">
        <f t="shared" si="7"/>
        <v>0</v>
      </c>
      <c r="AR20" s="26">
        <f t="shared" si="7"/>
        <v>0</v>
      </c>
      <c r="AS20" s="26"/>
      <c r="AT20" s="26">
        <f t="shared" si="7"/>
        <v>0</v>
      </c>
      <c r="AU20" s="26">
        <f t="shared" si="7"/>
        <v>0</v>
      </c>
      <c r="AV20" s="26"/>
      <c r="AW20" s="26">
        <f t="shared" si="7"/>
        <v>0</v>
      </c>
      <c r="AX20" s="26">
        <f t="shared" si="7"/>
        <v>0</v>
      </c>
      <c r="AY20" s="26"/>
      <c r="AZ20" s="26">
        <f t="shared" si="7"/>
        <v>0</v>
      </c>
      <c r="BA20" s="26">
        <f t="shared" si="7"/>
        <v>0</v>
      </c>
      <c r="BB20" s="26"/>
      <c r="BC20" s="26">
        <f t="shared" si="7"/>
        <v>0</v>
      </c>
      <c r="BD20" s="26">
        <f t="shared" si="7"/>
        <v>0</v>
      </c>
      <c r="BE20" s="26"/>
      <c r="BF20" s="26">
        <f t="shared" si="7"/>
        <v>0</v>
      </c>
      <c r="BG20" s="26">
        <f t="shared" si="7"/>
        <v>0</v>
      </c>
      <c r="BH20" s="26"/>
      <c r="BI20" s="26">
        <f t="shared" si="7"/>
        <v>0</v>
      </c>
      <c r="BJ20" s="26">
        <f t="shared" si="7"/>
        <v>0</v>
      </c>
      <c r="BK20" s="26"/>
      <c r="BL20" s="11">
        <v>1754059833</v>
      </c>
      <c r="BM20" s="11">
        <v>3517337523</v>
      </c>
      <c r="BN20" s="11">
        <f>+'1.1 sz. Önkormányzat 2017.'!FM20+'1.2 sz Önkormányzat 2017.'!GP20+'1.3 sz.Önkormányzat 2017.B'!CA20</f>
        <v>1902076282</v>
      </c>
      <c r="BO20" s="11">
        <v>642415466</v>
      </c>
      <c r="BP20" s="11">
        <v>896775842</v>
      </c>
      <c r="BQ20" s="11">
        <f>+CB20+'1.2 sz Önkormányzat 2017.'!GQ20+'1.1 sz. Önkormányzat 2017.'!FN20</f>
        <v>829747346</v>
      </c>
      <c r="BR20" s="11">
        <v>750000</v>
      </c>
      <c r="BS20" s="11">
        <v>1850000</v>
      </c>
      <c r="BT20" s="11">
        <f>+CC20+'1.2 sz Önkormányzat 2017.'!GR20+'1.1 sz. Önkormányzat 2017.'!FO20</f>
        <v>1447307</v>
      </c>
      <c r="BU20" s="11">
        <v>2397225299</v>
      </c>
      <c r="BV20" s="11">
        <v>4415963365</v>
      </c>
      <c r="BW20" s="11">
        <f t="shared" si="0"/>
        <v>2733270935</v>
      </c>
      <c r="BX20" s="11">
        <v>0</v>
      </c>
      <c r="BY20" s="698">
        <v>320004474</v>
      </c>
      <c r="BZ20" s="698">
        <f>+'1.2 sz Önkormányzat 2017.'!DR20+'1.2 sz Önkormányzat 2017.'!EM20</f>
        <v>15641220</v>
      </c>
      <c r="CA20" s="696">
        <f t="shared" si="1"/>
        <v>248710868</v>
      </c>
      <c r="CB20" s="696">
        <f t="shared" si="2"/>
        <v>0</v>
      </c>
      <c r="CD20" s="696">
        <f t="shared" si="3"/>
        <v>248710868</v>
      </c>
      <c r="CF20">
        <v>2733270935</v>
      </c>
      <c r="CG20" s="696">
        <f t="shared" si="4"/>
        <v>0</v>
      </c>
    </row>
    <row r="21" spans="1:85" ht="19.5" customHeight="1" x14ac:dyDescent="0.25">
      <c r="A21" s="9" t="s">
        <v>50</v>
      </c>
      <c r="B21" s="20" t="s">
        <v>51</v>
      </c>
      <c r="C21" s="576" t="s">
        <v>52</v>
      </c>
      <c r="D21" s="624">
        <f>+D22+D23+D24+D25</f>
        <v>0</v>
      </c>
      <c r="E21" s="624">
        <f t="shared" ref="E21:BJ21" si="8">+E22+E23+E24+E25</f>
        <v>0</v>
      </c>
      <c r="F21" s="624"/>
      <c r="G21" s="624">
        <f t="shared" si="8"/>
        <v>0</v>
      </c>
      <c r="H21" s="624">
        <f t="shared" si="8"/>
        <v>0</v>
      </c>
      <c r="I21" s="624">
        <f t="shared" si="8"/>
        <v>0</v>
      </c>
      <c r="J21" s="624">
        <f t="shared" si="8"/>
        <v>0</v>
      </c>
      <c r="K21" s="624">
        <f t="shared" si="8"/>
        <v>0</v>
      </c>
      <c r="L21" s="624"/>
      <c r="M21" s="624">
        <f t="shared" si="8"/>
        <v>0</v>
      </c>
      <c r="N21" s="624">
        <f t="shared" si="8"/>
        <v>0</v>
      </c>
      <c r="O21" s="819">
        <v>5020000000</v>
      </c>
      <c r="P21" s="624">
        <f t="shared" si="8"/>
        <v>0</v>
      </c>
      <c r="Q21" s="624">
        <f t="shared" si="8"/>
        <v>0</v>
      </c>
      <c r="R21" s="624"/>
      <c r="S21" s="624">
        <f t="shared" si="8"/>
        <v>0</v>
      </c>
      <c r="T21" s="624">
        <f t="shared" si="8"/>
        <v>0</v>
      </c>
      <c r="U21" s="624"/>
      <c r="V21" s="624">
        <f t="shared" si="8"/>
        <v>0</v>
      </c>
      <c r="W21" s="624">
        <f t="shared" si="8"/>
        <v>0</v>
      </c>
      <c r="X21" s="624"/>
      <c r="Y21" s="624">
        <f t="shared" si="8"/>
        <v>0</v>
      </c>
      <c r="Z21" s="624">
        <f t="shared" si="8"/>
        <v>0</v>
      </c>
      <c r="AA21" s="624"/>
      <c r="AB21" s="624">
        <f t="shared" si="8"/>
        <v>0</v>
      </c>
      <c r="AC21" s="624">
        <f t="shared" si="8"/>
        <v>0</v>
      </c>
      <c r="AD21" s="624"/>
      <c r="AE21" s="624">
        <f t="shared" si="8"/>
        <v>0</v>
      </c>
      <c r="AF21" s="624">
        <f t="shared" si="8"/>
        <v>0</v>
      </c>
      <c r="AG21" s="624"/>
      <c r="AH21" s="624">
        <f t="shared" si="8"/>
        <v>0</v>
      </c>
      <c r="AI21" s="624">
        <f t="shared" si="8"/>
        <v>0</v>
      </c>
      <c r="AJ21" s="624"/>
      <c r="AK21" s="624">
        <f t="shared" si="8"/>
        <v>0</v>
      </c>
      <c r="AL21" s="624">
        <f t="shared" si="8"/>
        <v>0</v>
      </c>
      <c r="AM21" s="624"/>
      <c r="AN21" s="624">
        <f t="shared" si="8"/>
        <v>0</v>
      </c>
      <c r="AO21" s="624">
        <f t="shared" si="8"/>
        <v>0</v>
      </c>
      <c r="AP21" s="624"/>
      <c r="AQ21" s="624">
        <f t="shared" si="8"/>
        <v>0</v>
      </c>
      <c r="AR21" s="624">
        <f t="shared" si="8"/>
        <v>0</v>
      </c>
      <c r="AS21" s="624"/>
      <c r="AT21" s="624">
        <f t="shared" si="8"/>
        <v>0</v>
      </c>
      <c r="AU21" s="624">
        <f t="shared" si="8"/>
        <v>0</v>
      </c>
      <c r="AV21" s="624"/>
      <c r="AW21" s="624">
        <f t="shared" si="8"/>
        <v>0</v>
      </c>
      <c r="AX21" s="624">
        <f t="shared" si="8"/>
        <v>0</v>
      </c>
      <c r="AY21" s="624"/>
      <c r="AZ21" s="624">
        <f t="shared" si="8"/>
        <v>0</v>
      </c>
      <c r="BA21" s="624">
        <f t="shared" si="8"/>
        <v>0</v>
      </c>
      <c r="BB21" s="624"/>
      <c r="BC21" s="624">
        <f t="shared" si="8"/>
        <v>0</v>
      </c>
      <c r="BD21" s="624">
        <f t="shared" si="8"/>
        <v>0</v>
      </c>
      <c r="BE21" s="624"/>
      <c r="BF21" s="624">
        <f t="shared" si="8"/>
        <v>0</v>
      </c>
      <c r="BG21" s="624">
        <f t="shared" si="8"/>
        <v>0</v>
      </c>
      <c r="BH21" s="624"/>
      <c r="BI21" s="624">
        <f t="shared" si="8"/>
        <v>0</v>
      </c>
      <c r="BJ21" s="624">
        <f t="shared" si="8"/>
        <v>0</v>
      </c>
      <c r="BK21" s="624"/>
      <c r="BL21" s="11">
        <v>1909725535</v>
      </c>
      <c r="BM21" s="11">
        <v>1982685354</v>
      </c>
      <c r="BN21" s="11">
        <f>+'1.1 sz. Önkormányzat 2017.'!FM21+'1.2 sz Önkormányzat 2017.'!GP21+'1.3 sz.Önkormányzat 2017.B'!CA21</f>
        <v>6850471809</v>
      </c>
      <c r="BO21" s="11">
        <v>25740618</v>
      </c>
      <c r="BP21" s="11">
        <v>113425587</v>
      </c>
      <c r="BQ21" s="11">
        <f>+CB21+'1.2 sz Önkormányzat 2017.'!GQ21+'1.1 sz. Önkormányzat 2017.'!FN21</f>
        <v>109895689</v>
      </c>
      <c r="BR21" s="11">
        <v>0</v>
      </c>
      <c r="BS21" s="11">
        <v>0</v>
      </c>
      <c r="BT21" s="11">
        <f>+CC21+'1.2 sz Önkormányzat 2017.'!GR21+'1.1 sz. Önkormányzat 2017.'!FO21</f>
        <v>0</v>
      </c>
      <c r="BU21" s="11">
        <v>1935466153</v>
      </c>
      <c r="BV21" s="11">
        <v>2096110941</v>
      </c>
      <c r="BW21" s="11">
        <f t="shared" si="0"/>
        <v>6960367498</v>
      </c>
      <c r="BX21" s="11">
        <v>0</v>
      </c>
      <c r="BY21" s="11">
        <v>0</v>
      </c>
      <c r="BZ21" s="698">
        <f>+'1.2 sz Önkormányzat 2017.'!DR21+'1.2 sz Önkormányzat 2017.'!EM21</f>
        <v>0</v>
      </c>
      <c r="CA21" s="696">
        <f t="shared" si="1"/>
        <v>5020000000</v>
      </c>
      <c r="CB21" s="696">
        <f t="shared" si="2"/>
        <v>0</v>
      </c>
      <c r="CD21" s="696">
        <f t="shared" si="3"/>
        <v>5020000000</v>
      </c>
      <c r="CF21">
        <v>6960367498</v>
      </c>
      <c r="CG21" s="696">
        <f t="shared" si="4"/>
        <v>0</v>
      </c>
    </row>
    <row r="22" spans="1:85" ht="19.5" customHeight="1" x14ac:dyDescent="0.25">
      <c r="A22" s="9" t="s">
        <v>53</v>
      </c>
      <c r="B22" s="24" t="s">
        <v>970</v>
      </c>
      <c r="C22" s="582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596"/>
      <c r="AG22" s="596"/>
      <c r="AH22" s="596"/>
      <c r="AI22" s="596"/>
      <c r="AJ22" s="596"/>
      <c r="AK22" s="596"/>
      <c r="AL22" s="596"/>
      <c r="AM22" s="596"/>
      <c r="AN22" s="596"/>
      <c r="AO22" s="596"/>
      <c r="AP22" s="596"/>
      <c r="AQ22" s="596"/>
      <c r="AR22" s="596"/>
      <c r="AS22" s="596"/>
      <c r="AT22" s="596"/>
      <c r="AU22" s="596"/>
      <c r="AV22" s="596"/>
      <c r="AW22" s="595"/>
      <c r="AX22" s="595"/>
      <c r="AY22" s="595"/>
      <c r="AZ22" s="595"/>
      <c r="BA22" s="595"/>
      <c r="BB22" s="595"/>
      <c r="BC22" s="595"/>
      <c r="BD22" s="596"/>
      <c r="BE22" s="596"/>
      <c r="BF22" s="596"/>
      <c r="BG22" s="596"/>
      <c r="BH22" s="596"/>
      <c r="BI22" s="596"/>
      <c r="BJ22" s="596"/>
      <c r="BK22" s="596"/>
      <c r="BL22" s="11">
        <v>0</v>
      </c>
      <c r="BM22" s="11">
        <v>0</v>
      </c>
      <c r="BN22" s="11">
        <f>+'1.1 sz. Önkormányzat 2017.'!FM22+'1.2 sz Önkormányzat 2017.'!GP22+'1.3 sz.Önkormányzat 2017.B'!CA22</f>
        <v>0</v>
      </c>
      <c r="BO22" s="11">
        <v>22210720</v>
      </c>
      <c r="BP22" s="11">
        <v>109895689</v>
      </c>
      <c r="BQ22" s="11">
        <f>+CB22+'1.2 sz Önkormányzat 2017.'!GQ22+'1.1 sz. Önkormányzat 2017.'!FN22</f>
        <v>109895689</v>
      </c>
      <c r="BR22" s="11">
        <v>0</v>
      </c>
      <c r="BS22" s="11">
        <v>0</v>
      </c>
      <c r="BT22" s="11">
        <f>+CC22+'1.2 sz Önkormányzat 2017.'!GR22+'1.1 sz. Önkormányzat 2017.'!FO22</f>
        <v>0</v>
      </c>
      <c r="BU22" s="11">
        <v>22210720</v>
      </c>
      <c r="BV22" s="11">
        <v>109895689</v>
      </c>
      <c r="BW22" s="11">
        <f t="shared" si="0"/>
        <v>109895689</v>
      </c>
      <c r="BX22" s="11">
        <v>0</v>
      </c>
      <c r="BY22" s="11">
        <v>0</v>
      </c>
      <c r="BZ22" s="698">
        <f>+'1.2 sz Önkormányzat 2017.'!DR22+'1.2 sz Önkormányzat 2017.'!EM22</f>
        <v>0</v>
      </c>
      <c r="CA22" s="696">
        <f t="shared" si="1"/>
        <v>0</v>
      </c>
      <c r="CB22" s="696">
        <f t="shared" si="2"/>
        <v>0</v>
      </c>
      <c r="CD22" s="696">
        <f t="shared" si="3"/>
        <v>0</v>
      </c>
      <c r="CG22" s="696"/>
    </row>
    <row r="23" spans="1:85" ht="19.5" customHeight="1" x14ac:dyDescent="0.25">
      <c r="A23" s="9" t="s">
        <v>55</v>
      </c>
      <c r="B23" s="24" t="s">
        <v>56</v>
      </c>
      <c r="C23" s="582"/>
      <c r="D23" s="596"/>
      <c r="E23" s="596"/>
      <c r="F23" s="596"/>
      <c r="G23" s="596"/>
      <c r="H23" s="596"/>
      <c r="I23" s="596"/>
      <c r="J23" s="596"/>
      <c r="K23" s="596"/>
      <c r="L23" s="596"/>
      <c r="M23" s="596"/>
      <c r="N23" s="596"/>
      <c r="O23" s="596"/>
      <c r="P23" s="596"/>
      <c r="Q23" s="596"/>
      <c r="R23" s="596"/>
      <c r="S23" s="596"/>
      <c r="T23" s="596"/>
      <c r="U23" s="596"/>
      <c r="V23" s="596"/>
      <c r="W23" s="596"/>
      <c r="X23" s="596"/>
      <c r="Y23" s="596"/>
      <c r="Z23" s="596"/>
      <c r="AA23" s="596"/>
      <c r="AB23" s="596"/>
      <c r="AC23" s="596"/>
      <c r="AD23" s="596"/>
      <c r="AE23" s="596"/>
      <c r="AF23" s="596"/>
      <c r="AG23" s="596"/>
      <c r="AH23" s="596"/>
      <c r="AI23" s="596"/>
      <c r="AJ23" s="596"/>
      <c r="AK23" s="596"/>
      <c r="AL23" s="596"/>
      <c r="AM23" s="596"/>
      <c r="AN23" s="596"/>
      <c r="AO23" s="596"/>
      <c r="AP23" s="596"/>
      <c r="AQ23" s="596"/>
      <c r="AR23" s="596"/>
      <c r="AS23" s="596"/>
      <c r="AT23" s="596"/>
      <c r="AU23" s="596"/>
      <c r="AV23" s="596"/>
      <c r="AW23" s="595"/>
      <c r="AX23" s="595"/>
      <c r="AY23" s="595"/>
      <c r="AZ23" s="595"/>
      <c r="BA23" s="595"/>
      <c r="BB23" s="595"/>
      <c r="BC23" s="595"/>
      <c r="BD23" s="596"/>
      <c r="BE23" s="596"/>
      <c r="BF23" s="596"/>
      <c r="BG23" s="596"/>
      <c r="BH23" s="596"/>
      <c r="BI23" s="596"/>
      <c r="BJ23" s="596"/>
      <c r="BK23" s="596"/>
      <c r="BL23" s="11">
        <v>1893681715</v>
      </c>
      <c r="BM23" s="11">
        <v>1952514336</v>
      </c>
      <c r="BN23" s="11">
        <f>+'1.1 sz. Önkormányzat 2017.'!FM23+'1.2 sz Önkormányzat 2017.'!GP23+'1.3 sz.Önkormányzat 2017.B'!CA23</f>
        <v>1802535483</v>
      </c>
      <c r="BO23" s="11">
        <v>0</v>
      </c>
      <c r="BP23" s="11">
        <v>0</v>
      </c>
      <c r="BQ23" s="11">
        <f>+CB23+'1.2 sz Önkormányzat 2017.'!GQ23+'1.1 sz. Önkormányzat 2017.'!FN23</f>
        <v>0</v>
      </c>
      <c r="BR23" s="11">
        <v>0</v>
      </c>
      <c r="BS23" s="11">
        <v>0</v>
      </c>
      <c r="BT23" s="11">
        <f>+CC23+'1.2 sz Önkormányzat 2017.'!GR23+'1.1 sz. Önkormányzat 2017.'!FO23</f>
        <v>0</v>
      </c>
      <c r="BU23" s="11">
        <v>1893681715</v>
      </c>
      <c r="BV23" s="11">
        <v>1952514336</v>
      </c>
      <c r="BW23" s="11">
        <f t="shared" si="0"/>
        <v>1802535483</v>
      </c>
      <c r="BX23" s="11">
        <v>0</v>
      </c>
      <c r="BY23" s="11">
        <v>0</v>
      </c>
      <c r="BZ23" s="698">
        <f>+'1.2 sz Önkormányzat 2017.'!DR23+'1.2 sz Önkormányzat 2017.'!EM23</f>
        <v>0</v>
      </c>
      <c r="CA23" s="696">
        <f t="shared" si="1"/>
        <v>0</v>
      </c>
      <c r="CB23" s="696">
        <f t="shared" si="2"/>
        <v>0</v>
      </c>
      <c r="CD23" s="696">
        <f t="shared" si="3"/>
        <v>0</v>
      </c>
      <c r="CG23" s="696"/>
    </row>
    <row r="24" spans="1:85" ht="19.5" customHeight="1" x14ac:dyDescent="0.25">
      <c r="A24" s="9" t="s">
        <v>57</v>
      </c>
      <c r="B24" s="24" t="s">
        <v>58</v>
      </c>
      <c r="C24" s="582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6"/>
      <c r="W24" s="596"/>
      <c r="X24" s="596"/>
      <c r="Y24" s="596"/>
      <c r="Z24" s="596"/>
      <c r="AA24" s="596"/>
      <c r="AB24" s="596"/>
      <c r="AC24" s="596"/>
      <c r="AD24" s="596"/>
      <c r="AE24" s="596"/>
      <c r="AF24" s="596"/>
      <c r="AG24" s="596"/>
      <c r="AH24" s="596"/>
      <c r="AI24" s="596"/>
      <c r="AJ24" s="596"/>
      <c r="AK24" s="596"/>
      <c r="AL24" s="596"/>
      <c r="AM24" s="596"/>
      <c r="AN24" s="596"/>
      <c r="AO24" s="596"/>
      <c r="AP24" s="596"/>
      <c r="AQ24" s="596"/>
      <c r="AR24" s="596"/>
      <c r="AS24" s="596"/>
      <c r="AT24" s="596"/>
      <c r="AU24" s="596"/>
      <c r="AV24" s="596"/>
      <c r="AW24" s="595"/>
      <c r="AX24" s="595"/>
      <c r="AY24" s="595"/>
      <c r="AZ24" s="595"/>
      <c r="BA24" s="595"/>
      <c r="BB24" s="595"/>
      <c r="BC24" s="595"/>
      <c r="BD24" s="596"/>
      <c r="BE24" s="596"/>
      <c r="BF24" s="596"/>
      <c r="BG24" s="596"/>
      <c r="BH24" s="596"/>
      <c r="BI24" s="596"/>
      <c r="BJ24" s="596"/>
      <c r="BK24" s="596"/>
      <c r="BL24" s="11">
        <v>16043820</v>
      </c>
      <c r="BM24" s="11">
        <v>30171018</v>
      </c>
      <c r="BN24" s="11">
        <f>+'1.1 sz. Önkormányzat 2017.'!FM24+'1.2 sz Önkormányzat 2017.'!GP24+'1.3 sz.Önkormányzat 2017.B'!CA24</f>
        <v>27936326</v>
      </c>
      <c r="BO24" s="11">
        <v>0</v>
      </c>
      <c r="BP24" s="11">
        <v>0</v>
      </c>
      <c r="BQ24" s="11">
        <f>+CB24+'1.2 sz Önkormányzat 2017.'!GQ24+'1.1 sz. Önkormányzat 2017.'!FN24</f>
        <v>0</v>
      </c>
      <c r="BR24" s="11">
        <v>0</v>
      </c>
      <c r="BS24" s="11">
        <v>0</v>
      </c>
      <c r="BT24" s="11">
        <f>+CC24+'1.2 sz Önkormányzat 2017.'!GR24+'1.1 sz. Önkormányzat 2017.'!FO24</f>
        <v>0</v>
      </c>
      <c r="BU24" s="11">
        <v>16043820</v>
      </c>
      <c r="BV24" s="11">
        <v>30171018</v>
      </c>
      <c r="BW24" s="11">
        <f t="shared" si="0"/>
        <v>27936326</v>
      </c>
      <c r="BX24" s="11">
        <v>0</v>
      </c>
      <c r="BY24" s="11">
        <v>0</v>
      </c>
      <c r="BZ24" s="698">
        <f>+'1.2 sz Önkormányzat 2017.'!DR24+'1.2 sz Önkormányzat 2017.'!EM24</f>
        <v>0</v>
      </c>
      <c r="CA24" s="696">
        <f t="shared" si="1"/>
        <v>0</v>
      </c>
      <c r="CB24" s="696">
        <f t="shared" si="2"/>
        <v>0</v>
      </c>
      <c r="CD24" s="696">
        <f t="shared" si="3"/>
        <v>0</v>
      </c>
      <c r="CG24" s="696"/>
    </row>
    <row r="25" spans="1:85" ht="19.5" customHeight="1" x14ac:dyDescent="0.25">
      <c r="A25" s="9" t="s">
        <v>59</v>
      </c>
      <c r="B25" s="24" t="s">
        <v>60</v>
      </c>
      <c r="C25" s="582"/>
      <c r="D25" s="596"/>
      <c r="E25" s="596"/>
      <c r="F25" s="596"/>
      <c r="G25" s="596"/>
      <c r="H25" s="596"/>
      <c r="I25" s="596"/>
      <c r="J25" s="596"/>
      <c r="K25" s="596"/>
      <c r="L25" s="596"/>
      <c r="M25" s="596"/>
      <c r="N25" s="596"/>
      <c r="O25" s="596"/>
      <c r="P25" s="596"/>
      <c r="Q25" s="596"/>
      <c r="R25" s="596"/>
      <c r="S25" s="596"/>
      <c r="T25" s="596"/>
      <c r="U25" s="596"/>
      <c r="V25" s="596"/>
      <c r="W25" s="596"/>
      <c r="X25" s="596"/>
      <c r="Y25" s="596"/>
      <c r="Z25" s="596"/>
      <c r="AA25" s="596"/>
      <c r="AB25" s="596"/>
      <c r="AC25" s="596"/>
      <c r="AD25" s="596"/>
      <c r="AE25" s="596"/>
      <c r="AF25" s="596"/>
      <c r="AG25" s="596"/>
      <c r="AH25" s="596"/>
      <c r="AI25" s="596"/>
      <c r="AJ25" s="596"/>
      <c r="AK25" s="596"/>
      <c r="AL25" s="596"/>
      <c r="AM25" s="596"/>
      <c r="AN25" s="596"/>
      <c r="AO25" s="596"/>
      <c r="AP25" s="596"/>
      <c r="AQ25" s="596"/>
      <c r="AR25" s="596"/>
      <c r="AS25" s="596"/>
      <c r="AT25" s="596"/>
      <c r="AU25" s="596"/>
      <c r="AV25" s="596"/>
      <c r="AW25" s="595"/>
      <c r="AX25" s="595"/>
      <c r="AY25" s="595"/>
      <c r="AZ25" s="595"/>
      <c r="BA25" s="595"/>
      <c r="BB25" s="595"/>
      <c r="BC25" s="595"/>
      <c r="BD25" s="596"/>
      <c r="BE25" s="596"/>
      <c r="BF25" s="596"/>
      <c r="BG25" s="596"/>
      <c r="BH25" s="596"/>
      <c r="BI25" s="596"/>
      <c r="BJ25" s="596"/>
      <c r="BK25" s="596"/>
      <c r="BL25" s="11">
        <v>0</v>
      </c>
      <c r="BM25" s="11">
        <v>0</v>
      </c>
      <c r="BN25" s="11">
        <f>+'1.1 sz. Önkormányzat 2017.'!FM25+'1.2 sz Önkormányzat 2017.'!GP25+'1.3 sz.Önkormányzat 2017.B'!CA25</f>
        <v>0</v>
      </c>
      <c r="BO25" s="11">
        <v>3529898</v>
      </c>
      <c r="BP25" s="11">
        <v>3529898</v>
      </c>
      <c r="BQ25" s="11">
        <f>+CB25+'1.2 sz Önkormányzat 2017.'!GQ25+'1.1 sz. Önkormányzat 2017.'!FN25</f>
        <v>0</v>
      </c>
      <c r="BR25" s="11">
        <v>0</v>
      </c>
      <c r="BS25" s="11">
        <v>0</v>
      </c>
      <c r="BT25" s="11">
        <f>+CC25+'1.2 sz Önkormányzat 2017.'!GR25+'1.1 sz. Önkormányzat 2017.'!FO25</f>
        <v>0</v>
      </c>
      <c r="BU25" s="11">
        <v>3529898</v>
      </c>
      <c r="BV25" s="11">
        <v>3529898</v>
      </c>
      <c r="BW25" s="11">
        <f t="shared" si="0"/>
        <v>0</v>
      </c>
      <c r="BX25" s="11">
        <v>0</v>
      </c>
      <c r="BY25" s="11">
        <v>0</v>
      </c>
      <c r="BZ25" s="698">
        <f>+'1.2 sz Önkormányzat 2017.'!DR25+'1.2 sz Önkormányzat 2017.'!EM25</f>
        <v>0</v>
      </c>
      <c r="CA25" s="696">
        <f t="shared" si="1"/>
        <v>0</v>
      </c>
      <c r="CB25" s="696">
        <f t="shared" si="2"/>
        <v>0</v>
      </c>
      <c r="CD25" s="696">
        <f t="shared" si="3"/>
        <v>0</v>
      </c>
      <c r="CG25" s="696">
        <f t="shared" si="4"/>
        <v>0</v>
      </c>
    </row>
    <row r="26" spans="1:85" ht="19.5" customHeight="1" x14ac:dyDescent="0.25">
      <c r="A26" s="9" t="s">
        <v>61</v>
      </c>
      <c r="B26" s="25" t="s">
        <v>62</v>
      </c>
      <c r="C26" s="576"/>
      <c r="D26" s="577">
        <f>+D8+D9+D10+D11+D13+D14+D22+D23+D15</f>
        <v>0</v>
      </c>
      <c r="E26" s="577">
        <f t="shared" ref="E26:BJ26" si="9">+E8+E9+E10+E11+E13+E14+E22+E23+E15</f>
        <v>0</v>
      </c>
      <c r="F26" s="577"/>
      <c r="G26" s="577">
        <f t="shared" si="9"/>
        <v>186957722</v>
      </c>
      <c r="H26" s="577">
        <f t="shared" si="9"/>
        <v>186957722</v>
      </c>
      <c r="I26" s="577">
        <f t="shared" si="9"/>
        <v>186957722</v>
      </c>
      <c r="J26" s="577">
        <f t="shared" si="9"/>
        <v>0</v>
      </c>
      <c r="K26" s="577">
        <f t="shared" si="9"/>
        <v>0</v>
      </c>
      <c r="L26" s="577"/>
      <c r="M26" s="577">
        <f t="shared" si="9"/>
        <v>0</v>
      </c>
      <c r="N26" s="577">
        <f t="shared" si="9"/>
        <v>0</v>
      </c>
      <c r="O26" s="577">
        <f>+O8+O9+O10+O11+O13+O14+O22+O23+O15+O21</f>
        <v>5020000000</v>
      </c>
      <c r="P26" s="577">
        <f t="shared" si="9"/>
        <v>0</v>
      </c>
      <c r="Q26" s="577">
        <f t="shared" si="9"/>
        <v>0</v>
      </c>
      <c r="R26" s="577"/>
      <c r="S26" s="577">
        <f t="shared" si="9"/>
        <v>0</v>
      </c>
      <c r="T26" s="577">
        <f t="shared" si="9"/>
        <v>0</v>
      </c>
      <c r="U26" s="577"/>
      <c r="V26" s="577">
        <f t="shared" si="9"/>
        <v>0</v>
      </c>
      <c r="W26" s="577">
        <f t="shared" si="9"/>
        <v>0</v>
      </c>
      <c r="X26" s="577"/>
      <c r="Y26" s="577">
        <f t="shared" si="9"/>
        <v>0</v>
      </c>
      <c r="Z26" s="577">
        <f t="shared" si="9"/>
        <v>0</v>
      </c>
      <c r="AA26" s="577"/>
      <c r="AB26" s="577">
        <f t="shared" si="9"/>
        <v>0</v>
      </c>
      <c r="AC26" s="577">
        <f t="shared" si="9"/>
        <v>0</v>
      </c>
      <c r="AD26" s="577"/>
      <c r="AE26" s="577">
        <f t="shared" si="9"/>
        <v>0</v>
      </c>
      <c r="AF26" s="577">
        <f t="shared" si="9"/>
        <v>0</v>
      </c>
      <c r="AG26" s="577"/>
      <c r="AH26" s="577">
        <f t="shared" si="9"/>
        <v>0</v>
      </c>
      <c r="AI26" s="577">
        <f t="shared" si="9"/>
        <v>0</v>
      </c>
      <c r="AJ26" s="577"/>
      <c r="AK26" s="577">
        <f t="shared" si="9"/>
        <v>0</v>
      </c>
      <c r="AL26" s="577">
        <f t="shared" si="9"/>
        <v>0</v>
      </c>
      <c r="AM26" s="577"/>
      <c r="AN26" s="577">
        <f t="shared" si="9"/>
        <v>59322411</v>
      </c>
      <c r="AO26" s="577">
        <f t="shared" si="9"/>
        <v>61846774</v>
      </c>
      <c r="AP26" s="577">
        <f t="shared" si="9"/>
        <v>61753146</v>
      </c>
      <c r="AQ26" s="577">
        <f t="shared" si="9"/>
        <v>0</v>
      </c>
      <c r="AR26" s="577">
        <f t="shared" si="9"/>
        <v>0</v>
      </c>
      <c r="AS26" s="577"/>
      <c r="AT26" s="577">
        <f t="shared" si="9"/>
        <v>0</v>
      </c>
      <c r="AU26" s="577">
        <f t="shared" si="9"/>
        <v>0</v>
      </c>
      <c r="AV26" s="577"/>
      <c r="AW26" s="577">
        <f t="shared" si="9"/>
        <v>0</v>
      </c>
      <c r="AX26" s="577">
        <f t="shared" si="9"/>
        <v>0</v>
      </c>
      <c r="AY26" s="577"/>
      <c r="AZ26" s="577">
        <f t="shared" si="9"/>
        <v>0</v>
      </c>
      <c r="BA26" s="577">
        <f t="shared" si="9"/>
        <v>0</v>
      </c>
      <c r="BB26" s="577"/>
      <c r="BC26" s="577">
        <f t="shared" si="9"/>
        <v>0</v>
      </c>
      <c r="BD26" s="577">
        <f t="shared" si="9"/>
        <v>0</v>
      </c>
      <c r="BE26" s="577"/>
      <c r="BF26" s="577">
        <f t="shared" si="9"/>
        <v>0</v>
      </c>
      <c r="BG26" s="577">
        <f t="shared" si="9"/>
        <v>0</v>
      </c>
      <c r="BH26" s="577"/>
      <c r="BI26" s="577">
        <f t="shared" si="9"/>
        <v>0</v>
      </c>
      <c r="BJ26" s="577">
        <f t="shared" si="9"/>
        <v>0</v>
      </c>
      <c r="BK26" s="577"/>
      <c r="BL26" s="26">
        <v>3392802020</v>
      </c>
      <c r="BM26" s="26">
        <v>4257916390</v>
      </c>
      <c r="BN26" s="11">
        <f>+'1.1 sz. Önkormányzat 2017.'!FM26+'1.2 sz Önkormányzat 2017.'!GP26+'1.3 sz.Önkormányzat 2017.B'!CA26</f>
        <v>8129189141</v>
      </c>
      <c r="BO26" s="26">
        <v>227110906</v>
      </c>
      <c r="BP26" s="26">
        <v>453193550</v>
      </c>
      <c r="BQ26" s="11">
        <f>+CB26+'1.2 sz Önkormányzat 2017.'!GQ26+'1.1 sz. Önkormányzat 2017.'!FN26</f>
        <v>408944871</v>
      </c>
      <c r="BR26" s="26">
        <v>750000</v>
      </c>
      <c r="BS26" s="26">
        <v>1850000</v>
      </c>
      <c r="BT26" s="11">
        <f>+CC26+'1.2 sz Önkormányzat 2017.'!GR26+'1.1 sz. Önkormányzat 2017.'!FO26</f>
        <v>1447307</v>
      </c>
      <c r="BU26" s="26">
        <v>3620662926</v>
      </c>
      <c r="BV26" s="26">
        <v>4712959940</v>
      </c>
      <c r="BW26" s="11">
        <f t="shared" si="0"/>
        <v>8539581319</v>
      </c>
      <c r="BX26" s="11">
        <v>0</v>
      </c>
      <c r="BY26" s="699">
        <v>15975193</v>
      </c>
      <c r="BZ26" s="698">
        <f>+'1.2 sz Önkormányzat 2017.'!DR26+'1.2 sz Önkormányzat 2017.'!EM26</f>
        <v>3485514</v>
      </c>
      <c r="CA26" s="696">
        <f t="shared" si="1"/>
        <v>5268710868</v>
      </c>
      <c r="CB26" s="696">
        <f t="shared" si="2"/>
        <v>0</v>
      </c>
      <c r="CD26" s="696">
        <f t="shared" si="3"/>
        <v>5268710868</v>
      </c>
      <c r="CG26" s="696"/>
    </row>
    <row r="27" spans="1:85" ht="19.5" customHeight="1" x14ac:dyDescent="0.25">
      <c r="A27" s="9" t="s">
        <v>63</v>
      </c>
      <c r="B27" s="25" t="s">
        <v>64</v>
      </c>
      <c r="C27" s="576"/>
      <c r="D27" s="624">
        <f>+D16+D17+D18+D24+D25</f>
        <v>0</v>
      </c>
      <c r="E27" s="624">
        <f t="shared" ref="E27:BJ27" si="10">+E16+E17+E18+E24+E25</f>
        <v>0</v>
      </c>
      <c r="F27" s="624"/>
      <c r="G27" s="624">
        <f t="shared" si="10"/>
        <v>0</v>
      </c>
      <c r="H27" s="624">
        <f t="shared" si="10"/>
        <v>0</v>
      </c>
      <c r="I27" s="624">
        <f t="shared" si="10"/>
        <v>0</v>
      </c>
      <c r="J27" s="624">
        <f t="shared" si="10"/>
        <v>0</v>
      </c>
      <c r="K27" s="624">
        <f t="shared" si="10"/>
        <v>0</v>
      </c>
      <c r="L27" s="624"/>
      <c r="M27" s="624">
        <f t="shared" si="10"/>
        <v>0</v>
      </c>
      <c r="N27" s="624">
        <f t="shared" si="10"/>
        <v>0</v>
      </c>
      <c r="O27" s="624">
        <f t="shared" si="10"/>
        <v>0</v>
      </c>
      <c r="P27" s="624">
        <f t="shared" si="10"/>
        <v>0</v>
      </c>
      <c r="Q27" s="624">
        <f t="shared" si="10"/>
        <v>0</v>
      </c>
      <c r="R27" s="624"/>
      <c r="S27" s="624">
        <f t="shared" si="10"/>
        <v>0</v>
      </c>
      <c r="T27" s="624">
        <f t="shared" si="10"/>
        <v>0</v>
      </c>
      <c r="U27" s="624"/>
      <c r="V27" s="624">
        <f t="shared" si="10"/>
        <v>0</v>
      </c>
      <c r="W27" s="624">
        <f t="shared" si="10"/>
        <v>0</v>
      </c>
      <c r="X27" s="624"/>
      <c r="Y27" s="624">
        <f t="shared" si="10"/>
        <v>0</v>
      </c>
      <c r="Z27" s="624">
        <f t="shared" si="10"/>
        <v>0</v>
      </c>
      <c r="AA27" s="624"/>
      <c r="AB27" s="624">
        <f t="shared" si="10"/>
        <v>0</v>
      </c>
      <c r="AC27" s="624">
        <f t="shared" si="10"/>
        <v>0</v>
      </c>
      <c r="AD27" s="624"/>
      <c r="AE27" s="624">
        <f t="shared" si="10"/>
        <v>0</v>
      </c>
      <c r="AF27" s="624">
        <f t="shared" si="10"/>
        <v>0</v>
      </c>
      <c r="AG27" s="624"/>
      <c r="AH27" s="624">
        <f t="shared" si="10"/>
        <v>0</v>
      </c>
      <c r="AI27" s="624">
        <f t="shared" si="10"/>
        <v>0</v>
      </c>
      <c r="AJ27" s="624"/>
      <c r="AK27" s="624">
        <f t="shared" si="10"/>
        <v>0</v>
      </c>
      <c r="AL27" s="624">
        <f t="shared" si="10"/>
        <v>0</v>
      </c>
      <c r="AM27" s="624"/>
      <c r="AN27" s="624">
        <f t="shared" si="10"/>
        <v>0</v>
      </c>
      <c r="AO27" s="624">
        <f t="shared" si="10"/>
        <v>0</v>
      </c>
      <c r="AP27" s="624"/>
      <c r="AQ27" s="624">
        <f t="shared" si="10"/>
        <v>0</v>
      </c>
      <c r="AR27" s="624">
        <f t="shared" si="10"/>
        <v>0</v>
      </c>
      <c r="AS27" s="624"/>
      <c r="AT27" s="624">
        <f t="shared" si="10"/>
        <v>0</v>
      </c>
      <c r="AU27" s="624">
        <f t="shared" si="10"/>
        <v>0</v>
      </c>
      <c r="AV27" s="624"/>
      <c r="AW27" s="624">
        <f t="shared" si="10"/>
        <v>0</v>
      </c>
      <c r="AX27" s="624">
        <f t="shared" si="10"/>
        <v>0</v>
      </c>
      <c r="AY27" s="624"/>
      <c r="AZ27" s="624">
        <f t="shared" si="10"/>
        <v>0</v>
      </c>
      <c r="BA27" s="624">
        <f t="shared" si="10"/>
        <v>0</v>
      </c>
      <c r="BB27" s="624"/>
      <c r="BC27" s="624">
        <f t="shared" si="10"/>
        <v>0</v>
      </c>
      <c r="BD27" s="624">
        <f t="shared" si="10"/>
        <v>0</v>
      </c>
      <c r="BE27" s="624"/>
      <c r="BF27" s="624">
        <f t="shared" si="10"/>
        <v>0</v>
      </c>
      <c r="BG27" s="624">
        <f t="shared" si="10"/>
        <v>0</v>
      </c>
      <c r="BH27" s="624"/>
      <c r="BI27" s="624">
        <f t="shared" si="10"/>
        <v>0</v>
      </c>
      <c r="BJ27" s="624">
        <f t="shared" si="10"/>
        <v>0</v>
      </c>
      <c r="BK27" s="624"/>
      <c r="BL27" s="26">
        <v>270983348</v>
      </c>
      <c r="BM27" s="26">
        <v>1242106487</v>
      </c>
      <c r="BN27" s="11">
        <f>+'1.1 sz. Önkormányzat 2017.'!FM27+'1.2 sz Önkormányzat 2017.'!GP27+'1.3 sz.Önkormányzat 2017.B'!CA27</f>
        <v>623358950</v>
      </c>
      <c r="BO27" s="26">
        <v>441045178</v>
      </c>
      <c r="BP27" s="26">
        <v>557007879</v>
      </c>
      <c r="BQ27" s="11">
        <f>+CB27+'1.2 sz Önkormányzat 2017.'!GQ27+'1.1 sz. Önkormányzat 2017.'!FN27</f>
        <v>530698164</v>
      </c>
      <c r="BR27" s="26">
        <v>0</v>
      </c>
      <c r="BS27" s="26">
        <v>0</v>
      </c>
      <c r="BT27" s="11">
        <f>+CC27+'1.2 sz Önkormányzat 2017.'!GR27+'1.1 sz. Önkormányzat 2017.'!FO27</f>
        <v>0</v>
      </c>
      <c r="BU27" s="26">
        <v>712028526</v>
      </c>
      <c r="BV27" s="26">
        <v>1799114366</v>
      </c>
      <c r="BW27" s="11">
        <f t="shared" si="0"/>
        <v>1154057114</v>
      </c>
      <c r="BX27" s="11">
        <v>0</v>
      </c>
      <c r="BY27" s="699">
        <v>304029281</v>
      </c>
      <c r="BZ27" s="698">
        <f>+'1.2 sz Önkormányzat 2017.'!DR27+'1.2 sz Önkormányzat 2017.'!EM27</f>
        <v>12155706</v>
      </c>
      <c r="CA27" s="696">
        <f t="shared" si="1"/>
        <v>0</v>
      </c>
      <c r="CB27" s="696">
        <f t="shared" si="2"/>
        <v>0</v>
      </c>
      <c r="CD27" s="696">
        <f t="shared" si="3"/>
        <v>0</v>
      </c>
      <c r="CG27" s="696"/>
    </row>
    <row r="28" spans="1:85" ht="19.5" customHeight="1" x14ac:dyDescent="0.25">
      <c r="A28" s="9" t="s">
        <v>65</v>
      </c>
      <c r="B28" s="25" t="s">
        <v>66</v>
      </c>
      <c r="C28" s="576" t="s">
        <v>67</v>
      </c>
      <c r="D28" s="624">
        <f>+D26+D27</f>
        <v>0</v>
      </c>
      <c r="E28" s="624">
        <f t="shared" ref="E28:BJ28" si="11">+E26+E27</f>
        <v>0</v>
      </c>
      <c r="F28" s="624"/>
      <c r="G28" s="624">
        <f t="shared" si="11"/>
        <v>186957722</v>
      </c>
      <c r="H28" s="624">
        <f t="shared" si="11"/>
        <v>186957722</v>
      </c>
      <c r="I28" s="624">
        <f t="shared" si="11"/>
        <v>186957722</v>
      </c>
      <c r="J28" s="624">
        <f t="shared" si="11"/>
        <v>0</v>
      </c>
      <c r="K28" s="624">
        <f t="shared" si="11"/>
        <v>0</v>
      </c>
      <c r="L28" s="624"/>
      <c r="M28" s="624">
        <f t="shared" si="11"/>
        <v>0</v>
      </c>
      <c r="N28" s="624">
        <f>+N26+N27</f>
        <v>0</v>
      </c>
      <c r="O28" s="624">
        <f t="shared" si="11"/>
        <v>5020000000</v>
      </c>
      <c r="P28" s="624">
        <f t="shared" si="11"/>
        <v>0</v>
      </c>
      <c r="Q28" s="624">
        <f t="shared" si="11"/>
        <v>0</v>
      </c>
      <c r="R28" s="624"/>
      <c r="S28" s="624">
        <f t="shared" si="11"/>
        <v>0</v>
      </c>
      <c r="T28" s="624">
        <f t="shared" si="11"/>
        <v>0</v>
      </c>
      <c r="U28" s="624"/>
      <c r="V28" s="624">
        <f t="shared" si="11"/>
        <v>0</v>
      </c>
      <c r="W28" s="624">
        <f t="shared" si="11"/>
        <v>0</v>
      </c>
      <c r="X28" s="624"/>
      <c r="Y28" s="624">
        <f t="shared" si="11"/>
        <v>0</v>
      </c>
      <c r="Z28" s="624">
        <f t="shared" si="11"/>
        <v>0</v>
      </c>
      <c r="AA28" s="624"/>
      <c r="AB28" s="624">
        <f t="shared" si="11"/>
        <v>0</v>
      </c>
      <c r="AC28" s="624">
        <f t="shared" si="11"/>
        <v>0</v>
      </c>
      <c r="AD28" s="624"/>
      <c r="AE28" s="624">
        <f t="shared" si="11"/>
        <v>0</v>
      </c>
      <c r="AF28" s="624">
        <f t="shared" si="11"/>
        <v>0</v>
      </c>
      <c r="AG28" s="624"/>
      <c r="AH28" s="624">
        <f t="shared" si="11"/>
        <v>0</v>
      </c>
      <c r="AI28" s="624">
        <f t="shared" si="11"/>
        <v>0</v>
      </c>
      <c r="AJ28" s="624"/>
      <c r="AK28" s="624">
        <f t="shared" si="11"/>
        <v>0</v>
      </c>
      <c r="AL28" s="624">
        <f t="shared" si="11"/>
        <v>0</v>
      </c>
      <c r="AM28" s="624"/>
      <c r="AN28" s="624">
        <f t="shared" si="11"/>
        <v>59322411</v>
      </c>
      <c r="AO28" s="624">
        <f t="shared" si="11"/>
        <v>61846774</v>
      </c>
      <c r="AP28" s="624">
        <f t="shared" si="11"/>
        <v>61753146</v>
      </c>
      <c r="AQ28" s="624">
        <f t="shared" si="11"/>
        <v>0</v>
      </c>
      <c r="AR28" s="624">
        <f t="shared" si="11"/>
        <v>0</v>
      </c>
      <c r="AS28" s="624"/>
      <c r="AT28" s="624">
        <f t="shared" si="11"/>
        <v>0</v>
      </c>
      <c r="AU28" s="624">
        <f t="shared" si="11"/>
        <v>0</v>
      </c>
      <c r="AV28" s="624"/>
      <c r="AW28" s="624">
        <f t="shared" si="11"/>
        <v>0</v>
      </c>
      <c r="AX28" s="624">
        <f t="shared" si="11"/>
        <v>0</v>
      </c>
      <c r="AY28" s="624"/>
      <c r="AZ28" s="624">
        <f t="shared" si="11"/>
        <v>0</v>
      </c>
      <c r="BA28" s="624">
        <f t="shared" si="11"/>
        <v>0</v>
      </c>
      <c r="BB28" s="624"/>
      <c r="BC28" s="624">
        <f t="shared" si="11"/>
        <v>0</v>
      </c>
      <c r="BD28" s="624">
        <f t="shared" si="11"/>
        <v>0</v>
      </c>
      <c r="BE28" s="624"/>
      <c r="BF28" s="624">
        <f t="shared" si="11"/>
        <v>0</v>
      </c>
      <c r="BG28" s="624">
        <f t="shared" si="11"/>
        <v>0</v>
      </c>
      <c r="BH28" s="624"/>
      <c r="BI28" s="624">
        <f t="shared" si="11"/>
        <v>0</v>
      </c>
      <c r="BJ28" s="624">
        <f t="shared" si="11"/>
        <v>0</v>
      </c>
      <c r="BK28" s="624"/>
      <c r="BL28" s="26">
        <v>3663785368</v>
      </c>
      <c r="BM28" s="26">
        <v>5500022877</v>
      </c>
      <c r="BN28" s="11">
        <f>+'1.1 sz. Önkormányzat 2017.'!FM28+'1.2 sz Önkormányzat 2017.'!GP28+'1.3 sz.Önkormányzat 2017.B'!CA28</f>
        <v>8752548091</v>
      </c>
      <c r="BO28" s="26">
        <v>668156084</v>
      </c>
      <c r="BP28" s="26">
        <v>1010201429</v>
      </c>
      <c r="BQ28" s="11">
        <f>+CB28+'1.2 sz Önkormányzat 2017.'!GQ28+'1.1 sz. Önkormányzat 2017.'!FN28</f>
        <v>939643035</v>
      </c>
      <c r="BR28" s="26">
        <v>750000</v>
      </c>
      <c r="BS28" s="26">
        <v>1850000</v>
      </c>
      <c r="BT28" s="11">
        <f>+CC28+'1.2 sz Önkormányzat 2017.'!GR28+'1.1 sz. Önkormányzat 2017.'!FO28</f>
        <v>1447307</v>
      </c>
      <c r="BU28" s="26">
        <v>4332691452</v>
      </c>
      <c r="BV28" s="26">
        <v>6512074306</v>
      </c>
      <c r="BW28" s="11">
        <f t="shared" si="0"/>
        <v>9693638433</v>
      </c>
      <c r="BX28" s="11">
        <v>0</v>
      </c>
      <c r="BY28" s="699">
        <v>320004474</v>
      </c>
      <c r="BZ28" s="698">
        <f>+'1.2 sz Önkormányzat 2017.'!DR28+'1.2 sz Önkormányzat 2017.'!EM28</f>
        <v>15641220</v>
      </c>
      <c r="CA28" s="696">
        <f t="shared" si="1"/>
        <v>5268710868</v>
      </c>
      <c r="CB28" s="696">
        <f t="shared" si="2"/>
        <v>0</v>
      </c>
      <c r="CD28" s="696">
        <f t="shared" si="3"/>
        <v>5268710868</v>
      </c>
      <c r="CG28" s="696"/>
    </row>
    <row r="29" spans="1:85" ht="19.5" customHeight="1" x14ac:dyDescent="0.25">
      <c r="A29" s="9" t="s">
        <v>68</v>
      </c>
      <c r="B29" s="13" t="s">
        <v>69</v>
      </c>
      <c r="C29" s="20" t="s">
        <v>70</v>
      </c>
      <c r="D29" s="592">
        <v>745668457</v>
      </c>
      <c r="E29" s="592">
        <v>816955381</v>
      </c>
      <c r="F29" s="592">
        <v>816955381</v>
      </c>
      <c r="G29" s="592"/>
      <c r="H29" s="592"/>
      <c r="I29" s="592"/>
      <c r="J29" s="592"/>
      <c r="K29" s="592"/>
      <c r="L29" s="592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>
        <v>83088908</v>
      </c>
      <c r="BE29" s="11">
        <v>83088908</v>
      </c>
      <c r="BF29" s="11"/>
      <c r="BG29" s="11"/>
      <c r="BH29" s="11"/>
      <c r="BI29" s="11"/>
      <c r="BJ29" s="11"/>
      <c r="BK29" s="11"/>
      <c r="BL29" s="11">
        <v>747408457</v>
      </c>
      <c r="BM29" s="11">
        <v>993558167</v>
      </c>
      <c r="BN29" s="11">
        <f>+'1.1 sz. Önkormányzat 2017.'!FM29+'1.2 sz Önkormányzat 2017.'!GP29+'1.3 sz.Önkormányzat 2017.B'!CA29</f>
        <v>991605188</v>
      </c>
      <c r="BO29" s="11">
        <v>0</v>
      </c>
      <c r="BP29" s="11">
        <v>590000</v>
      </c>
      <c r="BQ29" s="11">
        <f>+CB29+'1.2 sz Önkormányzat 2017.'!GQ29+'1.1 sz. Önkormányzat 2017.'!FN29</f>
        <v>590000</v>
      </c>
      <c r="BR29" s="11">
        <v>0</v>
      </c>
      <c r="BS29" s="11">
        <v>0</v>
      </c>
      <c r="BT29" s="11">
        <f>+CC29+'1.2 sz Önkormányzat 2017.'!GR29+'1.1 sz. Önkormányzat 2017.'!FO29</f>
        <v>0</v>
      </c>
      <c r="BU29" s="11">
        <v>747408457</v>
      </c>
      <c r="BV29" s="11">
        <v>994148167</v>
      </c>
      <c r="BW29" s="11">
        <f t="shared" si="0"/>
        <v>992195188</v>
      </c>
      <c r="BX29" s="11">
        <v>0</v>
      </c>
      <c r="BY29" s="698">
        <v>74464907</v>
      </c>
      <c r="BZ29" s="698">
        <f>+'1.2 sz Önkormányzat 2017.'!DR29+'1.2 sz Önkormányzat 2017.'!EM29</f>
        <v>74464907</v>
      </c>
      <c r="CA29" s="696">
        <f t="shared" si="1"/>
        <v>900044289</v>
      </c>
      <c r="CB29" s="696">
        <f t="shared" si="2"/>
        <v>0</v>
      </c>
      <c r="CD29" s="696">
        <f t="shared" si="3"/>
        <v>900044289</v>
      </c>
      <c r="CF29">
        <v>992195188</v>
      </c>
      <c r="CG29" s="696">
        <f t="shared" si="4"/>
        <v>0</v>
      </c>
    </row>
    <row r="30" spans="1:85" ht="19.5" customHeight="1" x14ac:dyDescent="0.25">
      <c r="A30" s="9" t="s">
        <v>71</v>
      </c>
      <c r="B30" s="13" t="s">
        <v>72</v>
      </c>
      <c r="C30" s="20" t="s">
        <v>73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>
        <v>0</v>
      </c>
      <c r="BM30" s="11">
        <v>557031189</v>
      </c>
      <c r="BN30" s="11">
        <f>+'1.1 sz. Önkormányzat 2017.'!FM30+'1.2 sz Önkormányzat 2017.'!GP30+'1.3 sz.Önkormányzat 2017.B'!CA30</f>
        <v>508531208</v>
      </c>
      <c r="BO30" s="11">
        <v>0</v>
      </c>
      <c r="BP30" s="11">
        <v>5760000</v>
      </c>
      <c r="BQ30" s="11">
        <f>+CB30+'1.2 sz Önkormányzat 2017.'!GQ30+'1.1 sz. Önkormányzat 2017.'!FN30</f>
        <v>2760000</v>
      </c>
      <c r="BR30" s="11">
        <v>0</v>
      </c>
      <c r="BS30" s="11">
        <v>0</v>
      </c>
      <c r="BT30" s="11">
        <f>+CC30+'1.2 sz Önkormányzat 2017.'!GR30+'1.1 sz. Önkormányzat 2017.'!FO30</f>
        <v>0</v>
      </c>
      <c r="BU30" s="11">
        <v>0</v>
      </c>
      <c r="BV30" s="11">
        <v>562791189</v>
      </c>
      <c r="BW30" s="11">
        <f t="shared" si="0"/>
        <v>511291208</v>
      </c>
      <c r="BX30" s="11">
        <v>0</v>
      </c>
      <c r="BY30" s="698">
        <v>304029281</v>
      </c>
      <c r="BZ30" s="698">
        <f>+'1.2 sz Önkormányzat 2017.'!DR30+'1.2 sz Önkormányzat 2017.'!EM30</f>
        <v>304029281</v>
      </c>
      <c r="CA30" s="696">
        <f t="shared" si="1"/>
        <v>0</v>
      </c>
      <c r="CB30" s="696">
        <f t="shared" si="2"/>
        <v>0</v>
      </c>
      <c r="CD30" s="696">
        <f t="shared" si="3"/>
        <v>0</v>
      </c>
      <c r="CF30">
        <v>511291208</v>
      </c>
      <c r="CG30" s="696">
        <f t="shared" si="4"/>
        <v>0</v>
      </c>
    </row>
    <row r="31" spans="1:85" ht="19.5" customHeight="1" x14ac:dyDescent="0.25">
      <c r="A31" s="9" t="s">
        <v>74</v>
      </c>
      <c r="B31" s="13" t="s">
        <v>75</v>
      </c>
      <c r="C31" s="20" t="s">
        <v>76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>
        <v>455000000</v>
      </c>
      <c r="Q31" s="11">
        <v>506101156</v>
      </c>
      <c r="R31" s="11">
        <v>489271521</v>
      </c>
      <c r="S31" s="592">
        <v>135000000</v>
      </c>
      <c r="T31" s="592">
        <v>148824754</v>
      </c>
      <c r="U31" s="592">
        <v>138648136</v>
      </c>
      <c r="V31" s="11">
        <v>22200000</v>
      </c>
      <c r="W31" s="11">
        <v>24694162</v>
      </c>
      <c r="X31" s="11">
        <v>23115663</v>
      </c>
      <c r="Y31" s="11">
        <v>160000</v>
      </c>
      <c r="Z31" s="11">
        <v>144000</v>
      </c>
      <c r="AA31" s="11">
        <v>138000</v>
      </c>
      <c r="AB31" s="11">
        <v>20000</v>
      </c>
      <c r="AC31" s="11">
        <v>20000</v>
      </c>
      <c r="AD31" s="11"/>
      <c r="AE31" s="11">
        <v>2200000000</v>
      </c>
      <c r="AF31" s="11">
        <v>2732733963</v>
      </c>
      <c r="AG31" s="11">
        <v>2678394364</v>
      </c>
      <c r="AH31" s="592">
        <v>95000000</v>
      </c>
      <c r="AI31" s="592">
        <v>107332809</v>
      </c>
      <c r="AJ31" s="592">
        <v>100912508</v>
      </c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>
        <v>28003</v>
      </c>
      <c r="BE31" s="11">
        <v>14800</v>
      </c>
      <c r="BF31" s="592">
        <v>5000000</v>
      </c>
      <c r="BG31" s="592">
        <v>19515266</v>
      </c>
      <c r="BH31" s="592">
        <v>4917581</v>
      </c>
      <c r="BI31" s="11">
        <v>68971675</v>
      </c>
      <c r="BJ31" s="11">
        <v>0</v>
      </c>
      <c r="BK31" s="11"/>
      <c r="BL31" s="11">
        <v>2981351675</v>
      </c>
      <c r="BM31" s="11">
        <v>3539374113</v>
      </c>
      <c r="BN31" s="11">
        <f>+'1.1 sz. Önkormányzat 2017.'!FM31+'1.2 sz Önkormányzat 2017.'!GP31+'1.3 sz.Önkormányzat 2017.B'!CA31</f>
        <v>3435412573</v>
      </c>
      <c r="BO31" s="11">
        <v>0</v>
      </c>
      <c r="BP31" s="11">
        <v>0</v>
      </c>
      <c r="BQ31" s="11">
        <f>+CB31+'1.2 sz Önkormányzat 2017.'!GQ31+'1.1 sz. Önkormányzat 2017.'!FN31</f>
        <v>0</v>
      </c>
      <c r="BR31" s="11">
        <v>0</v>
      </c>
      <c r="BS31" s="11">
        <v>0</v>
      </c>
      <c r="BT31" s="11">
        <f>+CC31+'1.2 sz Önkormányzat 2017.'!GR31+'1.1 sz. Önkormányzat 2017.'!FO31</f>
        <v>0</v>
      </c>
      <c r="BU31" s="11">
        <v>2981351675</v>
      </c>
      <c r="BV31" s="11">
        <v>3539374113</v>
      </c>
      <c r="BW31" s="11">
        <f t="shared" si="0"/>
        <v>3435412573</v>
      </c>
      <c r="BX31" s="11">
        <v>0</v>
      </c>
      <c r="BY31" s="11">
        <v>0</v>
      </c>
      <c r="BZ31" s="698">
        <f>+'1.2 sz Önkormányzat 2017.'!DR31+'1.2 sz Önkormányzat 2017.'!EM31</f>
        <v>0</v>
      </c>
      <c r="CA31" s="696">
        <f t="shared" si="1"/>
        <v>3435412573</v>
      </c>
      <c r="CB31" s="696">
        <f t="shared" si="2"/>
        <v>0</v>
      </c>
      <c r="CD31" s="696">
        <f t="shared" si="3"/>
        <v>3435412573</v>
      </c>
      <c r="CF31">
        <v>3435412573</v>
      </c>
      <c r="CG31" s="696">
        <f t="shared" si="4"/>
        <v>0</v>
      </c>
    </row>
    <row r="32" spans="1:85" ht="19.5" customHeight="1" x14ac:dyDescent="0.25">
      <c r="A32" s="9" t="s">
        <v>77</v>
      </c>
      <c r="B32" s="16" t="s">
        <v>78</v>
      </c>
      <c r="C32" s="20" t="s">
        <v>79</v>
      </c>
      <c r="D32" s="11"/>
      <c r="E32" s="11"/>
      <c r="F32" s="11"/>
      <c r="G32" s="11"/>
      <c r="H32" s="11"/>
      <c r="I32" s="11"/>
      <c r="J32" s="11"/>
      <c r="K32" s="11"/>
      <c r="L32" s="11"/>
      <c r="M32" s="11">
        <v>1500000</v>
      </c>
      <c r="N32" s="11">
        <v>613575</v>
      </c>
      <c r="O32" s="11">
        <v>613575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>
        <v>440000</v>
      </c>
      <c r="AL32" s="11">
        <v>533500</v>
      </c>
      <c r="AM32" s="11">
        <v>648300</v>
      </c>
      <c r="AN32" s="11">
        <v>56219979</v>
      </c>
      <c r="AO32" s="11">
        <v>60067271</v>
      </c>
      <c r="AP32" s="11">
        <v>59013853</v>
      </c>
      <c r="AQ32" s="11">
        <v>140000</v>
      </c>
      <c r="AR32" s="11">
        <v>140000</v>
      </c>
      <c r="AS32" s="11"/>
      <c r="AT32" s="11"/>
      <c r="AU32" s="11"/>
      <c r="AV32" s="11"/>
      <c r="AW32" s="11"/>
      <c r="AX32" s="11"/>
      <c r="AY32" s="11"/>
      <c r="AZ32" s="11"/>
      <c r="BA32" s="11">
        <v>358832</v>
      </c>
      <c r="BB32" s="11">
        <v>358832</v>
      </c>
      <c r="BC32" s="592"/>
      <c r="BD32" s="592">
        <v>6832239</v>
      </c>
      <c r="BE32" s="592">
        <v>6554914</v>
      </c>
      <c r="BF32" s="11"/>
      <c r="BG32" s="11"/>
      <c r="BH32" s="11"/>
      <c r="BI32" s="11">
        <v>1683841</v>
      </c>
      <c r="BJ32" s="11">
        <v>0</v>
      </c>
      <c r="BK32" s="11"/>
      <c r="BL32" s="11">
        <v>231286732</v>
      </c>
      <c r="BM32" s="11">
        <v>246961409</v>
      </c>
      <c r="BN32" s="11">
        <f>+'1.1 sz. Önkormányzat 2017.'!FM32+'1.2 sz Önkormányzat 2017.'!GP32+'1.3 sz.Önkormányzat 2017.B'!CA32</f>
        <v>244303495</v>
      </c>
      <c r="BO32" s="11">
        <v>30120000</v>
      </c>
      <c r="BP32" s="11">
        <v>32901741</v>
      </c>
      <c r="BQ32" s="11">
        <f>+CB32+'1.2 sz Önkormányzat 2017.'!GQ32+'1.1 sz. Önkormányzat 2017.'!FN32</f>
        <v>32621251</v>
      </c>
      <c r="BR32" s="11">
        <v>0</v>
      </c>
      <c r="BS32" s="11">
        <v>0</v>
      </c>
      <c r="BT32" s="11">
        <f>+CC32+'1.2 sz Önkormányzat 2017.'!GR32+'1.1 sz. Önkormányzat 2017.'!FO32</f>
        <v>0</v>
      </c>
      <c r="BU32" s="11">
        <v>261406732</v>
      </c>
      <c r="BV32" s="11">
        <v>279863150</v>
      </c>
      <c r="BW32" s="11">
        <f t="shared" si="0"/>
        <v>276924746</v>
      </c>
      <c r="BX32" s="11">
        <v>0</v>
      </c>
      <c r="BY32" s="11">
        <v>0</v>
      </c>
      <c r="BZ32" s="698">
        <f>+'1.2 sz Önkormányzat 2017.'!DR32+'1.2 sz Önkormányzat 2017.'!EM32</f>
        <v>0</v>
      </c>
      <c r="CA32" s="696">
        <f t="shared" si="1"/>
        <v>66830642</v>
      </c>
      <c r="CB32" s="696">
        <f t="shared" si="2"/>
        <v>358832</v>
      </c>
      <c r="CD32" s="696">
        <f t="shared" si="3"/>
        <v>67189474</v>
      </c>
      <c r="CF32" s="696">
        <v>276924746</v>
      </c>
      <c r="CG32" s="696">
        <f t="shared" si="4"/>
        <v>0</v>
      </c>
    </row>
    <row r="33" spans="1:85" ht="19.5" customHeight="1" x14ac:dyDescent="0.25">
      <c r="A33" s="9" t="s">
        <v>80</v>
      </c>
      <c r="B33" s="13" t="s">
        <v>81</v>
      </c>
      <c r="C33" s="20" t="s">
        <v>82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>
        <v>181626200</v>
      </c>
      <c r="BA33" s="11">
        <v>43339000</v>
      </c>
      <c r="BB33" s="11">
        <v>43339000</v>
      </c>
      <c r="BC33" s="11"/>
      <c r="BD33" s="11"/>
      <c r="BE33" s="11"/>
      <c r="BF33" s="11"/>
      <c r="BG33" s="11"/>
      <c r="BH33" s="11"/>
      <c r="BI33" s="11"/>
      <c r="BJ33" s="11">
        <f>BI33</f>
        <v>0</v>
      </c>
      <c r="BK33" s="11"/>
      <c r="BL33" s="11">
        <v>0</v>
      </c>
      <c r="BM33" s="11">
        <v>3000000</v>
      </c>
      <c r="BN33" s="11">
        <f>+'1.1 sz. Önkormányzat 2017.'!FM33+'1.2 sz Önkormányzat 2017.'!GP33+'1.3 sz.Önkormányzat 2017.B'!CA33</f>
        <v>3000000</v>
      </c>
      <c r="BO33" s="11">
        <v>181626200</v>
      </c>
      <c r="BP33" s="11">
        <v>43339000</v>
      </c>
      <c r="BQ33" s="11">
        <f>+CB33+'1.2 sz Önkormányzat 2017.'!GQ33+'1.1 sz. Önkormányzat 2017.'!FN33</f>
        <v>43339000</v>
      </c>
      <c r="BR33" s="11">
        <v>0</v>
      </c>
      <c r="BS33" s="11">
        <v>0</v>
      </c>
      <c r="BT33" s="11">
        <f>+CC33+'1.2 sz Önkormányzat 2017.'!GR33+'1.1 sz. Önkormányzat 2017.'!FO33</f>
        <v>0</v>
      </c>
      <c r="BU33" s="11">
        <v>181626200</v>
      </c>
      <c r="BV33" s="11">
        <v>46339000</v>
      </c>
      <c r="BW33" s="11">
        <f t="shared" si="0"/>
        <v>46339000</v>
      </c>
      <c r="BX33" s="11">
        <v>0</v>
      </c>
      <c r="BY33" s="11">
        <v>0</v>
      </c>
      <c r="BZ33" s="698">
        <f>+'1.2 sz Önkormányzat 2017.'!DR33+'1.2 sz Önkormányzat 2017.'!EM33</f>
        <v>0</v>
      </c>
      <c r="CA33" s="696">
        <f t="shared" si="1"/>
        <v>0</v>
      </c>
      <c r="CB33" s="696">
        <f t="shared" si="2"/>
        <v>43339000</v>
      </c>
      <c r="CD33" s="696">
        <f t="shared" si="3"/>
        <v>43339000</v>
      </c>
      <c r="CF33">
        <v>46339000</v>
      </c>
      <c r="CG33" s="696">
        <f t="shared" si="4"/>
        <v>0</v>
      </c>
    </row>
    <row r="34" spans="1:85" ht="19.5" customHeight="1" x14ac:dyDescent="0.25">
      <c r="A34" s="9" t="s">
        <v>83</v>
      </c>
      <c r="B34" s="13" t="s">
        <v>84</v>
      </c>
      <c r="C34" s="20" t="s">
        <v>85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>
        <f>BI34</f>
        <v>0</v>
      </c>
      <c r="BK34" s="11"/>
      <c r="BL34" s="11">
        <v>45000000</v>
      </c>
      <c r="BM34" s="11">
        <v>45000000</v>
      </c>
      <c r="BN34" s="11">
        <f>+'1.1 sz. Önkormányzat 2017.'!FM34+'1.2 sz Önkormányzat 2017.'!GP34+'1.3 sz.Önkormányzat 2017.B'!CA34</f>
        <v>16905000</v>
      </c>
      <c r="BO34" s="11">
        <v>0</v>
      </c>
      <c r="BP34" s="11">
        <v>100000</v>
      </c>
      <c r="BQ34" s="11">
        <f>+CB34+'1.2 sz Önkormányzat 2017.'!GQ34+'1.1 sz. Önkormányzat 2017.'!FN34</f>
        <v>100000</v>
      </c>
      <c r="BR34" s="11">
        <v>0</v>
      </c>
      <c r="BS34" s="11">
        <v>0</v>
      </c>
      <c r="BT34" s="11">
        <f>+CC34+'1.2 sz Önkormányzat 2017.'!GR34+'1.1 sz. Önkormányzat 2017.'!FO34</f>
        <v>0</v>
      </c>
      <c r="BU34" s="11">
        <v>45000000</v>
      </c>
      <c r="BV34" s="11">
        <v>45100000</v>
      </c>
      <c r="BW34" s="11">
        <f t="shared" si="0"/>
        <v>17005000</v>
      </c>
      <c r="BX34" s="11">
        <v>0</v>
      </c>
      <c r="BY34" s="11">
        <v>0</v>
      </c>
      <c r="BZ34" s="698">
        <f>+'1.2 sz Önkormányzat 2017.'!DR34+'1.2 sz Önkormányzat 2017.'!EM34</f>
        <v>0</v>
      </c>
      <c r="CA34" s="696">
        <f t="shared" si="1"/>
        <v>0</v>
      </c>
      <c r="CB34" s="696">
        <f t="shared" si="2"/>
        <v>0</v>
      </c>
      <c r="CD34" s="696">
        <f t="shared" si="3"/>
        <v>0</v>
      </c>
      <c r="CF34">
        <v>17005000</v>
      </c>
      <c r="CG34" s="696">
        <f t="shared" si="4"/>
        <v>0</v>
      </c>
    </row>
    <row r="35" spans="1:85" ht="19.5" customHeight="1" x14ac:dyDescent="0.25">
      <c r="A35" s="9" t="s">
        <v>86</v>
      </c>
      <c r="B35" s="13" t="s">
        <v>87</v>
      </c>
      <c r="C35" s="20" t="s">
        <v>88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>
        <v>601200</v>
      </c>
      <c r="AU35" s="11">
        <v>601200</v>
      </c>
      <c r="AV35" s="11">
        <v>601200</v>
      </c>
      <c r="AW35" s="11"/>
      <c r="AX35" s="11"/>
      <c r="AY35" s="11"/>
      <c r="AZ35" s="11"/>
      <c r="BA35" s="11">
        <v>1329027</v>
      </c>
      <c r="BB35" s="11">
        <v>1329027</v>
      </c>
      <c r="BC35" s="11"/>
      <c r="BD35" s="11"/>
      <c r="BE35" s="11"/>
      <c r="BF35" s="11"/>
      <c r="BG35" s="11"/>
      <c r="BH35" s="11"/>
      <c r="BI35" s="11"/>
      <c r="BJ35" s="11"/>
      <c r="BK35" s="11"/>
      <c r="BL35" s="11">
        <v>0</v>
      </c>
      <c r="BM35" s="11">
        <v>5800720</v>
      </c>
      <c r="BN35" s="11">
        <f>+'1.1 sz. Önkormányzat 2017.'!FM35+'1.2 sz Önkormányzat 2017.'!GP35+'1.3 sz.Önkormányzat 2017.B'!CA35</f>
        <v>5800720</v>
      </c>
      <c r="BO35" s="11">
        <v>601200</v>
      </c>
      <c r="BP35" s="11">
        <v>1930227</v>
      </c>
      <c r="BQ35" s="11">
        <f>+CB35+'1.2 sz Önkormányzat 2017.'!GQ35+'1.1 sz. Önkormányzat 2017.'!FN35</f>
        <v>1930227</v>
      </c>
      <c r="BR35" s="11">
        <v>0</v>
      </c>
      <c r="BS35" s="11">
        <v>0</v>
      </c>
      <c r="BT35" s="11">
        <f>+CC35+'1.2 sz Önkormányzat 2017.'!GR35+'1.1 sz. Önkormányzat 2017.'!FO35</f>
        <v>0</v>
      </c>
      <c r="BU35" s="11">
        <v>601200</v>
      </c>
      <c r="BV35" s="11">
        <v>7730947</v>
      </c>
      <c r="BW35" s="11">
        <f t="shared" si="0"/>
        <v>7730947</v>
      </c>
      <c r="BX35" s="11">
        <v>0</v>
      </c>
      <c r="BY35" s="11">
        <v>0</v>
      </c>
      <c r="BZ35" s="698">
        <f>+'1.2 sz Önkormányzat 2017.'!DR35+'1.2 sz Önkormányzat 2017.'!EM35</f>
        <v>0</v>
      </c>
      <c r="CA35" s="696">
        <f t="shared" si="1"/>
        <v>0</v>
      </c>
      <c r="CB35" s="696">
        <f t="shared" si="2"/>
        <v>1930227</v>
      </c>
      <c r="CD35" s="696">
        <f t="shared" si="3"/>
        <v>1930227</v>
      </c>
      <c r="CF35">
        <v>7730947</v>
      </c>
      <c r="CG35" s="696">
        <f t="shared" si="4"/>
        <v>0</v>
      </c>
    </row>
    <row r="36" spans="1:85" ht="19.5" customHeight="1" x14ac:dyDescent="0.25">
      <c r="A36" s="9" t="s">
        <v>89</v>
      </c>
      <c r="B36" s="16" t="s">
        <v>90</v>
      </c>
      <c r="C36" s="20" t="s">
        <v>91</v>
      </c>
      <c r="D36" s="26">
        <f>SUM(D29:D35)</f>
        <v>745668457</v>
      </c>
      <c r="E36" s="26">
        <f t="shared" ref="E36:BJ36" si="12">SUM(E29:E35)</f>
        <v>816955381</v>
      </c>
      <c r="F36" s="26">
        <f t="shared" si="12"/>
        <v>816955381</v>
      </c>
      <c r="G36" s="26">
        <f t="shared" si="12"/>
        <v>0</v>
      </c>
      <c r="H36" s="26">
        <f t="shared" si="12"/>
        <v>0</v>
      </c>
      <c r="I36" s="26"/>
      <c r="J36" s="26">
        <f t="shared" si="12"/>
        <v>0</v>
      </c>
      <c r="K36" s="26">
        <f t="shared" si="12"/>
        <v>0</v>
      </c>
      <c r="L36" s="26"/>
      <c r="M36" s="26">
        <f t="shared" si="12"/>
        <v>1500000</v>
      </c>
      <c r="N36" s="26">
        <f t="shared" si="12"/>
        <v>613575</v>
      </c>
      <c r="O36" s="26">
        <f t="shared" si="12"/>
        <v>613575</v>
      </c>
      <c r="P36" s="26">
        <f t="shared" si="12"/>
        <v>455000000</v>
      </c>
      <c r="Q36" s="26">
        <f t="shared" si="12"/>
        <v>506101156</v>
      </c>
      <c r="R36" s="26">
        <f t="shared" si="12"/>
        <v>489271521</v>
      </c>
      <c r="S36" s="26">
        <f t="shared" si="12"/>
        <v>135000000</v>
      </c>
      <c r="T36" s="26">
        <f t="shared" si="12"/>
        <v>148824754</v>
      </c>
      <c r="U36" s="26">
        <f t="shared" si="12"/>
        <v>138648136</v>
      </c>
      <c r="V36" s="26">
        <f t="shared" si="12"/>
        <v>22200000</v>
      </c>
      <c r="W36" s="26">
        <f t="shared" si="12"/>
        <v>24694162</v>
      </c>
      <c r="X36" s="26">
        <f t="shared" si="12"/>
        <v>23115663</v>
      </c>
      <c r="Y36" s="26">
        <f t="shared" si="12"/>
        <v>160000</v>
      </c>
      <c r="Z36" s="26">
        <f t="shared" si="12"/>
        <v>144000</v>
      </c>
      <c r="AA36" s="26">
        <f t="shared" si="12"/>
        <v>138000</v>
      </c>
      <c r="AB36" s="26">
        <f t="shared" si="12"/>
        <v>20000</v>
      </c>
      <c r="AC36" s="26">
        <f t="shared" si="12"/>
        <v>20000</v>
      </c>
      <c r="AD36" s="26">
        <f t="shared" si="12"/>
        <v>0</v>
      </c>
      <c r="AE36" s="26">
        <f t="shared" si="12"/>
        <v>2200000000</v>
      </c>
      <c r="AF36" s="26">
        <f t="shared" si="12"/>
        <v>2732733963</v>
      </c>
      <c r="AG36" s="26">
        <f t="shared" si="12"/>
        <v>2678394364</v>
      </c>
      <c r="AH36" s="26">
        <f t="shared" si="12"/>
        <v>95000000</v>
      </c>
      <c r="AI36" s="26">
        <f t="shared" si="12"/>
        <v>107332809</v>
      </c>
      <c r="AJ36" s="26">
        <f t="shared" si="12"/>
        <v>100912508</v>
      </c>
      <c r="AK36" s="26">
        <f t="shared" si="12"/>
        <v>440000</v>
      </c>
      <c r="AL36" s="26">
        <f t="shared" si="12"/>
        <v>533500</v>
      </c>
      <c r="AM36" s="26">
        <f t="shared" si="12"/>
        <v>648300</v>
      </c>
      <c r="AN36" s="26">
        <f t="shared" si="12"/>
        <v>56219979</v>
      </c>
      <c r="AO36" s="26">
        <f t="shared" si="12"/>
        <v>60067271</v>
      </c>
      <c r="AP36" s="26">
        <f t="shared" si="12"/>
        <v>59013853</v>
      </c>
      <c r="AQ36" s="26">
        <f t="shared" si="12"/>
        <v>140000</v>
      </c>
      <c r="AR36" s="26">
        <f t="shared" si="12"/>
        <v>140000</v>
      </c>
      <c r="AS36" s="26"/>
      <c r="AT36" s="26">
        <f t="shared" si="12"/>
        <v>601200</v>
      </c>
      <c r="AU36" s="26">
        <f t="shared" si="12"/>
        <v>601200</v>
      </c>
      <c r="AV36" s="26">
        <f t="shared" si="12"/>
        <v>601200</v>
      </c>
      <c r="AW36" s="26">
        <f t="shared" si="12"/>
        <v>0</v>
      </c>
      <c r="AX36" s="26">
        <f t="shared" si="12"/>
        <v>0</v>
      </c>
      <c r="AY36" s="26"/>
      <c r="AZ36" s="26">
        <f t="shared" si="12"/>
        <v>181626200</v>
      </c>
      <c r="BA36" s="26">
        <f t="shared" si="12"/>
        <v>45026859</v>
      </c>
      <c r="BB36" s="26">
        <f t="shared" si="12"/>
        <v>45026859</v>
      </c>
      <c r="BC36" s="26">
        <f t="shared" si="12"/>
        <v>0</v>
      </c>
      <c r="BD36" s="26">
        <f t="shared" si="12"/>
        <v>89949150</v>
      </c>
      <c r="BE36" s="26">
        <f t="shared" si="12"/>
        <v>89658622</v>
      </c>
      <c r="BF36" s="26">
        <f t="shared" si="12"/>
        <v>5000000</v>
      </c>
      <c r="BG36" s="26">
        <f t="shared" si="12"/>
        <v>19515266</v>
      </c>
      <c r="BH36" s="26">
        <f t="shared" si="12"/>
        <v>4917581</v>
      </c>
      <c r="BI36" s="26">
        <f t="shared" si="12"/>
        <v>70655516</v>
      </c>
      <c r="BJ36" s="26">
        <f t="shared" si="12"/>
        <v>0</v>
      </c>
      <c r="BK36" s="26"/>
      <c r="BL36" s="11">
        <v>4005046864</v>
      </c>
      <c r="BM36" s="11">
        <v>5390725598</v>
      </c>
      <c r="BN36" s="11">
        <f>+'1.1 sz. Önkormányzat 2017.'!FM36+'1.2 sz Önkormányzat 2017.'!GP36+'1.3 sz.Önkormányzat 2017.B'!CA36</f>
        <v>5205558184</v>
      </c>
      <c r="BO36" s="11">
        <v>212347400</v>
      </c>
      <c r="BP36" s="11">
        <v>84620968</v>
      </c>
      <c r="BQ36" s="11">
        <f>+CB36+'1.2 sz Önkormányzat 2017.'!GQ36+'1.1 sz. Önkormányzat 2017.'!FN36</f>
        <v>81340478</v>
      </c>
      <c r="BR36" s="11">
        <v>0</v>
      </c>
      <c r="BS36" s="11">
        <v>0</v>
      </c>
      <c r="BT36" s="11">
        <f>+CC36+'1.2 sz Önkormányzat 2017.'!GR36+'1.1 sz. Önkormányzat 2017.'!FO36</f>
        <v>0</v>
      </c>
      <c r="BU36" s="11">
        <v>4217394264</v>
      </c>
      <c r="BV36" s="11">
        <v>5475346566</v>
      </c>
      <c r="BW36" s="11">
        <f t="shared" si="0"/>
        <v>5286898662</v>
      </c>
      <c r="BX36" s="11">
        <v>0</v>
      </c>
      <c r="BY36" s="698">
        <v>378494188</v>
      </c>
      <c r="BZ36" s="698">
        <f>+'1.2 sz Önkormányzat 2017.'!DR36+'1.2 sz Önkormányzat 2017.'!EM36</f>
        <v>378494188</v>
      </c>
      <c r="CA36" s="696">
        <f t="shared" si="1"/>
        <v>4402287504</v>
      </c>
      <c r="CB36" s="696">
        <f t="shared" si="2"/>
        <v>45628059</v>
      </c>
      <c r="CD36" s="696">
        <f t="shared" si="3"/>
        <v>4447915563</v>
      </c>
      <c r="CG36" s="696"/>
    </row>
    <row r="37" spans="1:85" ht="19.5" customHeight="1" x14ac:dyDescent="0.25">
      <c r="A37" s="9" t="s">
        <v>92</v>
      </c>
      <c r="B37" s="20" t="s">
        <v>93</v>
      </c>
      <c r="C37" s="576" t="s">
        <v>94</v>
      </c>
      <c r="D37" s="577">
        <f>SUM(D39:D43)</f>
        <v>0</v>
      </c>
      <c r="E37" s="577">
        <f t="shared" ref="E37:BJ37" si="13">SUM(E39:E43)</f>
        <v>0</v>
      </c>
      <c r="F37" s="577"/>
      <c r="G37" s="577">
        <f t="shared" si="13"/>
        <v>0</v>
      </c>
      <c r="H37" s="577">
        <f t="shared" si="13"/>
        <v>0</v>
      </c>
      <c r="I37" s="577"/>
      <c r="J37" s="577">
        <f t="shared" si="13"/>
        <v>0</v>
      </c>
      <c r="K37" s="577">
        <f t="shared" si="13"/>
        <v>0</v>
      </c>
      <c r="L37" s="577"/>
      <c r="M37" s="577">
        <f t="shared" si="13"/>
        <v>0</v>
      </c>
      <c r="N37" s="577">
        <f t="shared" si="13"/>
        <v>0</v>
      </c>
      <c r="O37" s="577">
        <v>5020000000</v>
      </c>
      <c r="P37" s="577">
        <f t="shared" si="13"/>
        <v>0</v>
      </c>
      <c r="Q37" s="577">
        <f t="shared" si="13"/>
        <v>0</v>
      </c>
      <c r="R37" s="577">
        <f t="shared" si="13"/>
        <v>0</v>
      </c>
      <c r="S37" s="577">
        <f t="shared" si="13"/>
        <v>0</v>
      </c>
      <c r="T37" s="577">
        <f t="shared" si="13"/>
        <v>0</v>
      </c>
      <c r="U37" s="577"/>
      <c r="V37" s="577">
        <f t="shared" si="13"/>
        <v>0</v>
      </c>
      <c r="W37" s="577">
        <f t="shared" si="13"/>
        <v>0</v>
      </c>
      <c r="X37" s="577"/>
      <c r="Y37" s="577">
        <f t="shared" si="13"/>
        <v>0</v>
      </c>
      <c r="Z37" s="577">
        <f t="shared" si="13"/>
        <v>0</v>
      </c>
      <c r="AA37" s="577">
        <f t="shared" si="13"/>
        <v>0</v>
      </c>
      <c r="AB37" s="577">
        <f t="shared" si="13"/>
        <v>0</v>
      </c>
      <c r="AC37" s="577">
        <f t="shared" si="13"/>
        <v>0</v>
      </c>
      <c r="AD37" s="577">
        <f t="shared" si="13"/>
        <v>0</v>
      </c>
      <c r="AE37" s="577">
        <f t="shared" si="13"/>
        <v>0</v>
      </c>
      <c r="AF37" s="577">
        <f t="shared" si="13"/>
        <v>0</v>
      </c>
      <c r="AG37" s="577">
        <f t="shared" si="13"/>
        <v>0</v>
      </c>
      <c r="AH37" s="577">
        <f t="shared" si="13"/>
        <v>0</v>
      </c>
      <c r="AI37" s="577">
        <f t="shared" si="13"/>
        <v>0</v>
      </c>
      <c r="AJ37" s="577">
        <f t="shared" si="13"/>
        <v>0</v>
      </c>
      <c r="AK37" s="577">
        <f t="shared" si="13"/>
        <v>0</v>
      </c>
      <c r="AL37" s="577">
        <f t="shared" si="13"/>
        <v>0</v>
      </c>
      <c r="AM37" s="577">
        <f t="shared" si="13"/>
        <v>0</v>
      </c>
      <c r="AN37" s="577">
        <f t="shared" si="13"/>
        <v>0</v>
      </c>
      <c r="AO37" s="577">
        <f t="shared" si="13"/>
        <v>0</v>
      </c>
      <c r="AP37" s="577">
        <f t="shared" si="13"/>
        <v>0</v>
      </c>
      <c r="AQ37" s="577">
        <f t="shared" si="13"/>
        <v>0</v>
      </c>
      <c r="AR37" s="577">
        <f t="shared" si="13"/>
        <v>0</v>
      </c>
      <c r="AS37" s="577"/>
      <c r="AT37" s="577">
        <f t="shared" si="13"/>
        <v>0</v>
      </c>
      <c r="AU37" s="577">
        <f t="shared" si="13"/>
        <v>0</v>
      </c>
      <c r="AV37" s="577"/>
      <c r="AW37" s="577">
        <f t="shared" si="13"/>
        <v>0</v>
      </c>
      <c r="AX37" s="577">
        <v>104468890</v>
      </c>
      <c r="AY37" s="577">
        <f>+AY38</f>
        <v>104468890</v>
      </c>
      <c r="AZ37" s="577">
        <f t="shared" si="13"/>
        <v>0</v>
      </c>
      <c r="BA37" s="577">
        <f t="shared" si="13"/>
        <v>0</v>
      </c>
      <c r="BB37" s="577">
        <f t="shared" si="13"/>
        <v>0</v>
      </c>
      <c r="BC37" s="577">
        <f t="shared" si="13"/>
        <v>115297188</v>
      </c>
      <c r="BD37" s="577">
        <f t="shared" si="13"/>
        <v>932258850</v>
      </c>
      <c r="BE37" s="577">
        <f t="shared" si="13"/>
        <v>932258850</v>
      </c>
      <c r="BF37" s="577">
        <f t="shared" si="13"/>
        <v>0</v>
      </c>
      <c r="BG37" s="577">
        <f t="shared" si="13"/>
        <v>0</v>
      </c>
      <c r="BH37" s="577">
        <f t="shared" si="13"/>
        <v>0</v>
      </c>
      <c r="BI37" s="577">
        <f t="shared" si="13"/>
        <v>0</v>
      </c>
      <c r="BJ37" s="577">
        <f t="shared" si="13"/>
        <v>0</v>
      </c>
      <c r="BK37" s="577"/>
      <c r="BL37" s="11">
        <v>115297188</v>
      </c>
      <c r="BM37" s="11">
        <v>932258850</v>
      </c>
      <c r="BN37" s="11">
        <f>+'1.1 sz. Önkormányzat 2017.'!FM37+'1.2 sz Önkormányzat 2017.'!GP37+'1.3 sz.Önkormányzat 2017.B'!CA37</f>
        <v>5952258850</v>
      </c>
      <c r="BO37" s="11">
        <v>0</v>
      </c>
      <c r="BP37" s="11">
        <v>104468890</v>
      </c>
      <c r="BQ37" s="11">
        <f>+CB37+'1.2 sz Önkormányzat 2017.'!GQ37+'1.1 sz. Önkormányzat 2017.'!FN37</f>
        <v>104468890</v>
      </c>
      <c r="BR37" s="11">
        <v>0</v>
      </c>
      <c r="BS37" s="11">
        <v>0</v>
      </c>
      <c r="BT37" s="11">
        <f>+CC37+'1.2 sz Önkormányzat 2017.'!GR37+'1.1 sz. Önkormányzat 2017.'!FO37</f>
        <v>0</v>
      </c>
      <c r="BU37" s="11">
        <v>115297188</v>
      </c>
      <c r="BV37" s="11">
        <v>1036727740</v>
      </c>
      <c r="BW37" s="11">
        <f t="shared" si="0"/>
        <v>6056727740</v>
      </c>
      <c r="BX37" s="11">
        <v>0</v>
      </c>
      <c r="BY37" s="11">
        <v>0</v>
      </c>
      <c r="BZ37" s="698">
        <f>+'1.2 sz Önkormányzat 2017.'!DR37+'1.2 sz Önkormányzat 2017.'!EM37</f>
        <v>0</v>
      </c>
      <c r="CA37" s="696">
        <f t="shared" si="1"/>
        <v>5952258850</v>
      </c>
      <c r="CB37" s="696">
        <f t="shared" si="2"/>
        <v>104468890</v>
      </c>
      <c r="CD37" s="696">
        <f t="shared" si="3"/>
        <v>6056727740</v>
      </c>
      <c r="CF37">
        <v>6056727740</v>
      </c>
      <c r="CG37" s="696">
        <f t="shared" si="4"/>
        <v>0</v>
      </c>
    </row>
    <row r="38" spans="1:85" ht="19.5" customHeight="1" x14ac:dyDescent="0.25">
      <c r="A38" s="9" t="s">
        <v>95</v>
      </c>
      <c r="B38" s="24" t="s">
        <v>1290</v>
      </c>
      <c r="C38" s="576"/>
      <c r="D38" s="624"/>
      <c r="E38" s="624"/>
      <c r="F38" s="624"/>
      <c r="G38" s="624"/>
      <c r="H38" s="624"/>
      <c r="I38" s="624"/>
      <c r="J38" s="624"/>
      <c r="K38" s="624"/>
      <c r="L38" s="624"/>
      <c r="M38" s="624"/>
      <c r="N38" s="624"/>
      <c r="O38" s="624"/>
      <c r="P38" s="624"/>
      <c r="Q38" s="624"/>
      <c r="R38" s="624"/>
      <c r="S38" s="624"/>
      <c r="T38" s="624"/>
      <c r="U38" s="624"/>
      <c r="V38" s="624"/>
      <c r="W38" s="624"/>
      <c r="X38" s="624"/>
      <c r="Y38" s="624"/>
      <c r="Z38" s="624"/>
      <c r="AA38" s="624"/>
      <c r="AB38" s="624"/>
      <c r="AC38" s="624"/>
      <c r="AD38" s="624"/>
      <c r="AE38" s="624"/>
      <c r="AF38" s="624"/>
      <c r="AG38" s="624"/>
      <c r="AH38" s="624"/>
      <c r="AI38" s="624"/>
      <c r="AJ38" s="624"/>
      <c r="AK38" s="624"/>
      <c r="AL38" s="624"/>
      <c r="AM38" s="624"/>
      <c r="AN38" s="624"/>
      <c r="AO38" s="624"/>
      <c r="AP38" s="624"/>
      <c r="AQ38" s="624"/>
      <c r="AR38" s="624"/>
      <c r="AS38" s="624"/>
      <c r="AT38" s="624"/>
      <c r="AU38" s="624"/>
      <c r="AV38" s="624"/>
      <c r="AW38" s="624"/>
      <c r="AX38" s="624">
        <v>104468890</v>
      </c>
      <c r="AY38" s="624">
        <v>104468890</v>
      </c>
      <c r="AZ38" s="624"/>
      <c r="BA38" s="624"/>
      <c r="BB38" s="624"/>
      <c r="BC38" s="624"/>
      <c r="BD38" s="624"/>
      <c r="BE38" s="624"/>
      <c r="BF38" s="624"/>
      <c r="BG38" s="624"/>
      <c r="BH38" s="624"/>
      <c r="BI38" s="624"/>
      <c r="BJ38" s="624"/>
      <c r="BK38" s="624"/>
      <c r="BL38" s="11">
        <v>0</v>
      </c>
      <c r="BM38" s="11">
        <v>0</v>
      </c>
      <c r="BN38" s="11"/>
      <c r="BO38" s="11">
        <v>0</v>
      </c>
      <c r="BP38" s="11">
        <v>104468890</v>
      </c>
      <c r="BQ38" s="11">
        <f>+AY38</f>
        <v>104468890</v>
      </c>
      <c r="BR38" s="11">
        <v>0</v>
      </c>
      <c r="BS38" s="11">
        <v>0</v>
      </c>
      <c r="BT38" s="11"/>
      <c r="BU38" s="11">
        <v>0</v>
      </c>
      <c r="BV38" s="11">
        <v>104468890</v>
      </c>
      <c r="BW38" s="11">
        <f t="shared" si="0"/>
        <v>104468890</v>
      </c>
      <c r="BX38" s="11">
        <v>0</v>
      </c>
      <c r="BY38" s="11">
        <v>0</v>
      </c>
      <c r="BZ38" s="698">
        <f>+'1.2 sz Önkormányzat 2017.'!DR38+'1.2 sz Önkormányzat 2017.'!EM38</f>
        <v>0</v>
      </c>
      <c r="CA38" s="696"/>
      <c r="CB38" s="696"/>
      <c r="CD38" s="696"/>
    </row>
    <row r="39" spans="1:85" ht="19.5" customHeight="1" x14ac:dyDescent="0.25">
      <c r="A39" s="9" t="s">
        <v>97</v>
      </c>
      <c r="B39" s="24" t="s">
        <v>96</v>
      </c>
      <c r="C39" s="582"/>
      <c r="D39" s="596"/>
      <c r="E39" s="596"/>
      <c r="F39" s="596"/>
      <c r="G39" s="596"/>
      <c r="H39" s="596"/>
      <c r="I39" s="596"/>
      <c r="J39" s="596"/>
      <c r="K39" s="596"/>
      <c r="L39" s="596"/>
      <c r="M39" s="596"/>
      <c r="N39" s="596"/>
      <c r="O39" s="596"/>
      <c r="P39" s="596"/>
      <c r="Q39" s="596"/>
      <c r="R39" s="596"/>
      <c r="S39" s="596"/>
      <c r="T39" s="596"/>
      <c r="U39" s="596"/>
      <c r="V39" s="596"/>
      <c r="W39" s="596"/>
      <c r="X39" s="596"/>
      <c r="Y39" s="596"/>
      <c r="Z39" s="596"/>
      <c r="AA39" s="596"/>
      <c r="AB39" s="596"/>
      <c r="AC39" s="596"/>
      <c r="AD39" s="596"/>
      <c r="AE39" s="596"/>
      <c r="AF39" s="596"/>
      <c r="AG39" s="596"/>
      <c r="AH39" s="596"/>
      <c r="AI39" s="596"/>
      <c r="AJ39" s="596"/>
      <c r="AK39" s="596"/>
      <c r="AL39" s="596"/>
      <c r="AM39" s="596"/>
      <c r="AN39" s="596"/>
      <c r="AO39" s="596"/>
      <c r="AP39" s="596"/>
      <c r="AQ39" s="596"/>
      <c r="AR39" s="596"/>
      <c r="AS39" s="596"/>
      <c r="AT39" s="596"/>
      <c r="AU39" s="596"/>
      <c r="AV39" s="596"/>
      <c r="AW39" s="596"/>
      <c r="AX39" s="596"/>
      <c r="AY39" s="596"/>
      <c r="AZ39" s="596"/>
      <c r="BA39" s="596"/>
      <c r="BB39" s="596"/>
      <c r="BC39" s="596">
        <v>44682848</v>
      </c>
      <c r="BD39" s="596">
        <v>698144510</v>
      </c>
      <c r="BE39" s="596">
        <v>698144510</v>
      </c>
      <c r="BF39" s="596"/>
      <c r="BG39" s="596"/>
      <c r="BH39" s="596"/>
      <c r="BI39" s="596"/>
      <c r="BJ39" s="596"/>
      <c r="BK39" s="596"/>
      <c r="BL39" s="11">
        <v>44682848</v>
      </c>
      <c r="BM39" s="11">
        <v>698144510</v>
      </c>
      <c r="BN39" s="11">
        <f>+'1.1 sz. Önkormányzat 2017.'!FM39+'1.2 sz Önkormányzat 2017.'!GP39+'1.3 sz.Önkormányzat 2017.B'!CA39</f>
        <v>698144510</v>
      </c>
      <c r="BO39" s="11">
        <v>0</v>
      </c>
      <c r="BP39" s="11">
        <v>0</v>
      </c>
      <c r="BQ39" s="11">
        <f>+CB39+'1.2 sz Önkormányzat 2017.'!GQ39+'1.1 sz. Önkormányzat 2017.'!FN39</f>
        <v>0</v>
      </c>
      <c r="BR39" s="11">
        <v>0</v>
      </c>
      <c r="BS39" s="11">
        <v>0</v>
      </c>
      <c r="BT39" s="11">
        <f>+CC39+'1.2 sz Önkormányzat 2017.'!GR39+'1.1 sz. Önkormányzat 2017.'!FO39</f>
        <v>0</v>
      </c>
      <c r="BU39" s="11">
        <v>44682848</v>
      </c>
      <c r="BV39" s="11">
        <v>698144510</v>
      </c>
      <c r="BW39" s="11">
        <f t="shared" si="0"/>
        <v>698144510</v>
      </c>
      <c r="BX39" s="11">
        <v>0</v>
      </c>
      <c r="BY39" s="11">
        <v>0</v>
      </c>
      <c r="BZ39" s="698">
        <f>+'1.2 sz Önkormányzat 2017.'!DR39+'1.2 sz Önkormányzat 2017.'!EM39</f>
        <v>0</v>
      </c>
      <c r="CA39" s="696">
        <f t="shared" si="1"/>
        <v>698144510</v>
      </c>
      <c r="CB39" s="696">
        <f t="shared" si="2"/>
        <v>0</v>
      </c>
      <c r="CD39" s="696">
        <f t="shared" si="3"/>
        <v>698144510</v>
      </c>
    </row>
    <row r="40" spans="1:85" ht="19.5" customHeight="1" x14ac:dyDescent="0.25">
      <c r="A40" s="9" t="s">
        <v>99</v>
      </c>
      <c r="B40" s="24" t="s">
        <v>98</v>
      </c>
      <c r="C40" s="582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6"/>
      <c r="AJ40" s="596"/>
      <c r="AK40" s="596"/>
      <c r="AL40" s="596"/>
      <c r="AM40" s="596"/>
      <c r="AN40" s="596"/>
      <c r="AO40" s="596"/>
      <c r="AP40" s="596"/>
      <c r="AQ40" s="596"/>
      <c r="AR40" s="596"/>
      <c r="AS40" s="596"/>
      <c r="AT40" s="596"/>
      <c r="AU40" s="596"/>
      <c r="AV40" s="596"/>
      <c r="AW40" s="596"/>
      <c r="AX40" s="596"/>
      <c r="AY40" s="596"/>
      <c r="AZ40" s="596"/>
      <c r="BA40" s="596"/>
      <c r="BB40" s="596"/>
      <c r="BC40" s="596">
        <v>70614340</v>
      </c>
      <c r="BD40" s="596">
        <v>234114340</v>
      </c>
      <c r="BE40" s="596">
        <v>234114340</v>
      </c>
      <c r="BF40" s="596"/>
      <c r="BG40" s="596"/>
      <c r="BH40" s="596"/>
      <c r="BI40" s="596"/>
      <c r="BJ40" s="596"/>
      <c r="BK40" s="596"/>
      <c r="BL40" s="11">
        <v>70614340</v>
      </c>
      <c r="BM40" s="11">
        <v>234114340</v>
      </c>
      <c r="BN40" s="11">
        <f>+'1.1 sz. Önkormányzat 2017.'!FM40+'1.2 sz Önkormányzat 2017.'!GP40+'1.3 sz.Önkormányzat 2017.B'!CA40</f>
        <v>234114340</v>
      </c>
      <c r="BO40" s="11">
        <v>0</v>
      </c>
      <c r="BP40" s="11">
        <v>0</v>
      </c>
      <c r="BQ40" s="11">
        <f>+CB40+'1.2 sz Önkormányzat 2017.'!GQ40+'1.1 sz. Önkormányzat 2017.'!FN40</f>
        <v>0</v>
      </c>
      <c r="BR40" s="11">
        <v>0</v>
      </c>
      <c r="BS40" s="11">
        <v>0</v>
      </c>
      <c r="BT40" s="11">
        <f>+CC40+'1.2 sz Önkormányzat 2017.'!GR40+'1.1 sz. Önkormányzat 2017.'!FO40</f>
        <v>0</v>
      </c>
      <c r="BU40" s="11">
        <v>70614340</v>
      </c>
      <c r="BV40" s="11">
        <v>234114340</v>
      </c>
      <c r="BW40" s="11">
        <f t="shared" si="0"/>
        <v>234114340</v>
      </c>
      <c r="BX40" s="11">
        <v>0</v>
      </c>
      <c r="BY40" s="11">
        <v>0</v>
      </c>
      <c r="BZ40" s="698">
        <f>+'1.2 sz Önkormányzat 2017.'!DR40+'1.2 sz Önkormányzat 2017.'!EM40</f>
        <v>0</v>
      </c>
      <c r="CA40" s="696">
        <f t="shared" si="1"/>
        <v>234114340</v>
      </c>
      <c r="CB40" s="696">
        <f t="shared" si="2"/>
        <v>0</v>
      </c>
      <c r="CD40" s="696">
        <f t="shared" si="3"/>
        <v>234114340</v>
      </c>
    </row>
    <row r="41" spans="1:85" ht="19.5" customHeight="1" x14ac:dyDescent="0.25">
      <c r="A41" s="9" t="s">
        <v>101</v>
      </c>
      <c r="B41" s="24" t="s">
        <v>100</v>
      </c>
      <c r="C41" s="582"/>
      <c r="D41" s="596"/>
      <c r="E41" s="596"/>
      <c r="F41" s="596"/>
      <c r="G41" s="596"/>
      <c r="H41" s="596"/>
      <c r="I41" s="596"/>
      <c r="J41" s="596"/>
      <c r="K41" s="596"/>
      <c r="L41" s="596"/>
      <c r="M41" s="596"/>
      <c r="N41" s="596"/>
      <c r="O41" s="596"/>
      <c r="P41" s="596"/>
      <c r="Q41" s="596"/>
      <c r="R41" s="596"/>
      <c r="S41" s="596"/>
      <c r="T41" s="596"/>
      <c r="U41" s="596"/>
      <c r="V41" s="596"/>
      <c r="W41" s="59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596"/>
      <c r="AK41" s="596"/>
      <c r="AL41" s="596"/>
      <c r="AM41" s="596"/>
      <c r="AN41" s="596"/>
      <c r="AO41" s="596"/>
      <c r="AP41" s="596"/>
      <c r="AQ41" s="596"/>
      <c r="AR41" s="596"/>
      <c r="AS41" s="596"/>
      <c r="AT41" s="596"/>
      <c r="AU41" s="596"/>
      <c r="AV41" s="596"/>
      <c r="AW41" s="596"/>
      <c r="AX41" s="596"/>
      <c r="AY41" s="596"/>
      <c r="AZ41" s="596"/>
      <c r="BA41" s="596"/>
      <c r="BB41" s="596"/>
      <c r="BC41" s="596"/>
      <c r="BD41" s="596">
        <f>BC41</f>
        <v>0</v>
      </c>
      <c r="BE41" s="596"/>
      <c r="BF41" s="596"/>
      <c r="BG41" s="596"/>
      <c r="BH41" s="596"/>
      <c r="BI41" s="596"/>
      <c r="BJ41" s="596"/>
      <c r="BK41" s="596"/>
      <c r="BL41" s="11">
        <v>0</v>
      </c>
      <c r="BM41" s="11">
        <v>0</v>
      </c>
      <c r="BN41" s="11">
        <f>+'1.1 sz. Önkormányzat 2017.'!FM41+'1.2 sz Önkormányzat 2017.'!GP41+'1.3 sz.Önkormányzat 2017.B'!CA41</f>
        <v>0</v>
      </c>
      <c r="BO41" s="11">
        <v>0</v>
      </c>
      <c r="BP41" s="11">
        <v>0</v>
      </c>
      <c r="BQ41" s="11">
        <f>+CB41+'1.2 sz Önkormányzat 2017.'!GQ41+'1.1 sz. Önkormányzat 2017.'!FN41</f>
        <v>0</v>
      </c>
      <c r="BR41" s="11">
        <v>0</v>
      </c>
      <c r="BS41" s="11">
        <v>0</v>
      </c>
      <c r="BT41" s="11">
        <f>+CC41+'1.2 sz Önkormányzat 2017.'!GR41+'1.1 sz. Önkormányzat 2017.'!FO41</f>
        <v>0</v>
      </c>
      <c r="BU41" s="11">
        <v>0</v>
      </c>
      <c r="BV41" s="11">
        <v>0</v>
      </c>
      <c r="BW41" s="11">
        <f t="shared" si="0"/>
        <v>0</v>
      </c>
      <c r="BX41" s="11">
        <v>0</v>
      </c>
      <c r="BY41" s="11">
        <v>0</v>
      </c>
      <c r="BZ41" s="698">
        <f>+'1.2 sz Önkormányzat 2017.'!DR41+'1.2 sz Önkormányzat 2017.'!EM41</f>
        <v>0</v>
      </c>
      <c r="CA41" s="696">
        <f t="shared" si="1"/>
        <v>0</v>
      </c>
      <c r="CB41" s="696">
        <f t="shared" si="2"/>
        <v>0</v>
      </c>
      <c r="CD41" s="696">
        <f t="shared" si="3"/>
        <v>0</v>
      </c>
    </row>
    <row r="42" spans="1:85" ht="19.5" customHeight="1" x14ac:dyDescent="0.25">
      <c r="A42" s="9" t="s">
        <v>103</v>
      </c>
      <c r="B42" s="24" t="s">
        <v>102</v>
      </c>
      <c r="C42" s="582"/>
      <c r="D42" s="596"/>
      <c r="E42" s="596"/>
      <c r="F42" s="596"/>
      <c r="G42" s="596"/>
      <c r="H42" s="596"/>
      <c r="I42" s="596"/>
      <c r="J42" s="596"/>
      <c r="K42" s="596"/>
      <c r="L42" s="596"/>
      <c r="M42" s="596"/>
      <c r="N42" s="596"/>
      <c r="O42" s="596"/>
      <c r="P42" s="596"/>
      <c r="Q42" s="596"/>
      <c r="R42" s="596"/>
      <c r="S42" s="596"/>
      <c r="T42" s="596"/>
      <c r="U42" s="596"/>
      <c r="V42" s="596"/>
      <c r="W42" s="596"/>
      <c r="X42" s="596"/>
      <c r="Y42" s="596"/>
      <c r="Z42" s="596"/>
      <c r="AA42" s="596"/>
      <c r="AB42" s="596"/>
      <c r="AC42" s="596"/>
      <c r="AD42" s="596"/>
      <c r="AE42" s="596"/>
      <c r="AF42" s="596"/>
      <c r="AG42" s="596"/>
      <c r="AH42" s="596"/>
      <c r="AI42" s="596"/>
      <c r="AJ42" s="596"/>
      <c r="AK42" s="596"/>
      <c r="AL42" s="596"/>
      <c r="AM42" s="596"/>
      <c r="AN42" s="596"/>
      <c r="AO42" s="596"/>
      <c r="AP42" s="596"/>
      <c r="AQ42" s="596"/>
      <c r="AR42" s="596"/>
      <c r="AS42" s="596"/>
      <c r="AT42" s="596"/>
      <c r="AU42" s="596"/>
      <c r="AV42" s="596"/>
      <c r="AW42" s="596"/>
      <c r="AX42" s="596"/>
      <c r="AY42" s="596"/>
      <c r="AZ42" s="596"/>
      <c r="BA42" s="596"/>
      <c r="BB42" s="596"/>
      <c r="BC42" s="596"/>
      <c r="BD42" s="596">
        <f>BC42</f>
        <v>0</v>
      </c>
      <c r="BE42" s="596"/>
      <c r="BF42" s="596"/>
      <c r="BG42" s="596"/>
      <c r="BH42" s="596"/>
      <c r="BI42" s="596"/>
      <c r="BJ42" s="596"/>
      <c r="BK42" s="596"/>
      <c r="BL42" s="11">
        <v>0</v>
      </c>
      <c r="BM42" s="11">
        <v>0</v>
      </c>
      <c r="BN42" s="11">
        <f>+'1.1 sz. Önkormányzat 2017.'!FM42+'1.2 sz Önkormányzat 2017.'!GP42+'1.3 sz.Önkormányzat 2017.B'!CA42</f>
        <v>0</v>
      </c>
      <c r="BO42" s="11">
        <v>0</v>
      </c>
      <c r="BP42" s="11">
        <v>0</v>
      </c>
      <c r="BQ42" s="11">
        <f>+CB42+'1.2 sz Önkormányzat 2017.'!GQ42+'1.1 sz. Önkormányzat 2017.'!FN42</f>
        <v>0</v>
      </c>
      <c r="BR42" s="11">
        <v>0</v>
      </c>
      <c r="BS42" s="11">
        <v>0</v>
      </c>
      <c r="BT42" s="11">
        <f>+CC42+'1.2 sz Önkormányzat 2017.'!GR42+'1.1 sz. Önkormányzat 2017.'!FO42</f>
        <v>0</v>
      </c>
      <c r="BU42" s="11">
        <v>0</v>
      </c>
      <c r="BV42" s="11">
        <v>0</v>
      </c>
      <c r="BW42" s="11">
        <f t="shared" si="0"/>
        <v>0</v>
      </c>
      <c r="BX42" s="11">
        <v>0</v>
      </c>
      <c r="BY42" s="11">
        <v>0</v>
      </c>
      <c r="BZ42" s="698">
        <f>+'1.2 sz Önkormányzat 2017.'!DR42+'1.2 sz Önkormányzat 2017.'!EM42</f>
        <v>0</v>
      </c>
      <c r="CA42" s="696">
        <f t="shared" si="1"/>
        <v>0</v>
      </c>
      <c r="CB42" s="696">
        <f t="shared" si="2"/>
        <v>0</v>
      </c>
      <c r="CD42" s="696">
        <f t="shared" si="3"/>
        <v>0</v>
      </c>
    </row>
    <row r="43" spans="1:85" ht="19.5" customHeight="1" x14ac:dyDescent="0.25">
      <c r="A43" s="9" t="s">
        <v>105</v>
      </c>
      <c r="B43" s="24" t="s">
        <v>104</v>
      </c>
      <c r="C43" s="582"/>
      <c r="D43" s="596"/>
      <c r="E43" s="596"/>
      <c r="F43" s="596"/>
      <c r="G43" s="596"/>
      <c r="H43" s="596"/>
      <c r="I43" s="596"/>
      <c r="J43" s="596"/>
      <c r="K43" s="596"/>
      <c r="L43" s="596"/>
      <c r="M43" s="596"/>
      <c r="N43" s="596"/>
      <c r="O43" s="596"/>
      <c r="P43" s="596"/>
      <c r="Q43" s="596"/>
      <c r="R43" s="596"/>
      <c r="S43" s="596"/>
      <c r="T43" s="596"/>
      <c r="U43" s="596"/>
      <c r="V43" s="596"/>
      <c r="W43" s="596"/>
      <c r="X43" s="596"/>
      <c r="Y43" s="596"/>
      <c r="Z43" s="596"/>
      <c r="AA43" s="596"/>
      <c r="AB43" s="596"/>
      <c r="AC43" s="596"/>
      <c r="AD43" s="596"/>
      <c r="AE43" s="596"/>
      <c r="AF43" s="596"/>
      <c r="AG43" s="596"/>
      <c r="AH43" s="596"/>
      <c r="AI43" s="596"/>
      <c r="AJ43" s="596"/>
      <c r="AK43" s="596"/>
      <c r="AL43" s="596"/>
      <c r="AM43" s="596"/>
      <c r="AN43" s="596"/>
      <c r="AO43" s="596"/>
      <c r="AP43" s="596"/>
      <c r="AQ43" s="596"/>
      <c r="AR43" s="596"/>
      <c r="AS43" s="596"/>
      <c r="AT43" s="596"/>
      <c r="AU43" s="596"/>
      <c r="AV43" s="596"/>
      <c r="AW43" s="596"/>
      <c r="AX43" s="596"/>
      <c r="AY43" s="596"/>
      <c r="AZ43" s="596"/>
      <c r="BA43" s="596"/>
      <c r="BB43" s="596"/>
      <c r="BC43" s="596"/>
      <c r="BD43" s="596">
        <f>BC43</f>
        <v>0</v>
      </c>
      <c r="BE43" s="596"/>
      <c r="BF43" s="596"/>
      <c r="BG43" s="596"/>
      <c r="BH43" s="596"/>
      <c r="BI43" s="596"/>
      <c r="BJ43" s="596"/>
      <c r="BK43" s="596"/>
      <c r="BL43" s="11">
        <v>0</v>
      </c>
      <c r="BM43" s="11">
        <v>0</v>
      </c>
      <c r="BN43" s="11">
        <f>+'1.1 sz. Önkormányzat 2017.'!FM43+'1.2 sz Önkormányzat 2017.'!GP43+'1.3 sz.Önkormányzat 2017.B'!CA43</f>
        <v>0</v>
      </c>
      <c r="BO43" s="11">
        <v>0</v>
      </c>
      <c r="BP43" s="11">
        <v>0</v>
      </c>
      <c r="BQ43" s="11">
        <f>+CB43+'1.2 sz Önkormányzat 2017.'!GQ43+'1.1 sz. Önkormányzat 2017.'!FN43</f>
        <v>0</v>
      </c>
      <c r="BR43" s="11">
        <v>0</v>
      </c>
      <c r="BS43" s="11">
        <v>0</v>
      </c>
      <c r="BT43" s="11">
        <f>+CC43+'1.2 sz Önkormányzat 2017.'!GR43+'1.1 sz. Önkormányzat 2017.'!FO43</f>
        <v>0</v>
      </c>
      <c r="BU43" s="11">
        <v>0</v>
      </c>
      <c r="BV43" s="11">
        <v>0</v>
      </c>
      <c r="BW43" s="11">
        <f t="shared" si="0"/>
        <v>0</v>
      </c>
      <c r="BX43" s="11">
        <v>0</v>
      </c>
      <c r="BY43" s="11">
        <v>0</v>
      </c>
      <c r="BZ43" s="698">
        <f>+'1.2 sz Önkormányzat 2017.'!DR43+'1.2 sz Önkormányzat 2017.'!EM43</f>
        <v>0</v>
      </c>
      <c r="CA43" s="696">
        <f t="shared" si="1"/>
        <v>0</v>
      </c>
      <c r="CB43" s="696">
        <f t="shared" si="2"/>
        <v>0</v>
      </c>
      <c r="CD43" s="696">
        <f t="shared" si="3"/>
        <v>0</v>
      </c>
    </row>
    <row r="44" spans="1:85" ht="19.5" customHeight="1" x14ac:dyDescent="0.25">
      <c r="A44" s="9" t="s">
        <v>107</v>
      </c>
      <c r="B44" s="25" t="s">
        <v>106</v>
      </c>
      <c r="C44" s="576"/>
      <c r="D44" s="624">
        <f>+D29+D31+D32+D34+D39+D41</f>
        <v>745668457</v>
      </c>
      <c r="E44" s="624">
        <f t="shared" ref="E44:BJ44" si="14">+E29+E31+E32+E34+E39+E41</f>
        <v>816955381</v>
      </c>
      <c r="F44" s="624">
        <f t="shared" si="14"/>
        <v>816955381</v>
      </c>
      <c r="G44" s="624">
        <f t="shared" si="14"/>
        <v>0</v>
      </c>
      <c r="H44" s="624">
        <f t="shared" si="14"/>
        <v>0</v>
      </c>
      <c r="I44" s="624"/>
      <c r="J44" s="624">
        <f t="shared" si="14"/>
        <v>0</v>
      </c>
      <c r="K44" s="624">
        <f t="shared" si="14"/>
        <v>0</v>
      </c>
      <c r="L44" s="624"/>
      <c r="M44" s="624">
        <f t="shared" si="14"/>
        <v>1500000</v>
      </c>
      <c r="N44" s="624">
        <f t="shared" si="14"/>
        <v>613575</v>
      </c>
      <c r="O44" s="624">
        <f>+O29+O31+O32+O34+O39+O41+O37</f>
        <v>5020613575</v>
      </c>
      <c r="P44" s="624">
        <f t="shared" si="14"/>
        <v>455000000</v>
      </c>
      <c r="Q44" s="624">
        <f t="shared" si="14"/>
        <v>506101156</v>
      </c>
      <c r="R44" s="624">
        <f t="shared" si="14"/>
        <v>489271521</v>
      </c>
      <c r="S44" s="624">
        <f t="shared" si="14"/>
        <v>135000000</v>
      </c>
      <c r="T44" s="624">
        <f t="shared" si="14"/>
        <v>148824754</v>
      </c>
      <c r="U44" s="624">
        <f t="shared" si="14"/>
        <v>138648136</v>
      </c>
      <c r="V44" s="624">
        <f t="shared" si="14"/>
        <v>22200000</v>
      </c>
      <c r="W44" s="624">
        <f t="shared" si="14"/>
        <v>24694162</v>
      </c>
      <c r="X44" s="624">
        <f t="shared" si="14"/>
        <v>23115663</v>
      </c>
      <c r="Y44" s="624">
        <f t="shared" si="14"/>
        <v>160000</v>
      </c>
      <c r="Z44" s="624">
        <f t="shared" si="14"/>
        <v>144000</v>
      </c>
      <c r="AA44" s="624">
        <f t="shared" si="14"/>
        <v>138000</v>
      </c>
      <c r="AB44" s="624">
        <f t="shared" si="14"/>
        <v>20000</v>
      </c>
      <c r="AC44" s="624">
        <f t="shared" si="14"/>
        <v>20000</v>
      </c>
      <c r="AD44" s="624">
        <f t="shared" si="14"/>
        <v>0</v>
      </c>
      <c r="AE44" s="624">
        <f t="shared" si="14"/>
        <v>2200000000</v>
      </c>
      <c r="AF44" s="624">
        <f t="shared" si="14"/>
        <v>2732733963</v>
      </c>
      <c r="AG44" s="624">
        <f t="shared" si="14"/>
        <v>2678394364</v>
      </c>
      <c r="AH44" s="624">
        <f t="shared" si="14"/>
        <v>95000000</v>
      </c>
      <c r="AI44" s="624">
        <f t="shared" si="14"/>
        <v>107332809</v>
      </c>
      <c r="AJ44" s="624">
        <f t="shared" si="14"/>
        <v>100912508</v>
      </c>
      <c r="AK44" s="624">
        <f t="shared" si="14"/>
        <v>440000</v>
      </c>
      <c r="AL44" s="624">
        <f t="shared" si="14"/>
        <v>533500</v>
      </c>
      <c r="AM44" s="624">
        <f t="shared" si="14"/>
        <v>648300</v>
      </c>
      <c r="AN44" s="624">
        <f t="shared" si="14"/>
        <v>56219979</v>
      </c>
      <c r="AO44" s="624">
        <f t="shared" si="14"/>
        <v>60067271</v>
      </c>
      <c r="AP44" s="624">
        <f t="shared" si="14"/>
        <v>59013853</v>
      </c>
      <c r="AQ44" s="624">
        <f t="shared" si="14"/>
        <v>140000</v>
      </c>
      <c r="AR44" s="624">
        <f t="shared" si="14"/>
        <v>140000</v>
      </c>
      <c r="AS44" s="624"/>
      <c r="AT44" s="624">
        <f t="shared" si="14"/>
        <v>0</v>
      </c>
      <c r="AU44" s="624">
        <f t="shared" si="14"/>
        <v>0</v>
      </c>
      <c r="AV44" s="624">
        <f t="shared" si="14"/>
        <v>0</v>
      </c>
      <c r="AW44" s="624">
        <f t="shared" si="14"/>
        <v>0</v>
      </c>
      <c r="AX44" s="624">
        <v>35656949</v>
      </c>
      <c r="AY44" s="624">
        <f>+AY37</f>
        <v>104468890</v>
      </c>
      <c r="AZ44" s="624">
        <f t="shared" si="14"/>
        <v>0</v>
      </c>
      <c r="BA44" s="624">
        <f t="shared" si="14"/>
        <v>358832</v>
      </c>
      <c r="BB44" s="624">
        <f t="shared" si="14"/>
        <v>358832</v>
      </c>
      <c r="BC44" s="624">
        <f t="shared" si="14"/>
        <v>44682848</v>
      </c>
      <c r="BD44" s="624">
        <f t="shared" si="14"/>
        <v>788093660</v>
      </c>
      <c r="BE44" s="624">
        <f t="shared" si="14"/>
        <v>787803132</v>
      </c>
      <c r="BF44" s="624">
        <f t="shared" si="14"/>
        <v>5000000</v>
      </c>
      <c r="BG44" s="624">
        <f t="shared" si="14"/>
        <v>19515266</v>
      </c>
      <c r="BH44" s="624">
        <f t="shared" si="14"/>
        <v>4917581</v>
      </c>
      <c r="BI44" s="624">
        <f t="shared" si="14"/>
        <v>70655516</v>
      </c>
      <c r="BJ44" s="624">
        <f t="shared" si="14"/>
        <v>0</v>
      </c>
      <c r="BK44" s="624"/>
      <c r="BL44" s="26">
        <v>4049729712</v>
      </c>
      <c r="BM44" s="26">
        <v>5523038199</v>
      </c>
      <c r="BN44" s="11">
        <f>+'1.1 sz. Önkormányzat 2017.'!FM44+'1.2 sz Önkormányzat 2017.'!GP44+'1.3 sz.Önkormányzat 2017.B'!CA44</f>
        <v>10406370766</v>
      </c>
      <c r="BO44" s="26">
        <v>30120000</v>
      </c>
      <c r="BP44" s="26">
        <v>138060631</v>
      </c>
      <c r="BQ44" s="11">
        <f>+CB44+'1.2 sz Önkormányzat 2017.'!GQ44+'1.1 sz. Önkormányzat 2017.'!FN44</f>
        <v>137780141</v>
      </c>
      <c r="BR44" s="11">
        <v>0</v>
      </c>
      <c r="BS44" s="11">
        <v>0</v>
      </c>
      <c r="BT44" s="11">
        <f>+CC44+'1.2 sz Önkormányzat 2017.'!GR44+'1.1 sz. Önkormányzat 2017.'!FO44</f>
        <v>0</v>
      </c>
      <c r="BU44" s="26">
        <v>4079849712</v>
      </c>
      <c r="BV44" s="26">
        <v>5661098830</v>
      </c>
      <c r="BW44" s="11">
        <f t="shared" si="0"/>
        <v>10544150907</v>
      </c>
      <c r="BX44" s="11">
        <v>0</v>
      </c>
      <c r="BY44" s="699">
        <v>74464907</v>
      </c>
      <c r="BZ44" s="698">
        <f>+'1.2 sz Önkormányzat 2017.'!DR44+'1.2 sz Önkormányzat 2017.'!EM44</f>
        <v>74464907</v>
      </c>
      <c r="CA44" s="696">
        <f t="shared" si="1"/>
        <v>10120432014</v>
      </c>
      <c r="CB44" s="696">
        <f t="shared" si="2"/>
        <v>104827722</v>
      </c>
      <c r="CD44" s="696">
        <f t="shared" si="3"/>
        <v>10225259736</v>
      </c>
    </row>
    <row r="45" spans="1:85" ht="19.5" customHeight="1" x14ac:dyDescent="0.25">
      <c r="A45" s="9" t="s">
        <v>109</v>
      </c>
      <c r="B45" s="25" t="s">
        <v>108</v>
      </c>
      <c r="C45" s="576"/>
      <c r="D45" s="624">
        <f>+D30+D33+D35+D40+D42+D43</f>
        <v>0</v>
      </c>
      <c r="E45" s="624">
        <f t="shared" ref="E45:BJ45" si="15">+E30+E33+E35+E40+E42+E43</f>
        <v>0</v>
      </c>
      <c r="F45" s="624">
        <f t="shared" si="15"/>
        <v>0</v>
      </c>
      <c r="G45" s="624">
        <f t="shared" si="15"/>
        <v>0</v>
      </c>
      <c r="H45" s="624">
        <f t="shared" si="15"/>
        <v>0</v>
      </c>
      <c r="I45" s="624"/>
      <c r="J45" s="624">
        <f t="shared" si="15"/>
        <v>0</v>
      </c>
      <c r="K45" s="624">
        <f t="shared" si="15"/>
        <v>0</v>
      </c>
      <c r="L45" s="624"/>
      <c r="M45" s="624">
        <f t="shared" si="15"/>
        <v>0</v>
      </c>
      <c r="N45" s="624">
        <f t="shared" si="15"/>
        <v>0</v>
      </c>
      <c r="O45" s="624">
        <f t="shared" si="15"/>
        <v>0</v>
      </c>
      <c r="P45" s="624">
        <f t="shared" si="15"/>
        <v>0</v>
      </c>
      <c r="Q45" s="624">
        <f t="shared" si="15"/>
        <v>0</v>
      </c>
      <c r="R45" s="624">
        <f t="shared" si="15"/>
        <v>0</v>
      </c>
      <c r="S45" s="624">
        <f t="shared" si="15"/>
        <v>0</v>
      </c>
      <c r="T45" s="624">
        <f t="shared" si="15"/>
        <v>0</v>
      </c>
      <c r="U45" s="624">
        <f t="shared" si="15"/>
        <v>0</v>
      </c>
      <c r="V45" s="624">
        <f t="shared" si="15"/>
        <v>0</v>
      </c>
      <c r="W45" s="624">
        <f t="shared" si="15"/>
        <v>0</v>
      </c>
      <c r="X45" s="624">
        <f t="shared" si="15"/>
        <v>0</v>
      </c>
      <c r="Y45" s="624">
        <f t="shared" si="15"/>
        <v>0</v>
      </c>
      <c r="Z45" s="624">
        <f t="shared" si="15"/>
        <v>0</v>
      </c>
      <c r="AA45" s="624">
        <f t="shared" si="15"/>
        <v>0</v>
      </c>
      <c r="AB45" s="624">
        <f t="shared" si="15"/>
        <v>0</v>
      </c>
      <c r="AC45" s="624">
        <f t="shared" si="15"/>
        <v>0</v>
      </c>
      <c r="AD45" s="624">
        <f t="shared" si="15"/>
        <v>0</v>
      </c>
      <c r="AE45" s="624">
        <f t="shared" si="15"/>
        <v>0</v>
      </c>
      <c r="AF45" s="624">
        <f t="shared" si="15"/>
        <v>0</v>
      </c>
      <c r="AG45" s="624">
        <f t="shared" si="15"/>
        <v>0</v>
      </c>
      <c r="AH45" s="624">
        <f t="shared" si="15"/>
        <v>0</v>
      </c>
      <c r="AI45" s="624">
        <f t="shared" si="15"/>
        <v>0</v>
      </c>
      <c r="AJ45" s="624">
        <f t="shared" si="15"/>
        <v>0</v>
      </c>
      <c r="AK45" s="624">
        <f t="shared" si="15"/>
        <v>0</v>
      </c>
      <c r="AL45" s="624">
        <f t="shared" si="15"/>
        <v>0</v>
      </c>
      <c r="AM45" s="624">
        <f t="shared" si="15"/>
        <v>0</v>
      </c>
      <c r="AN45" s="624">
        <f t="shared" si="15"/>
        <v>0</v>
      </c>
      <c r="AO45" s="624">
        <f t="shared" si="15"/>
        <v>0</v>
      </c>
      <c r="AP45" s="624">
        <f t="shared" si="15"/>
        <v>0</v>
      </c>
      <c r="AQ45" s="624">
        <f t="shared" si="15"/>
        <v>0</v>
      </c>
      <c r="AR45" s="624">
        <f t="shared" si="15"/>
        <v>0</v>
      </c>
      <c r="AS45" s="624"/>
      <c r="AT45" s="624">
        <f t="shared" si="15"/>
        <v>601200</v>
      </c>
      <c r="AU45" s="624">
        <f t="shared" si="15"/>
        <v>601200</v>
      </c>
      <c r="AV45" s="624">
        <f t="shared" si="15"/>
        <v>601200</v>
      </c>
      <c r="AW45" s="624">
        <f t="shared" si="15"/>
        <v>0</v>
      </c>
      <c r="AX45" s="624">
        <f t="shared" si="15"/>
        <v>0</v>
      </c>
      <c r="AY45" s="624">
        <f t="shared" si="15"/>
        <v>0</v>
      </c>
      <c r="AZ45" s="624">
        <f t="shared" si="15"/>
        <v>181626200</v>
      </c>
      <c r="BA45" s="624">
        <f t="shared" si="15"/>
        <v>44668027</v>
      </c>
      <c r="BB45" s="624">
        <f t="shared" si="15"/>
        <v>44668027</v>
      </c>
      <c r="BC45" s="624">
        <f t="shared" si="15"/>
        <v>70614340</v>
      </c>
      <c r="BD45" s="624">
        <f t="shared" si="15"/>
        <v>234114340</v>
      </c>
      <c r="BE45" s="624">
        <f t="shared" si="15"/>
        <v>234114340</v>
      </c>
      <c r="BF45" s="624">
        <f t="shared" si="15"/>
        <v>0</v>
      </c>
      <c r="BG45" s="624">
        <f t="shared" si="15"/>
        <v>0</v>
      </c>
      <c r="BH45" s="624">
        <f t="shared" si="15"/>
        <v>0</v>
      </c>
      <c r="BI45" s="624">
        <f t="shared" si="15"/>
        <v>0</v>
      </c>
      <c r="BJ45" s="624">
        <f t="shared" si="15"/>
        <v>0</v>
      </c>
      <c r="BK45" s="624"/>
      <c r="BL45" s="26">
        <v>70614340</v>
      </c>
      <c r="BM45" s="26">
        <v>799946249</v>
      </c>
      <c r="BN45" s="11">
        <f>+'1.1 sz. Önkormányzat 2017.'!FM45+'1.2 sz Önkormányzat 2017.'!GP45+'1.3 sz.Önkormányzat 2017.B'!CA45</f>
        <v>751446268</v>
      </c>
      <c r="BO45" s="26">
        <v>182227400</v>
      </c>
      <c r="BP45" s="26">
        <v>51029227</v>
      </c>
      <c r="BQ45" s="11">
        <f>+CB45+'1.2 sz Önkormányzat 2017.'!GQ45+'1.1 sz. Önkormányzat 2017.'!FN45</f>
        <v>48029227</v>
      </c>
      <c r="BR45" s="11">
        <v>0</v>
      </c>
      <c r="BS45" s="11">
        <v>0</v>
      </c>
      <c r="BT45" s="11">
        <f>+CC45+'1.2 sz Önkormányzat 2017.'!GR45+'1.1 sz. Önkormányzat 2017.'!FO45</f>
        <v>0</v>
      </c>
      <c r="BU45" s="26">
        <v>252841740</v>
      </c>
      <c r="BV45" s="26">
        <v>850975476</v>
      </c>
      <c r="BW45" s="11">
        <f t="shared" si="0"/>
        <v>799475495</v>
      </c>
      <c r="BX45" s="11">
        <v>0</v>
      </c>
      <c r="BY45" s="699">
        <v>304029281</v>
      </c>
      <c r="BZ45" s="698">
        <f>+'1.2 sz Önkormányzat 2017.'!DR45+'1.2 sz Önkormányzat 2017.'!EM45</f>
        <v>304029281</v>
      </c>
      <c r="CA45" s="696">
        <f t="shared" si="1"/>
        <v>234114340</v>
      </c>
      <c r="CB45" s="696">
        <f t="shared" si="2"/>
        <v>45269227</v>
      </c>
      <c r="CD45" s="696">
        <f t="shared" si="3"/>
        <v>279383567</v>
      </c>
    </row>
    <row r="46" spans="1:85" ht="19.5" customHeight="1" x14ac:dyDescent="0.25">
      <c r="A46" s="9" t="s">
        <v>111</v>
      </c>
      <c r="B46" s="25" t="s">
        <v>110</v>
      </c>
      <c r="C46" s="576"/>
      <c r="D46" s="625">
        <f>+D44+D45</f>
        <v>745668457</v>
      </c>
      <c r="E46" s="625">
        <f t="shared" ref="E46:BJ46" si="16">+E44+E45</f>
        <v>816955381</v>
      </c>
      <c r="F46" s="625">
        <f t="shared" si="16"/>
        <v>816955381</v>
      </c>
      <c r="G46" s="625">
        <f t="shared" si="16"/>
        <v>0</v>
      </c>
      <c r="H46" s="625">
        <f t="shared" si="16"/>
        <v>0</v>
      </c>
      <c r="I46" s="625"/>
      <c r="J46" s="625">
        <f t="shared" si="16"/>
        <v>0</v>
      </c>
      <c r="K46" s="625">
        <f t="shared" si="16"/>
        <v>0</v>
      </c>
      <c r="L46" s="625"/>
      <c r="M46" s="625">
        <f t="shared" si="16"/>
        <v>1500000</v>
      </c>
      <c r="N46" s="625">
        <f t="shared" si="16"/>
        <v>613575</v>
      </c>
      <c r="O46" s="625">
        <f t="shared" si="16"/>
        <v>5020613575</v>
      </c>
      <c r="P46" s="625">
        <f t="shared" si="16"/>
        <v>455000000</v>
      </c>
      <c r="Q46" s="625">
        <f t="shared" si="16"/>
        <v>506101156</v>
      </c>
      <c r="R46" s="625">
        <f t="shared" si="16"/>
        <v>489271521</v>
      </c>
      <c r="S46" s="625">
        <f t="shared" si="16"/>
        <v>135000000</v>
      </c>
      <c r="T46" s="625">
        <f t="shared" si="16"/>
        <v>148824754</v>
      </c>
      <c r="U46" s="625">
        <f t="shared" si="16"/>
        <v>138648136</v>
      </c>
      <c r="V46" s="625">
        <f t="shared" si="16"/>
        <v>22200000</v>
      </c>
      <c r="W46" s="625">
        <f t="shared" si="16"/>
        <v>24694162</v>
      </c>
      <c r="X46" s="625">
        <f t="shared" si="16"/>
        <v>23115663</v>
      </c>
      <c r="Y46" s="625">
        <f t="shared" si="16"/>
        <v>160000</v>
      </c>
      <c r="Z46" s="625">
        <f t="shared" si="16"/>
        <v>144000</v>
      </c>
      <c r="AA46" s="625">
        <f t="shared" si="16"/>
        <v>138000</v>
      </c>
      <c r="AB46" s="625">
        <f t="shared" si="16"/>
        <v>20000</v>
      </c>
      <c r="AC46" s="625">
        <f t="shared" si="16"/>
        <v>20000</v>
      </c>
      <c r="AD46" s="625">
        <f t="shared" si="16"/>
        <v>0</v>
      </c>
      <c r="AE46" s="625">
        <f t="shared" si="16"/>
        <v>2200000000</v>
      </c>
      <c r="AF46" s="625">
        <f t="shared" si="16"/>
        <v>2732733963</v>
      </c>
      <c r="AG46" s="625">
        <f t="shared" si="16"/>
        <v>2678394364</v>
      </c>
      <c r="AH46" s="625">
        <f t="shared" si="16"/>
        <v>95000000</v>
      </c>
      <c r="AI46" s="625">
        <f t="shared" si="16"/>
        <v>107332809</v>
      </c>
      <c r="AJ46" s="625">
        <f t="shared" si="16"/>
        <v>100912508</v>
      </c>
      <c r="AK46" s="625">
        <f t="shared" si="16"/>
        <v>440000</v>
      </c>
      <c r="AL46" s="625">
        <f t="shared" si="16"/>
        <v>533500</v>
      </c>
      <c r="AM46" s="625">
        <f t="shared" si="16"/>
        <v>648300</v>
      </c>
      <c r="AN46" s="625">
        <f t="shared" si="16"/>
        <v>56219979</v>
      </c>
      <c r="AO46" s="625">
        <f t="shared" si="16"/>
        <v>60067271</v>
      </c>
      <c r="AP46" s="625">
        <f t="shared" si="16"/>
        <v>59013853</v>
      </c>
      <c r="AQ46" s="625">
        <f t="shared" si="16"/>
        <v>140000</v>
      </c>
      <c r="AR46" s="625">
        <f t="shared" si="16"/>
        <v>140000</v>
      </c>
      <c r="AS46" s="625"/>
      <c r="AT46" s="625">
        <f t="shared" si="16"/>
        <v>601200</v>
      </c>
      <c r="AU46" s="625">
        <f t="shared" si="16"/>
        <v>601200</v>
      </c>
      <c r="AV46" s="625">
        <f t="shared" si="16"/>
        <v>601200</v>
      </c>
      <c r="AW46" s="625">
        <f t="shared" si="16"/>
        <v>0</v>
      </c>
      <c r="AX46" s="625">
        <f t="shared" si="16"/>
        <v>35656949</v>
      </c>
      <c r="AY46" s="625">
        <f t="shared" si="16"/>
        <v>104468890</v>
      </c>
      <c r="AZ46" s="625">
        <f t="shared" si="16"/>
        <v>181626200</v>
      </c>
      <c r="BA46" s="625">
        <f t="shared" si="16"/>
        <v>45026859</v>
      </c>
      <c r="BB46" s="625">
        <f t="shared" si="16"/>
        <v>45026859</v>
      </c>
      <c r="BC46" s="625">
        <f t="shared" si="16"/>
        <v>115297188</v>
      </c>
      <c r="BD46" s="625">
        <f t="shared" si="16"/>
        <v>1022208000</v>
      </c>
      <c r="BE46" s="625">
        <f t="shared" si="16"/>
        <v>1021917472</v>
      </c>
      <c r="BF46" s="625">
        <f t="shared" si="16"/>
        <v>5000000</v>
      </c>
      <c r="BG46" s="625">
        <f t="shared" si="16"/>
        <v>19515266</v>
      </c>
      <c r="BH46" s="625">
        <f t="shared" si="16"/>
        <v>4917581</v>
      </c>
      <c r="BI46" s="625">
        <f t="shared" si="16"/>
        <v>70655516</v>
      </c>
      <c r="BJ46" s="625">
        <f t="shared" si="16"/>
        <v>0</v>
      </c>
      <c r="BK46" s="625"/>
      <c r="BL46" s="26">
        <v>4120344052</v>
      </c>
      <c r="BM46" s="26">
        <v>6322984448</v>
      </c>
      <c r="BN46" s="11">
        <f>+'1.1 sz. Önkormányzat 2017.'!FM46+'1.2 sz Önkormányzat 2017.'!GP46+'1.3 sz.Önkormányzat 2017.B'!CA46</f>
        <v>11157817034</v>
      </c>
      <c r="BO46" s="26">
        <v>212347400</v>
      </c>
      <c r="BP46" s="26">
        <v>189089858</v>
      </c>
      <c r="BQ46" s="11">
        <f>+CB46+'1.2 sz Önkormányzat 2017.'!GQ46+'1.1 sz. Önkormányzat 2017.'!FN46</f>
        <v>185809368</v>
      </c>
      <c r="BR46" s="11">
        <v>0</v>
      </c>
      <c r="BS46" s="11">
        <v>0</v>
      </c>
      <c r="BT46" s="11">
        <f>+CC46+'1.2 sz Önkormányzat 2017.'!GR46+'1.1 sz. Önkormányzat 2017.'!FO46</f>
        <v>0</v>
      </c>
      <c r="BU46" s="26">
        <v>4332691452</v>
      </c>
      <c r="BV46" s="26">
        <v>6512074306</v>
      </c>
      <c r="BW46" s="11">
        <f t="shared" si="0"/>
        <v>11343626402</v>
      </c>
      <c r="BX46" s="11">
        <v>0</v>
      </c>
      <c r="BY46" s="699">
        <v>378494188</v>
      </c>
      <c r="BZ46" s="698">
        <f>+'1.2 sz Önkormányzat 2017.'!DR46+'1.2 sz Önkormányzat 2017.'!EM46</f>
        <v>378494188</v>
      </c>
      <c r="CA46" s="696">
        <f t="shared" si="1"/>
        <v>10354546354</v>
      </c>
      <c r="CB46" s="696">
        <f t="shared" si="2"/>
        <v>150096949</v>
      </c>
      <c r="CD46" s="696">
        <f t="shared" si="3"/>
        <v>10504643303</v>
      </c>
      <c r="CF46" s="696">
        <f>+CD46-CD45-CD44</f>
        <v>0</v>
      </c>
    </row>
    <row r="47" spans="1:85" ht="19.5" customHeight="1" x14ac:dyDescent="0.25">
      <c r="A47" s="9" t="s">
        <v>113</v>
      </c>
      <c r="B47" s="25" t="s">
        <v>112</v>
      </c>
      <c r="C47" s="576"/>
      <c r="D47" s="598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8"/>
      <c r="T47" s="598"/>
      <c r="U47" s="598"/>
      <c r="V47" s="598"/>
      <c r="W47" s="598"/>
      <c r="X47" s="598"/>
      <c r="Y47" s="598"/>
      <c r="Z47" s="598"/>
      <c r="AA47" s="598"/>
      <c r="AB47" s="598"/>
      <c r="AC47" s="598"/>
      <c r="AD47" s="598"/>
      <c r="AE47" s="598"/>
      <c r="AF47" s="598"/>
      <c r="AG47" s="598"/>
      <c r="AH47" s="598"/>
      <c r="AI47" s="598"/>
      <c r="AJ47" s="598"/>
      <c r="AK47" s="598"/>
      <c r="AL47" s="598"/>
      <c r="AM47" s="598"/>
      <c r="AN47" s="598"/>
      <c r="AO47" s="598"/>
      <c r="AP47" s="598"/>
      <c r="AQ47" s="598"/>
      <c r="AR47" s="598"/>
      <c r="AS47" s="598"/>
      <c r="AT47" s="598"/>
      <c r="AU47" s="598"/>
      <c r="AV47" s="598"/>
      <c r="AW47" s="598"/>
      <c r="AX47" s="598"/>
      <c r="AY47" s="598"/>
      <c r="AZ47" s="598"/>
      <c r="BA47" s="598"/>
      <c r="BB47" s="598"/>
      <c r="BC47" s="598"/>
      <c r="BD47" s="598"/>
      <c r="BE47" s="598"/>
      <c r="BF47" s="598"/>
      <c r="BG47" s="598"/>
      <c r="BH47" s="598"/>
      <c r="BI47" s="598"/>
      <c r="BJ47" s="598"/>
      <c r="BK47" s="598"/>
      <c r="BL47" s="11">
        <v>21</v>
      </c>
      <c r="BM47" s="11">
        <v>12</v>
      </c>
      <c r="BN47" s="592">
        <f>+'1.1 sz. Önkormányzat 2017.'!FM47+'1.2 sz Önkormányzat 2017.'!GP47+'1.3 sz.Önkormányzat 2017.B'!CA47</f>
        <v>10.050000000000001</v>
      </c>
      <c r="BO47" s="592">
        <v>4</v>
      </c>
      <c r="BP47" s="592">
        <v>5</v>
      </c>
      <c r="BQ47" s="592">
        <f>+CB47+'1.2 sz Önkormányzat 2017.'!GQ47+'1.1 sz. Önkormányzat 2017.'!FN47</f>
        <v>5</v>
      </c>
      <c r="BR47" s="592">
        <v>0</v>
      </c>
      <c r="BS47" s="592">
        <v>0</v>
      </c>
      <c r="BT47" s="592">
        <f>+CC47+'1.2 sz Önkormányzat 2017.'!GR47+'1.1 sz. Önkormányzat 2017.'!FO47</f>
        <v>0</v>
      </c>
      <c r="BU47" s="592">
        <v>25</v>
      </c>
      <c r="BV47" s="592">
        <v>17</v>
      </c>
      <c r="BW47" s="844">
        <f>+BN47+BQ47+BT47</f>
        <v>15.05</v>
      </c>
      <c r="BX47" s="11">
        <v>0</v>
      </c>
      <c r="BY47" s="698"/>
      <c r="BZ47" s="698">
        <f>+'1.2 sz Önkormányzat 2017.'!DR47+'1.2 sz Önkormányzat 2017.'!EM47</f>
        <v>0</v>
      </c>
      <c r="CA47" s="696">
        <f t="shared" si="1"/>
        <v>0</v>
      </c>
      <c r="CB47" s="696">
        <f t="shared" si="2"/>
        <v>0</v>
      </c>
      <c r="CD47" s="696">
        <f t="shared" si="3"/>
        <v>0</v>
      </c>
    </row>
    <row r="48" spans="1:85" ht="19.5" customHeight="1" x14ac:dyDescent="0.25">
      <c r="A48" s="9" t="s">
        <v>250</v>
      </c>
      <c r="B48" s="25" t="s">
        <v>114</v>
      </c>
      <c r="C48" s="576"/>
      <c r="D48" s="598"/>
      <c r="E48" s="598"/>
      <c r="F48" s="598"/>
      <c r="G48" s="598"/>
      <c r="H48" s="598"/>
      <c r="I48" s="598"/>
      <c r="J48" s="598"/>
      <c r="K48" s="598"/>
      <c r="L48" s="598"/>
      <c r="M48" s="598"/>
      <c r="N48" s="598"/>
      <c r="O48" s="598"/>
      <c r="P48" s="598"/>
      <c r="Q48" s="598"/>
      <c r="R48" s="598"/>
      <c r="S48" s="598"/>
      <c r="T48" s="598"/>
      <c r="U48" s="598"/>
      <c r="V48" s="598"/>
      <c r="W48" s="598"/>
      <c r="X48" s="598"/>
      <c r="Y48" s="598"/>
      <c r="Z48" s="598"/>
      <c r="AA48" s="598"/>
      <c r="AB48" s="598"/>
      <c r="AC48" s="598"/>
      <c r="AD48" s="598"/>
      <c r="AE48" s="598"/>
      <c r="AF48" s="598"/>
      <c r="AG48" s="598"/>
      <c r="AH48" s="598"/>
      <c r="AI48" s="598"/>
      <c r="AJ48" s="598"/>
      <c r="AK48" s="598"/>
      <c r="AL48" s="598"/>
      <c r="AM48" s="598"/>
      <c r="AN48" s="598"/>
      <c r="AO48" s="598"/>
      <c r="AP48" s="598"/>
      <c r="AQ48" s="598"/>
      <c r="AR48" s="598"/>
      <c r="AS48" s="598"/>
      <c r="AT48" s="598"/>
      <c r="AU48" s="598"/>
      <c r="AV48" s="598"/>
      <c r="AW48" s="598"/>
      <c r="AX48" s="598"/>
      <c r="AY48" s="598"/>
      <c r="AZ48" s="598"/>
      <c r="BA48" s="598"/>
      <c r="BB48" s="598"/>
      <c r="BC48" s="598"/>
      <c r="BD48" s="598"/>
      <c r="BE48" s="598"/>
      <c r="BF48" s="598"/>
      <c r="BG48" s="598"/>
      <c r="BH48" s="598"/>
      <c r="BI48" s="598"/>
      <c r="BJ48" s="598"/>
      <c r="BK48" s="598"/>
      <c r="BL48" s="11">
        <v>651664033</v>
      </c>
      <c r="BM48" s="11">
        <v>0</v>
      </c>
      <c r="BN48" s="11"/>
      <c r="BO48" s="11">
        <v>98800000</v>
      </c>
      <c r="BP48" s="11"/>
      <c r="BQ48" s="11"/>
      <c r="BR48" s="11">
        <v>750000</v>
      </c>
      <c r="BS48" s="11">
        <v>0</v>
      </c>
      <c r="BT48" s="11"/>
      <c r="BU48" s="11">
        <v>751214033</v>
      </c>
      <c r="BV48" s="11"/>
      <c r="BW48" s="11"/>
      <c r="BX48" s="11">
        <v>0</v>
      </c>
      <c r="BY48" s="698"/>
      <c r="BZ48" s="698">
        <f>+'1.2 sz Önkormányzat 2017.'!DR48+'1.2 sz Önkormányzat 2017.'!EM48</f>
        <v>0</v>
      </c>
      <c r="CA48" s="696">
        <f t="shared" si="1"/>
        <v>0</v>
      </c>
      <c r="CB48" s="696">
        <f t="shared" si="2"/>
        <v>0</v>
      </c>
      <c r="CD48" s="696">
        <f t="shared" si="3"/>
        <v>0</v>
      </c>
      <c r="CF48" s="696">
        <f>+CD46-BW37-BW36</f>
        <v>-838983099</v>
      </c>
      <c r="CG48" s="696">
        <f>+BW46-BW44-BW45</f>
        <v>0</v>
      </c>
    </row>
    <row r="49" spans="4:85" x14ac:dyDescent="0.2">
      <c r="CA49" s="696">
        <f t="shared" si="1"/>
        <v>0</v>
      </c>
    </row>
    <row r="50" spans="4:85" x14ac:dyDescent="0.2">
      <c r="F50" s="696">
        <f>+F46-F45-F44</f>
        <v>0</v>
      </c>
      <c r="G50" s="696">
        <f t="shared" ref="G50:BR50" si="17">+G46-G45-G44</f>
        <v>0</v>
      </c>
      <c r="H50" s="696">
        <f t="shared" si="17"/>
        <v>0</v>
      </c>
      <c r="I50" s="696">
        <f t="shared" si="17"/>
        <v>0</v>
      </c>
      <c r="J50" s="696">
        <f t="shared" si="17"/>
        <v>0</v>
      </c>
      <c r="K50" s="696">
        <f t="shared" si="17"/>
        <v>0</v>
      </c>
      <c r="L50" s="696">
        <f t="shared" si="17"/>
        <v>0</v>
      </c>
      <c r="M50" s="696">
        <f t="shared" si="17"/>
        <v>0</v>
      </c>
      <c r="N50" s="696">
        <f t="shared" si="17"/>
        <v>0</v>
      </c>
      <c r="O50" s="696">
        <f t="shared" si="17"/>
        <v>0</v>
      </c>
      <c r="P50" s="696">
        <f t="shared" si="17"/>
        <v>0</v>
      </c>
      <c r="Q50" s="696">
        <f t="shared" si="17"/>
        <v>0</v>
      </c>
      <c r="R50" s="696">
        <f t="shared" si="17"/>
        <v>0</v>
      </c>
      <c r="S50" s="696">
        <f t="shared" si="17"/>
        <v>0</v>
      </c>
      <c r="T50" s="696">
        <f t="shared" si="17"/>
        <v>0</v>
      </c>
      <c r="U50" s="696">
        <f t="shared" si="17"/>
        <v>0</v>
      </c>
      <c r="V50" s="696">
        <f t="shared" si="17"/>
        <v>0</v>
      </c>
      <c r="W50" s="696">
        <f t="shared" si="17"/>
        <v>0</v>
      </c>
      <c r="X50" s="696">
        <f t="shared" si="17"/>
        <v>0</v>
      </c>
      <c r="Y50" s="696">
        <f t="shared" si="17"/>
        <v>0</v>
      </c>
      <c r="Z50" s="696">
        <f t="shared" si="17"/>
        <v>0</v>
      </c>
      <c r="AA50" s="696">
        <f t="shared" si="17"/>
        <v>0</v>
      </c>
      <c r="AB50" s="696">
        <f t="shared" si="17"/>
        <v>0</v>
      </c>
      <c r="AC50" s="696">
        <f t="shared" si="17"/>
        <v>0</v>
      </c>
      <c r="AD50" s="696">
        <f t="shared" si="17"/>
        <v>0</v>
      </c>
      <c r="AE50" s="696">
        <f t="shared" si="17"/>
        <v>0</v>
      </c>
      <c r="AF50" s="696">
        <f t="shared" si="17"/>
        <v>0</v>
      </c>
      <c r="AG50" s="696">
        <f t="shared" si="17"/>
        <v>0</v>
      </c>
      <c r="AH50" s="696">
        <f t="shared" si="17"/>
        <v>0</v>
      </c>
      <c r="AI50" s="696">
        <f t="shared" si="17"/>
        <v>0</v>
      </c>
      <c r="AJ50" s="696">
        <f t="shared" si="17"/>
        <v>0</v>
      </c>
      <c r="AK50" s="696">
        <f t="shared" si="17"/>
        <v>0</v>
      </c>
      <c r="AL50" s="696">
        <f t="shared" si="17"/>
        <v>0</v>
      </c>
      <c r="AM50" s="696">
        <f t="shared" si="17"/>
        <v>0</v>
      </c>
      <c r="AN50" s="696">
        <f t="shared" si="17"/>
        <v>0</v>
      </c>
      <c r="AO50" s="696">
        <f t="shared" si="17"/>
        <v>0</v>
      </c>
      <c r="AP50" s="696">
        <f t="shared" si="17"/>
        <v>0</v>
      </c>
      <c r="AQ50" s="696">
        <f t="shared" si="17"/>
        <v>0</v>
      </c>
      <c r="AR50" s="696">
        <f t="shared" si="17"/>
        <v>0</v>
      </c>
      <c r="AS50" s="696">
        <f t="shared" si="17"/>
        <v>0</v>
      </c>
      <c r="AT50" s="696">
        <f t="shared" si="17"/>
        <v>0</v>
      </c>
      <c r="AU50" s="696">
        <f t="shared" si="17"/>
        <v>0</v>
      </c>
      <c r="AV50" s="696">
        <f t="shared" si="17"/>
        <v>0</v>
      </c>
      <c r="AW50" s="696">
        <f t="shared" si="17"/>
        <v>0</v>
      </c>
      <c r="AX50" s="696">
        <f t="shared" si="17"/>
        <v>0</v>
      </c>
      <c r="AY50" s="696">
        <f t="shared" si="17"/>
        <v>0</v>
      </c>
      <c r="AZ50" s="696">
        <f t="shared" si="17"/>
        <v>0</v>
      </c>
      <c r="BA50" s="696">
        <f t="shared" si="17"/>
        <v>0</v>
      </c>
      <c r="BB50" s="696">
        <f t="shared" si="17"/>
        <v>0</v>
      </c>
      <c r="BC50" s="696">
        <f t="shared" si="17"/>
        <v>0</v>
      </c>
      <c r="BD50" s="696">
        <f t="shared" si="17"/>
        <v>0</v>
      </c>
      <c r="BE50" s="696">
        <f t="shared" si="17"/>
        <v>0</v>
      </c>
      <c r="BF50" s="696">
        <f t="shared" si="17"/>
        <v>0</v>
      </c>
      <c r="BG50" s="696">
        <f t="shared" si="17"/>
        <v>0</v>
      </c>
      <c r="BH50" s="696">
        <f t="shared" si="17"/>
        <v>0</v>
      </c>
      <c r="BI50" s="696">
        <f t="shared" si="17"/>
        <v>0</v>
      </c>
      <c r="BJ50" s="696">
        <f t="shared" si="17"/>
        <v>0</v>
      </c>
      <c r="BK50" s="696">
        <f t="shared" si="17"/>
        <v>0</v>
      </c>
      <c r="BL50" s="696">
        <f t="shared" si="17"/>
        <v>0</v>
      </c>
      <c r="BM50" s="696">
        <f t="shared" si="17"/>
        <v>0</v>
      </c>
      <c r="BN50" s="696">
        <f t="shared" si="17"/>
        <v>0</v>
      </c>
      <c r="BO50" s="696">
        <f t="shared" si="17"/>
        <v>0</v>
      </c>
      <c r="BP50" s="696">
        <f t="shared" si="17"/>
        <v>0</v>
      </c>
      <c r="BQ50" s="696">
        <f t="shared" si="17"/>
        <v>0</v>
      </c>
      <c r="BR50" s="696">
        <f t="shared" si="17"/>
        <v>0</v>
      </c>
      <c r="BS50" s="696">
        <f t="shared" ref="BS50:CG50" si="18">+BS46-BS45-BS44</f>
        <v>0</v>
      </c>
      <c r="BT50" s="696">
        <f t="shared" si="18"/>
        <v>0</v>
      </c>
      <c r="BU50" s="696">
        <f t="shared" si="18"/>
        <v>0</v>
      </c>
      <c r="BV50" s="696">
        <f t="shared" si="18"/>
        <v>0</v>
      </c>
      <c r="BW50" s="696">
        <f t="shared" si="18"/>
        <v>0</v>
      </c>
      <c r="BX50" s="696">
        <f t="shared" si="18"/>
        <v>0</v>
      </c>
      <c r="BY50" s="696">
        <f t="shared" si="18"/>
        <v>0</v>
      </c>
      <c r="BZ50" s="696">
        <f t="shared" si="18"/>
        <v>0</v>
      </c>
      <c r="CA50" s="696">
        <f t="shared" si="18"/>
        <v>0</v>
      </c>
      <c r="CB50" s="696">
        <f t="shared" si="18"/>
        <v>0</v>
      </c>
      <c r="CC50" s="696">
        <f t="shared" si="18"/>
        <v>0</v>
      </c>
      <c r="CD50" s="696">
        <f t="shared" si="18"/>
        <v>0</v>
      </c>
      <c r="CE50" s="696">
        <f t="shared" si="18"/>
        <v>0</v>
      </c>
      <c r="CF50" s="696">
        <f t="shared" si="18"/>
        <v>0</v>
      </c>
      <c r="CG50" s="696">
        <f t="shared" si="18"/>
        <v>0</v>
      </c>
    </row>
    <row r="53" spans="4:85" x14ac:dyDescent="0.2">
      <c r="BP53" s="696">
        <f>+BQ21+BQ20</f>
        <v>939643035</v>
      </c>
    </row>
    <row r="54" spans="4:85" x14ac:dyDescent="0.2">
      <c r="D54" s="696">
        <f>+D20+D21</f>
        <v>0</v>
      </c>
      <c r="E54" s="696">
        <f t="shared" ref="E54:BK54" si="19">+E20+E21</f>
        <v>0</v>
      </c>
      <c r="F54" s="696">
        <f t="shared" si="19"/>
        <v>0</v>
      </c>
      <c r="G54" s="696">
        <f t="shared" si="19"/>
        <v>186957722</v>
      </c>
      <c r="H54" s="696">
        <f t="shared" si="19"/>
        <v>186957722</v>
      </c>
      <c r="I54" s="696">
        <f t="shared" si="19"/>
        <v>186957722</v>
      </c>
      <c r="J54" s="696">
        <f t="shared" si="19"/>
        <v>0</v>
      </c>
      <c r="K54" s="696">
        <f t="shared" si="19"/>
        <v>0</v>
      </c>
      <c r="L54" s="696">
        <f t="shared" si="19"/>
        <v>0</v>
      </c>
      <c r="M54" s="696">
        <f t="shared" si="19"/>
        <v>0</v>
      </c>
      <c r="N54" s="696">
        <f t="shared" si="19"/>
        <v>0</v>
      </c>
      <c r="O54" s="696">
        <f t="shared" si="19"/>
        <v>5020000000</v>
      </c>
      <c r="P54" s="696">
        <f t="shared" si="19"/>
        <v>0</v>
      </c>
      <c r="Q54" s="696">
        <f t="shared" si="19"/>
        <v>0</v>
      </c>
      <c r="R54" s="696">
        <f t="shared" si="19"/>
        <v>0</v>
      </c>
      <c r="S54" s="696">
        <f t="shared" si="19"/>
        <v>0</v>
      </c>
      <c r="T54" s="696">
        <f t="shared" si="19"/>
        <v>0</v>
      </c>
      <c r="U54" s="696">
        <f t="shared" si="19"/>
        <v>0</v>
      </c>
      <c r="V54" s="696">
        <f t="shared" si="19"/>
        <v>0</v>
      </c>
      <c r="W54" s="696">
        <f t="shared" si="19"/>
        <v>0</v>
      </c>
      <c r="X54" s="696">
        <f t="shared" si="19"/>
        <v>0</v>
      </c>
      <c r="Y54" s="696">
        <f t="shared" si="19"/>
        <v>0</v>
      </c>
      <c r="Z54" s="696">
        <f t="shared" si="19"/>
        <v>0</v>
      </c>
      <c r="AA54" s="696">
        <f t="shared" si="19"/>
        <v>0</v>
      </c>
      <c r="AB54" s="696">
        <f t="shared" si="19"/>
        <v>0</v>
      </c>
      <c r="AC54" s="696">
        <f t="shared" si="19"/>
        <v>0</v>
      </c>
      <c r="AD54" s="696">
        <f t="shared" si="19"/>
        <v>0</v>
      </c>
      <c r="AE54" s="696">
        <f t="shared" si="19"/>
        <v>0</v>
      </c>
      <c r="AF54" s="696">
        <f t="shared" si="19"/>
        <v>0</v>
      </c>
      <c r="AG54" s="696">
        <f t="shared" si="19"/>
        <v>0</v>
      </c>
      <c r="AH54" s="696">
        <f t="shared" si="19"/>
        <v>0</v>
      </c>
      <c r="AI54" s="696">
        <f t="shared" si="19"/>
        <v>0</v>
      </c>
      <c r="AJ54" s="696">
        <f t="shared" si="19"/>
        <v>0</v>
      </c>
      <c r="AK54" s="696">
        <f t="shared" si="19"/>
        <v>0</v>
      </c>
      <c r="AL54" s="696">
        <f t="shared" si="19"/>
        <v>0</v>
      </c>
      <c r="AM54" s="696">
        <f t="shared" si="19"/>
        <v>0</v>
      </c>
      <c r="AN54" s="696">
        <f t="shared" si="19"/>
        <v>59322411</v>
      </c>
      <c r="AO54" s="696">
        <f t="shared" si="19"/>
        <v>61846774</v>
      </c>
      <c r="AP54" s="696">
        <f t="shared" si="19"/>
        <v>61753146</v>
      </c>
      <c r="AQ54" s="696">
        <f t="shared" si="19"/>
        <v>0</v>
      </c>
      <c r="AR54" s="696">
        <f t="shared" si="19"/>
        <v>0</v>
      </c>
      <c r="AS54" s="696">
        <f t="shared" si="19"/>
        <v>0</v>
      </c>
      <c r="AT54" s="696">
        <f t="shared" si="19"/>
        <v>0</v>
      </c>
      <c r="AU54" s="696">
        <f t="shared" si="19"/>
        <v>0</v>
      </c>
      <c r="AV54" s="696">
        <f t="shared" si="19"/>
        <v>0</v>
      </c>
      <c r="AW54" s="696">
        <f t="shared" si="19"/>
        <v>0</v>
      </c>
      <c r="AX54" s="696">
        <f t="shared" si="19"/>
        <v>0</v>
      </c>
      <c r="AY54" s="696">
        <f t="shared" si="19"/>
        <v>0</v>
      </c>
      <c r="AZ54" s="696">
        <f t="shared" si="19"/>
        <v>0</v>
      </c>
      <c r="BA54" s="696">
        <f t="shared" si="19"/>
        <v>0</v>
      </c>
      <c r="BB54" s="696">
        <f t="shared" si="19"/>
        <v>0</v>
      </c>
      <c r="BC54" s="696">
        <f t="shared" si="19"/>
        <v>0</v>
      </c>
      <c r="BD54" s="696">
        <f t="shared" si="19"/>
        <v>0</v>
      </c>
      <c r="BE54" s="696">
        <f t="shared" si="19"/>
        <v>0</v>
      </c>
      <c r="BF54" s="696">
        <f t="shared" si="19"/>
        <v>0</v>
      </c>
      <c r="BG54" s="696">
        <f t="shared" si="19"/>
        <v>0</v>
      </c>
      <c r="BH54" s="696">
        <f t="shared" si="19"/>
        <v>0</v>
      </c>
      <c r="BI54" s="696">
        <f t="shared" si="19"/>
        <v>0</v>
      </c>
      <c r="BJ54" s="696">
        <f t="shared" si="19"/>
        <v>0</v>
      </c>
      <c r="BK54" s="696">
        <f t="shared" si="19"/>
        <v>0</v>
      </c>
      <c r="BP54" s="696">
        <f>+BQ28-BP53</f>
        <v>0</v>
      </c>
    </row>
    <row r="55" spans="4:85" x14ac:dyDescent="0.2">
      <c r="D55" s="696">
        <f>+D28-D54</f>
        <v>0</v>
      </c>
      <c r="E55" s="696">
        <f t="shared" ref="E55:BK55" si="20">+E28-E54</f>
        <v>0</v>
      </c>
      <c r="F55" s="696">
        <f t="shared" si="20"/>
        <v>0</v>
      </c>
      <c r="G55" s="696">
        <f t="shared" si="20"/>
        <v>0</v>
      </c>
      <c r="H55" s="696">
        <f t="shared" si="20"/>
        <v>0</v>
      </c>
      <c r="I55" s="696">
        <f t="shared" si="20"/>
        <v>0</v>
      </c>
      <c r="J55" s="696">
        <f t="shared" si="20"/>
        <v>0</v>
      </c>
      <c r="K55" s="696">
        <f t="shared" si="20"/>
        <v>0</v>
      </c>
      <c r="L55" s="696">
        <f t="shared" si="20"/>
        <v>0</v>
      </c>
      <c r="M55" s="696">
        <f t="shared" si="20"/>
        <v>0</v>
      </c>
      <c r="N55" s="696">
        <f t="shared" si="20"/>
        <v>0</v>
      </c>
      <c r="O55" s="696">
        <f t="shared" si="20"/>
        <v>0</v>
      </c>
      <c r="P55" s="696">
        <f t="shared" si="20"/>
        <v>0</v>
      </c>
      <c r="Q55" s="696">
        <f t="shared" si="20"/>
        <v>0</v>
      </c>
      <c r="R55" s="696">
        <f t="shared" si="20"/>
        <v>0</v>
      </c>
      <c r="S55" s="696">
        <f t="shared" si="20"/>
        <v>0</v>
      </c>
      <c r="T55" s="696">
        <f t="shared" si="20"/>
        <v>0</v>
      </c>
      <c r="U55" s="696">
        <f t="shared" si="20"/>
        <v>0</v>
      </c>
      <c r="V55" s="696">
        <f t="shared" si="20"/>
        <v>0</v>
      </c>
      <c r="W55" s="696">
        <f t="shared" si="20"/>
        <v>0</v>
      </c>
      <c r="X55" s="696">
        <f t="shared" si="20"/>
        <v>0</v>
      </c>
      <c r="Y55" s="696">
        <f t="shared" si="20"/>
        <v>0</v>
      </c>
      <c r="Z55" s="696">
        <f t="shared" si="20"/>
        <v>0</v>
      </c>
      <c r="AA55" s="696">
        <f t="shared" si="20"/>
        <v>0</v>
      </c>
      <c r="AB55" s="696">
        <f t="shared" si="20"/>
        <v>0</v>
      </c>
      <c r="AC55" s="696">
        <f t="shared" si="20"/>
        <v>0</v>
      </c>
      <c r="AD55" s="696">
        <f t="shared" si="20"/>
        <v>0</v>
      </c>
      <c r="AE55" s="696">
        <f t="shared" si="20"/>
        <v>0</v>
      </c>
      <c r="AF55" s="696">
        <f t="shared" si="20"/>
        <v>0</v>
      </c>
      <c r="AG55" s="696">
        <f t="shared" si="20"/>
        <v>0</v>
      </c>
      <c r="AH55" s="696">
        <f t="shared" si="20"/>
        <v>0</v>
      </c>
      <c r="AI55" s="696">
        <f t="shared" si="20"/>
        <v>0</v>
      </c>
      <c r="AJ55" s="696">
        <f t="shared" si="20"/>
        <v>0</v>
      </c>
      <c r="AK55" s="696">
        <f t="shared" si="20"/>
        <v>0</v>
      </c>
      <c r="AL55" s="696">
        <f t="shared" si="20"/>
        <v>0</v>
      </c>
      <c r="AM55" s="696">
        <f t="shared" si="20"/>
        <v>0</v>
      </c>
      <c r="AN55" s="696">
        <f t="shared" si="20"/>
        <v>0</v>
      </c>
      <c r="AO55" s="696">
        <f t="shared" si="20"/>
        <v>0</v>
      </c>
      <c r="AP55" s="696">
        <f t="shared" si="20"/>
        <v>0</v>
      </c>
      <c r="AQ55" s="696">
        <f t="shared" si="20"/>
        <v>0</v>
      </c>
      <c r="AR55" s="696">
        <f t="shared" si="20"/>
        <v>0</v>
      </c>
      <c r="AS55" s="696">
        <f t="shared" si="20"/>
        <v>0</v>
      </c>
      <c r="AT55" s="696">
        <f t="shared" si="20"/>
        <v>0</v>
      </c>
      <c r="AU55" s="696">
        <f t="shared" si="20"/>
        <v>0</v>
      </c>
      <c r="AV55" s="696">
        <f t="shared" si="20"/>
        <v>0</v>
      </c>
      <c r="AW55" s="696">
        <f t="shared" si="20"/>
        <v>0</v>
      </c>
      <c r="AX55" s="696">
        <f t="shared" si="20"/>
        <v>0</v>
      </c>
      <c r="AY55" s="696">
        <f t="shared" si="20"/>
        <v>0</v>
      </c>
      <c r="AZ55" s="696">
        <f t="shared" si="20"/>
        <v>0</v>
      </c>
      <c r="BA55" s="696">
        <f t="shared" si="20"/>
        <v>0</v>
      </c>
      <c r="BB55" s="696">
        <f t="shared" si="20"/>
        <v>0</v>
      </c>
      <c r="BC55" s="696">
        <f t="shared" si="20"/>
        <v>0</v>
      </c>
      <c r="BD55" s="696">
        <f t="shared" si="20"/>
        <v>0</v>
      </c>
      <c r="BE55" s="696">
        <f t="shared" si="20"/>
        <v>0</v>
      </c>
      <c r="BF55" s="696">
        <f t="shared" si="20"/>
        <v>0</v>
      </c>
      <c r="BG55" s="696">
        <f t="shared" si="20"/>
        <v>0</v>
      </c>
      <c r="BH55" s="696">
        <f t="shared" si="20"/>
        <v>0</v>
      </c>
      <c r="BI55" s="696">
        <f t="shared" si="20"/>
        <v>0</v>
      </c>
      <c r="BJ55" s="696">
        <f t="shared" si="20"/>
        <v>0</v>
      </c>
      <c r="BK55" s="696">
        <f t="shared" si="20"/>
        <v>0</v>
      </c>
    </row>
  </sheetData>
  <mergeCells count="97">
    <mergeCell ref="J3:L3"/>
    <mergeCell ref="A2:C2"/>
    <mergeCell ref="A3:A6"/>
    <mergeCell ref="B3:C3"/>
    <mergeCell ref="D3:F3"/>
    <mergeCell ref="G3:I3"/>
    <mergeCell ref="AT3:AV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BR3:BW3"/>
    <mergeCell ref="BX3:BZ6"/>
    <mergeCell ref="B4:C4"/>
    <mergeCell ref="D4:F4"/>
    <mergeCell ref="G4:I4"/>
    <mergeCell ref="J4:L4"/>
    <mergeCell ref="M4:O4"/>
    <mergeCell ref="P4:R4"/>
    <mergeCell ref="S4:U4"/>
    <mergeCell ref="V4:X4"/>
    <mergeCell ref="AW3:AY3"/>
    <mergeCell ref="AZ3:BB3"/>
    <mergeCell ref="BC3:BE3"/>
    <mergeCell ref="BF3:BH3"/>
    <mergeCell ref="BI3:BK3"/>
    <mergeCell ref="BL3:BQ3"/>
    <mergeCell ref="BU4:BW6"/>
    <mergeCell ref="B5:C5"/>
    <mergeCell ref="D5:F6"/>
    <mergeCell ref="G5:I6"/>
    <mergeCell ref="J5:L6"/>
    <mergeCell ref="M5:O6"/>
    <mergeCell ref="AQ4:AS4"/>
    <mergeCell ref="AT4:AV4"/>
    <mergeCell ref="AW4:AY4"/>
    <mergeCell ref="AZ4:BB4"/>
    <mergeCell ref="BC4:BE4"/>
    <mergeCell ref="BF4:BH4"/>
    <mergeCell ref="Y4:AA4"/>
    <mergeCell ref="AB4:AD4"/>
    <mergeCell ref="AE4:AG4"/>
    <mergeCell ref="AH4:AJ4"/>
    <mergeCell ref="BI4:BK4"/>
    <mergeCell ref="BL4:BN6"/>
    <mergeCell ref="BO4:BQ6"/>
    <mergeCell ref="BR4:BT6"/>
    <mergeCell ref="AK4:AM4"/>
    <mergeCell ref="AN4:AP4"/>
    <mergeCell ref="AZ5:BB6"/>
    <mergeCell ref="BC5:BE6"/>
    <mergeCell ref="BF5:BH6"/>
    <mergeCell ref="BI5:BK6"/>
    <mergeCell ref="AT5:AV6"/>
    <mergeCell ref="AW5:AY6"/>
    <mergeCell ref="P5:R6"/>
    <mergeCell ref="S5:U6"/>
    <mergeCell ref="V5:X6"/>
    <mergeCell ref="Y5:AA6"/>
    <mergeCell ref="AB5:AD6"/>
    <mergeCell ref="D7:F7"/>
    <mergeCell ref="G7:I7"/>
    <mergeCell ref="J7:L7"/>
    <mergeCell ref="M7:O7"/>
    <mergeCell ref="P7:R7"/>
    <mergeCell ref="S7:U7"/>
    <mergeCell ref="AH5:AJ6"/>
    <mergeCell ref="AK5:AM6"/>
    <mergeCell ref="AN5:AP6"/>
    <mergeCell ref="AQ5:AS6"/>
    <mergeCell ref="AE5:AG6"/>
    <mergeCell ref="BC7:BE7"/>
    <mergeCell ref="V7:X7"/>
    <mergeCell ref="Y7:AA7"/>
    <mergeCell ref="AB7:AD7"/>
    <mergeCell ref="AE7:AG7"/>
    <mergeCell ref="AH7:AJ7"/>
    <mergeCell ref="AK7:AM7"/>
    <mergeCell ref="AN7:AP7"/>
    <mergeCell ref="AQ7:AS7"/>
    <mergeCell ref="AT7:AV7"/>
    <mergeCell ref="AW7:AY7"/>
    <mergeCell ref="AZ7:BB7"/>
    <mergeCell ref="BX7:BZ7"/>
    <mergeCell ref="BF7:BH7"/>
    <mergeCell ref="BI7:BK7"/>
    <mergeCell ref="BL7:BN7"/>
    <mergeCell ref="BO7:BQ7"/>
    <mergeCell ref="BR7:BT7"/>
    <mergeCell ref="BU7:BW7"/>
  </mergeCell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43" orientation="portrait" r:id="rId1"/>
  <headerFooter>
    <oddHeader>&amp;CDunaharaszti Város Önkormányzat 2017. évi zárszámadás&amp;R&amp;A</oddHeader>
    <oddFooter>&amp;C&amp;P. oldal/ &amp;N</oddFooter>
  </headerFooter>
  <colBreaks count="11" manualBreakCount="11">
    <brk id="9" max="1048575" man="1"/>
    <brk id="15" max="1048575" man="1"/>
    <brk id="21" max="1048575" man="1"/>
    <brk id="27" max="1048575" man="1"/>
    <brk id="33" max="1048575" man="1"/>
    <brk id="39" max="1048575" man="1"/>
    <brk id="45" max="1048575" man="1"/>
    <brk id="51" max="1048575" man="1"/>
    <brk id="57" max="1048575" man="1"/>
    <brk id="63" max="1048575" man="1"/>
    <brk id="6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3"/>
  <sheetViews>
    <sheetView view="pageBreakPreview" zoomScale="80" zoomScaleNormal="69" zoomScaleSheetLayoutView="80" workbookViewId="0">
      <pane xSplit="3" ySplit="8" topLeftCell="T9" activePane="bottomRight" state="frozen"/>
      <selection pane="topRight" activeCell="D1" sqref="D1"/>
      <selection pane="bottomLeft" activeCell="A9" sqref="A9"/>
      <selection pane="bottomRight" activeCell="AG17" sqref="AG17"/>
    </sheetView>
  </sheetViews>
  <sheetFormatPr defaultRowHeight="12.75" x14ac:dyDescent="0.2"/>
  <cols>
    <col min="1" max="1" width="5.140625" style="626" customWidth="1"/>
    <col min="2" max="2" width="64.85546875" style="626" customWidth="1"/>
    <col min="3" max="3" width="7.140625" style="627" customWidth="1"/>
    <col min="4" max="6" width="16.5703125" style="628" customWidth="1"/>
    <col min="7" max="7" width="18.42578125" style="628" customWidth="1"/>
    <col min="8" max="9" width="18.7109375" style="628" customWidth="1"/>
    <col min="10" max="10" width="16.5703125" style="628" bestFit="1" customWidth="1"/>
    <col min="11" max="12" width="16.28515625" style="628" customWidth="1"/>
    <col min="13" max="15" width="15.85546875" style="628" customWidth="1"/>
    <col min="16" max="16" width="16" style="628" customWidth="1"/>
    <col min="17" max="18" width="17.85546875" style="628" customWidth="1"/>
    <col min="19" max="19" width="16.42578125" style="628" customWidth="1"/>
    <col min="20" max="21" width="16.85546875" style="628" customWidth="1"/>
    <col min="22" max="24" width="19.42578125" style="628" customWidth="1"/>
    <col min="25" max="27" width="17.28515625" style="628" customWidth="1"/>
    <col min="28" max="30" width="18.28515625" style="628" customWidth="1"/>
    <col min="31" max="31" width="18.85546875" style="628" bestFit="1" customWidth="1"/>
    <col min="32" max="32" width="18" style="628" bestFit="1" customWidth="1"/>
    <col min="33" max="33" width="17.42578125" style="626" customWidth="1"/>
    <col min="34" max="34" width="18.5703125" style="626" customWidth="1"/>
    <col min="35" max="35" width="13.28515625" style="626" customWidth="1"/>
    <col min="36" max="36" width="15.42578125" style="626" customWidth="1"/>
    <col min="37" max="37" width="15.28515625" style="626" customWidth="1"/>
    <col min="38" max="16384" width="9.140625" style="626"/>
  </cols>
  <sheetData>
    <row r="1" spans="1:37" x14ac:dyDescent="0.2">
      <c r="H1" s="629" t="s">
        <v>0</v>
      </c>
      <c r="I1" s="629"/>
      <c r="J1" s="630"/>
      <c r="K1" s="629"/>
      <c r="L1" s="629"/>
      <c r="N1" s="629" t="s">
        <v>0</v>
      </c>
      <c r="O1" s="629"/>
      <c r="P1" s="630"/>
      <c r="Q1" s="630"/>
      <c r="R1" s="630"/>
      <c r="T1" s="629" t="s">
        <v>0</v>
      </c>
      <c r="U1" s="629"/>
      <c r="Z1" s="629" t="s">
        <v>0</v>
      </c>
      <c r="AA1" s="629"/>
      <c r="AE1" s="629"/>
      <c r="AF1" s="629" t="s">
        <v>0</v>
      </c>
    </row>
    <row r="2" spans="1:37" ht="49.5" customHeight="1" x14ac:dyDescent="0.2">
      <c r="A2" s="961" t="s">
        <v>1249</v>
      </c>
      <c r="B2" s="962"/>
      <c r="C2" s="963"/>
      <c r="D2" s="958" t="s">
        <v>1250</v>
      </c>
      <c r="E2" s="959"/>
      <c r="F2" s="959"/>
      <c r="G2" s="959"/>
      <c r="H2" s="959"/>
      <c r="I2" s="631"/>
      <c r="J2" s="958" t="s">
        <v>1250</v>
      </c>
      <c r="K2" s="959"/>
      <c r="L2" s="959"/>
      <c r="M2" s="959"/>
      <c r="N2" s="959"/>
      <c r="O2" s="631"/>
      <c r="P2" s="958" t="s">
        <v>1250</v>
      </c>
      <c r="Q2" s="959"/>
      <c r="R2" s="959"/>
      <c r="S2" s="959"/>
      <c r="T2" s="959"/>
      <c r="U2" s="631"/>
      <c r="V2" s="958" t="s">
        <v>1250</v>
      </c>
      <c r="W2" s="959"/>
      <c r="X2" s="959"/>
      <c r="Y2" s="959"/>
      <c r="Z2" s="959"/>
      <c r="AA2" s="631"/>
      <c r="AB2" s="958" t="s">
        <v>1250</v>
      </c>
      <c r="AC2" s="959"/>
      <c r="AD2" s="959"/>
      <c r="AE2" s="959"/>
      <c r="AF2" s="959"/>
      <c r="AG2" s="960"/>
    </row>
    <row r="3" spans="1:37" ht="34.5" customHeight="1" x14ac:dyDescent="0.2">
      <c r="A3" s="964"/>
      <c r="B3" s="965"/>
      <c r="C3" s="966"/>
      <c r="D3" s="560" t="s">
        <v>6</v>
      </c>
      <c r="E3" s="560" t="s">
        <v>7</v>
      </c>
      <c r="F3" s="560" t="s">
        <v>788</v>
      </c>
      <c r="G3" s="560" t="s">
        <v>6</v>
      </c>
      <c r="H3" s="560" t="s">
        <v>7</v>
      </c>
      <c r="I3" s="560" t="s">
        <v>788</v>
      </c>
      <c r="J3" s="560" t="s">
        <v>6</v>
      </c>
      <c r="K3" s="560" t="s">
        <v>7</v>
      </c>
      <c r="L3" s="560" t="s">
        <v>788</v>
      </c>
      <c r="M3" s="560" t="s">
        <v>6</v>
      </c>
      <c r="N3" s="560" t="s">
        <v>7</v>
      </c>
      <c r="O3" s="560" t="s">
        <v>788</v>
      </c>
      <c r="P3" s="560" t="s">
        <v>6</v>
      </c>
      <c r="Q3" s="560" t="s">
        <v>7</v>
      </c>
      <c r="R3" s="560" t="s">
        <v>788</v>
      </c>
      <c r="S3" s="560" t="s">
        <v>6</v>
      </c>
      <c r="T3" s="560" t="s">
        <v>7</v>
      </c>
      <c r="U3" s="560" t="s">
        <v>788</v>
      </c>
      <c r="V3" s="560" t="s">
        <v>6</v>
      </c>
      <c r="W3" s="560" t="s">
        <v>7</v>
      </c>
      <c r="X3" s="560" t="s">
        <v>788</v>
      </c>
      <c r="Y3" s="560" t="s">
        <v>6</v>
      </c>
      <c r="Z3" s="560" t="s">
        <v>7</v>
      </c>
      <c r="AA3" s="560" t="s">
        <v>788</v>
      </c>
      <c r="AB3" s="560" t="s">
        <v>6</v>
      </c>
      <c r="AC3" s="560" t="s">
        <v>7</v>
      </c>
      <c r="AD3" s="560" t="s">
        <v>788</v>
      </c>
      <c r="AE3" s="560" t="s">
        <v>6</v>
      </c>
      <c r="AF3" s="560" t="s">
        <v>7</v>
      </c>
      <c r="AG3" s="560" t="s">
        <v>788</v>
      </c>
    </row>
    <row r="4" spans="1:37" s="634" customFormat="1" ht="135" customHeight="1" x14ac:dyDescent="0.2">
      <c r="A4" s="967" t="s">
        <v>120</v>
      </c>
      <c r="B4" s="632" t="s">
        <v>4</v>
      </c>
      <c r="C4" s="633"/>
      <c r="D4" s="955" t="s">
        <v>1152</v>
      </c>
      <c r="E4" s="956"/>
      <c r="F4" s="957"/>
      <c r="G4" s="955" t="s">
        <v>817</v>
      </c>
      <c r="H4" s="956" t="s">
        <v>1251</v>
      </c>
      <c r="I4" s="957"/>
      <c r="J4" s="955" t="s">
        <v>1391</v>
      </c>
      <c r="K4" s="956" t="s">
        <v>1252</v>
      </c>
      <c r="L4" s="957"/>
      <c r="M4" s="955" t="s">
        <v>1393</v>
      </c>
      <c r="N4" s="956" t="s">
        <v>1253</v>
      </c>
      <c r="O4" s="957"/>
      <c r="P4" s="955" t="s">
        <v>1395</v>
      </c>
      <c r="Q4" s="956" t="s">
        <v>1254</v>
      </c>
      <c r="R4" s="957"/>
      <c r="S4" s="955" t="s">
        <v>1255</v>
      </c>
      <c r="T4" s="956" t="s">
        <v>1255</v>
      </c>
      <c r="U4" s="957"/>
      <c r="V4" s="955" t="s">
        <v>1398</v>
      </c>
      <c r="W4" s="956" t="s">
        <v>1256</v>
      </c>
      <c r="X4" s="957"/>
      <c r="Y4" s="955" t="s">
        <v>1400</v>
      </c>
      <c r="Z4" s="956" t="s">
        <v>1257</v>
      </c>
      <c r="AA4" s="957"/>
      <c r="AB4" s="955" t="s">
        <v>1402</v>
      </c>
      <c r="AC4" s="956" t="s">
        <v>1251</v>
      </c>
      <c r="AD4" s="957"/>
      <c r="AE4" s="946" t="s">
        <v>1258</v>
      </c>
      <c r="AF4" s="947"/>
      <c r="AG4" s="948"/>
    </row>
    <row r="5" spans="1:37" s="634" customFormat="1" ht="25.5" customHeight="1" x14ac:dyDescent="0.2">
      <c r="A5" s="967"/>
      <c r="B5" s="632" t="s">
        <v>5</v>
      </c>
      <c r="C5" s="633"/>
      <c r="D5" s="955" t="s">
        <v>11</v>
      </c>
      <c r="E5" s="956"/>
      <c r="F5" s="957"/>
      <c r="G5" s="955" t="s">
        <v>11</v>
      </c>
      <c r="H5" s="956" t="s">
        <v>11</v>
      </c>
      <c r="I5" s="957"/>
      <c r="J5" s="955" t="s">
        <v>13</v>
      </c>
      <c r="K5" s="956" t="s">
        <v>13</v>
      </c>
      <c r="L5" s="957"/>
      <c r="M5" s="955" t="s">
        <v>13</v>
      </c>
      <c r="N5" s="956" t="s">
        <v>13</v>
      </c>
      <c r="O5" s="957"/>
      <c r="P5" s="955" t="s">
        <v>13</v>
      </c>
      <c r="Q5" s="956" t="s">
        <v>13</v>
      </c>
      <c r="R5" s="957"/>
      <c r="S5" s="955" t="s">
        <v>13</v>
      </c>
      <c r="T5" s="956" t="s">
        <v>13</v>
      </c>
      <c r="U5" s="957"/>
      <c r="V5" s="955" t="s">
        <v>13</v>
      </c>
      <c r="W5" s="956" t="s">
        <v>13</v>
      </c>
      <c r="X5" s="957"/>
      <c r="Y5" s="955" t="s">
        <v>13</v>
      </c>
      <c r="Z5" s="956" t="s">
        <v>13</v>
      </c>
      <c r="AA5" s="957"/>
      <c r="AB5" s="955" t="s">
        <v>11</v>
      </c>
      <c r="AC5" s="956" t="s">
        <v>11</v>
      </c>
      <c r="AD5" s="957"/>
      <c r="AE5" s="949"/>
      <c r="AF5" s="950"/>
      <c r="AG5" s="951"/>
    </row>
    <row r="6" spans="1:37" s="634" customFormat="1" ht="15.75" customHeight="1" x14ac:dyDescent="0.2">
      <c r="A6" s="967"/>
      <c r="B6" s="632" t="s">
        <v>8</v>
      </c>
      <c r="C6" s="633"/>
      <c r="D6" s="940" t="s">
        <v>1259</v>
      </c>
      <c r="E6" s="941"/>
      <c r="F6" s="942"/>
      <c r="G6" s="940" t="s">
        <v>1390</v>
      </c>
      <c r="H6" s="941" t="s">
        <v>1260</v>
      </c>
      <c r="I6" s="942"/>
      <c r="J6" s="940" t="s">
        <v>1392</v>
      </c>
      <c r="K6" s="941" t="s">
        <v>1261</v>
      </c>
      <c r="L6" s="942"/>
      <c r="M6" s="940" t="s">
        <v>1394</v>
      </c>
      <c r="N6" s="941" t="s">
        <v>1262</v>
      </c>
      <c r="O6" s="942"/>
      <c r="P6" s="940" t="s">
        <v>1396</v>
      </c>
      <c r="Q6" s="941" t="s">
        <v>1263</v>
      </c>
      <c r="R6" s="942"/>
      <c r="S6" s="940" t="s">
        <v>1397</v>
      </c>
      <c r="T6" s="941" t="s">
        <v>1264</v>
      </c>
      <c r="U6" s="942"/>
      <c r="V6" s="940" t="s">
        <v>1399</v>
      </c>
      <c r="W6" s="941" t="s">
        <v>1265</v>
      </c>
      <c r="X6" s="942"/>
      <c r="Y6" s="940" t="s">
        <v>1401</v>
      </c>
      <c r="Z6" s="941" t="s">
        <v>1266</v>
      </c>
      <c r="AA6" s="942"/>
      <c r="AB6" s="940" t="s">
        <v>1389</v>
      </c>
      <c r="AC6" s="941" t="s">
        <v>1267</v>
      </c>
      <c r="AD6" s="942"/>
      <c r="AE6" s="949"/>
      <c r="AF6" s="950"/>
      <c r="AG6" s="951"/>
    </row>
    <row r="7" spans="1:37" ht="73.5" customHeight="1" x14ac:dyDescent="0.2">
      <c r="A7" s="967"/>
      <c r="B7" s="635" t="s">
        <v>9</v>
      </c>
      <c r="C7" s="636" t="s">
        <v>10</v>
      </c>
      <c r="D7" s="943"/>
      <c r="E7" s="944"/>
      <c r="F7" s="945"/>
      <c r="G7" s="943"/>
      <c r="H7" s="944"/>
      <c r="I7" s="945"/>
      <c r="J7" s="943"/>
      <c r="K7" s="944"/>
      <c r="L7" s="945"/>
      <c r="M7" s="943"/>
      <c r="N7" s="944"/>
      <c r="O7" s="945"/>
      <c r="P7" s="943"/>
      <c r="Q7" s="944"/>
      <c r="R7" s="945"/>
      <c r="S7" s="943"/>
      <c r="T7" s="944"/>
      <c r="U7" s="945"/>
      <c r="V7" s="943"/>
      <c r="W7" s="944"/>
      <c r="X7" s="945"/>
      <c r="Y7" s="943"/>
      <c r="Z7" s="944"/>
      <c r="AA7" s="945"/>
      <c r="AB7" s="943"/>
      <c r="AC7" s="944"/>
      <c r="AD7" s="945"/>
      <c r="AE7" s="952"/>
      <c r="AF7" s="953"/>
      <c r="AG7" s="954"/>
    </row>
    <row r="8" spans="1:37" ht="15.75" x14ac:dyDescent="0.2">
      <c r="A8" s="637" t="s">
        <v>15</v>
      </c>
      <c r="B8" s="638" t="s">
        <v>16</v>
      </c>
      <c r="C8" s="638" t="s">
        <v>17</v>
      </c>
      <c r="D8" s="937" t="s">
        <v>18</v>
      </c>
      <c r="E8" s="938"/>
      <c r="F8" s="939"/>
      <c r="G8" s="937" t="s">
        <v>19</v>
      </c>
      <c r="H8" s="938"/>
      <c r="I8" s="939"/>
      <c r="J8" s="937" t="s">
        <v>20</v>
      </c>
      <c r="K8" s="938"/>
      <c r="L8" s="939"/>
      <c r="M8" s="937" t="s">
        <v>21</v>
      </c>
      <c r="N8" s="938"/>
      <c r="O8" s="939"/>
      <c r="P8" s="937" t="s">
        <v>22</v>
      </c>
      <c r="Q8" s="938"/>
      <c r="R8" s="939"/>
      <c r="S8" s="937" t="s">
        <v>36</v>
      </c>
      <c r="T8" s="938"/>
      <c r="U8" s="939"/>
      <c r="V8" s="937" t="s">
        <v>39</v>
      </c>
      <c r="W8" s="938"/>
      <c r="X8" s="939"/>
      <c r="Y8" s="937" t="s">
        <v>42</v>
      </c>
      <c r="Z8" s="938"/>
      <c r="AA8" s="939"/>
      <c r="AB8" s="937" t="s">
        <v>45</v>
      </c>
      <c r="AC8" s="938"/>
      <c r="AD8" s="939"/>
      <c r="AE8" s="937" t="s">
        <v>47</v>
      </c>
      <c r="AF8" s="938"/>
      <c r="AG8" s="939"/>
      <c r="AH8" s="626" t="s">
        <v>11</v>
      </c>
      <c r="AI8" s="626" t="s">
        <v>1286</v>
      </c>
      <c r="AJ8" s="626" t="s">
        <v>13</v>
      </c>
      <c r="AK8" s="626" t="s">
        <v>14</v>
      </c>
    </row>
    <row r="9" spans="1:37" ht="24" customHeight="1" x14ac:dyDescent="0.25">
      <c r="A9" s="639" t="s">
        <v>15</v>
      </c>
      <c r="B9" s="640" t="s">
        <v>23</v>
      </c>
      <c r="C9" s="641" t="s">
        <v>24</v>
      </c>
      <c r="D9" s="720">
        <v>0</v>
      </c>
      <c r="E9" s="721">
        <v>0</v>
      </c>
      <c r="F9" s="720">
        <v>0</v>
      </c>
      <c r="G9" s="643">
        <v>227193705</v>
      </c>
      <c r="H9" s="643">
        <v>237955371</v>
      </c>
      <c r="I9" s="643">
        <v>231279450</v>
      </c>
      <c r="J9" s="643">
        <v>26604498</v>
      </c>
      <c r="K9" s="643">
        <v>31254498</v>
      </c>
      <c r="L9" s="643">
        <v>28337296</v>
      </c>
      <c r="M9" s="643">
        <v>8133000</v>
      </c>
      <c r="N9" s="643">
        <v>10863000</v>
      </c>
      <c r="O9" s="643">
        <v>10608321</v>
      </c>
      <c r="P9" s="720">
        <v>0</v>
      </c>
      <c r="Q9" s="720">
        <v>0</v>
      </c>
      <c r="R9" s="720">
        <v>0</v>
      </c>
      <c r="S9" s="720">
        <v>0</v>
      </c>
      <c r="T9" s="720">
        <v>0</v>
      </c>
      <c r="U9" s="720">
        <v>0</v>
      </c>
      <c r="V9" s="720">
        <v>0</v>
      </c>
      <c r="W9" s="720">
        <v>0</v>
      </c>
      <c r="X9" s="720">
        <v>0</v>
      </c>
      <c r="Y9" s="720">
        <v>0</v>
      </c>
      <c r="Z9" s="720">
        <v>0</v>
      </c>
      <c r="AA9" s="720">
        <v>0</v>
      </c>
      <c r="AB9" s="720">
        <v>0</v>
      </c>
      <c r="AC9" s="720">
        <v>0</v>
      </c>
      <c r="AD9" s="720">
        <v>0</v>
      </c>
      <c r="AE9" s="643">
        <v>261931203</v>
      </c>
      <c r="AF9" s="643">
        <v>280072869</v>
      </c>
      <c r="AG9" s="643">
        <f t="shared" ref="AF9:AG48" si="0">F9+I9+L9+O9+R9+U9+X9+AA9+AD9</f>
        <v>270225067</v>
      </c>
      <c r="AH9" s="644">
        <f>+F9+I9+AD9</f>
        <v>231279450</v>
      </c>
      <c r="AI9" s="644"/>
      <c r="AJ9" s="659">
        <f>+L9+O9+R9+U9+X9+AA9</f>
        <v>38945617</v>
      </c>
      <c r="AK9" s="659">
        <f>+AH9+AI9+AJ9</f>
        <v>270225067</v>
      </c>
    </row>
    <row r="10" spans="1:37" ht="24" customHeight="1" x14ac:dyDescent="0.25">
      <c r="A10" s="639" t="s">
        <v>16</v>
      </c>
      <c r="B10" s="645" t="s">
        <v>25</v>
      </c>
      <c r="C10" s="641" t="s">
        <v>26</v>
      </c>
      <c r="D10" s="720">
        <v>0</v>
      </c>
      <c r="E10" s="720">
        <v>0</v>
      </c>
      <c r="F10" s="720">
        <v>0</v>
      </c>
      <c r="G10" s="643">
        <v>59224081</v>
      </c>
      <c r="H10" s="643">
        <v>59256943</v>
      </c>
      <c r="I10" s="643">
        <v>55770730</v>
      </c>
      <c r="J10" s="643">
        <v>6651547</v>
      </c>
      <c r="K10" s="643">
        <v>7031547</v>
      </c>
      <c r="L10" s="643">
        <v>6353415</v>
      </c>
      <c r="M10" s="643">
        <v>1850776</v>
      </c>
      <c r="N10" s="643">
        <v>2850776</v>
      </c>
      <c r="O10" s="643">
        <v>2420959</v>
      </c>
      <c r="P10" s="720">
        <v>0</v>
      </c>
      <c r="Q10" s="720">
        <v>0</v>
      </c>
      <c r="R10" s="720">
        <v>0</v>
      </c>
      <c r="S10" s="720">
        <v>0</v>
      </c>
      <c r="T10" s="720">
        <v>0</v>
      </c>
      <c r="U10" s="720">
        <v>0</v>
      </c>
      <c r="V10" s="720">
        <v>0</v>
      </c>
      <c r="W10" s="720">
        <v>0</v>
      </c>
      <c r="X10" s="720">
        <v>0</v>
      </c>
      <c r="Y10" s="720">
        <v>0</v>
      </c>
      <c r="Z10" s="720">
        <v>0</v>
      </c>
      <c r="AA10" s="720">
        <v>0</v>
      </c>
      <c r="AB10" s="720">
        <v>0</v>
      </c>
      <c r="AC10" s="720">
        <v>0</v>
      </c>
      <c r="AD10" s="720">
        <v>0</v>
      </c>
      <c r="AE10" s="643">
        <v>67726404</v>
      </c>
      <c r="AF10" s="643">
        <v>69139266</v>
      </c>
      <c r="AG10" s="643">
        <f t="shared" si="0"/>
        <v>64545104</v>
      </c>
      <c r="AH10" s="644">
        <f t="shared" ref="AH10:AH49" si="1">+F10+I10+AD10</f>
        <v>55770730</v>
      </c>
      <c r="AI10" s="644"/>
      <c r="AJ10" s="659">
        <f t="shared" ref="AJ10:AJ50" si="2">+L10+O10+R10+U10+X10+AA10</f>
        <v>8774374</v>
      </c>
      <c r="AK10" s="659">
        <f t="shared" ref="AK10:AK49" si="3">+AH10+AI10+AJ10</f>
        <v>64545104</v>
      </c>
    </row>
    <row r="11" spans="1:37" ht="24" customHeight="1" x14ac:dyDescent="0.25">
      <c r="A11" s="639" t="s">
        <v>17</v>
      </c>
      <c r="B11" s="645" t="s">
        <v>27</v>
      </c>
      <c r="C11" s="641" t="s">
        <v>28</v>
      </c>
      <c r="D11" s="642">
        <v>2888187</v>
      </c>
      <c r="E11" s="642">
        <v>2888187</v>
      </c>
      <c r="F11" s="642">
        <v>0</v>
      </c>
      <c r="G11" s="643">
        <v>129897294</v>
      </c>
      <c r="H11" s="643">
        <v>122682917</v>
      </c>
      <c r="I11" s="643">
        <v>77262972</v>
      </c>
      <c r="J11" s="643">
        <v>11198407</v>
      </c>
      <c r="K11" s="643">
        <v>11671461</v>
      </c>
      <c r="L11" s="643">
        <v>6663776</v>
      </c>
      <c r="M11" s="643">
        <v>3191977</v>
      </c>
      <c r="N11" s="643">
        <v>3452977</v>
      </c>
      <c r="O11" s="643">
        <v>3076237</v>
      </c>
      <c r="P11" s="720">
        <v>0</v>
      </c>
      <c r="Q11" s="720">
        <v>0</v>
      </c>
      <c r="R11" s="720">
        <v>0</v>
      </c>
      <c r="S11" s="720">
        <v>0</v>
      </c>
      <c r="T11" s="720">
        <v>0</v>
      </c>
      <c r="U11" s="720">
        <v>0</v>
      </c>
      <c r="V11" s="720">
        <v>0</v>
      </c>
      <c r="W11" s="720">
        <v>0</v>
      </c>
      <c r="X11" s="720">
        <v>0</v>
      </c>
      <c r="Y11" s="720">
        <v>0</v>
      </c>
      <c r="Z11" s="720">
        <v>0</v>
      </c>
      <c r="AA11" s="720">
        <v>0</v>
      </c>
      <c r="AB11" s="643">
        <v>1585</v>
      </c>
      <c r="AC11" s="643">
        <v>5051472</v>
      </c>
      <c r="AD11" s="643">
        <v>4726069</v>
      </c>
      <c r="AE11" s="643">
        <v>147177450</v>
      </c>
      <c r="AF11" s="643">
        <v>145747014</v>
      </c>
      <c r="AG11" s="643">
        <f t="shared" si="0"/>
        <v>91729054</v>
      </c>
      <c r="AH11" s="644">
        <f t="shared" si="1"/>
        <v>81989041</v>
      </c>
      <c r="AI11" s="644"/>
      <c r="AJ11" s="659">
        <f t="shared" si="2"/>
        <v>9740013</v>
      </c>
      <c r="AK11" s="659">
        <f t="shared" si="3"/>
        <v>91729054</v>
      </c>
    </row>
    <row r="12" spans="1:37" ht="24" customHeight="1" x14ac:dyDescent="0.25">
      <c r="A12" s="639" t="s">
        <v>18</v>
      </c>
      <c r="B12" s="646" t="s">
        <v>29</v>
      </c>
      <c r="C12" s="641" t="s">
        <v>30</v>
      </c>
      <c r="D12" s="720">
        <v>0</v>
      </c>
      <c r="E12" s="720">
        <v>0</v>
      </c>
      <c r="F12" s="720">
        <v>0</v>
      </c>
      <c r="G12" s="720">
        <v>0</v>
      </c>
      <c r="H12" s="720">
        <v>0</v>
      </c>
      <c r="I12" s="720">
        <v>0</v>
      </c>
      <c r="J12" s="720">
        <v>0</v>
      </c>
      <c r="K12" s="720">
        <v>0</v>
      </c>
      <c r="L12" s="720">
        <v>0</v>
      </c>
      <c r="M12" s="720">
        <v>0</v>
      </c>
      <c r="N12" s="720">
        <v>0</v>
      </c>
      <c r="O12" s="720">
        <v>0</v>
      </c>
      <c r="P12" s="720">
        <v>0</v>
      </c>
      <c r="Q12" s="720">
        <v>0</v>
      </c>
      <c r="R12" s="720">
        <v>0</v>
      </c>
      <c r="S12" s="720">
        <v>0</v>
      </c>
      <c r="T12" s="720">
        <v>0</v>
      </c>
      <c r="U12" s="720">
        <v>0</v>
      </c>
      <c r="V12" s="720">
        <v>0</v>
      </c>
      <c r="W12" s="720">
        <v>0</v>
      </c>
      <c r="X12" s="720">
        <v>0</v>
      </c>
      <c r="Y12" s="720">
        <v>0</v>
      </c>
      <c r="Z12" s="720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643">
        <f t="shared" si="0"/>
        <v>0</v>
      </c>
      <c r="AH12" s="644">
        <f t="shared" si="1"/>
        <v>0</v>
      </c>
      <c r="AI12" s="644"/>
      <c r="AJ12" s="659">
        <f t="shared" si="2"/>
        <v>0</v>
      </c>
      <c r="AK12" s="659">
        <f t="shared" si="3"/>
        <v>0</v>
      </c>
    </row>
    <row r="13" spans="1:37" ht="24" customHeight="1" x14ac:dyDescent="0.25">
      <c r="A13" s="639" t="s">
        <v>19</v>
      </c>
      <c r="B13" s="646" t="s">
        <v>31</v>
      </c>
      <c r="C13" s="641" t="s">
        <v>32</v>
      </c>
      <c r="D13" s="720">
        <v>0</v>
      </c>
      <c r="E13" s="642">
        <v>11930604</v>
      </c>
      <c r="F13" s="642">
        <f t="shared" ref="F13:AD13" si="4">SUM(F14:F16)</f>
        <v>11930604</v>
      </c>
      <c r="G13" s="720">
        <v>0</v>
      </c>
      <c r="H13" s="720">
        <v>0</v>
      </c>
      <c r="I13" s="642">
        <f t="shared" si="4"/>
        <v>0</v>
      </c>
      <c r="J13" s="720">
        <v>0</v>
      </c>
      <c r="K13" s="720">
        <v>0</v>
      </c>
      <c r="L13" s="642">
        <f t="shared" si="4"/>
        <v>0</v>
      </c>
      <c r="M13" s="720">
        <v>0</v>
      </c>
      <c r="N13" s="720">
        <v>0</v>
      </c>
      <c r="O13" s="642">
        <f t="shared" si="4"/>
        <v>0</v>
      </c>
      <c r="P13" s="720">
        <v>0</v>
      </c>
      <c r="Q13" s="720">
        <v>0</v>
      </c>
      <c r="R13" s="642">
        <f t="shared" si="4"/>
        <v>0</v>
      </c>
      <c r="S13" s="720">
        <v>0</v>
      </c>
      <c r="T13" s="720">
        <v>0</v>
      </c>
      <c r="U13" s="642">
        <f t="shared" si="4"/>
        <v>0</v>
      </c>
      <c r="V13" s="720">
        <v>0</v>
      </c>
      <c r="W13" s="720">
        <v>0</v>
      </c>
      <c r="X13" s="642">
        <f t="shared" si="4"/>
        <v>0</v>
      </c>
      <c r="Y13" s="720">
        <v>0</v>
      </c>
      <c r="Z13" s="720">
        <v>0</v>
      </c>
      <c r="AA13" s="642">
        <f t="shared" si="4"/>
        <v>0</v>
      </c>
      <c r="AB13" s="720">
        <v>0</v>
      </c>
      <c r="AC13" s="720">
        <v>0</v>
      </c>
      <c r="AD13" s="642">
        <f t="shared" si="4"/>
        <v>0</v>
      </c>
      <c r="AE13" s="720">
        <v>0</v>
      </c>
      <c r="AF13" s="643">
        <v>11930604</v>
      </c>
      <c r="AG13" s="642">
        <f t="shared" ref="AG13" si="5">SUM(AG14:AG16)</f>
        <v>11930604</v>
      </c>
      <c r="AH13" s="644">
        <f t="shared" si="1"/>
        <v>11930604</v>
      </c>
      <c r="AI13" s="644"/>
      <c r="AJ13" s="659">
        <f t="shared" si="2"/>
        <v>0</v>
      </c>
      <c r="AK13" s="659">
        <f t="shared" si="3"/>
        <v>11930604</v>
      </c>
    </row>
    <row r="14" spans="1:37" ht="24" customHeight="1" x14ac:dyDescent="0.25">
      <c r="A14" s="639" t="s">
        <v>20</v>
      </c>
      <c r="B14" s="21" t="s">
        <v>33</v>
      </c>
      <c r="C14" s="641"/>
      <c r="D14" s="720">
        <v>0</v>
      </c>
      <c r="E14" s="720">
        <v>0</v>
      </c>
      <c r="F14" s="720">
        <v>0</v>
      </c>
      <c r="G14" s="720">
        <v>0</v>
      </c>
      <c r="H14" s="720">
        <v>0</v>
      </c>
      <c r="I14" s="720">
        <v>0</v>
      </c>
      <c r="J14" s="720">
        <v>0</v>
      </c>
      <c r="K14" s="720">
        <v>0</v>
      </c>
      <c r="L14" s="720">
        <v>0</v>
      </c>
      <c r="M14" s="720">
        <v>0</v>
      </c>
      <c r="N14" s="720">
        <v>0</v>
      </c>
      <c r="O14" s="720">
        <v>0</v>
      </c>
      <c r="P14" s="720">
        <v>0</v>
      </c>
      <c r="Q14" s="720">
        <v>0</v>
      </c>
      <c r="R14" s="720">
        <v>0</v>
      </c>
      <c r="S14" s="720">
        <v>0</v>
      </c>
      <c r="T14" s="720">
        <v>0</v>
      </c>
      <c r="U14" s="720">
        <v>0</v>
      </c>
      <c r="V14" s="720">
        <v>0</v>
      </c>
      <c r="W14" s="720">
        <v>0</v>
      </c>
      <c r="X14" s="720">
        <v>0</v>
      </c>
      <c r="Y14" s="720">
        <v>0</v>
      </c>
      <c r="Z14" s="720">
        <v>0</v>
      </c>
      <c r="AA14" s="720">
        <v>0</v>
      </c>
      <c r="AB14" s="720">
        <v>0</v>
      </c>
      <c r="AC14" s="720">
        <v>0</v>
      </c>
      <c r="AD14" s="720">
        <v>0</v>
      </c>
      <c r="AE14" s="720">
        <v>0</v>
      </c>
      <c r="AF14" s="720">
        <v>0</v>
      </c>
      <c r="AG14" s="643">
        <f t="shared" si="0"/>
        <v>0</v>
      </c>
      <c r="AH14" s="644">
        <f t="shared" si="1"/>
        <v>0</v>
      </c>
      <c r="AI14" s="644"/>
      <c r="AJ14" s="659">
        <f t="shared" si="2"/>
        <v>0</v>
      </c>
      <c r="AK14" s="659">
        <f t="shared" si="3"/>
        <v>0</v>
      </c>
    </row>
    <row r="15" spans="1:37" ht="24" customHeight="1" x14ac:dyDescent="0.25">
      <c r="A15" s="639" t="s">
        <v>21</v>
      </c>
      <c r="B15" s="21" t="s">
        <v>34</v>
      </c>
      <c r="C15" s="647"/>
      <c r="D15" s="720">
        <v>0</v>
      </c>
      <c r="E15" s="720">
        <v>0</v>
      </c>
      <c r="F15" s="720">
        <v>0</v>
      </c>
      <c r="G15" s="720">
        <v>0</v>
      </c>
      <c r="H15" s="720">
        <v>0</v>
      </c>
      <c r="I15" s="720">
        <v>0</v>
      </c>
      <c r="J15" s="720">
        <v>0</v>
      </c>
      <c r="K15" s="720">
        <v>0</v>
      </c>
      <c r="L15" s="720">
        <v>0</v>
      </c>
      <c r="M15" s="720">
        <v>0</v>
      </c>
      <c r="N15" s="720">
        <v>0</v>
      </c>
      <c r="O15" s="720">
        <v>0</v>
      </c>
      <c r="P15" s="720">
        <v>0</v>
      </c>
      <c r="Q15" s="720">
        <v>0</v>
      </c>
      <c r="R15" s="720">
        <v>0</v>
      </c>
      <c r="S15" s="720">
        <v>0</v>
      </c>
      <c r="T15" s="720">
        <v>0</v>
      </c>
      <c r="U15" s="720">
        <v>0</v>
      </c>
      <c r="V15" s="720">
        <v>0</v>
      </c>
      <c r="W15" s="720">
        <v>0</v>
      </c>
      <c r="X15" s="720">
        <v>0</v>
      </c>
      <c r="Y15" s="720">
        <v>0</v>
      </c>
      <c r="Z15" s="720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643">
        <f t="shared" si="0"/>
        <v>0</v>
      </c>
      <c r="AH15" s="644">
        <f t="shared" si="1"/>
        <v>0</v>
      </c>
      <c r="AI15" s="644"/>
      <c r="AJ15" s="659">
        <f t="shared" si="2"/>
        <v>0</v>
      </c>
      <c r="AK15" s="659">
        <f t="shared" si="3"/>
        <v>0</v>
      </c>
    </row>
    <row r="16" spans="1:37" ht="24" customHeight="1" x14ac:dyDescent="0.25">
      <c r="A16" s="639" t="s">
        <v>22</v>
      </c>
      <c r="B16" s="17" t="s">
        <v>35</v>
      </c>
      <c r="C16" s="647"/>
      <c r="D16" s="720">
        <v>0</v>
      </c>
      <c r="E16" s="642">
        <v>11930604</v>
      </c>
      <c r="F16" s="642">
        <v>11930604</v>
      </c>
      <c r="G16" s="720">
        <v>0</v>
      </c>
      <c r="H16" s="720">
        <v>0</v>
      </c>
      <c r="I16" s="720">
        <v>0</v>
      </c>
      <c r="J16" s="720">
        <v>0</v>
      </c>
      <c r="K16" s="720">
        <v>0</v>
      </c>
      <c r="L16" s="720">
        <v>0</v>
      </c>
      <c r="M16" s="720">
        <v>0</v>
      </c>
      <c r="N16" s="720">
        <v>0</v>
      </c>
      <c r="O16" s="720">
        <v>0</v>
      </c>
      <c r="P16" s="720">
        <v>0</v>
      </c>
      <c r="Q16" s="720">
        <v>0</v>
      </c>
      <c r="R16" s="720">
        <v>0</v>
      </c>
      <c r="S16" s="720">
        <v>0</v>
      </c>
      <c r="T16" s="720">
        <v>0</v>
      </c>
      <c r="U16" s="720">
        <v>0</v>
      </c>
      <c r="V16" s="720">
        <v>0</v>
      </c>
      <c r="W16" s="720">
        <v>0</v>
      </c>
      <c r="X16" s="720">
        <v>0</v>
      </c>
      <c r="Y16" s="720">
        <v>0</v>
      </c>
      <c r="Z16" s="720">
        <v>0</v>
      </c>
      <c r="AA16" s="720">
        <v>0</v>
      </c>
      <c r="AB16" s="720">
        <v>0</v>
      </c>
      <c r="AC16" s="720">
        <v>0</v>
      </c>
      <c r="AD16" s="720">
        <v>0</v>
      </c>
      <c r="AE16" s="720">
        <v>0</v>
      </c>
      <c r="AF16" s="643">
        <v>11930604</v>
      </c>
      <c r="AG16" s="643">
        <f t="shared" si="0"/>
        <v>11930604</v>
      </c>
      <c r="AH16" s="644">
        <f t="shared" si="1"/>
        <v>11930604</v>
      </c>
      <c r="AI16" s="644"/>
      <c r="AJ16" s="659">
        <f t="shared" si="2"/>
        <v>0</v>
      </c>
      <c r="AK16" s="659">
        <f t="shared" si="3"/>
        <v>11930604</v>
      </c>
    </row>
    <row r="17" spans="1:37" ht="24" customHeight="1" x14ac:dyDescent="0.25">
      <c r="A17" s="639" t="s">
        <v>36</v>
      </c>
      <c r="B17" s="648" t="s">
        <v>37</v>
      </c>
      <c r="C17" s="641" t="s">
        <v>38</v>
      </c>
      <c r="D17" s="720">
        <v>0</v>
      </c>
      <c r="E17" s="720">
        <v>0</v>
      </c>
      <c r="F17" s="720">
        <v>0</v>
      </c>
      <c r="G17" s="643">
        <v>11637320</v>
      </c>
      <c r="H17" s="643">
        <v>11284545</v>
      </c>
      <c r="I17" s="643">
        <v>11122188</v>
      </c>
      <c r="J17" s="720">
        <v>0</v>
      </c>
      <c r="K17" s="643">
        <v>404565</v>
      </c>
      <c r="L17" s="643">
        <v>403883</v>
      </c>
      <c r="M17" s="720">
        <v>0</v>
      </c>
      <c r="N17" s="643">
        <v>126000</v>
      </c>
      <c r="O17" s="643">
        <v>125420</v>
      </c>
      <c r="P17" s="720">
        <v>0</v>
      </c>
      <c r="Q17" s="720">
        <v>0</v>
      </c>
      <c r="R17" s="720">
        <v>0</v>
      </c>
      <c r="S17" s="720">
        <v>0</v>
      </c>
      <c r="T17" s="720">
        <v>0</v>
      </c>
      <c r="U17" s="720">
        <v>0</v>
      </c>
      <c r="V17" s="720">
        <v>0</v>
      </c>
      <c r="W17" s="720">
        <v>0</v>
      </c>
      <c r="X17" s="720">
        <v>0</v>
      </c>
      <c r="Y17" s="720">
        <v>0</v>
      </c>
      <c r="Z17" s="720">
        <v>0</v>
      </c>
      <c r="AA17" s="720">
        <v>0</v>
      </c>
      <c r="AB17" s="720">
        <v>0</v>
      </c>
      <c r="AC17" s="720">
        <v>0</v>
      </c>
      <c r="AD17" s="720">
        <v>0</v>
      </c>
      <c r="AE17" s="643">
        <v>11637320</v>
      </c>
      <c r="AF17" s="643">
        <v>11815110</v>
      </c>
      <c r="AG17" s="643">
        <f t="shared" si="0"/>
        <v>11651491</v>
      </c>
      <c r="AH17" s="644">
        <f t="shared" si="1"/>
        <v>11122188</v>
      </c>
      <c r="AI17" s="644"/>
      <c r="AJ17" s="659">
        <f t="shared" si="2"/>
        <v>529303</v>
      </c>
      <c r="AK17" s="659">
        <f t="shared" si="3"/>
        <v>11651491</v>
      </c>
    </row>
    <row r="18" spans="1:37" ht="24" customHeight="1" x14ac:dyDescent="0.25">
      <c r="A18" s="639" t="s">
        <v>39</v>
      </c>
      <c r="B18" s="646" t="s">
        <v>40</v>
      </c>
      <c r="C18" s="641" t="s">
        <v>41</v>
      </c>
      <c r="D18" s="720">
        <v>0</v>
      </c>
      <c r="E18" s="720">
        <v>0</v>
      </c>
      <c r="F18" s="720">
        <v>0</v>
      </c>
      <c r="G18" s="720">
        <v>0</v>
      </c>
      <c r="H18" s="720">
        <v>0</v>
      </c>
      <c r="I18" s="720">
        <v>0</v>
      </c>
      <c r="J18" s="720">
        <v>0</v>
      </c>
      <c r="K18" s="720">
        <v>0</v>
      </c>
      <c r="L18" s="720">
        <v>0</v>
      </c>
      <c r="M18" s="720">
        <v>0</v>
      </c>
      <c r="N18" s="720">
        <v>0</v>
      </c>
      <c r="O18" s="720">
        <v>0</v>
      </c>
      <c r="P18" s="720">
        <v>0</v>
      </c>
      <c r="Q18" s="720">
        <v>0</v>
      </c>
      <c r="R18" s="720">
        <v>0</v>
      </c>
      <c r="S18" s="720">
        <v>0</v>
      </c>
      <c r="T18" s="720">
        <v>0</v>
      </c>
      <c r="U18" s="720">
        <v>0</v>
      </c>
      <c r="V18" s="720">
        <v>0</v>
      </c>
      <c r="W18" s="720">
        <v>0</v>
      </c>
      <c r="X18" s="720">
        <v>0</v>
      </c>
      <c r="Y18" s="720">
        <v>0</v>
      </c>
      <c r="Z18" s="720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643">
        <f t="shared" si="0"/>
        <v>0</v>
      </c>
      <c r="AH18" s="644">
        <f t="shared" si="1"/>
        <v>0</v>
      </c>
      <c r="AI18" s="644"/>
      <c r="AJ18" s="659">
        <f t="shared" si="2"/>
        <v>0</v>
      </c>
      <c r="AK18" s="659">
        <f t="shared" si="3"/>
        <v>0</v>
      </c>
    </row>
    <row r="19" spans="1:37" ht="24" customHeight="1" x14ac:dyDescent="0.25">
      <c r="A19" s="639" t="s">
        <v>42</v>
      </c>
      <c r="B19" s="646" t="s">
        <v>43</v>
      </c>
      <c r="C19" s="641" t="s">
        <v>44</v>
      </c>
      <c r="D19" s="720">
        <v>0</v>
      </c>
      <c r="E19" s="720">
        <v>0</v>
      </c>
      <c r="F19" s="720">
        <f>SUM(F20)</f>
        <v>0</v>
      </c>
      <c r="G19" s="643">
        <v>7500000</v>
      </c>
      <c r="H19" s="643">
        <v>10169900</v>
      </c>
      <c r="I19" s="643">
        <v>9600000</v>
      </c>
      <c r="J19" s="720">
        <v>0</v>
      </c>
      <c r="K19" s="720">
        <v>0</v>
      </c>
      <c r="L19" s="720">
        <v>0</v>
      </c>
      <c r="M19" s="720">
        <v>0</v>
      </c>
      <c r="N19" s="720">
        <v>0</v>
      </c>
      <c r="O19" s="720">
        <v>0</v>
      </c>
      <c r="P19" s="720">
        <v>0</v>
      </c>
      <c r="Q19" s="720">
        <v>0</v>
      </c>
      <c r="R19" s="720">
        <v>0</v>
      </c>
      <c r="S19" s="720">
        <v>0</v>
      </c>
      <c r="T19" s="720">
        <v>0</v>
      </c>
      <c r="U19" s="720">
        <v>0</v>
      </c>
      <c r="V19" s="720">
        <v>0</v>
      </c>
      <c r="W19" s="720">
        <v>0</v>
      </c>
      <c r="X19" s="720">
        <v>0</v>
      </c>
      <c r="Y19" s="720">
        <v>0</v>
      </c>
      <c r="Z19" s="720">
        <v>0</v>
      </c>
      <c r="AA19" s="720">
        <v>0</v>
      </c>
      <c r="AB19" s="720">
        <v>0</v>
      </c>
      <c r="AC19" s="720">
        <v>0</v>
      </c>
      <c r="AD19" s="720">
        <v>0</v>
      </c>
      <c r="AE19" s="643">
        <v>7500000</v>
      </c>
      <c r="AF19" s="643">
        <v>10169900</v>
      </c>
      <c r="AG19" s="643">
        <f t="shared" si="0"/>
        <v>9600000</v>
      </c>
      <c r="AH19" s="644">
        <f t="shared" si="1"/>
        <v>9600000</v>
      </c>
      <c r="AI19" s="644"/>
      <c r="AJ19" s="659">
        <f t="shared" si="2"/>
        <v>0</v>
      </c>
      <c r="AK19" s="659">
        <f t="shared" si="3"/>
        <v>9600000</v>
      </c>
    </row>
    <row r="20" spans="1:37" ht="24" customHeight="1" x14ac:dyDescent="0.25">
      <c r="A20" s="639" t="s">
        <v>45</v>
      </c>
      <c r="B20" s="21" t="s">
        <v>46</v>
      </c>
      <c r="C20" s="641"/>
      <c r="D20" s="720">
        <v>0</v>
      </c>
      <c r="E20" s="720">
        <v>0</v>
      </c>
      <c r="F20" s="720">
        <v>0</v>
      </c>
      <c r="G20" s="643">
        <v>7500000</v>
      </c>
      <c r="H20" s="643">
        <v>10169900</v>
      </c>
      <c r="I20" s="643">
        <v>9600000</v>
      </c>
      <c r="J20" s="720">
        <v>0</v>
      </c>
      <c r="K20" s="720">
        <v>0</v>
      </c>
      <c r="L20" s="720">
        <v>0</v>
      </c>
      <c r="M20" s="720">
        <v>0</v>
      </c>
      <c r="N20" s="720">
        <v>0</v>
      </c>
      <c r="O20" s="720">
        <v>0</v>
      </c>
      <c r="P20" s="720">
        <v>0</v>
      </c>
      <c r="Q20" s="720">
        <v>0</v>
      </c>
      <c r="R20" s="720">
        <v>0</v>
      </c>
      <c r="S20" s="720">
        <v>0</v>
      </c>
      <c r="T20" s="720">
        <v>0</v>
      </c>
      <c r="U20" s="720">
        <v>0</v>
      </c>
      <c r="V20" s="720">
        <v>0</v>
      </c>
      <c r="W20" s="720">
        <v>0</v>
      </c>
      <c r="X20" s="720">
        <v>0</v>
      </c>
      <c r="Y20" s="720">
        <v>0</v>
      </c>
      <c r="Z20" s="720">
        <v>0</v>
      </c>
      <c r="AA20" s="720">
        <v>0</v>
      </c>
      <c r="AB20" s="720">
        <v>0</v>
      </c>
      <c r="AC20" s="720">
        <v>0</v>
      </c>
      <c r="AD20" s="720">
        <v>0</v>
      </c>
      <c r="AE20" s="643">
        <v>7500000</v>
      </c>
      <c r="AF20" s="643">
        <v>10169900</v>
      </c>
      <c r="AG20" s="643">
        <f t="shared" si="0"/>
        <v>9600000</v>
      </c>
      <c r="AH20" s="644">
        <f t="shared" si="1"/>
        <v>9600000</v>
      </c>
      <c r="AI20" s="644"/>
      <c r="AJ20" s="659">
        <f t="shared" si="2"/>
        <v>0</v>
      </c>
      <c r="AK20" s="659">
        <f t="shared" si="3"/>
        <v>9600000</v>
      </c>
    </row>
    <row r="21" spans="1:37" s="651" customFormat="1" ht="24" customHeight="1" x14ac:dyDescent="0.25">
      <c r="A21" s="639" t="s">
        <v>47</v>
      </c>
      <c r="B21" s="648" t="s">
        <v>48</v>
      </c>
      <c r="C21" s="641" t="s">
        <v>49</v>
      </c>
      <c r="D21" s="649">
        <v>2888187</v>
      </c>
      <c r="E21" s="649">
        <v>14818791</v>
      </c>
      <c r="F21" s="649">
        <f>F9+F10+F11+F12+F13+F17+F18+F19</f>
        <v>11930604</v>
      </c>
      <c r="G21" s="650">
        <v>435452400</v>
      </c>
      <c r="H21" s="650">
        <v>441349676</v>
      </c>
      <c r="I21" s="649">
        <f>I9+I10+I11+I12+I13+I17+I18+I19</f>
        <v>385035340</v>
      </c>
      <c r="J21" s="650">
        <v>44454452</v>
      </c>
      <c r="K21" s="650">
        <v>50362071</v>
      </c>
      <c r="L21" s="649">
        <f>L9+L10+L11+L12+L13+L17+L18+L19</f>
        <v>41758370</v>
      </c>
      <c r="M21" s="650">
        <v>13175753</v>
      </c>
      <c r="N21" s="650">
        <v>17292753</v>
      </c>
      <c r="O21" s="649">
        <f>O9+O10+O11+O12+O13+O17+O18+O19</f>
        <v>16230937</v>
      </c>
      <c r="P21" s="720">
        <v>0</v>
      </c>
      <c r="Q21" s="720">
        <v>0</v>
      </c>
      <c r="R21" s="649">
        <f>R9+R10+R11+R12+R13+R17+R18+R19</f>
        <v>0</v>
      </c>
      <c r="S21" s="720">
        <v>0</v>
      </c>
      <c r="T21" s="720">
        <v>0</v>
      </c>
      <c r="U21" s="649">
        <f>U9+U10+U11+U12+U13+U17+U18+U19</f>
        <v>0</v>
      </c>
      <c r="V21" s="720">
        <v>0</v>
      </c>
      <c r="W21" s="720">
        <v>0</v>
      </c>
      <c r="X21" s="649">
        <f>X9+X10+X11+X12+X13+X17+X18+X19</f>
        <v>0</v>
      </c>
      <c r="Y21" s="720">
        <v>0</v>
      </c>
      <c r="Z21" s="720">
        <v>0</v>
      </c>
      <c r="AA21" s="649">
        <f>AA9+AA10+AA11+AA12+AA13+AA17+AA18+AA19</f>
        <v>0</v>
      </c>
      <c r="AB21" s="650">
        <v>1585</v>
      </c>
      <c r="AC21" s="650">
        <v>5051472</v>
      </c>
      <c r="AD21" s="649">
        <f>AD9+AD10+AD11+AD12+AD13+AD17+AD18+AD19</f>
        <v>4726069</v>
      </c>
      <c r="AE21" s="643">
        <v>495972377</v>
      </c>
      <c r="AF21" s="643">
        <v>528874763</v>
      </c>
      <c r="AG21" s="649">
        <f>AG9+AG10+AG11+AG12+AG13+AG17+AG18+AG19</f>
        <v>459681320</v>
      </c>
      <c r="AH21" s="644">
        <f t="shared" si="1"/>
        <v>401692013</v>
      </c>
      <c r="AI21" s="644"/>
      <c r="AJ21" s="659">
        <f t="shared" si="2"/>
        <v>57989307</v>
      </c>
      <c r="AK21" s="659">
        <f t="shared" si="3"/>
        <v>459681320</v>
      </c>
    </row>
    <row r="22" spans="1:37" ht="24" customHeight="1" x14ac:dyDescent="0.2">
      <c r="A22" s="639" t="s">
        <v>50</v>
      </c>
      <c r="B22" s="648" t="s">
        <v>51</v>
      </c>
      <c r="C22" s="641" t="s">
        <v>52</v>
      </c>
      <c r="D22" s="720">
        <v>0</v>
      </c>
      <c r="E22" s="720">
        <v>0</v>
      </c>
      <c r="F22" s="720">
        <f>SUM(F23:F26)</f>
        <v>0</v>
      </c>
      <c r="G22" s="720">
        <v>0</v>
      </c>
      <c r="H22" s="720">
        <v>0</v>
      </c>
      <c r="I22" s="720">
        <f>SUM(I23:I26)</f>
        <v>0</v>
      </c>
      <c r="J22" s="720">
        <v>0</v>
      </c>
      <c r="K22" s="720">
        <v>0</v>
      </c>
      <c r="L22" s="720">
        <f>SUM(L23:L26)</f>
        <v>0</v>
      </c>
      <c r="M22" s="720">
        <v>0</v>
      </c>
      <c r="N22" s="720">
        <v>0</v>
      </c>
      <c r="O22" s="720">
        <f>SUM(O23:O26)</f>
        <v>0</v>
      </c>
      <c r="P22" s="720">
        <v>0</v>
      </c>
      <c r="Q22" s="720">
        <v>0</v>
      </c>
      <c r="R22" s="720">
        <f>SUM(R23:R26)</f>
        <v>0</v>
      </c>
      <c r="S22" s="720">
        <v>0</v>
      </c>
      <c r="T22" s="720">
        <v>0</v>
      </c>
      <c r="U22" s="720">
        <f>SUM(U23:U26)</f>
        <v>0</v>
      </c>
      <c r="V22" s="720">
        <v>0</v>
      </c>
      <c r="W22" s="720">
        <v>0</v>
      </c>
      <c r="X22" s="720">
        <f>SUM(X23:X26)</f>
        <v>0</v>
      </c>
      <c r="Y22" s="720">
        <v>0</v>
      </c>
      <c r="Z22" s="720">
        <v>0</v>
      </c>
      <c r="AA22" s="720">
        <f>SUM(AA23:AA26)</f>
        <v>0</v>
      </c>
      <c r="AB22" s="720">
        <v>0</v>
      </c>
      <c r="AC22" s="720">
        <v>0</v>
      </c>
      <c r="AD22" s="720">
        <f>SUM(AD23:AD26)</f>
        <v>0</v>
      </c>
      <c r="AE22" s="720">
        <v>0</v>
      </c>
      <c r="AF22" s="720">
        <v>0</v>
      </c>
      <c r="AG22" s="720">
        <f>SUM(AG23:AG26)</f>
        <v>0</v>
      </c>
      <c r="AH22" s="644">
        <f t="shared" si="1"/>
        <v>0</v>
      </c>
      <c r="AI22" s="644"/>
      <c r="AJ22" s="659">
        <f t="shared" si="2"/>
        <v>0</v>
      </c>
      <c r="AK22" s="659">
        <f t="shared" si="3"/>
        <v>0</v>
      </c>
    </row>
    <row r="23" spans="1:37" ht="24" customHeight="1" x14ac:dyDescent="0.2">
      <c r="A23" s="639" t="s">
        <v>53</v>
      </c>
      <c r="B23" s="24" t="s">
        <v>970</v>
      </c>
      <c r="C23" s="647"/>
      <c r="D23" s="720">
        <v>0</v>
      </c>
      <c r="E23" s="720">
        <v>0</v>
      </c>
      <c r="F23" s="720">
        <v>0</v>
      </c>
      <c r="G23" s="720">
        <v>0</v>
      </c>
      <c r="H23" s="720">
        <v>0</v>
      </c>
      <c r="I23" s="720">
        <v>0</v>
      </c>
      <c r="J23" s="720">
        <v>0</v>
      </c>
      <c r="K23" s="720">
        <v>0</v>
      </c>
      <c r="L23" s="720">
        <v>0</v>
      </c>
      <c r="M23" s="720">
        <v>0</v>
      </c>
      <c r="N23" s="720">
        <v>0</v>
      </c>
      <c r="O23" s="720">
        <v>0</v>
      </c>
      <c r="P23" s="720">
        <v>0</v>
      </c>
      <c r="Q23" s="720">
        <v>0</v>
      </c>
      <c r="R23" s="720">
        <v>0</v>
      </c>
      <c r="S23" s="720">
        <v>0</v>
      </c>
      <c r="T23" s="720">
        <v>0</v>
      </c>
      <c r="U23" s="720">
        <v>0</v>
      </c>
      <c r="V23" s="720">
        <v>0</v>
      </c>
      <c r="W23" s="720">
        <v>0</v>
      </c>
      <c r="X23" s="720">
        <v>0</v>
      </c>
      <c r="Y23" s="720">
        <v>0</v>
      </c>
      <c r="Z23" s="720">
        <v>0</v>
      </c>
      <c r="AA23" s="720">
        <v>0</v>
      </c>
      <c r="AB23" s="720">
        <v>0</v>
      </c>
      <c r="AC23" s="720">
        <v>0</v>
      </c>
      <c r="AD23" s="720">
        <v>0</v>
      </c>
      <c r="AE23" s="720">
        <v>0</v>
      </c>
      <c r="AF23" s="720">
        <v>0</v>
      </c>
      <c r="AG23" s="720">
        <v>0</v>
      </c>
      <c r="AH23" s="644">
        <f t="shared" si="1"/>
        <v>0</v>
      </c>
      <c r="AI23" s="644"/>
      <c r="AJ23" s="659">
        <f t="shared" si="2"/>
        <v>0</v>
      </c>
      <c r="AK23" s="659">
        <f t="shared" si="3"/>
        <v>0</v>
      </c>
    </row>
    <row r="24" spans="1:37" ht="24" customHeight="1" x14ac:dyDescent="0.2">
      <c r="A24" s="639" t="s">
        <v>55</v>
      </c>
      <c r="B24" s="652" t="s">
        <v>56</v>
      </c>
      <c r="C24" s="647"/>
      <c r="D24" s="720">
        <v>0</v>
      </c>
      <c r="E24" s="720">
        <v>0</v>
      </c>
      <c r="F24" s="720">
        <v>0</v>
      </c>
      <c r="G24" s="720">
        <v>0</v>
      </c>
      <c r="H24" s="720">
        <v>0</v>
      </c>
      <c r="I24" s="720">
        <v>0</v>
      </c>
      <c r="J24" s="720">
        <v>0</v>
      </c>
      <c r="K24" s="720">
        <v>0</v>
      </c>
      <c r="L24" s="720">
        <v>0</v>
      </c>
      <c r="M24" s="720">
        <v>0</v>
      </c>
      <c r="N24" s="720">
        <v>0</v>
      </c>
      <c r="O24" s="720">
        <v>0</v>
      </c>
      <c r="P24" s="720">
        <v>0</v>
      </c>
      <c r="Q24" s="720">
        <v>0</v>
      </c>
      <c r="R24" s="720">
        <v>0</v>
      </c>
      <c r="S24" s="720">
        <v>0</v>
      </c>
      <c r="T24" s="720">
        <v>0</v>
      </c>
      <c r="U24" s="720">
        <v>0</v>
      </c>
      <c r="V24" s="720">
        <v>0</v>
      </c>
      <c r="W24" s="720">
        <v>0</v>
      </c>
      <c r="X24" s="720">
        <v>0</v>
      </c>
      <c r="Y24" s="720">
        <v>0</v>
      </c>
      <c r="Z24" s="720">
        <v>0</v>
      </c>
      <c r="AA24" s="720">
        <v>0</v>
      </c>
      <c r="AB24" s="720">
        <v>0</v>
      </c>
      <c r="AC24" s="720">
        <v>0</v>
      </c>
      <c r="AD24" s="720">
        <v>0</v>
      </c>
      <c r="AE24" s="720">
        <v>0</v>
      </c>
      <c r="AF24" s="720">
        <v>0</v>
      </c>
      <c r="AG24" s="720">
        <v>0</v>
      </c>
      <c r="AH24" s="644">
        <f t="shared" si="1"/>
        <v>0</v>
      </c>
      <c r="AI24" s="644"/>
      <c r="AJ24" s="659">
        <f t="shared" si="2"/>
        <v>0</v>
      </c>
      <c r="AK24" s="659">
        <f t="shared" si="3"/>
        <v>0</v>
      </c>
    </row>
    <row r="25" spans="1:37" ht="24" customHeight="1" x14ac:dyDescent="0.2">
      <c r="A25" s="639" t="s">
        <v>57</v>
      </c>
      <c r="B25" s="652" t="s">
        <v>58</v>
      </c>
      <c r="C25" s="647"/>
      <c r="D25" s="720">
        <v>0</v>
      </c>
      <c r="E25" s="720">
        <v>0</v>
      </c>
      <c r="F25" s="720">
        <v>0</v>
      </c>
      <c r="G25" s="720">
        <v>0</v>
      </c>
      <c r="H25" s="720">
        <v>0</v>
      </c>
      <c r="I25" s="720">
        <v>0</v>
      </c>
      <c r="J25" s="720">
        <v>0</v>
      </c>
      <c r="K25" s="720">
        <v>0</v>
      </c>
      <c r="L25" s="720">
        <v>0</v>
      </c>
      <c r="M25" s="720">
        <v>0</v>
      </c>
      <c r="N25" s="720">
        <v>0</v>
      </c>
      <c r="O25" s="720">
        <v>0</v>
      </c>
      <c r="P25" s="720">
        <v>0</v>
      </c>
      <c r="Q25" s="720">
        <v>0</v>
      </c>
      <c r="R25" s="720">
        <v>0</v>
      </c>
      <c r="S25" s="720">
        <v>0</v>
      </c>
      <c r="T25" s="720">
        <v>0</v>
      </c>
      <c r="U25" s="720">
        <v>0</v>
      </c>
      <c r="V25" s="720">
        <v>0</v>
      </c>
      <c r="W25" s="720">
        <v>0</v>
      </c>
      <c r="X25" s="720">
        <v>0</v>
      </c>
      <c r="Y25" s="720">
        <v>0</v>
      </c>
      <c r="Z25" s="720">
        <v>0</v>
      </c>
      <c r="AA25" s="720">
        <v>0</v>
      </c>
      <c r="AB25" s="720">
        <v>0</v>
      </c>
      <c r="AC25" s="720">
        <v>0</v>
      </c>
      <c r="AD25" s="720">
        <v>0</v>
      </c>
      <c r="AE25" s="720">
        <v>0</v>
      </c>
      <c r="AF25" s="720">
        <v>0</v>
      </c>
      <c r="AG25" s="720">
        <v>0</v>
      </c>
      <c r="AH25" s="644">
        <f t="shared" si="1"/>
        <v>0</v>
      </c>
      <c r="AI25" s="644"/>
      <c r="AJ25" s="659">
        <f t="shared" si="2"/>
        <v>0</v>
      </c>
      <c r="AK25" s="659">
        <f t="shared" si="3"/>
        <v>0</v>
      </c>
    </row>
    <row r="26" spans="1:37" ht="24" customHeight="1" x14ac:dyDescent="0.2">
      <c r="A26" s="639" t="s">
        <v>59</v>
      </c>
      <c r="B26" s="652" t="s">
        <v>60</v>
      </c>
      <c r="C26" s="647"/>
      <c r="D26" s="720">
        <v>0</v>
      </c>
      <c r="E26" s="720">
        <v>0</v>
      </c>
      <c r="F26" s="720">
        <v>0</v>
      </c>
      <c r="G26" s="720">
        <v>0</v>
      </c>
      <c r="H26" s="720">
        <v>0</v>
      </c>
      <c r="I26" s="720">
        <v>0</v>
      </c>
      <c r="J26" s="720">
        <v>0</v>
      </c>
      <c r="K26" s="720">
        <v>0</v>
      </c>
      <c r="L26" s="720">
        <v>0</v>
      </c>
      <c r="M26" s="720">
        <v>0</v>
      </c>
      <c r="N26" s="720">
        <v>0</v>
      </c>
      <c r="O26" s="720">
        <v>0</v>
      </c>
      <c r="P26" s="720">
        <v>0</v>
      </c>
      <c r="Q26" s="720">
        <v>0</v>
      </c>
      <c r="R26" s="720">
        <v>0</v>
      </c>
      <c r="S26" s="720">
        <v>0</v>
      </c>
      <c r="T26" s="720">
        <v>0</v>
      </c>
      <c r="U26" s="720">
        <v>0</v>
      </c>
      <c r="V26" s="720">
        <v>0</v>
      </c>
      <c r="W26" s="720">
        <v>0</v>
      </c>
      <c r="X26" s="720">
        <v>0</v>
      </c>
      <c r="Y26" s="720">
        <v>0</v>
      </c>
      <c r="Z26" s="720">
        <v>0</v>
      </c>
      <c r="AA26" s="720">
        <v>0</v>
      </c>
      <c r="AB26" s="720">
        <v>0</v>
      </c>
      <c r="AC26" s="720">
        <v>0</v>
      </c>
      <c r="AD26" s="720">
        <v>0</v>
      </c>
      <c r="AE26" s="720">
        <v>0</v>
      </c>
      <c r="AF26" s="720">
        <v>0</v>
      </c>
      <c r="AG26" s="720">
        <v>0</v>
      </c>
      <c r="AH26" s="644">
        <f t="shared" si="1"/>
        <v>0</v>
      </c>
      <c r="AI26" s="644"/>
      <c r="AJ26" s="659">
        <f t="shared" si="2"/>
        <v>0</v>
      </c>
      <c r="AK26" s="659">
        <f t="shared" si="3"/>
        <v>0</v>
      </c>
    </row>
    <row r="27" spans="1:37" s="651" customFormat="1" ht="24" customHeight="1" x14ac:dyDescent="0.25">
      <c r="A27" s="639" t="s">
        <v>61</v>
      </c>
      <c r="B27" s="653" t="s">
        <v>62</v>
      </c>
      <c r="C27" s="641">
        <v>0</v>
      </c>
      <c r="D27" s="654">
        <v>2888187</v>
      </c>
      <c r="E27" s="654">
        <v>14818791</v>
      </c>
      <c r="F27" s="654">
        <f>F9+F10+F11+F12+F13+F24+F26</f>
        <v>11930604</v>
      </c>
      <c r="G27" s="650">
        <v>416315080</v>
      </c>
      <c r="H27" s="650">
        <v>419895231</v>
      </c>
      <c r="I27" s="654">
        <f>I9+I10+I11+I12+I13+I24+I26</f>
        <v>364313152</v>
      </c>
      <c r="J27" s="650">
        <v>44454452</v>
      </c>
      <c r="K27" s="650">
        <v>49957506</v>
      </c>
      <c r="L27" s="654">
        <f>L9+L10+L11+L12+L13+L24+L26</f>
        <v>41354487</v>
      </c>
      <c r="M27" s="650">
        <v>13175753</v>
      </c>
      <c r="N27" s="650">
        <v>17166753</v>
      </c>
      <c r="O27" s="654">
        <f>O9+O10+O11+O12+O13+O24+O26</f>
        <v>16105517</v>
      </c>
      <c r="P27" s="720">
        <v>0</v>
      </c>
      <c r="Q27" s="720">
        <v>0</v>
      </c>
      <c r="R27" s="654">
        <f>R9+R10+R11+R12+R13+R24+R26</f>
        <v>0</v>
      </c>
      <c r="S27" s="720">
        <v>0</v>
      </c>
      <c r="T27" s="720">
        <v>0</v>
      </c>
      <c r="U27" s="654">
        <f>U9+U10+U11+U12+U13+U24+U26</f>
        <v>0</v>
      </c>
      <c r="V27" s="720">
        <v>0</v>
      </c>
      <c r="W27" s="720">
        <v>0</v>
      </c>
      <c r="X27" s="654">
        <f>X9+X10+X11+X12+X13+X24+X26</f>
        <v>0</v>
      </c>
      <c r="Y27" s="720">
        <v>0</v>
      </c>
      <c r="Z27" s="720">
        <v>0</v>
      </c>
      <c r="AA27" s="654">
        <f>AA9+AA10+AA11+AA12+AA13+AA24+AA26</f>
        <v>0</v>
      </c>
      <c r="AB27" s="650">
        <v>1585</v>
      </c>
      <c r="AC27" s="650">
        <v>5051472</v>
      </c>
      <c r="AD27" s="654">
        <f>AD9+AD10+AD11+AD12+AD13+AD24+AD26</f>
        <v>4726069</v>
      </c>
      <c r="AE27" s="650">
        <v>476835057</v>
      </c>
      <c r="AF27" s="650">
        <v>506889753</v>
      </c>
      <c r="AG27" s="654">
        <f>AG9+AG10+AG11+AG12+AG13+AG22</f>
        <v>438429829</v>
      </c>
      <c r="AH27" s="644">
        <f t="shared" si="1"/>
        <v>380969825</v>
      </c>
      <c r="AI27" s="644"/>
      <c r="AJ27" s="659">
        <f t="shared" si="2"/>
        <v>57460004</v>
      </c>
      <c r="AK27" s="659">
        <f t="shared" si="3"/>
        <v>438429829</v>
      </c>
    </row>
    <row r="28" spans="1:37" s="651" customFormat="1" ht="24" customHeight="1" x14ac:dyDescent="0.25">
      <c r="A28" s="639" t="s">
        <v>63</v>
      </c>
      <c r="B28" s="653" t="s">
        <v>64</v>
      </c>
      <c r="C28" s="641"/>
      <c r="D28" s="720">
        <v>0</v>
      </c>
      <c r="E28" s="720">
        <v>0</v>
      </c>
      <c r="F28" s="720">
        <f>F17+F18+F19+F25</f>
        <v>0</v>
      </c>
      <c r="G28" s="650">
        <v>19137320</v>
      </c>
      <c r="H28" s="650">
        <v>21454445</v>
      </c>
      <c r="I28" s="654">
        <f>I17+I18+I19+I25</f>
        <v>20722188</v>
      </c>
      <c r="J28" s="720">
        <v>0</v>
      </c>
      <c r="K28" s="650">
        <v>404565</v>
      </c>
      <c r="L28" s="654">
        <f>L17+L18+L19+L25</f>
        <v>403883</v>
      </c>
      <c r="M28" s="720">
        <v>0</v>
      </c>
      <c r="N28" s="650">
        <v>126000</v>
      </c>
      <c r="O28" s="654">
        <f>O17+O18+O19+O25</f>
        <v>125420</v>
      </c>
      <c r="P28" s="720">
        <v>0</v>
      </c>
      <c r="Q28" s="720">
        <v>0</v>
      </c>
      <c r="R28" s="654">
        <f>R17+R18+R19+R25</f>
        <v>0</v>
      </c>
      <c r="S28" s="720">
        <v>0</v>
      </c>
      <c r="T28" s="720">
        <v>0</v>
      </c>
      <c r="U28" s="654">
        <f>U17+U18+U19+U25</f>
        <v>0</v>
      </c>
      <c r="V28" s="720">
        <v>0</v>
      </c>
      <c r="W28" s="720">
        <v>0</v>
      </c>
      <c r="X28" s="654">
        <f>X17+X18+X19+X25</f>
        <v>0</v>
      </c>
      <c r="Y28" s="720">
        <v>0</v>
      </c>
      <c r="Z28" s="720">
        <v>0</v>
      </c>
      <c r="AA28" s="654">
        <f>AA17+AA18+AA19+AA25</f>
        <v>0</v>
      </c>
      <c r="AB28" s="720">
        <v>0</v>
      </c>
      <c r="AC28" s="720">
        <v>0</v>
      </c>
      <c r="AD28" s="654">
        <f>AD17+AD18+AD19+AD25</f>
        <v>0</v>
      </c>
      <c r="AE28" s="650">
        <v>19137320</v>
      </c>
      <c r="AF28" s="650">
        <v>21985010</v>
      </c>
      <c r="AG28" s="654">
        <f>AG17+AG18+AG19+AG22</f>
        <v>21251491</v>
      </c>
      <c r="AH28" s="644">
        <f t="shared" si="1"/>
        <v>20722188</v>
      </c>
      <c r="AI28" s="644"/>
      <c r="AJ28" s="659">
        <f t="shared" si="2"/>
        <v>529303</v>
      </c>
      <c r="AK28" s="659">
        <f t="shared" si="3"/>
        <v>21251491</v>
      </c>
    </row>
    <row r="29" spans="1:37" s="651" customFormat="1" ht="24" customHeight="1" x14ac:dyDescent="0.25">
      <c r="A29" s="639" t="s">
        <v>65</v>
      </c>
      <c r="B29" s="653" t="s">
        <v>66</v>
      </c>
      <c r="C29" s="641" t="s">
        <v>67</v>
      </c>
      <c r="D29" s="654">
        <v>2888187</v>
      </c>
      <c r="E29" s="654">
        <v>14818791</v>
      </c>
      <c r="F29" s="654">
        <f>F9+F10+F11+F12+F13+F17+F18+F19+F22</f>
        <v>11930604</v>
      </c>
      <c r="G29" s="650">
        <v>435452400</v>
      </c>
      <c r="H29" s="650">
        <v>441349676</v>
      </c>
      <c r="I29" s="654">
        <f>I9+I10+I11+I12+I13+I17+I18+I19+I22</f>
        <v>385035340</v>
      </c>
      <c r="J29" s="650">
        <v>44454452</v>
      </c>
      <c r="K29" s="650">
        <v>50362071</v>
      </c>
      <c r="L29" s="654">
        <f>L9+L10+L11+L12+L13+L17+L18+L19+L22</f>
        <v>41758370</v>
      </c>
      <c r="M29" s="650">
        <v>13175753</v>
      </c>
      <c r="N29" s="650">
        <v>17292753</v>
      </c>
      <c r="O29" s="654">
        <f>O9+O10+O11+O12+O13+O17+O18+O19+O22</f>
        <v>16230937</v>
      </c>
      <c r="P29" s="720">
        <v>0</v>
      </c>
      <c r="Q29" s="720">
        <v>0</v>
      </c>
      <c r="R29" s="654">
        <f>R9+R10+R11+R12+R13+R17+R18+R19+R22</f>
        <v>0</v>
      </c>
      <c r="S29" s="720">
        <v>0</v>
      </c>
      <c r="T29" s="720">
        <v>0</v>
      </c>
      <c r="U29" s="654">
        <f>U9+U10+U11+U12+U13+U17+U18+U19+U22</f>
        <v>0</v>
      </c>
      <c r="V29" s="720">
        <v>0</v>
      </c>
      <c r="W29" s="720">
        <v>0</v>
      </c>
      <c r="X29" s="654">
        <f>X9+X10+X11+X12+X13+X17+X18+X19+X22</f>
        <v>0</v>
      </c>
      <c r="Y29" s="720">
        <v>0</v>
      </c>
      <c r="Z29" s="720">
        <v>0</v>
      </c>
      <c r="AA29" s="654">
        <f>AA9+AA10+AA11+AA12+AA13+AA17+AA18+AA19+AA22</f>
        <v>0</v>
      </c>
      <c r="AB29" s="650">
        <v>1585</v>
      </c>
      <c r="AC29" s="650">
        <v>5051472</v>
      </c>
      <c r="AD29" s="654">
        <f>AD9+AD10+AD11+AD12+AD13+AD17+AD18+AD19+AD22</f>
        <v>4726069</v>
      </c>
      <c r="AE29" s="650">
        <v>495972377</v>
      </c>
      <c r="AF29" s="650">
        <v>528874763</v>
      </c>
      <c r="AG29" s="654">
        <f>AG9+AG10+AG11+AG12+AG13+AG17+AG18+AG19+AG22</f>
        <v>459681320</v>
      </c>
      <c r="AH29" s="644">
        <f t="shared" si="1"/>
        <v>401692013</v>
      </c>
      <c r="AI29" s="644"/>
      <c r="AJ29" s="659">
        <f t="shared" si="2"/>
        <v>57989307</v>
      </c>
      <c r="AK29" s="659">
        <f t="shared" si="3"/>
        <v>459681320</v>
      </c>
    </row>
    <row r="30" spans="1:37" ht="24" customHeight="1" x14ac:dyDescent="0.25">
      <c r="A30" s="639" t="s">
        <v>68</v>
      </c>
      <c r="B30" s="645" t="s">
        <v>69</v>
      </c>
      <c r="C30" s="648" t="s">
        <v>70</v>
      </c>
      <c r="D30" s="720">
        <v>0</v>
      </c>
      <c r="E30" s="720">
        <v>0</v>
      </c>
      <c r="F30" s="720">
        <v>0</v>
      </c>
      <c r="G30" s="720">
        <v>0</v>
      </c>
      <c r="H30" s="720">
        <v>0</v>
      </c>
      <c r="I30" s="720">
        <v>0</v>
      </c>
      <c r="J30" s="720">
        <v>0</v>
      </c>
      <c r="K30" s="720">
        <v>0</v>
      </c>
      <c r="L30" s="720">
        <v>0</v>
      </c>
      <c r="M30" s="720">
        <v>0</v>
      </c>
      <c r="N30" s="720">
        <v>0</v>
      </c>
      <c r="O30" s="720">
        <v>0</v>
      </c>
      <c r="P30" s="720">
        <v>0</v>
      </c>
      <c r="Q30" s="720">
        <v>0</v>
      </c>
      <c r="R30" s="720">
        <v>0</v>
      </c>
      <c r="S30" s="720">
        <v>0</v>
      </c>
      <c r="T30" s="720">
        <v>0</v>
      </c>
      <c r="U30" s="720">
        <v>0</v>
      </c>
      <c r="V30" s="720">
        <v>0</v>
      </c>
      <c r="W30" s="720">
        <v>0</v>
      </c>
      <c r="X30" s="720">
        <v>0</v>
      </c>
      <c r="Y30" s="720">
        <v>0</v>
      </c>
      <c r="Z30" s="720">
        <v>0</v>
      </c>
      <c r="AA30" s="720">
        <v>0</v>
      </c>
      <c r="AB30" s="720">
        <v>0</v>
      </c>
      <c r="AC30" s="720">
        <v>0</v>
      </c>
      <c r="AD30" s="720">
        <v>0</v>
      </c>
      <c r="AE30" s="720">
        <v>0</v>
      </c>
      <c r="AF30" s="720">
        <v>0</v>
      </c>
      <c r="AG30" s="643">
        <f t="shared" si="0"/>
        <v>0</v>
      </c>
      <c r="AH30" s="644">
        <f t="shared" si="1"/>
        <v>0</v>
      </c>
      <c r="AI30" s="644"/>
      <c r="AJ30" s="659">
        <f t="shared" si="2"/>
        <v>0</v>
      </c>
      <c r="AK30" s="659">
        <f t="shared" si="3"/>
        <v>0</v>
      </c>
    </row>
    <row r="31" spans="1:37" ht="24" customHeight="1" x14ac:dyDescent="0.25">
      <c r="A31" s="639" t="s">
        <v>71</v>
      </c>
      <c r="B31" s="645" t="s">
        <v>72</v>
      </c>
      <c r="C31" s="648" t="s">
        <v>73</v>
      </c>
      <c r="D31" s="720">
        <v>0</v>
      </c>
      <c r="E31" s="720">
        <v>0</v>
      </c>
      <c r="F31" s="720">
        <v>0</v>
      </c>
      <c r="G31" s="720">
        <v>0</v>
      </c>
      <c r="H31" s="720">
        <v>0</v>
      </c>
      <c r="I31" s="720">
        <v>0</v>
      </c>
      <c r="J31" s="720">
        <v>0</v>
      </c>
      <c r="K31" s="720">
        <v>0</v>
      </c>
      <c r="L31" s="720">
        <v>0</v>
      </c>
      <c r="M31" s="720">
        <v>0</v>
      </c>
      <c r="N31" s="720">
        <v>0</v>
      </c>
      <c r="O31" s="720">
        <v>0</v>
      </c>
      <c r="P31" s="720">
        <v>0</v>
      </c>
      <c r="Q31" s="720">
        <v>0</v>
      </c>
      <c r="R31" s="720">
        <v>0</v>
      </c>
      <c r="S31" s="720">
        <v>0</v>
      </c>
      <c r="T31" s="720">
        <v>0</v>
      </c>
      <c r="U31" s="720">
        <v>0</v>
      </c>
      <c r="V31" s="720">
        <v>0</v>
      </c>
      <c r="W31" s="720">
        <v>0</v>
      </c>
      <c r="X31" s="720">
        <v>0</v>
      </c>
      <c r="Y31" s="720">
        <v>0</v>
      </c>
      <c r="Z31" s="720">
        <v>0</v>
      </c>
      <c r="AA31" s="720">
        <v>0</v>
      </c>
      <c r="AB31" s="720">
        <v>0</v>
      </c>
      <c r="AC31" s="720">
        <v>0</v>
      </c>
      <c r="AD31" s="720">
        <v>0</v>
      </c>
      <c r="AE31" s="720">
        <v>0</v>
      </c>
      <c r="AF31" s="720">
        <v>0</v>
      </c>
      <c r="AG31" s="643">
        <f t="shared" si="0"/>
        <v>0</v>
      </c>
      <c r="AH31" s="644">
        <f t="shared" si="1"/>
        <v>0</v>
      </c>
      <c r="AI31" s="644"/>
      <c r="AJ31" s="659">
        <f t="shared" si="2"/>
        <v>0</v>
      </c>
      <c r="AK31" s="659">
        <f t="shared" si="3"/>
        <v>0</v>
      </c>
    </row>
    <row r="32" spans="1:37" ht="24" customHeight="1" x14ac:dyDescent="0.25">
      <c r="A32" s="639" t="s">
        <v>74</v>
      </c>
      <c r="B32" s="645" t="s">
        <v>75</v>
      </c>
      <c r="C32" s="648" t="s">
        <v>76</v>
      </c>
      <c r="D32" s="720">
        <v>0</v>
      </c>
      <c r="E32" s="720">
        <v>0</v>
      </c>
      <c r="F32" s="720">
        <v>0</v>
      </c>
      <c r="G32" s="720">
        <v>0</v>
      </c>
      <c r="H32" s="643">
        <v>131250</v>
      </c>
      <c r="I32" s="643">
        <v>45000</v>
      </c>
      <c r="J32" s="720">
        <v>0</v>
      </c>
      <c r="K32" s="643">
        <v>721188</v>
      </c>
      <c r="L32" s="643">
        <v>721188</v>
      </c>
      <c r="M32" s="655">
        <v>500000</v>
      </c>
      <c r="N32" s="643">
        <v>761000</v>
      </c>
      <c r="O32" s="643">
        <v>761000</v>
      </c>
      <c r="P32" s="720">
        <v>0</v>
      </c>
      <c r="Q32" s="720">
        <v>0</v>
      </c>
      <c r="R32" s="720">
        <v>0</v>
      </c>
      <c r="S32" s="643">
        <v>1386480</v>
      </c>
      <c r="T32" s="720">
        <v>0</v>
      </c>
      <c r="U32" s="720">
        <v>0</v>
      </c>
      <c r="V32" s="720">
        <v>0</v>
      </c>
      <c r="W32" s="720">
        <v>0</v>
      </c>
      <c r="X32" s="720">
        <v>0</v>
      </c>
      <c r="Y32" s="720">
        <v>0</v>
      </c>
      <c r="Z32" s="720">
        <v>0</v>
      </c>
      <c r="AA32" s="720">
        <v>0</v>
      </c>
      <c r="AB32" s="720">
        <v>0</v>
      </c>
      <c r="AC32" s="720">
        <v>0</v>
      </c>
      <c r="AD32" s="720">
        <v>0</v>
      </c>
      <c r="AE32" s="643">
        <v>1886480</v>
      </c>
      <c r="AF32" s="643">
        <v>1613438</v>
      </c>
      <c r="AG32" s="643">
        <f t="shared" si="0"/>
        <v>1527188</v>
      </c>
      <c r="AH32" s="644">
        <f t="shared" si="1"/>
        <v>45000</v>
      </c>
      <c r="AI32" s="644"/>
      <c r="AJ32" s="659">
        <f t="shared" si="2"/>
        <v>1482188</v>
      </c>
      <c r="AK32" s="659">
        <f t="shared" si="3"/>
        <v>1527188</v>
      </c>
    </row>
    <row r="33" spans="1:37" ht="24" customHeight="1" x14ac:dyDescent="0.25">
      <c r="A33" s="639" t="s">
        <v>77</v>
      </c>
      <c r="B33" s="646" t="s">
        <v>78</v>
      </c>
      <c r="C33" s="648" t="s">
        <v>79</v>
      </c>
      <c r="D33" s="720">
        <v>0</v>
      </c>
      <c r="E33" s="720">
        <v>0</v>
      </c>
      <c r="F33" s="720">
        <v>0</v>
      </c>
      <c r="G33" s="720">
        <v>0</v>
      </c>
      <c r="H33" s="643">
        <v>4305707</v>
      </c>
      <c r="I33" s="643">
        <v>3233120</v>
      </c>
      <c r="J33" s="720">
        <v>0</v>
      </c>
      <c r="K33" s="643">
        <v>35390</v>
      </c>
      <c r="L33" s="643">
        <v>35390</v>
      </c>
      <c r="M33" s="720">
        <v>0</v>
      </c>
      <c r="N33" s="720">
        <v>0</v>
      </c>
      <c r="O33" s="720">
        <v>0</v>
      </c>
      <c r="P33" s="720">
        <v>0</v>
      </c>
      <c r="Q33" s="643">
        <v>392920</v>
      </c>
      <c r="R33" s="643">
        <v>0</v>
      </c>
      <c r="S33" s="643">
        <v>1468207</v>
      </c>
      <c r="T33" s="720">
        <v>0</v>
      </c>
      <c r="U33" s="720">
        <v>0</v>
      </c>
      <c r="V33" s="720">
        <v>0</v>
      </c>
      <c r="W33" s="720">
        <v>0</v>
      </c>
      <c r="X33" s="720">
        <v>0</v>
      </c>
      <c r="Y33" s="720">
        <v>0</v>
      </c>
      <c r="Z33" s="720">
        <v>0</v>
      </c>
      <c r="AA33" s="720">
        <v>0</v>
      </c>
      <c r="AB33" s="720">
        <v>0</v>
      </c>
      <c r="AC33" s="643">
        <v>4298866</v>
      </c>
      <c r="AD33" s="643">
        <v>4298866</v>
      </c>
      <c r="AE33" s="643">
        <v>1468207</v>
      </c>
      <c r="AF33" s="643">
        <v>9032883</v>
      </c>
      <c r="AG33" s="643">
        <f t="shared" si="0"/>
        <v>7567376</v>
      </c>
      <c r="AH33" s="644">
        <f t="shared" si="1"/>
        <v>7531986</v>
      </c>
      <c r="AI33" s="644"/>
      <c r="AJ33" s="659">
        <f t="shared" si="2"/>
        <v>35390</v>
      </c>
      <c r="AK33" s="659">
        <f t="shared" si="3"/>
        <v>7567376</v>
      </c>
    </row>
    <row r="34" spans="1:37" ht="24" customHeight="1" x14ac:dyDescent="0.25">
      <c r="A34" s="639" t="s">
        <v>80</v>
      </c>
      <c r="B34" s="645" t="s">
        <v>81</v>
      </c>
      <c r="C34" s="648" t="s">
        <v>82</v>
      </c>
      <c r="D34" s="720">
        <v>0</v>
      </c>
      <c r="E34" s="720">
        <v>0</v>
      </c>
      <c r="F34" s="720">
        <v>0</v>
      </c>
      <c r="G34" s="720">
        <v>0</v>
      </c>
      <c r="H34" s="643">
        <v>505000</v>
      </c>
      <c r="I34" s="643">
        <v>505000</v>
      </c>
      <c r="J34" s="720">
        <v>0</v>
      </c>
      <c r="K34" s="720">
        <v>0</v>
      </c>
      <c r="L34" s="720">
        <v>0</v>
      </c>
      <c r="M34" s="720">
        <v>0</v>
      </c>
      <c r="N34" s="720">
        <v>0</v>
      </c>
      <c r="O34" s="720">
        <v>0</v>
      </c>
      <c r="P34" s="720">
        <v>0</v>
      </c>
      <c r="Q34" s="720">
        <v>0</v>
      </c>
      <c r="R34" s="720">
        <v>0</v>
      </c>
      <c r="S34" s="720">
        <v>0</v>
      </c>
      <c r="T34" s="720">
        <v>0</v>
      </c>
      <c r="U34" s="720">
        <v>0</v>
      </c>
      <c r="V34" s="720">
        <v>0</v>
      </c>
      <c r="W34" s="720">
        <v>0</v>
      </c>
      <c r="X34" s="720">
        <v>0</v>
      </c>
      <c r="Y34" s="720">
        <v>0</v>
      </c>
      <c r="Z34" s="720">
        <v>0</v>
      </c>
      <c r="AA34" s="720">
        <v>0</v>
      </c>
      <c r="AB34" s="720">
        <v>0</v>
      </c>
      <c r="AC34" s="720">
        <v>0</v>
      </c>
      <c r="AD34" s="720">
        <v>0</v>
      </c>
      <c r="AE34" s="720">
        <v>0</v>
      </c>
      <c r="AF34" s="643">
        <v>505000</v>
      </c>
      <c r="AG34" s="643">
        <f t="shared" si="0"/>
        <v>505000</v>
      </c>
      <c r="AH34" s="644">
        <f t="shared" si="1"/>
        <v>505000</v>
      </c>
      <c r="AI34" s="644"/>
      <c r="AJ34" s="659">
        <f t="shared" si="2"/>
        <v>0</v>
      </c>
      <c r="AK34" s="659">
        <f t="shared" si="3"/>
        <v>505000</v>
      </c>
    </row>
    <row r="35" spans="1:37" ht="24" customHeight="1" x14ac:dyDescent="0.25">
      <c r="A35" s="639" t="s">
        <v>83</v>
      </c>
      <c r="B35" s="645" t="s">
        <v>84</v>
      </c>
      <c r="C35" s="648" t="s">
        <v>85</v>
      </c>
      <c r="D35" s="720">
        <v>0</v>
      </c>
      <c r="E35" s="720">
        <v>0</v>
      </c>
      <c r="F35" s="720">
        <v>0</v>
      </c>
      <c r="G35" s="720">
        <v>0</v>
      </c>
      <c r="H35" s="720">
        <v>0</v>
      </c>
      <c r="I35" s="720">
        <v>0</v>
      </c>
      <c r="J35" s="720">
        <v>0</v>
      </c>
      <c r="K35" s="720">
        <v>0</v>
      </c>
      <c r="L35" s="720">
        <v>0</v>
      </c>
      <c r="M35" s="720">
        <v>0</v>
      </c>
      <c r="N35" s="720">
        <v>0</v>
      </c>
      <c r="O35" s="720">
        <v>0</v>
      </c>
      <c r="P35" s="720">
        <v>0</v>
      </c>
      <c r="Q35" s="720">
        <v>0</v>
      </c>
      <c r="R35" s="720">
        <v>0</v>
      </c>
      <c r="S35" s="720">
        <v>0</v>
      </c>
      <c r="T35" s="720">
        <v>0</v>
      </c>
      <c r="U35" s="720">
        <v>0</v>
      </c>
      <c r="V35" s="720">
        <v>0</v>
      </c>
      <c r="W35" s="720">
        <v>0</v>
      </c>
      <c r="X35" s="720">
        <v>0</v>
      </c>
      <c r="Y35" s="720">
        <v>0</v>
      </c>
      <c r="Z35" s="720">
        <v>0</v>
      </c>
      <c r="AA35" s="720">
        <v>0</v>
      </c>
      <c r="AB35" s="720">
        <v>0</v>
      </c>
      <c r="AC35" s="720">
        <v>0</v>
      </c>
      <c r="AD35" s="720">
        <v>0</v>
      </c>
      <c r="AE35" s="720">
        <v>0</v>
      </c>
      <c r="AF35" s="720">
        <v>0</v>
      </c>
      <c r="AG35" s="643">
        <f t="shared" si="0"/>
        <v>0</v>
      </c>
      <c r="AH35" s="644">
        <f t="shared" si="1"/>
        <v>0</v>
      </c>
      <c r="AI35" s="644"/>
      <c r="AJ35" s="659">
        <f t="shared" si="2"/>
        <v>0</v>
      </c>
      <c r="AK35" s="659">
        <f t="shared" si="3"/>
        <v>0</v>
      </c>
    </row>
    <row r="36" spans="1:37" ht="24" customHeight="1" x14ac:dyDescent="0.25">
      <c r="A36" s="639" t="s">
        <v>86</v>
      </c>
      <c r="B36" s="645" t="s">
        <v>87</v>
      </c>
      <c r="C36" s="648" t="s">
        <v>88</v>
      </c>
      <c r="D36" s="720">
        <v>0</v>
      </c>
      <c r="E36" s="720">
        <v>0</v>
      </c>
      <c r="F36" s="720">
        <v>0</v>
      </c>
      <c r="G36" s="643">
        <v>3060000</v>
      </c>
      <c r="H36" s="643">
        <v>5263400</v>
      </c>
      <c r="I36" s="643">
        <v>5250100</v>
      </c>
      <c r="J36" s="720">
        <v>0</v>
      </c>
      <c r="K36" s="720">
        <v>0</v>
      </c>
      <c r="L36" s="720">
        <v>0</v>
      </c>
      <c r="M36" s="720">
        <v>0</v>
      </c>
      <c r="N36" s="720">
        <v>0</v>
      </c>
      <c r="O36" s="720">
        <v>0</v>
      </c>
      <c r="P36" s="720">
        <v>0</v>
      </c>
      <c r="Q36" s="720">
        <v>0</v>
      </c>
      <c r="R36" s="720">
        <v>0</v>
      </c>
      <c r="S36" s="643">
        <v>33500</v>
      </c>
      <c r="T36" s="720">
        <v>0</v>
      </c>
      <c r="U36" s="720">
        <v>0</v>
      </c>
      <c r="V36" s="720">
        <v>0</v>
      </c>
      <c r="W36" s="720">
        <v>0</v>
      </c>
      <c r="X36" s="720">
        <v>0</v>
      </c>
      <c r="Y36" s="720">
        <v>0</v>
      </c>
      <c r="Z36" s="720">
        <v>0</v>
      </c>
      <c r="AA36" s="720">
        <v>0</v>
      </c>
      <c r="AB36" s="720">
        <v>0</v>
      </c>
      <c r="AC36" s="720">
        <v>0</v>
      </c>
      <c r="AD36" s="720">
        <v>0</v>
      </c>
      <c r="AE36" s="643">
        <v>3093500</v>
      </c>
      <c r="AF36" s="643">
        <v>5263400</v>
      </c>
      <c r="AG36" s="643">
        <f t="shared" si="0"/>
        <v>5250100</v>
      </c>
      <c r="AH36" s="644">
        <f t="shared" si="1"/>
        <v>5250100</v>
      </c>
      <c r="AI36" s="644"/>
      <c r="AJ36" s="659">
        <f t="shared" si="2"/>
        <v>0</v>
      </c>
      <c r="AK36" s="659">
        <f t="shared" si="3"/>
        <v>5250100</v>
      </c>
    </row>
    <row r="37" spans="1:37" s="634" customFormat="1" ht="24" customHeight="1" x14ac:dyDescent="0.25">
      <c r="A37" s="639" t="s">
        <v>89</v>
      </c>
      <c r="B37" s="646" t="s">
        <v>90</v>
      </c>
      <c r="C37" s="648" t="s">
        <v>91</v>
      </c>
      <c r="D37" s="720">
        <v>0</v>
      </c>
      <c r="E37" s="720">
        <v>0</v>
      </c>
      <c r="F37" s="720">
        <f>SUM(F30:F36)</f>
        <v>0</v>
      </c>
      <c r="G37" s="643">
        <v>3060000</v>
      </c>
      <c r="H37" s="643">
        <v>10205357</v>
      </c>
      <c r="I37" s="643">
        <f>SUM(I30:I36)</f>
        <v>9033220</v>
      </c>
      <c r="J37" s="720">
        <v>0</v>
      </c>
      <c r="K37" s="643">
        <v>756578</v>
      </c>
      <c r="L37" s="643">
        <f>SUM(L30:L36)</f>
        <v>756578</v>
      </c>
      <c r="M37" s="643">
        <v>500000</v>
      </c>
      <c r="N37" s="643">
        <v>761000</v>
      </c>
      <c r="O37" s="643">
        <f>SUM(O30:O36)</f>
        <v>761000</v>
      </c>
      <c r="P37" s="720">
        <v>0</v>
      </c>
      <c r="Q37" s="643">
        <v>392920</v>
      </c>
      <c r="R37" s="643">
        <f>SUM(R30:R36)</f>
        <v>0</v>
      </c>
      <c r="S37" s="643">
        <v>2888187</v>
      </c>
      <c r="T37" s="720">
        <v>0</v>
      </c>
      <c r="U37" s="643">
        <f>SUM(U30:U36)</f>
        <v>0</v>
      </c>
      <c r="V37" s="720">
        <v>0</v>
      </c>
      <c r="W37" s="720">
        <v>0</v>
      </c>
      <c r="X37" s="643">
        <f>SUM(X30:X36)</f>
        <v>0</v>
      </c>
      <c r="Y37" s="720">
        <v>0</v>
      </c>
      <c r="Z37" s="720">
        <v>0</v>
      </c>
      <c r="AA37" s="643">
        <f>SUM(AA30:AA36)</f>
        <v>0</v>
      </c>
      <c r="AB37" s="720">
        <v>0</v>
      </c>
      <c r="AC37" s="643">
        <v>4298866</v>
      </c>
      <c r="AD37" s="643">
        <f>SUM(AD30:AD36)</f>
        <v>4298866</v>
      </c>
      <c r="AE37" s="643">
        <v>6448187</v>
      </c>
      <c r="AF37" s="643">
        <v>16414721</v>
      </c>
      <c r="AG37" s="643">
        <f>SUM(AG30:AG36)</f>
        <v>14849664</v>
      </c>
      <c r="AH37" s="644">
        <f t="shared" si="1"/>
        <v>13332086</v>
      </c>
      <c r="AI37" s="644"/>
      <c r="AJ37" s="659">
        <f t="shared" si="2"/>
        <v>1517578</v>
      </c>
      <c r="AK37" s="659">
        <f t="shared" si="3"/>
        <v>14849664</v>
      </c>
    </row>
    <row r="38" spans="1:37" ht="24" customHeight="1" x14ac:dyDescent="0.25">
      <c r="A38" s="639" t="s">
        <v>92</v>
      </c>
      <c r="B38" s="648" t="s">
        <v>93</v>
      </c>
      <c r="C38" s="641" t="s">
        <v>94</v>
      </c>
      <c r="D38" s="642">
        <v>489524190</v>
      </c>
      <c r="E38" s="642">
        <v>512460042</v>
      </c>
      <c r="F38" s="642">
        <f t="shared" ref="F38:AD38" si="6">SUM(F40:F44)</f>
        <v>474659543</v>
      </c>
      <c r="G38" s="720">
        <v>0</v>
      </c>
      <c r="H38" s="720">
        <v>0</v>
      </c>
      <c r="I38" s="642">
        <f t="shared" si="6"/>
        <v>0</v>
      </c>
      <c r="J38" s="720">
        <v>0</v>
      </c>
      <c r="K38" s="720">
        <v>0</v>
      </c>
      <c r="L38" s="642">
        <f t="shared" si="6"/>
        <v>0</v>
      </c>
      <c r="M38" s="720">
        <v>0</v>
      </c>
      <c r="N38" s="720">
        <v>0</v>
      </c>
      <c r="O38" s="642">
        <f t="shared" si="6"/>
        <v>0</v>
      </c>
      <c r="P38" s="720">
        <v>0</v>
      </c>
      <c r="Q38" s="720">
        <v>0</v>
      </c>
      <c r="R38" s="642">
        <f t="shared" si="6"/>
        <v>0</v>
      </c>
      <c r="S38" s="720">
        <v>0</v>
      </c>
      <c r="T38" s="720">
        <v>0</v>
      </c>
      <c r="U38" s="642">
        <f t="shared" si="6"/>
        <v>0</v>
      </c>
      <c r="V38" s="720">
        <v>0</v>
      </c>
      <c r="W38" s="720">
        <v>0</v>
      </c>
      <c r="X38" s="642">
        <f t="shared" si="6"/>
        <v>0</v>
      </c>
      <c r="Y38" s="720">
        <v>0</v>
      </c>
      <c r="Z38" s="720">
        <v>0</v>
      </c>
      <c r="AA38" s="642">
        <f t="shared" si="6"/>
        <v>0</v>
      </c>
      <c r="AB38" s="720">
        <v>0</v>
      </c>
      <c r="AC38" s="720">
        <v>0</v>
      </c>
      <c r="AD38" s="642">
        <f t="shared" si="6"/>
        <v>0</v>
      </c>
      <c r="AE38" s="643">
        <v>489524190</v>
      </c>
      <c r="AF38" s="643">
        <v>512460042</v>
      </c>
      <c r="AG38" s="642">
        <f t="shared" ref="AG38" si="7">SUM(AG40:AG44)</f>
        <v>474659543</v>
      </c>
      <c r="AH38" s="644">
        <f t="shared" si="1"/>
        <v>474659543</v>
      </c>
      <c r="AI38" s="644"/>
      <c r="AJ38" s="659">
        <f t="shared" si="2"/>
        <v>0</v>
      </c>
      <c r="AK38" s="659">
        <f t="shared" si="3"/>
        <v>474659543</v>
      </c>
    </row>
    <row r="39" spans="1:37" ht="24" customHeight="1" x14ac:dyDescent="0.25">
      <c r="A39" s="639" t="s">
        <v>95</v>
      </c>
      <c r="B39" s="24" t="s">
        <v>1290</v>
      </c>
      <c r="C39" s="641"/>
      <c r="D39" s="720">
        <v>0</v>
      </c>
      <c r="E39" s="720">
        <v>0</v>
      </c>
      <c r="F39" s="720">
        <v>0</v>
      </c>
      <c r="G39" s="720">
        <v>0</v>
      </c>
      <c r="H39" s="720">
        <v>0</v>
      </c>
      <c r="I39" s="720">
        <v>0</v>
      </c>
      <c r="J39" s="720">
        <v>0</v>
      </c>
      <c r="K39" s="720">
        <v>0</v>
      </c>
      <c r="L39" s="720">
        <v>0</v>
      </c>
      <c r="M39" s="720">
        <v>0</v>
      </c>
      <c r="N39" s="720">
        <v>0</v>
      </c>
      <c r="O39" s="720">
        <v>0</v>
      </c>
      <c r="P39" s="720">
        <v>0</v>
      </c>
      <c r="Q39" s="720">
        <v>0</v>
      </c>
      <c r="R39" s="720">
        <v>0</v>
      </c>
      <c r="S39" s="720">
        <v>0</v>
      </c>
      <c r="T39" s="720">
        <v>0</v>
      </c>
      <c r="U39" s="720">
        <v>0</v>
      </c>
      <c r="V39" s="720">
        <v>0</v>
      </c>
      <c r="W39" s="720">
        <v>0</v>
      </c>
      <c r="X39" s="720">
        <v>0</v>
      </c>
      <c r="Y39" s="720">
        <v>0</v>
      </c>
      <c r="Z39" s="720">
        <v>0</v>
      </c>
      <c r="AA39" s="720">
        <v>0</v>
      </c>
      <c r="AB39" s="720">
        <v>0</v>
      </c>
      <c r="AC39" s="720">
        <v>0</v>
      </c>
      <c r="AD39" s="720">
        <v>0</v>
      </c>
      <c r="AE39" s="643">
        <v>0</v>
      </c>
      <c r="AF39" s="643">
        <v>0</v>
      </c>
      <c r="AG39" s="643">
        <f t="shared" si="0"/>
        <v>0</v>
      </c>
      <c r="AH39" s="644"/>
      <c r="AI39" s="644"/>
      <c r="AJ39" s="659"/>
      <c r="AK39" s="659"/>
    </row>
    <row r="40" spans="1:37" ht="24" customHeight="1" x14ac:dyDescent="0.25">
      <c r="A40" s="639" t="s">
        <v>97</v>
      </c>
      <c r="B40" s="652" t="s">
        <v>96</v>
      </c>
      <c r="C40" s="647"/>
      <c r="D40" s="642">
        <v>910745</v>
      </c>
      <c r="E40" s="642">
        <v>12841349</v>
      </c>
      <c r="F40" s="642">
        <v>12841349</v>
      </c>
      <c r="G40" s="720">
        <v>0</v>
      </c>
      <c r="H40" s="720">
        <v>0</v>
      </c>
      <c r="I40" s="720">
        <v>0</v>
      </c>
      <c r="J40" s="720">
        <v>0</v>
      </c>
      <c r="K40" s="720">
        <v>0</v>
      </c>
      <c r="L40" s="720">
        <v>0</v>
      </c>
      <c r="M40" s="720">
        <v>0</v>
      </c>
      <c r="N40" s="720">
        <v>0</v>
      </c>
      <c r="O40" s="720">
        <v>0</v>
      </c>
      <c r="P40" s="720">
        <v>0</v>
      </c>
      <c r="Q40" s="720">
        <v>0</v>
      </c>
      <c r="R40" s="720">
        <v>0</v>
      </c>
      <c r="S40" s="720">
        <v>0</v>
      </c>
      <c r="T40" s="720">
        <v>0</v>
      </c>
      <c r="U40" s="720">
        <v>0</v>
      </c>
      <c r="V40" s="720">
        <v>0</v>
      </c>
      <c r="W40" s="720">
        <v>0</v>
      </c>
      <c r="X40" s="720">
        <v>0</v>
      </c>
      <c r="Y40" s="720">
        <v>0</v>
      </c>
      <c r="Z40" s="720">
        <v>0</v>
      </c>
      <c r="AA40" s="720">
        <v>0</v>
      </c>
      <c r="AB40" s="720">
        <v>0</v>
      </c>
      <c r="AC40" s="720">
        <v>0</v>
      </c>
      <c r="AD40" s="720">
        <v>0</v>
      </c>
      <c r="AE40" s="643">
        <v>910745</v>
      </c>
      <c r="AF40" s="643">
        <v>12841349</v>
      </c>
      <c r="AG40" s="643">
        <f t="shared" si="0"/>
        <v>12841349</v>
      </c>
      <c r="AH40" s="644">
        <f t="shared" si="1"/>
        <v>12841349</v>
      </c>
      <c r="AI40" s="644"/>
      <c r="AJ40" s="659">
        <f t="shared" si="2"/>
        <v>0</v>
      </c>
      <c r="AK40" s="659">
        <f t="shared" si="3"/>
        <v>12841349</v>
      </c>
    </row>
    <row r="41" spans="1:37" ht="24" customHeight="1" x14ac:dyDescent="0.25">
      <c r="A41" s="639" t="s">
        <v>99</v>
      </c>
      <c r="B41" s="652" t="s">
        <v>98</v>
      </c>
      <c r="C41" s="647"/>
      <c r="D41" s="720">
        <v>0</v>
      </c>
      <c r="E41" s="642">
        <v>500000</v>
      </c>
      <c r="F41" s="642">
        <v>500000</v>
      </c>
      <c r="G41" s="720">
        <v>0</v>
      </c>
      <c r="H41" s="720">
        <v>0</v>
      </c>
      <c r="I41" s="720">
        <v>0</v>
      </c>
      <c r="J41" s="720">
        <v>0</v>
      </c>
      <c r="K41" s="720">
        <v>0</v>
      </c>
      <c r="L41" s="720">
        <v>0</v>
      </c>
      <c r="M41" s="720">
        <v>0</v>
      </c>
      <c r="N41" s="720">
        <v>0</v>
      </c>
      <c r="O41" s="720">
        <v>0</v>
      </c>
      <c r="P41" s="720">
        <v>0</v>
      </c>
      <c r="Q41" s="720">
        <v>0</v>
      </c>
      <c r="R41" s="720">
        <v>0</v>
      </c>
      <c r="S41" s="720">
        <v>0</v>
      </c>
      <c r="T41" s="720">
        <v>0</v>
      </c>
      <c r="U41" s="720">
        <v>0</v>
      </c>
      <c r="V41" s="720">
        <v>0</v>
      </c>
      <c r="W41" s="720">
        <v>0</v>
      </c>
      <c r="X41" s="720">
        <v>0</v>
      </c>
      <c r="Y41" s="720">
        <v>0</v>
      </c>
      <c r="Z41" s="720">
        <v>0</v>
      </c>
      <c r="AA41" s="720">
        <v>0</v>
      </c>
      <c r="AB41" s="720">
        <v>0</v>
      </c>
      <c r="AC41" s="720">
        <v>0</v>
      </c>
      <c r="AD41" s="720">
        <v>0</v>
      </c>
      <c r="AE41" s="720">
        <v>0</v>
      </c>
      <c r="AF41" s="643">
        <v>500000</v>
      </c>
      <c r="AG41" s="643">
        <f t="shared" si="0"/>
        <v>500000</v>
      </c>
      <c r="AH41" s="644">
        <f t="shared" si="1"/>
        <v>500000</v>
      </c>
      <c r="AI41" s="644"/>
      <c r="AJ41" s="659">
        <f t="shared" si="2"/>
        <v>0</v>
      </c>
      <c r="AK41" s="659">
        <f t="shared" si="3"/>
        <v>500000</v>
      </c>
    </row>
    <row r="42" spans="1:37" ht="24" customHeight="1" x14ac:dyDescent="0.25">
      <c r="A42" s="639" t="s">
        <v>101</v>
      </c>
      <c r="B42" s="652" t="s">
        <v>100</v>
      </c>
      <c r="C42" s="647"/>
      <c r="D42" s="642">
        <v>472569625</v>
      </c>
      <c r="E42" s="642">
        <v>483402083</v>
      </c>
      <c r="F42" s="642">
        <v>445601584</v>
      </c>
      <c r="G42" s="720">
        <v>0</v>
      </c>
      <c r="H42" s="720">
        <v>0</v>
      </c>
      <c r="I42" s="720">
        <v>0</v>
      </c>
      <c r="J42" s="720">
        <v>0</v>
      </c>
      <c r="K42" s="720">
        <v>0</v>
      </c>
      <c r="L42" s="720">
        <v>0</v>
      </c>
      <c r="M42" s="720">
        <v>0</v>
      </c>
      <c r="N42" s="720">
        <v>0</v>
      </c>
      <c r="O42" s="720">
        <v>0</v>
      </c>
      <c r="P42" s="720">
        <v>0</v>
      </c>
      <c r="Q42" s="720">
        <v>0</v>
      </c>
      <c r="R42" s="720">
        <v>0</v>
      </c>
      <c r="S42" s="720">
        <v>0</v>
      </c>
      <c r="T42" s="720">
        <v>0</v>
      </c>
      <c r="U42" s="720">
        <v>0</v>
      </c>
      <c r="V42" s="720">
        <v>0</v>
      </c>
      <c r="W42" s="720">
        <v>0</v>
      </c>
      <c r="X42" s="720">
        <v>0</v>
      </c>
      <c r="Y42" s="720">
        <v>0</v>
      </c>
      <c r="Z42" s="720">
        <v>0</v>
      </c>
      <c r="AA42" s="720">
        <v>0</v>
      </c>
      <c r="AB42" s="720">
        <v>0</v>
      </c>
      <c r="AC42" s="720">
        <v>0</v>
      </c>
      <c r="AD42" s="720">
        <v>0</v>
      </c>
      <c r="AE42" s="643">
        <v>472569625</v>
      </c>
      <c r="AF42" s="643">
        <v>483402083</v>
      </c>
      <c r="AG42" s="643">
        <f t="shared" si="0"/>
        <v>445601584</v>
      </c>
      <c r="AH42" s="644">
        <f t="shared" si="1"/>
        <v>445601584</v>
      </c>
      <c r="AI42" s="644"/>
      <c r="AJ42" s="659">
        <f t="shared" si="2"/>
        <v>0</v>
      </c>
      <c r="AK42" s="659">
        <f t="shared" si="3"/>
        <v>445601584</v>
      </c>
    </row>
    <row r="43" spans="1:37" ht="24" customHeight="1" x14ac:dyDescent="0.25">
      <c r="A43" s="639" t="s">
        <v>103</v>
      </c>
      <c r="B43" s="652" t="s">
        <v>102</v>
      </c>
      <c r="C43" s="647"/>
      <c r="D43" s="642">
        <v>16043820</v>
      </c>
      <c r="E43" s="642">
        <v>15716610</v>
      </c>
      <c r="F43" s="642">
        <v>15716610</v>
      </c>
      <c r="G43" s="720">
        <v>0</v>
      </c>
      <c r="H43" s="720">
        <v>0</v>
      </c>
      <c r="I43" s="720">
        <v>0</v>
      </c>
      <c r="J43" s="720">
        <v>0</v>
      </c>
      <c r="K43" s="720">
        <v>0</v>
      </c>
      <c r="L43" s="720">
        <v>0</v>
      </c>
      <c r="M43" s="720">
        <v>0</v>
      </c>
      <c r="N43" s="720">
        <v>0</v>
      </c>
      <c r="O43" s="720">
        <v>0</v>
      </c>
      <c r="P43" s="720">
        <v>0</v>
      </c>
      <c r="Q43" s="720">
        <v>0</v>
      </c>
      <c r="R43" s="720">
        <v>0</v>
      </c>
      <c r="S43" s="720">
        <v>0</v>
      </c>
      <c r="T43" s="720">
        <v>0</v>
      </c>
      <c r="U43" s="720">
        <v>0</v>
      </c>
      <c r="V43" s="720">
        <v>0</v>
      </c>
      <c r="W43" s="720">
        <v>0</v>
      </c>
      <c r="X43" s="720">
        <v>0</v>
      </c>
      <c r="Y43" s="720">
        <v>0</v>
      </c>
      <c r="Z43" s="720">
        <v>0</v>
      </c>
      <c r="AA43" s="720">
        <v>0</v>
      </c>
      <c r="AB43" s="720">
        <v>0</v>
      </c>
      <c r="AC43" s="720">
        <v>0</v>
      </c>
      <c r="AD43" s="720">
        <v>0</v>
      </c>
      <c r="AE43" s="643">
        <v>16043820</v>
      </c>
      <c r="AF43" s="643">
        <v>15716610</v>
      </c>
      <c r="AG43" s="643">
        <f t="shared" si="0"/>
        <v>15716610</v>
      </c>
      <c r="AH43" s="644">
        <f t="shared" si="1"/>
        <v>15716610</v>
      </c>
      <c r="AI43" s="644"/>
      <c r="AJ43" s="659">
        <f t="shared" si="2"/>
        <v>0</v>
      </c>
      <c r="AK43" s="659">
        <f t="shared" si="3"/>
        <v>15716610</v>
      </c>
    </row>
    <row r="44" spans="1:37" ht="24" customHeight="1" x14ac:dyDescent="0.25">
      <c r="A44" s="639" t="s">
        <v>105</v>
      </c>
      <c r="B44" s="24" t="s">
        <v>104</v>
      </c>
      <c r="C44" s="647"/>
      <c r="D44" s="720">
        <v>0</v>
      </c>
      <c r="E44" s="720">
        <v>0</v>
      </c>
      <c r="F44" s="720">
        <v>0</v>
      </c>
      <c r="G44" s="720">
        <v>0</v>
      </c>
      <c r="H44" s="720">
        <v>0</v>
      </c>
      <c r="I44" s="720">
        <v>0</v>
      </c>
      <c r="J44" s="720">
        <v>0</v>
      </c>
      <c r="K44" s="720">
        <v>0</v>
      </c>
      <c r="L44" s="720">
        <v>0</v>
      </c>
      <c r="M44" s="720">
        <v>0</v>
      </c>
      <c r="N44" s="720">
        <v>0</v>
      </c>
      <c r="O44" s="720">
        <v>0</v>
      </c>
      <c r="P44" s="720">
        <v>0</v>
      </c>
      <c r="Q44" s="720">
        <v>0</v>
      </c>
      <c r="R44" s="720">
        <v>0</v>
      </c>
      <c r="S44" s="720">
        <v>0</v>
      </c>
      <c r="T44" s="720">
        <v>0</v>
      </c>
      <c r="U44" s="720">
        <v>0</v>
      </c>
      <c r="V44" s="720">
        <v>0</v>
      </c>
      <c r="W44" s="720">
        <v>0</v>
      </c>
      <c r="X44" s="720">
        <v>0</v>
      </c>
      <c r="Y44" s="720">
        <v>0</v>
      </c>
      <c r="Z44" s="720">
        <v>0</v>
      </c>
      <c r="AA44" s="720">
        <v>0</v>
      </c>
      <c r="AB44" s="720">
        <v>0</v>
      </c>
      <c r="AC44" s="720">
        <v>0</v>
      </c>
      <c r="AD44" s="720">
        <v>0</v>
      </c>
      <c r="AE44" s="720">
        <v>0</v>
      </c>
      <c r="AF44" s="720">
        <v>0</v>
      </c>
      <c r="AG44" s="643">
        <f t="shared" si="0"/>
        <v>0</v>
      </c>
      <c r="AH44" s="644">
        <f t="shared" si="1"/>
        <v>0</v>
      </c>
      <c r="AI44" s="644"/>
      <c r="AJ44" s="659">
        <f t="shared" si="2"/>
        <v>0</v>
      </c>
      <c r="AK44" s="659">
        <f t="shared" si="3"/>
        <v>0</v>
      </c>
    </row>
    <row r="45" spans="1:37" ht="24" customHeight="1" x14ac:dyDescent="0.25">
      <c r="A45" s="639" t="s">
        <v>107</v>
      </c>
      <c r="B45" s="653" t="s">
        <v>106</v>
      </c>
      <c r="C45" s="641"/>
      <c r="D45" s="649">
        <v>473480370</v>
      </c>
      <c r="E45" s="649">
        <f>E30+E32+E33+E35+E42+E40</f>
        <v>496243432</v>
      </c>
      <c r="F45" s="649">
        <f>F30+F32+F33+F35+F42+F40</f>
        <v>458442933</v>
      </c>
      <c r="G45" s="720">
        <v>0</v>
      </c>
      <c r="H45" s="650">
        <v>4436957</v>
      </c>
      <c r="I45" s="649">
        <f>I30+I32+I33+I35+I42+I40</f>
        <v>3278120</v>
      </c>
      <c r="J45" s="720">
        <v>0</v>
      </c>
      <c r="K45" s="649">
        <f>K30+K32+K33+K35+K42+K40</f>
        <v>756578</v>
      </c>
      <c r="L45" s="649">
        <f>L30+L32+L33+L35+L42+L40</f>
        <v>756578</v>
      </c>
      <c r="M45" s="650">
        <v>500000</v>
      </c>
      <c r="N45" s="649">
        <f>N30+N32+N33+N35+N42+N40</f>
        <v>761000</v>
      </c>
      <c r="O45" s="649">
        <f>O30+O32+O33+O35+O42+O40</f>
        <v>761000</v>
      </c>
      <c r="P45" s="720">
        <v>0</v>
      </c>
      <c r="Q45" s="650">
        <v>392920</v>
      </c>
      <c r="R45" s="649">
        <f>R30+R32+R33+R35+R42+R40</f>
        <v>0</v>
      </c>
      <c r="S45" s="650">
        <v>2854687</v>
      </c>
      <c r="T45" s="720">
        <v>0</v>
      </c>
      <c r="U45" s="649">
        <f>U30+U32+U33+U35+U42+U40</f>
        <v>0</v>
      </c>
      <c r="V45" s="720">
        <v>0</v>
      </c>
      <c r="W45" s="720">
        <v>0</v>
      </c>
      <c r="X45" s="649">
        <f>X30+X32+X33+X35+X42+X40</f>
        <v>0</v>
      </c>
      <c r="Y45" s="720">
        <v>0</v>
      </c>
      <c r="Z45" s="720">
        <v>0</v>
      </c>
      <c r="AA45" s="649">
        <f>AA30+AA32+AA33+AA35+AA42+AA40</f>
        <v>0</v>
      </c>
      <c r="AB45" s="720">
        <v>0</v>
      </c>
      <c r="AC45" s="649">
        <f>AC30+AC32+AC33+AC35+AC42+AC40</f>
        <v>4298866</v>
      </c>
      <c r="AD45" s="649">
        <f>AD30+AD32+AD33+AD35+AD42+AD40</f>
        <v>4298866</v>
      </c>
      <c r="AE45" s="650">
        <v>476835057</v>
      </c>
      <c r="AF45" s="650">
        <f t="shared" si="0"/>
        <v>506889753</v>
      </c>
      <c r="AG45" s="650">
        <f t="shared" si="0"/>
        <v>467537497</v>
      </c>
      <c r="AH45" s="644">
        <f t="shared" si="1"/>
        <v>466019919</v>
      </c>
      <c r="AI45" s="644"/>
      <c r="AJ45" s="659">
        <f t="shared" si="2"/>
        <v>1517578</v>
      </c>
      <c r="AK45" s="659">
        <f t="shared" si="3"/>
        <v>467537497</v>
      </c>
    </row>
    <row r="46" spans="1:37" ht="24" customHeight="1" x14ac:dyDescent="0.25">
      <c r="A46" s="639" t="s">
        <v>109</v>
      </c>
      <c r="B46" s="653" t="s">
        <v>108</v>
      </c>
      <c r="C46" s="641"/>
      <c r="D46" s="649">
        <v>16043820</v>
      </c>
      <c r="E46" s="649">
        <f>E31+E34+E36+E41+E43+E44</f>
        <v>16216610</v>
      </c>
      <c r="F46" s="649">
        <f>F31+F34+F36+F41+F43+F44</f>
        <v>16216610</v>
      </c>
      <c r="G46" s="650">
        <v>3060000</v>
      </c>
      <c r="H46" s="650">
        <v>5768400</v>
      </c>
      <c r="I46" s="649">
        <f>I31+I34+I36+I41+I43+I44</f>
        <v>5755100</v>
      </c>
      <c r="J46" s="720">
        <v>0</v>
      </c>
      <c r="K46" s="649">
        <f>K31+K34+K36+K41+K43+K44</f>
        <v>0</v>
      </c>
      <c r="L46" s="649">
        <f>L31+L34+L36+L41+L43+L44</f>
        <v>0</v>
      </c>
      <c r="M46" s="720">
        <v>0</v>
      </c>
      <c r="N46" s="649">
        <f>N31+N34+N36+N41+N43+N44</f>
        <v>0</v>
      </c>
      <c r="O46" s="649">
        <f>O31+O34+O36+O41+O43+O44</f>
        <v>0</v>
      </c>
      <c r="P46" s="720">
        <v>0</v>
      </c>
      <c r="Q46" s="720">
        <v>0</v>
      </c>
      <c r="R46" s="649">
        <f>R31+R34+R36+R41+R43+R44</f>
        <v>0</v>
      </c>
      <c r="S46" s="650">
        <v>33500</v>
      </c>
      <c r="T46" s="720">
        <v>0</v>
      </c>
      <c r="U46" s="649">
        <f>U31+U34+U36+U41+U43+U44</f>
        <v>0</v>
      </c>
      <c r="V46" s="720">
        <v>0</v>
      </c>
      <c r="W46" s="720">
        <v>0</v>
      </c>
      <c r="X46" s="649">
        <f>X31+X34+X36+X41+X43+X44</f>
        <v>0</v>
      </c>
      <c r="Y46" s="720">
        <v>0</v>
      </c>
      <c r="Z46" s="720">
        <v>0</v>
      </c>
      <c r="AA46" s="649">
        <f>AA31+AA34+AA36+AA41+AA43+AA44</f>
        <v>0</v>
      </c>
      <c r="AB46" s="720">
        <v>0</v>
      </c>
      <c r="AC46" s="649">
        <f>AC31+AC34+AC36+AC41+AC43+AC44</f>
        <v>0</v>
      </c>
      <c r="AD46" s="649">
        <f>AD31+AD34+AD36+AD41+AD43+AD44</f>
        <v>0</v>
      </c>
      <c r="AE46" s="650">
        <v>19137320</v>
      </c>
      <c r="AF46" s="650">
        <f t="shared" si="0"/>
        <v>21985010</v>
      </c>
      <c r="AG46" s="650">
        <f t="shared" si="0"/>
        <v>21971710</v>
      </c>
      <c r="AH46" s="644">
        <f t="shared" si="1"/>
        <v>21971710</v>
      </c>
      <c r="AI46" s="644"/>
      <c r="AJ46" s="659">
        <f t="shared" si="2"/>
        <v>0</v>
      </c>
      <c r="AK46" s="659">
        <f t="shared" si="3"/>
        <v>21971710</v>
      </c>
    </row>
    <row r="47" spans="1:37" ht="24" customHeight="1" x14ac:dyDescent="0.25">
      <c r="A47" s="639" t="s">
        <v>111</v>
      </c>
      <c r="B47" s="653" t="s">
        <v>110</v>
      </c>
      <c r="C47" s="641"/>
      <c r="D47" s="649">
        <v>489524190</v>
      </c>
      <c r="E47" s="649">
        <f>E30+E31+E32+E33+E34+E35+E36+E38</f>
        <v>512460042</v>
      </c>
      <c r="F47" s="649">
        <f>F30+F31+F32+F33+F34+F35+F36+F38</f>
        <v>474659543</v>
      </c>
      <c r="G47" s="650">
        <v>3060000</v>
      </c>
      <c r="H47" s="650">
        <v>10205357</v>
      </c>
      <c r="I47" s="649">
        <f>I30+I31+I32+I33+I34+I35+I36+I38</f>
        <v>9033220</v>
      </c>
      <c r="J47" s="720">
        <v>0</v>
      </c>
      <c r="K47" s="649">
        <f>K30+K31+K32+K33+K34+K35+K36+K38</f>
        <v>756578</v>
      </c>
      <c r="L47" s="649">
        <f>L30+L31+L32+L33+L34+L35+L36+L38</f>
        <v>756578</v>
      </c>
      <c r="M47" s="650">
        <v>500000</v>
      </c>
      <c r="N47" s="649">
        <f>N30+N31+N32+N33+N34+N35+N36+N38</f>
        <v>761000</v>
      </c>
      <c r="O47" s="649">
        <f>O30+O31+O32+O33+O34+O35+O36+O38</f>
        <v>761000</v>
      </c>
      <c r="P47" s="720">
        <v>0</v>
      </c>
      <c r="Q47" s="650">
        <v>392920</v>
      </c>
      <c r="R47" s="649">
        <f>R30+R31+R32+R33+R34+R35+R36+R38</f>
        <v>0</v>
      </c>
      <c r="S47" s="650">
        <v>2888187</v>
      </c>
      <c r="T47" s="720">
        <v>0</v>
      </c>
      <c r="U47" s="649">
        <f>U30+U31+U32+U33+U34+U35+U36+U38</f>
        <v>0</v>
      </c>
      <c r="V47" s="720">
        <v>0</v>
      </c>
      <c r="W47" s="720">
        <v>0</v>
      </c>
      <c r="X47" s="649">
        <f>X30+X31+X32+X33+X34+X35+X36+X38</f>
        <v>0</v>
      </c>
      <c r="Y47" s="720">
        <v>0</v>
      </c>
      <c r="Z47" s="720">
        <v>0</v>
      </c>
      <c r="AA47" s="649">
        <f>AA30+AA31+AA32+AA33+AA34+AA35+AA36+AA38</f>
        <v>0</v>
      </c>
      <c r="AB47" s="720">
        <v>0</v>
      </c>
      <c r="AC47" s="649">
        <f>AC30+AC31+AC32+AC33+AC34+AC35+AC36+AC38</f>
        <v>4298866</v>
      </c>
      <c r="AD47" s="649">
        <f>AD30+AD31+AD32+AD33+AD34+AD35+AD36+AD38</f>
        <v>4298866</v>
      </c>
      <c r="AE47" s="650">
        <v>495972377</v>
      </c>
      <c r="AF47" s="650">
        <f t="shared" si="0"/>
        <v>528874763</v>
      </c>
      <c r="AG47" s="650">
        <f t="shared" si="0"/>
        <v>489509207</v>
      </c>
      <c r="AH47" s="644">
        <f t="shared" si="1"/>
        <v>487991629</v>
      </c>
      <c r="AI47" s="644"/>
      <c r="AJ47" s="659">
        <f t="shared" si="2"/>
        <v>1517578</v>
      </c>
      <c r="AK47" s="659">
        <f t="shared" si="3"/>
        <v>489509207</v>
      </c>
    </row>
    <row r="48" spans="1:37" ht="24" customHeight="1" x14ac:dyDescent="0.25">
      <c r="A48" s="639" t="s">
        <v>113</v>
      </c>
      <c r="B48" s="25" t="s">
        <v>112</v>
      </c>
      <c r="C48" s="656"/>
      <c r="D48" s="720">
        <v>0</v>
      </c>
      <c r="E48" s="720">
        <v>0</v>
      </c>
      <c r="F48" s="720">
        <v>0</v>
      </c>
      <c r="G48" s="643">
        <v>46</v>
      </c>
      <c r="H48" s="643">
        <v>47</v>
      </c>
      <c r="I48" s="720">
        <v>47</v>
      </c>
      <c r="J48" s="643">
        <v>6</v>
      </c>
      <c r="K48" s="643">
        <f>J48</f>
        <v>6</v>
      </c>
      <c r="L48" s="720">
        <v>6</v>
      </c>
      <c r="M48" s="643">
        <v>2</v>
      </c>
      <c r="N48" s="643">
        <f>M48</f>
        <v>2</v>
      </c>
      <c r="O48" s="720">
        <v>2</v>
      </c>
      <c r="P48" s="720">
        <v>0</v>
      </c>
      <c r="Q48" s="720">
        <v>0</v>
      </c>
      <c r="R48" s="720">
        <v>0</v>
      </c>
      <c r="S48" s="720">
        <v>0</v>
      </c>
      <c r="T48" s="720">
        <v>0</v>
      </c>
      <c r="U48" s="720">
        <v>0</v>
      </c>
      <c r="V48" s="720">
        <v>0</v>
      </c>
      <c r="W48" s="720">
        <v>0</v>
      </c>
      <c r="X48" s="720">
        <v>0</v>
      </c>
      <c r="Y48" s="720">
        <v>0</v>
      </c>
      <c r="Z48" s="720">
        <v>0</v>
      </c>
      <c r="AA48" s="720">
        <v>0</v>
      </c>
      <c r="AB48" s="720">
        <v>0</v>
      </c>
      <c r="AC48" s="720">
        <v>0</v>
      </c>
      <c r="AD48" s="720">
        <v>0</v>
      </c>
      <c r="AE48" s="643">
        <v>54</v>
      </c>
      <c r="AF48" s="643">
        <v>55</v>
      </c>
      <c r="AG48" s="643">
        <f t="shared" si="0"/>
        <v>55</v>
      </c>
      <c r="AH48" s="644">
        <f t="shared" si="1"/>
        <v>47</v>
      </c>
      <c r="AI48" s="644"/>
      <c r="AJ48" s="659">
        <f t="shared" si="2"/>
        <v>8</v>
      </c>
      <c r="AK48" s="659">
        <f t="shared" si="3"/>
        <v>55</v>
      </c>
    </row>
    <row r="49" spans="1:41" ht="24" customHeight="1" x14ac:dyDescent="0.2">
      <c r="A49" s="639" t="s">
        <v>250</v>
      </c>
      <c r="B49" s="25" t="s">
        <v>114</v>
      </c>
      <c r="C49" s="656"/>
      <c r="D49" s="720">
        <v>0</v>
      </c>
      <c r="E49" s="720">
        <v>0</v>
      </c>
      <c r="F49" s="720">
        <v>0</v>
      </c>
      <c r="G49" s="720">
        <v>0</v>
      </c>
      <c r="H49" s="720">
        <v>0</v>
      </c>
      <c r="I49" s="720">
        <v>0</v>
      </c>
      <c r="J49" s="720">
        <v>0</v>
      </c>
      <c r="K49" s="720">
        <v>0</v>
      </c>
      <c r="L49" s="720">
        <v>0</v>
      </c>
      <c r="M49" s="720">
        <v>0</v>
      </c>
      <c r="N49" s="720">
        <v>0</v>
      </c>
      <c r="O49" s="720">
        <v>0</v>
      </c>
      <c r="P49" s="720">
        <v>0</v>
      </c>
      <c r="Q49" s="720">
        <v>0</v>
      </c>
      <c r="R49" s="720">
        <v>0</v>
      </c>
      <c r="S49" s="720">
        <v>0</v>
      </c>
      <c r="T49" s="720">
        <v>0</v>
      </c>
      <c r="U49" s="720">
        <v>0</v>
      </c>
      <c r="V49" s="720">
        <v>0</v>
      </c>
      <c r="W49" s="720">
        <v>0</v>
      </c>
      <c r="X49" s="720">
        <v>0</v>
      </c>
      <c r="Y49" s="720">
        <v>0</v>
      </c>
      <c r="Z49" s="720">
        <v>0</v>
      </c>
      <c r="AA49" s="720">
        <v>0</v>
      </c>
      <c r="AB49" s="720">
        <v>0</v>
      </c>
      <c r="AC49" s="720">
        <v>0</v>
      </c>
      <c r="AD49" s="720">
        <v>0</v>
      </c>
      <c r="AE49" s="720">
        <v>0</v>
      </c>
      <c r="AF49" s="720">
        <v>0</v>
      </c>
      <c r="AG49" s="720">
        <v>0</v>
      </c>
      <c r="AH49" s="644">
        <f t="shared" si="1"/>
        <v>0</v>
      </c>
      <c r="AI49" s="644"/>
      <c r="AJ49" s="659">
        <f t="shared" si="2"/>
        <v>0</v>
      </c>
      <c r="AK49" s="659">
        <f t="shared" si="3"/>
        <v>0</v>
      </c>
    </row>
    <row r="50" spans="1:41" x14ac:dyDescent="0.2">
      <c r="AJ50" s="659">
        <f t="shared" si="2"/>
        <v>0</v>
      </c>
    </row>
    <row r="51" spans="1:41" x14ac:dyDescent="0.2">
      <c r="F51" s="628">
        <f>+F45+F46-F47</f>
        <v>0</v>
      </c>
      <c r="G51" s="628">
        <f t="shared" ref="G51:AK51" si="8">+G45+G46-G47</f>
        <v>0</v>
      </c>
      <c r="H51" s="628">
        <f t="shared" si="8"/>
        <v>0</v>
      </c>
      <c r="I51" s="628">
        <f t="shared" si="8"/>
        <v>0</v>
      </c>
      <c r="J51" s="628">
        <f t="shared" si="8"/>
        <v>0</v>
      </c>
      <c r="K51" s="628">
        <f t="shared" si="8"/>
        <v>0</v>
      </c>
      <c r="L51" s="628">
        <f t="shared" si="8"/>
        <v>0</v>
      </c>
      <c r="M51" s="628">
        <f t="shared" si="8"/>
        <v>0</v>
      </c>
      <c r="N51" s="628">
        <f t="shared" si="8"/>
        <v>0</v>
      </c>
      <c r="O51" s="628">
        <f t="shared" si="8"/>
        <v>0</v>
      </c>
      <c r="P51" s="628">
        <f t="shared" si="8"/>
        <v>0</v>
      </c>
      <c r="Q51" s="628">
        <f t="shared" si="8"/>
        <v>0</v>
      </c>
      <c r="R51" s="628">
        <f t="shared" si="8"/>
        <v>0</v>
      </c>
      <c r="S51" s="628">
        <f t="shared" si="8"/>
        <v>0</v>
      </c>
      <c r="T51" s="628">
        <f t="shared" si="8"/>
        <v>0</v>
      </c>
      <c r="U51" s="628">
        <f t="shared" si="8"/>
        <v>0</v>
      </c>
      <c r="V51" s="628">
        <f>+V45+V46-V47</f>
        <v>0</v>
      </c>
      <c r="W51" s="628">
        <f t="shared" si="8"/>
        <v>0</v>
      </c>
      <c r="X51" s="628">
        <f t="shared" si="8"/>
        <v>0</v>
      </c>
      <c r="Y51" s="628">
        <f t="shared" si="8"/>
        <v>0</v>
      </c>
      <c r="Z51" s="628">
        <f t="shared" si="8"/>
        <v>0</v>
      </c>
      <c r="AA51" s="628">
        <f t="shared" si="8"/>
        <v>0</v>
      </c>
      <c r="AB51" s="628">
        <f t="shared" si="8"/>
        <v>0</v>
      </c>
      <c r="AC51" s="628">
        <f t="shared" si="8"/>
        <v>0</v>
      </c>
      <c r="AD51" s="628">
        <f t="shared" si="8"/>
        <v>0</v>
      </c>
      <c r="AE51" s="628">
        <f t="shared" si="8"/>
        <v>0</v>
      </c>
      <c r="AF51" s="628">
        <f t="shared" si="8"/>
        <v>0</v>
      </c>
      <c r="AG51" s="628">
        <f t="shared" si="8"/>
        <v>0</v>
      </c>
      <c r="AH51" s="628">
        <f t="shared" si="8"/>
        <v>0</v>
      </c>
      <c r="AI51" s="628">
        <f t="shared" si="8"/>
        <v>0</v>
      </c>
      <c r="AJ51" s="628">
        <f t="shared" si="8"/>
        <v>0</v>
      </c>
      <c r="AK51" s="628">
        <f t="shared" si="8"/>
        <v>0</v>
      </c>
      <c r="AO51" s="659">
        <f>+AG47-AG38-AG37</f>
        <v>0</v>
      </c>
    </row>
    <row r="52" spans="1:41" x14ac:dyDescent="0.2">
      <c r="AD52" s="630" t="s">
        <v>725</v>
      </c>
      <c r="AG52" s="659">
        <f>+AG37+AG38</f>
        <v>489509207</v>
      </c>
    </row>
    <row r="53" spans="1:41" x14ac:dyDescent="0.2">
      <c r="AH53" s="659">
        <f>+AG45+AG46-AG47</f>
        <v>0</v>
      </c>
    </row>
  </sheetData>
  <mergeCells count="45">
    <mergeCell ref="AB2:AG2"/>
    <mergeCell ref="V2:Z2"/>
    <mergeCell ref="P4:R4"/>
    <mergeCell ref="A2:C3"/>
    <mergeCell ref="D2:H2"/>
    <mergeCell ref="J2:N2"/>
    <mergeCell ref="P2:T2"/>
    <mergeCell ref="A4:A7"/>
    <mergeCell ref="D4:F4"/>
    <mergeCell ref="G4:I4"/>
    <mergeCell ref="J4:L4"/>
    <mergeCell ref="M4:O4"/>
    <mergeCell ref="S4:U4"/>
    <mergeCell ref="V4:X4"/>
    <mergeCell ref="Y4:AA4"/>
    <mergeCell ref="AB4:AD4"/>
    <mergeCell ref="D5:F5"/>
    <mergeCell ref="G5:I5"/>
    <mergeCell ref="J5:L5"/>
    <mergeCell ref="M5:O5"/>
    <mergeCell ref="P5:R5"/>
    <mergeCell ref="D6:F7"/>
    <mergeCell ref="G6:I7"/>
    <mergeCell ref="J6:L7"/>
    <mergeCell ref="M6:O7"/>
    <mergeCell ref="P6:R7"/>
    <mergeCell ref="S8:U8"/>
    <mergeCell ref="V8:X8"/>
    <mergeCell ref="S5:U5"/>
    <mergeCell ref="V5:X5"/>
    <mergeCell ref="Y5:AA5"/>
    <mergeCell ref="Y8:AA8"/>
    <mergeCell ref="S6:U7"/>
    <mergeCell ref="D8:F8"/>
    <mergeCell ref="G8:I8"/>
    <mergeCell ref="J8:L8"/>
    <mergeCell ref="M8:O8"/>
    <mergeCell ref="P8:R8"/>
    <mergeCell ref="AB8:AD8"/>
    <mergeCell ref="AE8:AG8"/>
    <mergeCell ref="V6:X7"/>
    <mergeCell ref="Y6:AA7"/>
    <mergeCell ref="AB6:AD7"/>
    <mergeCell ref="AE4:AG7"/>
    <mergeCell ref="AB5:AD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4" orientation="portrait" horizontalDpi="200" verticalDpi="200" r:id="rId1"/>
  <headerFooter alignWithMargins="0">
    <oddHeader>&amp;CDunaharaszti Város Önkormányzat 2017. évi zárszámadás&amp;R&amp;A</oddHeader>
    <oddFooter>&amp;C&amp;P/&amp;N</oddFooter>
  </headerFooter>
  <colBreaks count="4" manualBreakCount="4">
    <brk id="9" max="47" man="1"/>
    <brk id="15" max="47" man="1"/>
    <brk id="21" max="47" man="1"/>
    <brk id="27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57"/>
  <sheetViews>
    <sheetView view="pageBreakPreview" zoomScale="80" zoomScaleNormal="70" zoomScaleSheetLayoutView="80" workbookViewId="0">
      <pane xSplit="3" ySplit="8" topLeftCell="Q9" activePane="bottomRight" state="frozen"/>
      <selection pane="topRight" activeCell="D1" sqref="D1"/>
      <selection pane="bottomLeft" activeCell="A8" sqref="A8"/>
      <selection pane="bottomRight" activeCell="X17" sqref="X17"/>
    </sheetView>
  </sheetViews>
  <sheetFormatPr defaultRowHeight="12.75" x14ac:dyDescent="0.2"/>
  <cols>
    <col min="1" max="1" width="6" style="626" customWidth="1"/>
    <col min="2" max="2" width="68.42578125" style="626" customWidth="1"/>
    <col min="3" max="3" width="7.42578125" style="627" customWidth="1"/>
    <col min="4" max="5" width="16.85546875" style="628" bestFit="1" customWidth="1"/>
    <col min="6" max="6" width="16.28515625" style="628" customWidth="1"/>
    <col min="7" max="7" width="17.85546875" style="628" bestFit="1" customWidth="1"/>
    <col min="8" max="8" width="16.85546875" style="628" bestFit="1" customWidth="1"/>
    <col min="9" max="9" width="16.5703125" style="628" customWidth="1"/>
    <col min="10" max="11" width="15.85546875" style="628" bestFit="1" customWidth="1"/>
    <col min="12" max="12" width="18.42578125" style="628" customWidth="1"/>
    <col min="13" max="15" width="16.85546875" style="628" customWidth="1"/>
    <col min="16" max="17" width="17.5703125" style="628" customWidth="1"/>
    <col min="18" max="18" width="18.7109375" style="628" customWidth="1"/>
    <col min="19" max="19" width="18.28515625" style="628" customWidth="1"/>
    <col min="20" max="21" width="18.140625" style="628" customWidth="1"/>
    <col min="22" max="22" width="17.42578125" style="628" customWidth="1"/>
    <col min="23" max="24" width="23.7109375" style="628" customWidth="1"/>
    <col min="25" max="34" width="16.7109375" style="626" customWidth="1"/>
    <col min="35" max="16384" width="9.140625" style="626"/>
  </cols>
  <sheetData>
    <row r="1" spans="1:37" x14ac:dyDescent="0.2">
      <c r="K1" s="657" t="s">
        <v>0</v>
      </c>
      <c r="L1" s="657"/>
      <c r="M1" s="657"/>
      <c r="N1" s="657"/>
      <c r="O1" s="657"/>
      <c r="Q1" s="657" t="s">
        <v>0</v>
      </c>
      <c r="R1" s="657"/>
      <c r="V1" s="657"/>
      <c r="W1" s="657" t="s">
        <v>0</v>
      </c>
      <c r="X1" s="657"/>
    </row>
    <row r="2" spans="1:37" ht="51" customHeight="1" x14ac:dyDescent="0.2">
      <c r="A2" s="961" t="s">
        <v>1249</v>
      </c>
      <c r="B2" s="962"/>
      <c r="C2" s="963"/>
      <c r="D2" s="958" t="s">
        <v>1275</v>
      </c>
      <c r="E2" s="959"/>
      <c r="F2" s="959"/>
      <c r="G2" s="959"/>
      <c r="H2" s="959"/>
      <c r="I2" s="959"/>
      <c r="J2" s="959"/>
      <c r="K2" s="959"/>
      <c r="L2" s="960"/>
      <c r="M2" s="958" t="s">
        <v>1275</v>
      </c>
      <c r="N2" s="959"/>
      <c r="O2" s="959"/>
      <c r="P2" s="959"/>
      <c r="Q2" s="959"/>
      <c r="R2" s="960"/>
      <c r="S2" s="958" t="s">
        <v>1275</v>
      </c>
      <c r="T2" s="959"/>
      <c r="U2" s="959"/>
      <c r="V2" s="959"/>
      <c r="W2" s="959"/>
      <c r="X2" s="960"/>
    </row>
    <row r="3" spans="1:37" ht="51" customHeight="1" x14ac:dyDescent="0.2">
      <c r="A3" s="964"/>
      <c r="B3" s="965"/>
      <c r="C3" s="966"/>
      <c r="D3" s="560" t="s">
        <v>6</v>
      </c>
      <c r="E3" s="560" t="s">
        <v>7</v>
      </c>
      <c r="F3" s="560" t="s">
        <v>788</v>
      </c>
      <c r="G3" s="560" t="s">
        <v>6</v>
      </c>
      <c r="H3" s="560" t="s">
        <v>7</v>
      </c>
      <c r="I3" s="560" t="s">
        <v>788</v>
      </c>
      <c r="J3" s="560" t="s">
        <v>6</v>
      </c>
      <c r="K3" s="560" t="s">
        <v>7</v>
      </c>
      <c r="L3" s="560" t="s">
        <v>788</v>
      </c>
      <c r="M3" s="560" t="s">
        <v>6</v>
      </c>
      <c r="N3" s="560" t="s">
        <v>7</v>
      </c>
      <c r="O3" s="560" t="s">
        <v>788</v>
      </c>
      <c r="P3" s="560" t="s">
        <v>6</v>
      </c>
      <c r="Q3" s="560" t="s">
        <v>7</v>
      </c>
      <c r="R3" s="560" t="s">
        <v>788</v>
      </c>
      <c r="S3" s="560" t="s">
        <v>6</v>
      </c>
      <c r="T3" s="560" t="s">
        <v>7</v>
      </c>
      <c r="U3" s="560" t="s">
        <v>788</v>
      </c>
      <c r="V3" s="560" t="s">
        <v>6</v>
      </c>
      <c r="W3" s="560" t="s">
        <v>7</v>
      </c>
      <c r="X3" s="854" t="s">
        <v>788</v>
      </c>
    </row>
    <row r="4" spans="1:37" s="634" customFormat="1" ht="128.25" customHeight="1" x14ac:dyDescent="0.2">
      <c r="A4" s="979" t="s">
        <v>3</v>
      </c>
      <c r="B4" s="980" t="s">
        <v>4</v>
      </c>
      <c r="C4" s="980"/>
      <c r="D4" s="955" t="s">
        <v>1358</v>
      </c>
      <c r="E4" s="956"/>
      <c r="F4" s="957"/>
      <c r="G4" s="955" t="s">
        <v>1383</v>
      </c>
      <c r="H4" s="956"/>
      <c r="I4" s="957"/>
      <c r="J4" s="955" t="s">
        <v>1377</v>
      </c>
      <c r="K4" s="956"/>
      <c r="L4" s="957"/>
      <c r="M4" s="955" t="s">
        <v>1377</v>
      </c>
      <c r="N4" s="956"/>
      <c r="O4" s="957"/>
      <c r="P4" s="958" t="s">
        <v>1387</v>
      </c>
      <c r="Q4" s="959"/>
      <c r="R4" s="960"/>
      <c r="S4" s="955" t="s">
        <v>1377</v>
      </c>
      <c r="T4" s="956"/>
      <c r="U4" s="957"/>
      <c r="V4" s="946" t="s">
        <v>1258</v>
      </c>
      <c r="W4" s="947"/>
      <c r="X4" s="948"/>
      <c r="AK4" s="658"/>
    </row>
    <row r="5" spans="1:37" s="634" customFormat="1" ht="25.5" customHeight="1" x14ac:dyDescent="0.2">
      <c r="A5" s="979"/>
      <c r="B5" s="980" t="s">
        <v>5</v>
      </c>
      <c r="C5" s="980"/>
      <c r="D5" s="955" t="s">
        <v>11</v>
      </c>
      <c r="E5" s="956"/>
      <c r="F5" s="957"/>
      <c r="G5" s="955" t="s">
        <v>11</v>
      </c>
      <c r="H5" s="956"/>
      <c r="I5" s="957"/>
      <c r="J5" s="955" t="s">
        <v>11</v>
      </c>
      <c r="K5" s="956"/>
      <c r="L5" s="957"/>
      <c r="M5" s="955" t="s">
        <v>11</v>
      </c>
      <c r="N5" s="956"/>
      <c r="O5" s="957"/>
      <c r="P5" s="955" t="s">
        <v>11</v>
      </c>
      <c r="Q5" s="956"/>
      <c r="R5" s="957"/>
      <c r="S5" s="958" t="s">
        <v>11</v>
      </c>
      <c r="T5" s="959"/>
      <c r="U5" s="960"/>
      <c r="V5" s="949"/>
      <c r="W5" s="950"/>
      <c r="X5" s="951"/>
    </row>
    <row r="6" spans="1:37" s="634" customFormat="1" ht="15.75" customHeight="1" x14ac:dyDescent="0.2">
      <c r="A6" s="979"/>
      <c r="B6" s="980" t="s">
        <v>8</v>
      </c>
      <c r="C6" s="980"/>
      <c r="D6" s="940" t="s">
        <v>1259</v>
      </c>
      <c r="E6" s="941"/>
      <c r="F6" s="942"/>
      <c r="G6" s="940" t="s">
        <v>1384</v>
      </c>
      <c r="H6" s="941"/>
      <c r="I6" s="942"/>
      <c r="J6" s="940" t="s">
        <v>1385</v>
      </c>
      <c r="K6" s="941"/>
      <c r="L6" s="942"/>
      <c r="M6" s="940" t="s">
        <v>1386</v>
      </c>
      <c r="N6" s="941"/>
      <c r="O6" s="942"/>
      <c r="P6" s="940" t="s">
        <v>1388</v>
      </c>
      <c r="Q6" s="941"/>
      <c r="R6" s="942"/>
      <c r="S6" s="940" t="s">
        <v>1389</v>
      </c>
      <c r="T6" s="971"/>
      <c r="U6" s="972"/>
      <c r="V6" s="949"/>
      <c r="W6" s="950"/>
      <c r="X6" s="951"/>
    </row>
    <row r="7" spans="1:37" ht="73.5" customHeight="1" x14ac:dyDescent="0.2">
      <c r="A7" s="979"/>
      <c r="B7" s="635" t="s">
        <v>9</v>
      </c>
      <c r="C7" s="636" t="s">
        <v>10</v>
      </c>
      <c r="D7" s="943"/>
      <c r="E7" s="944"/>
      <c r="F7" s="945"/>
      <c r="G7" s="943"/>
      <c r="H7" s="944"/>
      <c r="I7" s="945"/>
      <c r="J7" s="943"/>
      <c r="K7" s="944"/>
      <c r="L7" s="945"/>
      <c r="M7" s="943"/>
      <c r="N7" s="944"/>
      <c r="O7" s="945"/>
      <c r="P7" s="943"/>
      <c r="Q7" s="944"/>
      <c r="R7" s="945"/>
      <c r="S7" s="973"/>
      <c r="T7" s="974"/>
      <c r="U7" s="975"/>
      <c r="V7" s="952"/>
      <c r="W7" s="953"/>
      <c r="X7" s="954"/>
    </row>
    <row r="8" spans="1:37" ht="15.75" x14ac:dyDescent="0.2">
      <c r="A8" s="637" t="s">
        <v>15</v>
      </c>
      <c r="B8" s="638" t="s">
        <v>16</v>
      </c>
      <c r="C8" s="638" t="s">
        <v>17</v>
      </c>
      <c r="D8" s="976" t="s">
        <v>18</v>
      </c>
      <c r="E8" s="977"/>
      <c r="F8" s="978"/>
      <c r="G8" s="976" t="s">
        <v>19</v>
      </c>
      <c r="H8" s="977"/>
      <c r="I8" s="978"/>
      <c r="J8" s="976" t="s">
        <v>20</v>
      </c>
      <c r="K8" s="977"/>
      <c r="L8" s="978"/>
      <c r="M8" s="976" t="s">
        <v>21</v>
      </c>
      <c r="N8" s="977"/>
      <c r="O8" s="978"/>
      <c r="P8" s="976" t="s">
        <v>22</v>
      </c>
      <c r="Q8" s="977"/>
      <c r="R8" s="978"/>
      <c r="S8" s="976" t="s">
        <v>36</v>
      </c>
      <c r="T8" s="977"/>
      <c r="U8" s="978"/>
      <c r="V8" s="968" t="s">
        <v>39</v>
      </c>
      <c r="W8" s="969"/>
      <c r="X8" s="970"/>
    </row>
    <row r="9" spans="1:37" ht="21.75" customHeight="1" x14ac:dyDescent="0.25">
      <c r="A9" s="639" t="s">
        <v>15</v>
      </c>
      <c r="B9" s="640" t="s">
        <v>23</v>
      </c>
      <c r="C9" s="641" t="s">
        <v>24</v>
      </c>
      <c r="D9" s="717">
        <v>0</v>
      </c>
      <c r="E9" s="717">
        <v>0</v>
      </c>
      <c r="F9" s="717">
        <v>0</v>
      </c>
      <c r="G9" s="643">
        <v>140624218</v>
      </c>
      <c r="H9" s="643">
        <v>149034417</v>
      </c>
      <c r="I9" s="643">
        <v>148789475</v>
      </c>
      <c r="J9" s="643">
        <v>44646635</v>
      </c>
      <c r="K9" s="643">
        <v>27510573</v>
      </c>
      <c r="L9" s="643">
        <v>27510573</v>
      </c>
      <c r="M9" s="643">
        <v>67374273</v>
      </c>
      <c r="N9" s="643">
        <v>36206445</v>
      </c>
      <c r="O9" s="643">
        <v>36206445</v>
      </c>
      <c r="P9" s="643">
        <v>7000000</v>
      </c>
      <c r="Q9" s="643">
        <v>4000000</v>
      </c>
      <c r="R9" s="643">
        <v>3648275</v>
      </c>
      <c r="S9" s="717">
        <v>0</v>
      </c>
      <c r="T9" s="717">
        <v>0</v>
      </c>
      <c r="U9" s="643">
        <v>0</v>
      </c>
      <c r="V9" s="643">
        <v>259645126</v>
      </c>
      <c r="W9" s="643">
        <v>216751435</v>
      </c>
      <c r="X9" s="661">
        <f>F9+I9+L9+O9+R9+U9</f>
        <v>216154768</v>
      </c>
      <c r="Y9" s="659"/>
      <c r="Z9" s="659">
        <v>252</v>
      </c>
      <c r="AA9" s="659"/>
      <c r="AB9" s="659"/>
      <c r="AC9" s="659"/>
      <c r="AD9" s="659"/>
      <c r="AE9" s="659"/>
      <c r="AF9" s="659"/>
      <c r="AG9" s="659"/>
      <c r="AH9" s="659"/>
    </row>
    <row r="10" spans="1:37" ht="21.75" customHeight="1" x14ac:dyDescent="0.25">
      <c r="A10" s="639" t="s">
        <v>16</v>
      </c>
      <c r="B10" s="645" t="s">
        <v>25</v>
      </c>
      <c r="C10" s="641" t="s">
        <v>26</v>
      </c>
      <c r="D10" s="717">
        <v>0</v>
      </c>
      <c r="E10" s="717">
        <v>0</v>
      </c>
      <c r="F10" s="717">
        <v>0</v>
      </c>
      <c r="G10" s="643">
        <v>35000287</v>
      </c>
      <c r="H10" s="643">
        <v>38939334</v>
      </c>
      <c r="I10" s="643">
        <v>38266457</v>
      </c>
      <c r="J10" s="643">
        <v>10218558</v>
      </c>
      <c r="K10" s="643">
        <v>6436431</v>
      </c>
      <c r="L10" s="643">
        <v>6436431</v>
      </c>
      <c r="M10" s="643">
        <v>17802060</v>
      </c>
      <c r="N10" s="643">
        <v>8639694</v>
      </c>
      <c r="O10" s="643">
        <v>8639694</v>
      </c>
      <c r="P10" s="643">
        <v>1540000</v>
      </c>
      <c r="Q10" s="643">
        <v>1540000</v>
      </c>
      <c r="R10" s="643">
        <v>743057</v>
      </c>
      <c r="S10" s="717">
        <v>0</v>
      </c>
      <c r="T10" s="717">
        <v>0</v>
      </c>
      <c r="U10" s="643">
        <v>0</v>
      </c>
      <c r="V10" s="643">
        <v>64560905</v>
      </c>
      <c r="W10" s="643">
        <v>55555459</v>
      </c>
      <c r="X10" s="661">
        <f t="shared" ref="W10:X48" si="0">F10+I10+L10+O10+R10+U10</f>
        <v>54085639</v>
      </c>
      <c r="Y10" s="659"/>
      <c r="Z10" s="659"/>
      <c r="AA10" s="659"/>
      <c r="AB10" s="659"/>
      <c r="AC10" s="659"/>
      <c r="AD10" s="659"/>
      <c r="AE10" s="659"/>
      <c r="AF10" s="659"/>
      <c r="AG10" s="659"/>
      <c r="AH10" s="659"/>
    </row>
    <row r="11" spans="1:37" ht="21.75" customHeight="1" x14ac:dyDescent="0.25">
      <c r="A11" s="639" t="s">
        <v>17</v>
      </c>
      <c r="B11" s="645" t="s">
        <v>27</v>
      </c>
      <c r="C11" s="641" t="s">
        <v>28</v>
      </c>
      <c r="D11" s="717">
        <v>0</v>
      </c>
      <c r="E11" s="717">
        <v>0</v>
      </c>
      <c r="F11" s="717">
        <v>0</v>
      </c>
      <c r="G11" s="643">
        <f>48497677+42124+24130+35810+40640+50800</f>
        <v>48691181</v>
      </c>
      <c r="H11" s="643">
        <v>40334252</v>
      </c>
      <c r="I11" s="643">
        <v>26667979</v>
      </c>
      <c r="J11" s="643">
        <v>11788447</v>
      </c>
      <c r="K11" s="643">
        <v>5110983</v>
      </c>
      <c r="L11" s="643">
        <v>5090543</v>
      </c>
      <c r="M11" s="643">
        <v>28049398</v>
      </c>
      <c r="N11" s="643">
        <v>10468214</v>
      </c>
      <c r="O11" s="643">
        <v>10468214</v>
      </c>
      <c r="P11" s="643">
        <v>500000</v>
      </c>
      <c r="Q11" s="643">
        <v>500000</v>
      </c>
      <c r="R11" s="643"/>
      <c r="S11" s="717">
        <v>0</v>
      </c>
      <c r="T11" s="643">
        <v>952360</v>
      </c>
      <c r="U11" s="643">
        <v>589648</v>
      </c>
      <c r="V11" s="643">
        <v>89029026</v>
      </c>
      <c r="W11" s="643">
        <v>57365809</v>
      </c>
      <c r="X11" s="661">
        <f t="shared" si="0"/>
        <v>42816384</v>
      </c>
      <c r="Y11" s="660"/>
      <c r="Z11" s="733"/>
      <c r="AA11" s="733"/>
      <c r="AB11" s="733"/>
      <c r="AC11" s="733"/>
      <c r="AD11" s="733"/>
      <c r="AE11" s="733"/>
      <c r="AF11" s="733"/>
      <c r="AG11" s="733"/>
    </row>
    <row r="12" spans="1:37" ht="21.75" customHeight="1" x14ac:dyDescent="0.25">
      <c r="A12" s="639" t="s">
        <v>18</v>
      </c>
      <c r="B12" s="646" t="s">
        <v>29</v>
      </c>
      <c r="C12" s="641" t="s">
        <v>30</v>
      </c>
      <c r="D12" s="717">
        <v>0</v>
      </c>
      <c r="E12" s="717">
        <v>0</v>
      </c>
      <c r="F12" s="717">
        <v>0</v>
      </c>
      <c r="G12" s="717">
        <v>0</v>
      </c>
      <c r="H12" s="717">
        <v>0</v>
      </c>
      <c r="I12" s="717">
        <v>0</v>
      </c>
      <c r="J12" s="717">
        <v>0</v>
      </c>
      <c r="K12" s="717">
        <v>0</v>
      </c>
      <c r="L12" s="717">
        <v>0</v>
      </c>
      <c r="M12" s="717">
        <v>0</v>
      </c>
      <c r="N12" s="717">
        <v>0</v>
      </c>
      <c r="O12" s="717">
        <v>0</v>
      </c>
      <c r="P12" s="717">
        <v>0</v>
      </c>
      <c r="Q12" s="717">
        <v>0</v>
      </c>
      <c r="R12" s="717">
        <v>0</v>
      </c>
      <c r="S12" s="717">
        <v>0</v>
      </c>
      <c r="T12" s="717">
        <v>0</v>
      </c>
      <c r="U12" s="643">
        <v>0</v>
      </c>
      <c r="V12" s="717">
        <v>0</v>
      </c>
      <c r="W12" s="717">
        <v>0</v>
      </c>
      <c r="X12" s="661">
        <f t="shared" si="0"/>
        <v>0</v>
      </c>
    </row>
    <row r="13" spans="1:37" ht="21.75" customHeight="1" x14ac:dyDescent="0.25">
      <c r="A13" s="639" t="s">
        <v>19</v>
      </c>
      <c r="B13" s="646" t="s">
        <v>31</v>
      </c>
      <c r="C13" s="641" t="s">
        <v>32</v>
      </c>
      <c r="D13" s="717">
        <v>0</v>
      </c>
      <c r="E13" s="643">
        <v>10765452</v>
      </c>
      <c r="F13" s="643">
        <f>SUM(F14:F16)</f>
        <v>10765452</v>
      </c>
      <c r="G13" s="717">
        <v>0</v>
      </c>
      <c r="H13" s="717">
        <v>0</v>
      </c>
      <c r="I13" s="643">
        <f>SUM(I14:I16)</f>
        <v>0</v>
      </c>
      <c r="J13" s="717">
        <v>0</v>
      </c>
      <c r="K13" s="717">
        <v>0</v>
      </c>
      <c r="L13" s="643">
        <f>SUM(L14:L16)</f>
        <v>0</v>
      </c>
      <c r="M13" s="717">
        <v>0</v>
      </c>
      <c r="N13" s="717">
        <v>0</v>
      </c>
      <c r="O13" s="643">
        <f>SUM(O14:O16)</f>
        <v>0</v>
      </c>
      <c r="P13" s="717">
        <v>0</v>
      </c>
      <c r="Q13" s="717">
        <v>0</v>
      </c>
      <c r="R13" s="643">
        <f>SUM(R14:R16)</f>
        <v>0</v>
      </c>
      <c r="S13" s="717">
        <v>0</v>
      </c>
      <c r="T13" s="717">
        <v>0</v>
      </c>
      <c r="U13" s="643">
        <f>SUM(U14:U16)</f>
        <v>0</v>
      </c>
      <c r="V13" s="717">
        <v>0</v>
      </c>
      <c r="W13" s="643">
        <v>10765452</v>
      </c>
      <c r="X13" s="661">
        <f t="shared" si="0"/>
        <v>10765452</v>
      </c>
    </row>
    <row r="14" spans="1:37" ht="21.75" customHeight="1" x14ac:dyDescent="0.25">
      <c r="A14" s="639" t="s">
        <v>20</v>
      </c>
      <c r="B14" s="21" t="s">
        <v>33</v>
      </c>
      <c r="C14" s="641"/>
      <c r="D14" s="717">
        <v>0</v>
      </c>
      <c r="E14" s="717">
        <v>0</v>
      </c>
      <c r="F14" s="717">
        <v>0</v>
      </c>
      <c r="G14" s="717">
        <v>0</v>
      </c>
      <c r="H14" s="717">
        <v>0</v>
      </c>
      <c r="I14" s="717">
        <v>0</v>
      </c>
      <c r="J14" s="717">
        <v>0</v>
      </c>
      <c r="K14" s="717">
        <v>0</v>
      </c>
      <c r="L14" s="717">
        <v>0</v>
      </c>
      <c r="M14" s="717">
        <v>0</v>
      </c>
      <c r="N14" s="717">
        <v>0</v>
      </c>
      <c r="O14" s="717">
        <v>0</v>
      </c>
      <c r="P14" s="717">
        <v>0</v>
      </c>
      <c r="Q14" s="717">
        <v>0</v>
      </c>
      <c r="R14" s="717">
        <v>0</v>
      </c>
      <c r="S14" s="717">
        <v>0</v>
      </c>
      <c r="T14" s="717">
        <v>0</v>
      </c>
      <c r="U14" s="643">
        <v>0</v>
      </c>
      <c r="V14" s="717">
        <v>0</v>
      </c>
      <c r="W14" s="717">
        <v>0</v>
      </c>
      <c r="X14" s="661">
        <f t="shared" si="0"/>
        <v>0</v>
      </c>
    </row>
    <row r="15" spans="1:37" ht="21.75" customHeight="1" x14ac:dyDescent="0.25">
      <c r="A15" s="639" t="s">
        <v>21</v>
      </c>
      <c r="B15" s="21" t="s">
        <v>34</v>
      </c>
      <c r="C15" s="647"/>
      <c r="D15" s="717">
        <v>0</v>
      </c>
      <c r="E15" s="717">
        <v>0</v>
      </c>
      <c r="F15" s="717">
        <v>0</v>
      </c>
      <c r="G15" s="717">
        <v>0</v>
      </c>
      <c r="H15" s="717">
        <v>0</v>
      </c>
      <c r="I15" s="717">
        <v>0</v>
      </c>
      <c r="J15" s="717">
        <v>0</v>
      </c>
      <c r="K15" s="717">
        <v>0</v>
      </c>
      <c r="L15" s="717">
        <v>0</v>
      </c>
      <c r="M15" s="717">
        <v>0</v>
      </c>
      <c r="N15" s="717">
        <v>0</v>
      </c>
      <c r="O15" s="717">
        <v>0</v>
      </c>
      <c r="P15" s="717">
        <v>0</v>
      </c>
      <c r="Q15" s="717">
        <v>0</v>
      </c>
      <c r="R15" s="717">
        <v>0</v>
      </c>
      <c r="S15" s="717">
        <v>0</v>
      </c>
      <c r="T15" s="717">
        <v>0</v>
      </c>
      <c r="U15" s="643">
        <v>0</v>
      </c>
      <c r="V15" s="717">
        <v>0</v>
      </c>
      <c r="W15" s="717">
        <v>0</v>
      </c>
      <c r="X15" s="661">
        <f t="shared" si="0"/>
        <v>0</v>
      </c>
    </row>
    <row r="16" spans="1:37" ht="21.75" customHeight="1" x14ac:dyDescent="0.25">
      <c r="A16" s="639" t="s">
        <v>22</v>
      </c>
      <c r="B16" s="17" t="s">
        <v>35</v>
      </c>
      <c r="C16" s="647"/>
      <c r="D16" s="717">
        <v>0</v>
      </c>
      <c r="E16" s="643">
        <v>10765452</v>
      </c>
      <c r="F16" s="643">
        <v>10765452</v>
      </c>
      <c r="G16" s="717">
        <v>0</v>
      </c>
      <c r="H16" s="717">
        <v>0</v>
      </c>
      <c r="I16" s="717">
        <v>0</v>
      </c>
      <c r="J16" s="717">
        <v>0</v>
      </c>
      <c r="K16" s="717">
        <v>0</v>
      </c>
      <c r="L16" s="717">
        <v>0</v>
      </c>
      <c r="M16" s="717">
        <v>0</v>
      </c>
      <c r="N16" s="717">
        <v>0</v>
      </c>
      <c r="O16" s="717">
        <v>0</v>
      </c>
      <c r="P16" s="717">
        <v>0</v>
      </c>
      <c r="Q16" s="717">
        <v>0</v>
      </c>
      <c r="R16" s="717">
        <v>0</v>
      </c>
      <c r="S16" s="717">
        <v>0</v>
      </c>
      <c r="T16" s="717">
        <v>0</v>
      </c>
      <c r="U16" s="643">
        <v>0</v>
      </c>
      <c r="V16" s="717">
        <v>0</v>
      </c>
      <c r="W16" s="643">
        <v>10765452</v>
      </c>
      <c r="X16" s="661">
        <f t="shared" si="0"/>
        <v>10765452</v>
      </c>
    </row>
    <row r="17" spans="1:34" ht="21.75" customHeight="1" x14ac:dyDescent="0.25">
      <c r="A17" s="639" t="s">
        <v>36</v>
      </c>
      <c r="B17" s="648" t="s">
        <v>37</v>
      </c>
      <c r="C17" s="641" t="s">
        <v>38</v>
      </c>
      <c r="D17" s="717">
        <v>0</v>
      </c>
      <c r="E17" s="717">
        <v>0</v>
      </c>
      <c r="F17" s="717">
        <v>0</v>
      </c>
      <c r="G17" s="717">
        <v>0</v>
      </c>
      <c r="H17" s="643">
        <v>2139861</v>
      </c>
      <c r="I17" s="643">
        <v>2135181</v>
      </c>
      <c r="J17" s="717">
        <v>0</v>
      </c>
      <c r="K17" s="643">
        <v>212924</v>
      </c>
      <c r="L17" s="643">
        <v>212924</v>
      </c>
      <c r="M17" s="717">
        <v>0</v>
      </c>
      <c r="N17" s="643">
        <v>294189</v>
      </c>
      <c r="O17" s="643">
        <v>294189</v>
      </c>
      <c r="P17" s="717">
        <v>0</v>
      </c>
      <c r="Q17" s="717">
        <v>0</v>
      </c>
      <c r="R17" s="717">
        <v>0</v>
      </c>
      <c r="S17" s="717">
        <v>0</v>
      </c>
      <c r="T17" s="717">
        <v>0</v>
      </c>
      <c r="U17" s="643">
        <v>0</v>
      </c>
      <c r="V17" s="717">
        <v>0</v>
      </c>
      <c r="W17" s="643">
        <v>2646974</v>
      </c>
      <c r="X17" s="661">
        <f t="shared" si="0"/>
        <v>2642294</v>
      </c>
    </row>
    <row r="18" spans="1:34" ht="21.75" customHeight="1" x14ac:dyDescent="0.25">
      <c r="A18" s="639" t="s">
        <v>39</v>
      </c>
      <c r="B18" s="646" t="s">
        <v>40</v>
      </c>
      <c r="C18" s="641" t="s">
        <v>41</v>
      </c>
      <c r="D18" s="717">
        <v>0</v>
      </c>
      <c r="E18" s="717">
        <v>0</v>
      </c>
      <c r="F18" s="717">
        <v>0</v>
      </c>
      <c r="G18" s="717">
        <v>0</v>
      </c>
      <c r="H18" s="717">
        <v>0</v>
      </c>
      <c r="I18" s="717"/>
      <c r="J18" s="717">
        <v>0</v>
      </c>
      <c r="K18" s="717">
        <v>0</v>
      </c>
      <c r="L18" s="717">
        <v>0</v>
      </c>
      <c r="M18" s="717">
        <v>0</v>
      </c>
      <c r="N18" s="717">
        <v>0</v>
      </c>
      <c r="O18" s="717">
        <v>0</v>
      </c>
      <c r="P18" s="717">
        <v>0</v>
      </c>
      <c r="Q18" s="717">
        <v>0</v>
      </c>
      <c r="R18" s="717">
        <v>0</v>
      </c>
      <c r="S18" s="717">
        <v>0</v>
      </c>
      <c r="T18" s="717">
        <v>0</v>
      </c>
      <c r="U18" s="643">
        <v>0</v>
      </c>
      <c r="V18" s="717">
        <v>0</v>
      </c>
      <c r="W18" s="717">
        <v>0</v>
      </c>
      <c r="X18" s="661">
        <f t="shared" si="0"/>
        <v>0</v>
      </c>
    </row>
    <row r="19" spans="1:34" ht="21.75" customHeight="1" x14ac:dyDescent="0.25">
      <c r="A19" s="639" t="s">
        <v>42</v>
      </c>
      <c r="B19" s="646" t="s">
        <v>43</v>
      </c>
      <c r="C19" s="641" t="s">
        <v>44</v>
      </c>
      <c r="D19" s="717">
        <v>0</v>
      </c>
      <c r="E19" s="717">
        <v>0</v>
      </c>
      <c r="F19" s="717">
        <v>0</v>
      </c>
      <c r="G19" s="717">
        <v>0</v>
      </c>
      <c r="H19" s="717">
        <v>0</v>
      </c>
      <c r="I19" s="717">
        <v>0</v>
      </c>
      <c r="J19" s="717">
        <v>0</v>
      </c>
      <c r="K19" s="717">
        <v>0</v>
      </c>
      <c r="L19" s="717">
        <v>0</v>
      </c>
      <c r="M19" s="717">
        <v>0</v>
      </c>
      <c r="N19" s="717">
        <v>0</v>
      </c>
      <c r="O19" s="717">
        <v>0</v>
      </c>
      <c r="P19" s="717">
        <v>0</v>
      </c>
      <c r="Q19" s="717">
        <v>0</v>
      </c>
      <c r="R19" s="717">
        <v>0</v>
      </c>
      <c r="S19" s="717">
        <v>0</v>
      </c>
      <c r="T19" s="717">
        <v>0</v>
      </c>
      <c r="U19" s="643">
        <v>0</v>
      </c>
      <c r="V19" s="717">
        <v>0</v>
      </c>
      <c r="W19" s="717">
        <v>0</v>
      </c>
      <c r="X19" s="661">
        <f t="shared" si="0"/>
        <v>0</v>
      </c>
    </row>
    <row r="20" spans="1:34" ht="21.75" customHeight="1" x14ac:dyDescent="0.25">
      <c r="A20" s="639" t="s">
        <v>45</v>
      </c>
      <c r="B20" s="21" t="s">
        <v>46</v>
      </c>
      <c r="C20" s="641"/>
      <c r="D20" s="717">
        <v>0</v>
      </c>
      <c r="E20" s="717">
        <v>0</v>
      </c>
      <c r="F20" s="717">
        <v>0</v>
      </c>
      <c r="G20" s="717">
        <v>0</v>
      </c>
      <c r="H20" s="717">
        <v>0</v>
      </c>
      <c r="I20" s="717">
        <v>0</v>
      </c>
      <c r="J20" s="717">
        <v>0</v>
      </c>
      <c r="K20" s="717">
        <v>0</v>
      </c>
      <c r="L20" s="717">
        <v>0</v>
      </c>
      <c r="M20" s="717">
        <v>0</v>
      </c>
      <c r="N20" s="717">
        <v>0</v>
      </c>
      <c r="O20" s="717">
        <v>0</v>
      </c>
      <c r="P20" s="717">
        <v>0</v>
      </c>
      <c r="Q20" s="717">
        <v>0</v>
      </c>
      <c r="R20" s="717">
        <v>0</v>
      </c>
      <c r="S20" s="717">
        <v>0</v>
      </c>
      <c r="T20" s="717">
        <v>0</v>
      </c>
      <c r="U20" s="643">
        <v>0</v>
      </c>
      <c r="V20" s="717">
        <v>0</v>
      </c>
      <c r="W20" s="717">
        <v>0</v>
      </c>
      <c r="X20" s="661">
        <f t="shared" si="0"/>
        <v>0</v>
      </c>
    </row>
    <row r="21" spans="1:34" ht="21.75" customHeight="1" x14ac:dyDescent="0.25">
      <c r="A21" s="639" t="s">
        <v>47</v>
      </c>
      <c r="B21" s="648" t="s">
        <v>48</v>
      </c>
      <c r="C21" s="641" t="s">
        <v>49</v>
      </c>
      <c r="D21" s="717">
        <v>0</v>
      </c>
      <c r="E21" s="643">
        <v>10765452</v>
      </c>
      <c r="F21" s="643">
        <f>F9+F10+F11+F12+F13+F17+F18+F19</f>
        <v>10765452</v>
      </c>
      <c r="G21" s="643">
        <v>224315686</v>
      </c>
      <c r="H21" s="643">
        <v>230447864</v>
      </c>
      <c r="I21" s="643">
        <f>I9+I10+I11+I12+I13+I17+I18+I19</f>
        <v>215859092</v>
      </c>
      <c r="J21" s="643">
        <v>66653640</v>
      </c>
      <c r="K21" s="643">
        <v>39270911</v>
      </c>
      <c r="L21" s="643">
        <f>L9+L10+L11+L18+L12+L13+L17</f>
        <v>39250471</v>
      </c>
      <c r="M21" s="643">
        <v>113225731</v>
      </c>
      <c r="N21" s="643">
        <v>55608542</v>
      </c>
      <c r="O21" s="643">
        <f>O9+O10+O11+O12+O13+O17+O18+O19</f>
        <v>55608542</v>
      </c>
      <c r="P21" s="643">
        <v>9040000</v>
      </c>
      <c r="Q21" s="643">
        <v>6040000</v>
      </c>
      <c r="R21" s="643">
        <f>R9+R10+R11+R12+R13+R17+R18+R19</f>
        <v>4391332</v>
      </c>
      <c r="S21" s="717">
        <v>0</v>
      </c>
      <c r="T21" s="643">
        <v>952360</v>
      </c>
      <c r="U21" s="643">
        <f>U9+U10+U11+U12+U13+U17+U18+U19</f>
        <v>589648</v>
      </c>
      <c r="V21" s="643">
        <v>413235057</v>
      </c>
      <c r="W21" s="643">
        <v>343085129</v>
      </c>
      <c r="X21" s="661">
        <f t="shared" si="0"/>
        <v>326464537</v>
      </c>
      <c r="Y21" s="659">
        <f>V9+V10+V11+V12+V13+V17+V18+V19</f>
        <v>413235057</v>
      </c>
      <c r="Z21" s="659"/>
      <c r="AA21" s="659"/>
      <c r="AB21" s="659"/>
      <c r="AC21" s="659"/>
      <c r="AD21" s="659"/>
      <c r="AE21" s="659"/>
      <c r="AF21" s="659"/>
      <c r="AG21" s="659"/>
      <c r="AH21" s="659"/>
    </row>
    <row r="22" spans="1:34" ht="21.75" customHeight="1" x14ac:dyDescent="0.25">
      <c r="A22" s="639" t="s">
        <v>50</v>
      </c>
      <c r="B22" s="648" t="s">
        <v>51</v>
      </c>
      <c r="C22" s="641" t="s">
        <v>52</v>
      </c>
      <c r="D22" s="717">
        <v>0</v>
      </c>
      <c r="E22" s="717">
        <v>0</v>
      </c>
      <c r="F22" s="717">
        <f>SUM(F23:F26)</f>
        <v>0</v>
      </c>
      <c r="G22" s="717">
        <v>0</v>
      </c>
      <c r="H22" s="717">
        <v>0</v>
      </c>
      <c r="I22" s="717">
        <f>SUM(I23:I26)</f>
        <v>0</v>
      </c>
      <c r="J22" s="717">
        <v>0</v>
      </c>
      <c r="K22" s="717">
        <v>0</v>
      </c>
      <c r="L22" s="717">
        <f>SUM(L23:L26)</f>
        <v>0</v>
      </c>
      <c r="M22" s="717">
        <v>0</v>
      </c>
      <c r="N22" s="717">
        <v>0</v>
      </c>
      <c r="O22" s="717">
        <f>SUM(O23:O26)</f>
        <v>0</v>
      </c>
      <c r="P22" s="717">
        <v>0</v>
      </c>
      <c r="Q22" s="717">
        <v>0</v>
      </c>
      <c r="R22" s="717">
        <f>SUM(R23:R26)</f>
        <v>0</v>
      </c>
      <c r="S22" s="717">
        <v>0</v>
      </c>
      <c r="T22" s="717">
        <v>0</v>
      </c>
      <c r="U22" s="717">
        <f>SUM(U23:U26)</f>
        <v>0</v>
      </c>
      <c r="V22" s="717">
        <v>0</v>
      </c>
      <c r="W22" s="717">
        <v>0</v>
      </c>
      <c r="X22" s="661">
        <f t="shared" si="0"/>
        <v>0</v>
      </c>
    </row>
    <row r="23" spans="1:34" ht="21.75" customHeight="1" x14ac:dyDescent="0.25">
      <c r="A23" s="639" t="s">
        <v>53</v>
      </c>
      <c r="B23" s="24" t="s">
        <v>970</v>
      </c>
      <c r="C23" s="647"/>
      <c r="D23" s="717">
        <v>0</v>
      </c>
      <c r="E23" s="717">
        <v>0</v>
      </c>
      <c r="F23" s="717">
        <v>0</v>
      </c>
      <c r="G23" s="717">
        <v>0</v>
      </c>
      <c r="H23" s="717">
        <v>0</v>
      </c>
      <c r="I23" s="717">
        <v>0</v>
      </c>
      <c r="J23" s="717">
        <v>0</v>
      </c>
      <c r="K23" s="717">
        <v>0</v>
      </c>
      <c r="L23" s="717">
        <v>0</v>
      </c>
      <c r="M23" s="717">
        <v>0</v>
      </c>
      <c r="N23" s="717">
        <v>0</v>
      </c>
      <c r="O23" s="717">
        <v>0</v>
      </c>
      <c r="P23" s="717">
        <v>0</v>
      </c>
      <c r="Q23" s="717">
        <v>0</v>
      </c>
      <c r="R23" s="717">
        <v>0</v>
      </c>
      <c r="S23" s="717">
        <v>0</v>
      </c>
      <c r="T23" s="717">
        <v>0</v>
      </c>
      <c r="U23" s="643">
        <v>0</v>
      </c>
      <c r="V23" s="717">
        <v>0</v>
      </c>
      <c r="W23" s="717">
        <v>0</v>
      </c>
      <c r="X23" s="661">
        <f t="shared" si="0"/>
        <v>0</v>
      </c>
    </row>
    <row r="24" spans="1:34" ht="21.75" customHeight="1" x14ac:dyDescent="0.25">
      <c r="A24" s="639" t="s">
        <v>55</v>
      </c>
      <c r="B24" s="652" t="s">
        <v>56</v>
      </c>
      <c r="C24" s="647"/>
      <c r="D24" s="717">
        <v>0</v>
      </c>
      <c r="E24" s="717">
        <v>0</v>
      </c>
      <c r="F24" s="717">
        <v>0</v>
      </c>
      <c r="G24" s="717">
        <v>0</v>
      </c>
      <c r="H24" s="717">
        <v>0</v>
      </c>
      <c r="I24" s="717">
        <v>0</v>
      </c>
      <c r="J24" s="717">
        <v>0</v>
      </c>
      <c r="K24" s="717">
        <v>0</v>
      </c>
      <c r="L24" s="717">
        <v>0</v>
      </c>
      <c r="M24" s="717">
        <v>0</v>
      </c>
      <c r="N24" s="717">
        <v>0</v>
      </c>
      <c r="O24" s="717">
        <v>0</v>
      </c>
      <c r="P24" s="717">
        <v>0</v>
      </c>
      <c r="Q24" s="717">
        <v>0</v>
      </c>
      <c r="R24" s="717">
        <v>0</v>
      </c>
      <c r="S24" s="717">
        <v>0</v>
      </c>
      <c r="T24" s="717">
        <v>0</v>
      </c>
      <c r="U24" s="643">
        <v>0</v>
      </c>
      <c r="V24" s="717">
        <v>0</v>
      </c>
      <c r="W24" s="717">
        <v>0</v>
      </c>
      <c r="X24" s="661">
        <f t="shared" si="0"/>
        <v>0</v>
      </c>
    </row>
    <row r="25" spans="1:34" ht="21.75" customHeight="1" x14ac:dyDescent="0.25">
      <c r="A25" s="639" t="s">
        <v>57</v>
      </c>
      <c r="B25" s="652" t="s">
        <v>58</v>
      </c>
      <c r="C25" s="647"/>
      <c r="D25" s="717">
        <v>0</v>
      </c>
      <c r="E25" s="717">
        <v>0</v>
      </c>
      <c r="F25" s="717">
        <v>0</v>
      </c>
      <c r="G25" s="717">
        <v>0</v>
      </c>
      <c r="H25" s="717">
        <v>0</v>
      </c>
      <c r="I25" s="717">
        <v>0</v>
      </c>
      <c r="J25" s="717">
        <v>0</v>
      </c>
      <c r="K25" s="717">
        <v>0</v>
      </c>
      <c r="L25" s="717">
        <v>0</v>
      </c>
      <c r="M25" s="717">
        <v>0</v>
      </c>
      <c r="N25" s="717">
        <v>0</v>
      </c>
      <c r="O25" s="717">
        <v>0</v>
      </c>
      <c r="P25" s="717">
        <v>0</v>
      </c>
      <c r="Q25" s="717">
        <v>0</v>
      </c>
      <c r="R25" s="717">
        <v>0</v>
      </c>
      <c r="S25" s="717">
        <v>0</v>
      </c>
      <c r="T25" s="717">
        <v>0</v>
      </c>
      <c r="U25" s="643">
        <v>0</v>
      </c>
      <c r="V25" s="717">
        <v>0</v>
      </c>
      <c r="W25" s="717">
        <v>0</v>
      </c>
      <c r="X25" s="661">
        <f t="shared" si="0"/>
        <v>0</v>
      </c>
    </row>
    <row r="26" spans="1:34" ht="21.75" customHeight="1" x14ac:dyDescent="0.25">
      <c r="A26" s="639" t="s">
        <v>59</v>
      </c>
      <c r="B26" s="652" t="s">
        <v>60</v>
      </c>
      <c r="C26" s="647"/>
      <c r="D26" s="717">
        <v>0</v>
      </c>
      <c r="E26" s="717">
        <v>0</v>
      </c>
      <c r="F26" s="717">
        <v>0</v>
      </c>
      <c r="G26" s="717">
        <v>0</v>
      </c>
      <c r="H26" s="717">
        <v>0</v>
      </c>
      <c r="I26" s="717">
        <v>0</v>
      </c>
      <c r="J26" s="717">
        <v>0</v>
      </c>
      <c r="K26" s="717">
        <v>0</v>
      </c>
      <c r="L26" s="717">
        <v>0</v>
      </c>
      <c r="M26" s="717">
        <v>0</v>
      </c>
      <c r="N26" s="717">
        <v>0</v>
      </c>
      <c r="O26" s="717">
        <v>0</v>
      </c>
      <c r="P26" s="717">
        <v>0</v>
      </c>
      <c r="Q26" s="717">
        <v>0</v>
      </c>
      <c r="R26" s="717">
        <v>0</v>
      </c>
      <c r="S26" s="717">
        <v>0</v>
      </c>
      <c r="T26" s="717">
        <v>0</v>
      </c>
      <c r="U26" s="643">
        <v>0</v>
      </c>
      <c r="V26" s="717">
        <v>0</v>
      </c>
      <c r="W26" s="717">
        <v>0</v>
      </c>
      <c r="X26" s="661">
        <f t="shared" si="0"/>
        <v>0</v>
      </c>
    </row>
    <row r="27" spans="1:34" s="651" customFormat="1" ht="21.75" customHeight="1" x14ac:dyDescent="0.25">
      <c r="A27" s="639" t="s">
        <v>61</v>
      </c>
      <c r="B27" s="653" t="s">
        <v>62</v>
      </c>
      <c r="C27" s="641"/>
      <c r="D27" s="717">
        <v>0</v>
      </c>
      <c r="E27" s="650">
        <v>10765452</v>
      </c>
      <c r="F27" s="650">
        <f>F9+F10+F11+F12+F13+F24+F26</f>
        <v>10765452</v>
      </c>
      <c r="G27" s="650">
        <v>224315686</v>
      </c>
      <c r="H27" s="650">
        <v>228308003</v>
      </c>
      <c r="I27" s="650">
        <f>I9+I10+I11+I12+I13+I24+I26</f>
        <v>213723911</v>
      </c>
      <c r="J27" s="650">
        <v>66653640</v>
      </c>
      <c r="K27" s="650">
        <v>39057987</v>
      </c>
      <c r="L27" s="650">
        <f>L9+L10+L11+L12+L13+L24+L26</f>
        <v>39037547</v>
      </c>
      <c r="M27" s="650">
        <v>113225731</v>
      </c>
      <c r="N27" s="650">
        <v>55314353</v>
      </c>
      <c r="O27" s="650">
        <f>O9+O10+O11+O12+O13+O24+O26</f>
        <v>55314353</v>
      </c>
      <c r="P27" s="650">
        <v>9040000</v>
      </c>
      <c r="Q27" s="650">
        <v>6040000</v>
      </c>
      <c r="R27" s="650">
        <f>R9+R10+R11+R12+R13+R24+R26</f>
        <v>4391332</v>
      </c>
      <c r="S27" s="717">
        <v>0</v>
      </c>
      <c r="T27" s="650">
        <v>952360</v>
      </c>
      <c r="U27" s="650">
        <f>U9+U10+U11+U12+U13+U24+U26</f>
        <v>589648</v>
      </c>
      <c r="V27" s="650">
        <v>413235057</v>
      </c>
      <c r="W27" s="650">
        <v>340438155</v>
      </c>
      <c r="X27" s="661">
        <f t="shared" si="0"/>
        <v>323822243</v>
      </c>
    </row>
    <row r="28" spans="1:34" s="651" customFormat="1" ht="21.75" customHeight="1" x14ac:dyDescent="0.25">
      <c r="A28" s="639" t="s">
        <v>63</v>
      </c>
      <c r="B28" s="653" t="s">
        <v>64</v>
      </c>
      <c r="C28" s="641"/>
      <c r="D28" s="717">
        <v>0</v>
      </c>
      <c r="E28" s="717">
        <v>0</v>
      </c>
      <c r="F28" s="717">
        <f>F17+F18+F19+F25</f>
        <v>0</v>
      </c>
      <c r="G28" s="717">
        <v>0</v>
      </c>
      <c r="H28" s="650">
        <v>2139861</v>
      </c>
      <c r="I28" s="650">
        <f>I17+I18+I19+I25</f>
        <v>2135181</v>
      </c>
      <c r="J28" s="717">
        <v>0</v>
      </c>
      <c r="K28" s="650">
        <v>212924</v>
      </c>
      <c r="L28" s="650">
        <f>L17+L18+L19+L25</f>
        <v>212924</v>
      </c>
      <c r="M28" s="717">
        <v>0</v>
      </c>
      <c r="N28" s="650">
        <v>294189</v>
      </c>
      <c r="O28" s="717">
        <f>O17+O18+O19+O25</f>
        <v>294189</v>
      </c>
      <c r="P28" s="717">
        <v>0</v>
      </c>
      <c r="Q28" s="717">
        <v>0</v>
      </c>
      <c r="R28" s="717">
        <f>R17+R18+R19+R25</f>
        <v>0</v>
      </c>
      <c r="S28" s="717">
        <v>0</v>
      </c>
      <c r="T28" s="717">
        <v>0</v>
      </c>
      <c r="U28" s="717">
        <f>U17+U18+U19+U25</f>
        <v>0</v>
      </c>
      <c r="V28" s="717">
        <v>0</v>
      </c>
      <c r="W28" s="650">
        <v>2646974</v>
      </c>
      <c r="X28" s="661">
        <f t="shared" si="0"/>
        <v>2642294</v>
      </c>
    </row>
    <row r="29" spans="1:34" s="651" customFormat="1" ht="21.75" customHeight="1" x14ac:dyDescent="0.25">
      <c r="A29" s="639" t="s">
        <v>65</v>
      </c>
      <c r="B29" s="653" t="s">
        <v>66</v>
      </c>
      <c r="C29" s="641" t="s">
        <v>67</v>
      </c>
      <c r="D29" s="717">
        <v>0</v>
      </c>
      <c r="E29" s="650">
        <v>10765452</v>
      </c>
      <c r="F29" s="650">
        <f>F9+F10+F11+F12+F13+F17+F18+F19+F22</f>
        <v>10765452</v>
      </c>
      <c r="G29" s="650">
        <v>224315686</v>
      </c>
      <c r="H29" s="650">
        <v>230447864</v>
      </c>
      <c r="I29" s="650">
        <f>I9+I10+I11+I12+I13+I17+I18+I19+I22</f>
        <v>215859092</v>
      </c>
      <c r="J29" s="650">
        <v>66653640</v>
      </c>
      <c r="K29" s="650">
        <v>39270911</v>
      </c>
      <c r="L29" s="650">
        <f>L9+L10+L11+L12+L13+L17+L18+L19+L22</f>
        <v>39250471</v>
      </c>
      <c r="M29" s="650">
        <v>113225731</v>
      </c>
      <c r="N29" s="650">
        <v>55608542</v>
      </c>
      <c r="O29" s="650">
        <f>O9+O10+O11+O12+O13+O17+O18+O19+O22</f>
        <v>55608542</v>
      </c>
      <c r="P29" s="650">
        <v>9040000</v>
      </c>
      <c r="Q29" s="650">
        <v>6040000</v>
      </c>
      <c r="R29" s="650">
        <f>R9+R10+R11+R12+R13+R17+R18+R19+R22</f>
        <v>4391332</v>
      </c>
      <c r="S29" s="717">
        <v>0</v>
      </c>
      <c r="T29" s="650">
        <v>952360</v>
      </c>
      <c r="U29" s="650">
        <f>U9+U10+U11+U12+U13+U17+U18+U19+U22</f>
        <v>589648</v>
      </c>
      <c r="V29" s="650">
        <v>413235057</v>
      </c>
      <c r="W29" s="650">
        <v>343085129</v>
      </c>
      <c r="X29" s="661">
        <f t="shared" si="0"/>
        <v>326464537</v>
      </c>
    </row>
    <row r="30" spans="1:34" ht="21.75" customHeight="1" x14ac:dyDescent="0.25">
      <c r="A30" s="639" t="s">
        <v>68</v>
      </c>
      <c r="B30" s="645" t="s">
        <v>69</v>
      </c>
      <c r="C30" s="648" t="s">
        <v>70</v>
      </c>
      <c r="D30" s="717">
        <v>0</v>
      </c>
      <c r="E30" s="717">
        <v>0</v>
      </c>
      <c r="F30" s="717">
        <v>0</v>
      </c>
      <c r="G30" s="717">
        <v>0</v>
      </c>
      <c r="H30" s="643">
        <v>350000</v>
      </c>
      <c r="I30" s="643">
        <v>350000</v>
      </c>
      <c r="J30" s="717">
        <v>0</v>
      </c>
      <c r="K30" s="717">
        <v>0</v>
      </c>
      <c r="L30" s="717">
        <v>0</v>
      </c>
      <c r="M30" s="717">
        <v>0</v>
      </c>
      <c r="N30" s="717">
        <v>0</v>
      </c>
      <c r="O30" s="717">
        <v>0</v>
      </c>
      <c r="P30" s="717">
        <v>0</v>
      </c>
      <c r="Q30" s="717">
        <v>0</v>
      </c>
      <c r="R30" s="717">
        <v>0</v>
      </c>
      <c r="S30" s="717">
        <v>0</v>
      </c>
      <c r="T30" s="717">
        <v>0</v>
      </c>
      <c r="U30" s="643">
        <v>0</v>
      </c>
      <c r="V30" s="717">
        <v>0</v>
      </c>
      <c r="W30" s="643">
        <v>350000</v>
      </c>
      <c r="X30" s="661">
        <f t="shared" si="0"/>
        <v>350000</v>
      </c>
    </row>
    <row r="31" spans="1:34" ht="21.75" customHeight="1" x14ac:dyDescent="0.25">
      <c r="A31" s="639" t="s">
        <v>71</v>
      </c>
      <c r="B31" s="645" t="s">
        <v>72</v>
      </c>
      <c r="C31" s="648" t="s">
        <v>73</v>
      </c>
      <c r="D31" s="717">
        <v>0</v>
      </c>
      <c r="E31" s="717">
        <v>0</v>
      </c>
      <c r="F31" s="717">
        <v>0</v>
      </c>
      <c r="G31" s="717">
        <v>0</v>
      </c>
      <c r="H31" s="717">
        <v>0</v>
      </c>
      <c r="I31" s="717">
        <v>0</v>
      </c>
      <c r="J31" s="717">
        <v>0</v>
      </c>
      <c r="K31" s="717">
        <v>0</v>
      </c>
      <c r="L31" s="717">
        <v>0</v>
      </c>
      <c r="M31" s="717">
        <v>0</v>
      </c>
      <c r="N31" s="717">
        <v>0</v>
      </c>
      <c r="O31" s="717">
        <v>0</v>
      </c>
      <c r="P31" s="717">
        <v>0</v>
      </c>
      <c r="Q31" s="717">
        <v>0</v>
      </c>
      <c r="R31" s="717">
        <v>0</v>
      </c>
      <c r="S31" s="717">
        <v>0</v>
      </c>
      <c r="T31" s="717">
        <v>0</v>
      </c>
      <c r="U31" s="643">
        <v>0</v>
      </c>
      <c r="V31" s="717">
        <v>0</v>
      </c>
      <c r="W31" s="717">
        <v>0</v>
      </c>
      <c r="X31" s="661">
        <f t="shared" si="0"/>
        <v>0</v>
      </c>
    </row>
    <row r="32" spans="1:34" ht="21.75" customHeight="1" x14ac:dyDescent="0.25">
      <c r="A32" s="639" t="s">
        <v>74</v>
      </c>
      <c r="B32" s="645" t="s">
        <v>75</v>
      </c>
      <c r="C32" s="648" t="s">
        <v>76</v>
      </c>
      <c r="D32" s="717">
        <v>0</v>
      </c>
      <c r="E32" s="717">
        <v>0</v>
      </c>
      <c r="F32" s="717">
        <v>0</v>
      </c>
      <c r="G32" s="717">
        <v>0</v>
      </c>
      <c r="H32" s="717">
        <v>0</v>
      </c>
      <c r="I32" s="717">
        <v>0</v>
      </c>
      <c r="J32" s="717">
        <v>0</v>
      </c>
      <c r="K32" s="717">
        <v>0</v>
      </c>
      <c r="L32" s="717">
        <v>0</v>
      </c>
      <c r="M32" s="717">
        <v>0</v>
      </c>
      <c r="N32" s="717">
        <v>0</v>
      </c>
      <c r="O32" s="717">
        <v>0</v>
      </c>
      <c r="P32" s="717">
        <v>0</v>
      </c>
      <c r="Q32" s="717">
        <v>0</v>
      </c>
      <c r="R32" s="717">
        <v>0</v>
      </c>
      <c r="S32" s="717">
        <v>0</v>
      </c>
      <c r="T32" s="717">
        <v>0</v>
      </c>
      <c r="U32" s="643">
        <v>0</v>
      </c>
      <c r="V32" s="717">
        <v>0</v>
      </c>
      <c r="W32" s="717">
        <v>0</v>
      </c>
      <c r="X32" s="661">
        <f t="shared" si="0"/>
        <v>0</v>
      </c>
    </row>
    <row r="33" spans="1:34" ht="21.75" customHeight="1" x14ac:dyDescent="0.25">
      <c r="A33" s="639" t="s">
        <v>77</v>
      </c>
      <c r="B33" s="646" t="s">
        <v>78</v>
      </c>
      <c r="C33" s="648" t="s">
        <v>79</v>
      </c>
      <c r="D33" s="717">
        <v>0</v>
      </c>
      <c r="E33" s="717">
        <v>0</v>
      </c>
      <c r="F33" s="717">
        <v>0</v>
      </c>
      <c r="G33" s="717">
        <v>0</v>
      </c>
      <c r="H33" s="643">
        <v>73450</v>
      </c>
      <c r="I33" s="643">
        <v>73450</v>
      </c>
      <c r="J33" s="717">
        <v>0</v>
      </c>
      <c r="K33" s="717">
        <v>0</v>
      </c>
      <c r="L33" s="717">
        <v>0</v>
      </c>
      <c r="M33" s="717">
        <v>0</v>
      </c>
      <c r="N33" s="643">
        <v>30420</v>
      </c>
      <c r="O33" s="643">
        <v>30420</v>
      </c>
      <c r="P33" s="717">
        <v>0</v>
      </c>
      <c r="Q33" s="717">
        <v>0</v>
      </c>
      <c r="R33" s="717">
        <v>0</v>
      </c>
      <c r="S33" s="717">
        <v>0</v>
      </c>
      <c r="T33" s="643">
        <v>480004</v>
      </c>
      <c r="U33" s="643">
        <v>480004</v>
      </c>
      <c r="V33" s="717">
        <v>0</v>
      </c>
      <c r="W33" s="643">
        <v>583874</v>
      </c>
      <c r="X33" s="661">
        <f t="shared" si="0"/>
        <v>583874</v>
      </c>
    </row>
    <row r="34" spans="1:34" ht="21.75" customHeight="1" x14ac:dyDescent="0.25">
      <c r="A34" s="639" t="s">
        <v>80</v>
      </c>
      <c r="B34" s="645" t="s">
        <v>81</v>
      </c>
      <c r="C34" s="648" t="s">
        <v>82</v>
      </c>
      <c r="D34" s="717">
        <v>0</v>
      </c>
      <c r="E34" s="717">
        <v>0</v>
      </c>
      <c r="F34" s="717">
        <v>0</v>
      </c>
      <c r="G34" s="717">
        <v>0</v>
      </c>
      <c r="H34" s="717">
        <v>0</v>
      </c>
      <c r="I34" s="717">
        <v>0</v>
      </c>
      <c r="J34" s="717">
        <v>0</v>
      </c>
      <c r="K34" s="717">
        <v>0</v>
      </c>
      <c r="L34" s="717">
        <v>0</v>
      </c>
      <c r="M34" s="717">
        <v>0</v>
      </c>
      <c r="N34" s="717">
        <v>0</v>
      </c>
      <c r="O34" s="717">
        <v>0</v>
      </c>
      <c r="P34" s="717">
        <v>0</v>
      </c>
      <c r="Q34" s="717">
        <v>0</v>
      </c>
      <c r="R34" s="717">
        <v>0</v>
      </c>
      <c r="S34" s="717">
        <v>0</v>
      </c>
      <c r="T34" s="717">
        <v>0</v>
      </c>
      <c r="U34" s="643">
        <v>0</v>
      </c>
      <c r="V34" s="717">
        <v>0</v>
      </c>
      <c r="W34" s="717">
        <v>0</v>
      </c>
      <c r="X34" s="661">
        <f t="shared" si="0"/>
        <v>0</v>
      </c>
    </row>
    <row r="35" spans="1:34" ht="21.75" customHeight="1" x14ac:dyDescent="0.25">
      <c r="A35" s="639" t="s">
        <v>83</v>
      </c>
      <c r="B35" s="645" t="s">
        <v>84</v>
      </c>
      <c r="C35" s="648" t="s">
        <v>85</v>
      </c>
      <c r="D35" s="717">
        <v>0</v>
      </c>
      <c r="E35" s="717">
        <v>0</v>
      </c>
      <c r="F35" s="717">
        <v>0</v>
      </c>
      <c r="G35" s="717">
        <v>0</v>
      </c>
      <c r="H35" s="717">
        <v>0</v>
      </c>
      <c r="I35" s="717">
        <v>0</v>
      </c>
      <c r="J35" s="717">
        <v>0</v>
      </c>
      <c r="K35" s="717">
        <v>0</v>
      </c>
      <c r="L35" s="717">
        <v>0</v>
      </c>
      <c r="M35" s="717">
        <v>0</v>
      </c>
      <c r="N35" s="717">
        <v>0</v>
      </c>
      <c r="O35" s="717">
        <v>0</v>
      </c>
      <c r="P35" s="717">
        <v>0</v>
      </c>
      <c r="Q35" s="717">
        <v>0</v>
      </c>
      <c r="R35" s="717">
        <v>0</v>
      </c>
      <c r="S35" s="717">
        <v>0</v>
      </c>
      <c r="T35" s="717">
        <v>0</v>
      </c>
      <c r="U35" s="643">
        <v>0</v>
      </c>
      <c r="V35" s="717">
        <v>0</v>
      </c>
      <c r="W35" s="717">
        <v>0</v>
      </c>
      <c r="X35" s="661">
        <f t="shared" si="0"/>
        <v>0</v>
      </c>
    </row>
    <row r="36" spans="1:34" ht="21.75" customHeight="1" x14ac:dyDescent="0.25">
      <c r="A36" s="639" t="s">
        <v>86</v>
      </c>
      <c r="B36" s="645" t="s">
        <v>87</v>
      </c>
      <c r="C36" s="648" t="s">
        <v>88</v>
      </c>
      <c r="D36" s="717">
        <v>0</v>
      </c>
      <c r="E36" s="717">
        <v>0</v>
      </c>
      <c r="F36" s="717">
        <v>0</v>
      </c>
      <c r="G36" s="717">
        <v>0</v>
      </c>
      <c r="H36" s="717">
        <v>0</v>
      </c>
      <c r="I36" s="717">
        <v>0</v>
      </c>
      <c r="J36" s="717">
        <v>0</v>
      </c>
      <c r="K36" s="717">
        <v>0</v>
      </c>
      <c r="L36" s="717">
        <v>0</v>
      </c>
      <c r="M36" s="717">
        <v>0</v>
      </c>
      <c r="N36" s="717">
        <v>0</v>
      </c>
      <c r="O36" s="717">
        <v>0</v>
      </c>
      <c r="P36" s="717">
        <v>0</v>
      </c>
      <c r="Q36" s="717">
        <v>0</v>
      </c>
      <c r="R36" s="717">
        <v>0</v>
      </c>
      <c r="S36" s="717">
        <v>0</v>
      </c>
      <c r="T36" s="717">
        <v>0</v>
      </c>
      <c r="U36" s="643">
        <v>0</v>
      </c>
      <c r="V36" s="717">
        <v>0</v>
      </c>
      <c r="W36" s="717">
        <v>0</v>
      </c>
      <c r="X36" s="661">
        <f t="shared" si="0"/>
        <v>0</v>
      </c>
    </row>
    <row r="37" spans="1:34" ht="21.75" customHeight="1" x14ac:dyDescent="0.25">
      <c r="A37" s="639" t="s">
        <v>89</v>
      </c>
      <c r="B37" s="646" t="s">
        <v>90</v>
      </c>
      <c r="C37" s="648" t="s">
        <v>91</v>
      </c>
      <c r="D37" s="717">
        <v>0</v>
      </c>
      <c r="E37" s="717">
        <v>0</v>
      </c>
      <c r="F37" s="717">
        <f>SUM(F30:F36)</f>
        <v>0</v>
      </c>
      <c r="G37" s="717">
        <v>0</v>
      </c>
      <c r="H37" s="643">
        <v>423450</v>
      </c>
      <c r="I37" s="717">
        <f>SUM(I30:I36)</f>
        <v>423450</v>
      </c>
      <c r="J37" s="717">
        <v>0</v>
      </c>
      <c r="K37" s="717">
        <v>0</v>
      </c>
      <c r="L37" s="717"/>
      <c r="M37" s="717">
        <v>0</v>
      </c>
      <c r="N37" s="717">
        <v>30420</v>
      </c>
      <c r="O37" s="717">
        <f>O30+O33</f>
        <v>30420</v>
      </c>
      <c r="P37" s="717">
        <v>0</v>
      </c>
      <c r="Q37" s="717">
        <v>0</v>
      </c>
      <c r="R37" s="717"/>
      <c r="S37" s="717">
        <v>0</v>
      </c>
      <c r="T37" s="643">
        <v>480004</v>
      </c>
      <c r="U37" s="717">
        <f>+U33</f>
        <v>480004</v>
      </c>
      <c r="V37" s="717">
        <v>0</v>
      </c>
      <c r="W37" s="643">
        <v>933874</v>
      </c>
      <c r="X37" s="661">
        <f t="shared" si="0"/>
        <v>933874</v>
      </c>
      <c r="Y37" s="659">
        <f>SUM(V30:V36)</f>
        <v>0</v>
      </c>
      <c r="Z37" s="659"/>
      <c r="AA37" s="659"/>
      <c r="AB37" s="659"/>
      <c r="AC37" s="659"/>
      <c r="AD37" s="659"/>
      <c r="AE37" s="659"/>
      <c r="AF37" s="659"/>
      <c r="AG37" s="659"/>
      <c r="AH37" s="659"/>
    </row>
    <row r="38" spans="1:34" ht="21.75" customHeight="1" x14ac:dyDescent="0.25">
      <c r="A38" s="639" t="s">
        <v>92</v>
      </c>
      <c r="B38" s="648" t="s">
        <v>93</v>
      </c>
      <c r="C38" s="641" t="s">
        <v>94</v>
      </c>
      <c r="D38" s="643">
        <v>413235057</v>
      </c>
      <c r="E38" s="643">
        <v>342151255</v>
      </c>
      <c r="F38" s="643">
        <f>SUM(F45,F44)</f>
        <v>332646710</v>
      </c>
      <c r="G38" s="717">
        <v>0</v>
      </c>
      <c r="H38" s="717">
        <v>0</v>
      </c>
      <c r="I38" s="643">
        <f>SUM(I39:I44)</f>
        <v>0</v>
      </c>
      <c r="J38" s="717">
        <v>0</v>
      </c>
      <c r="K38" s="717">
        <v>0</v>
      </c>
      <c r="L38" s="643">
        <f>SUM(L39:L44)</f>
        <v>0</v>
      </c>
      <c r="M38" s="717">
        <v>0</v>
      </c>
      <c r="N38" s="717">
        <v>0</v>
      </c>
      <c r="O38" s="643">
        <f>SUM(O39:O44)</f>
        <v>0</v>
      </c>
      <c r="P38" s="717">
        <v>0</v>
      </c>
      <c r="Q38" s="717">
        <v>0</v>
      </c>
      <c r="R38" s="643">
        <f>SUM(R39:R44)</f>
        <v>0</v>
      </c>
      <c r="S38" s="717">
        <v>0</v>
      </c>
      <c r="T38" s="717">
        <v>0</v>
      </c>
      <c r="U38" s="643">
        <f>SUM(U39:U44)</f>
        <v>0</v>
      </c>
      <c r="V38" s="643">
        <v>413235057</v>
      </c>
      <c r="W38" s="643">
        <v>342151255</v>
      </c>
      <c r="X38" s="661">
        <f t="shared" si="0"/>
        <v>332646710</v>
      </c>
    </row>
    <row r="39" spans="1:34" ht="21.75" customHeight="1" x14ac:dyDescent="0.25">
      <c r="A39" s="639" t="s">
        <v>95</v>
      </c>
      <c r="B39" s="24" t="s">
        <v>1290</v>
      </c>
      <c r="C39" s="641"/>
      <c r="D39" s="717">
        <v>0</v>
      </c>
      <c r="E39" s="717">
        <v>0</v>
      </c>
      <c r="F39" s="717">
        <v>0</v>
      </c>
      <c r="G39" s="717">
        <v>0</v>
      </c>
      <c r="H39" s="717">
        <v>0</v>
      </c>
      <c r="I39" s="717">
        <v>0</v>
      </c>
      <c r="J39" s="717">
        <v>0</v>
      </c>
      <c r="K39" s="717">
        <v>0</v>
      </c>
      <c r="L39" s="717">
        <v>0</v>
      </c>
      <c r="M39" s="717">
        <v>0</v>
      </c>
      <c r="N39" s="717">
        <v>0</v>
      </c>
      <c r="O39" s="717">
        <v>0</v>
      </c>
      <c r="P39" s="717">
        <v>0</v>
      </c>
      <c r="Q39" s="717">
        <v>0</v>
      </c>
      <c r="R39" s="717">
        <v>0</v>
      </c>
      <c r="S39" s="717">
        <v>0</v>
      </c>
      <c r="T39" s="717">
        <v>0</v>
      </c>
      <c r="U39" s="643">
        <v>0</v>
      </c>
      <c r="V39" s="717">
        <v>0</v>
      </c>
      <c r="W39" s="717">
        <v>0</v>
      </c>
      <c r="X39" s="661">
        <f t="shared" si="0"/>
        <v>0</v>
      </c>
    </row>
    <row r="40" spans="1:34" ht="21.75" customHeight="1" x14ac:dyDescent="0.25">
      <c r="A40" s="639" t="s">
        <v>97</v>
      </c>
      <c r="B40" s="652" t="s">
        <v>96</v>
      </c>
      <c r="C40" s="647"/>
      <c r="D40" s="643">
        <v>438972</v>
      </c>
      <c r="E40" s="643">
        <v>11204424</v>
      </c>
      <c r="F40" s="643">
        <v>11204424</v>
      </c>
      <c r="G40" s="717">
        <v>0</v>
      </c>
      <c r="H40" s="717">
        <v>0</v>
      </c>
      <c r="I40" s="717">
        <v>0</v>
      </c>
      <c r="J40" s="717">
        <v>0</v>
      </c>
      <c r="K40" s="717">
        <v>0</v>
      </c>
      <c r="L40" s="717">
        <v>0</v>
      </c>
      <c r="M40" s="717">
        <v>0</v>
      </c>
      <c r="N40" s="717">
        <v>0</v>
      </c>
      <c r="O40" s="717">
        <v>0</v>
      </c>
      <c r="P40" s="717">
        <v>0</v>
      </c>
      <c r="Q40" s="717">
        <v>0</v>
      </c>
      <c r="R40" s="717">
        <v>0</v>
      </c>
      <c r="S40" s="717">
        <v>0</v>
      </c>
      <c r="T40" s="717">
        <v>0</v>
      </c>
      <c r="U40" s="643">
        <v>0</v>
      </c>
      <c r="V40" s="643">
        <v>438972</v>
      </c>
      <c r="W40" s="643">
        <v>11204424</v>
      </c>
      <c r="X40" s="661">
        <f t="shared" si="0"/>
        <v>11204424</v>
      </c>
    </row>
    <row r="41" spans="1:34" ht="21.75" customHeight="1" x14ac:dyDescent="0.25">
      <c r="A41" s="639" t="s">
        <v>99</v>
      </c>
      <c r="B41" s="652" t="s">
        <v>98</v>
      </c>
      <c r="C41" s="647"/>
      <c r="D41" s="717">
        <v>0</v>
      </c>
      <c r="E41" s="717">
        <v>0</v>
      </c>
      <c r="F41" s="717">
        <v>0</v>
      </c>
      <c r="G41" s="717">
        <v>0</v>
      </c>
      <c r="H41" s="717">
        <v>0</v>
      </c>
      <c r="I41" s="717">
        <v>0</v>
      </c>
      <c r="J41" s="717">
        <v>0</v>
      </c>
      <c r="K41" s="717">
        <v>0</v>
      </c>
      <c r="L41" s="717">
        <v>0</v>
      </c>
      <c r="M41" s="717">
        <v>0</v>
      </c>
      <c r="N41" s="717">
        <v>0</v>
      </c>
      <c r="O41" s="717">
        <v>0</v>
      </c>
      <c r="P41" s="717">
        <v>0</v>
      </c>
      <c r="Q41" s="717">
        <v>0</v>
      </c>
      <c r="R41" s="717">
        <v>0</v>
      </c>
      <c r="S41" s="717">
        <v>0</v>
      </c>
      <c r="T41" s="717">
        <v>0</v>
      </c>
      <c r="U41" s="643">
        <v>0</v>
      </c>
      <c r="V41" s="717">
        <v>0</v>
      </c>
      <c r="W41" s="717">
        <v>0</v>
      </c>
      <c r="X41" s="661">
        <f t="shared" si="0"/>
        <v>0</v>
      </c>
    </row>
    <row r="42" spans="1:34" ht="21.75" customHeight="1" x14ac:dyDescent="0.25">
      <c r="A42" s="639" t="s">
        <v>101</v>
      </c>
      <c r="B42" s="652" t="s">
        <v>100</v>
      </c>
      <c r="C42" s="647"/>
      <c r="D42" s="643">
        <v>412796085</v>
      </c>
      <c r="E42" s="643">
        <v>328299857</v>
      </c>
      <c r="F42" s="643">
        <v>321442286</v>
      </c>
      <c r="G42" s="717">
        <v>0</v>
      </c>
      <c r="H42" s="717">
        <v>0</v>
      </c>
      <c r="I42" s="717">
        <v>0</v>
      </c>
      <c r="J42" s="717">
        <v>0</v>
      </c>
      <c r="K42" s="717">
        <v>0</v>
      </c>
      <c r="L42" s="717">
        <v>0</v>
      </c>
      <c r="M42" s="717">
        <v>0</v>
      </c>
      <c r="N42" s="717">
        <v>0</v>
      </c>
      <c r="O42" s="717">
        <v>0</v>
      </c>
      <c r="P42" s="717">
        <v>0</v>
      </c>
      <c r="Q42" s="717">
        <v>0</v>
      </c>
      <c r="R42" s="717">
        <v>0</v>
      </c>
      <c r="S42" s="717">
        <v>0</v>
      </c>
      <c r="T42" s="717">
        <v>0</v>
      </c>
      <c r="U42" s="643">
        <v>0</v>
      </c>
      <c r="V42" s="643">
        <v>412796085</v>
      </c>
      <c r="W42" s="643">
        <v>328299857</v>
      </c>
      <c r="X42" s="661">
        <f t="shared" si="0"/>
        <v>321442286</v>
      </c>
    </row>
    <row r="43" spans="1:34" ht="21.75" customHeight="1" x14ac:dyDescent="0.25">
      <c r="A43" s="639" t="s">
        <v>103</v>
      </c>
      <c r="B43" s="652" t="s">
        <v>102</v>
      </c>
      <c r="C43" s="647"/>
      <c r="D43" s="717">
        <v>0</v>
      </c>
      <c r="E43" s="643">
        <v>2646974</v>
      </c>
      <c r="F43" s="643"/>
      <c r="G43" s="717">
        <v>0</v>
      </c>
      <c r="H43" s="717">
        <v>0</v>
      </c>
      <c r="I43" s="717">
        <v>0</v>
      </c>
      <c r="J43" s="717">
        <v>0</v>
      </c>
      <c r="K43" s="717">
        <v>0</v>
      </c>
      <c r="L43" s="717">
        <v>0</v>
      </c>
      <c r="M43" s="717">
        <v>0</v>
      </c>
      <c r="N43" s="717">
        <v>0</v>
      </c>
      <c r="O43" s="717">
        <v>0</v>
      </c>
      <c r="P43" s="717">
        <v>0</v>
      </c>
      <c r="Q43" s="717">
        <v>0</v>
      </c>
      <c r="R43" s="717">
        <v>0</v>
      </c>
      <c r="S43" s="717">
        <v>0</v>
      </c>
      <c r="T43" s="717">
        <v>0</v>
      </c>
      <c r="U43" s="643">
        <v>0</v>
      </c>
      <c r="V43" s="717">
        <v>0</v>
      </c>
      <c r="W43" s="643">
        <v>2646974</v>
      </c>
      <c r="X43" s="661">
        <f t="shared" si="0"/>
        <v>0</v>
      </c>
    </row>
    <row r="44" spans="1:34" ht="21.75" customHeight="1" x14ac:dyDescent="0.25">
      <c r="A44" s="639" t="s">
        <v>105</v>
      </c>
      <c r="B44" s="24" t="s">
        <v>104</v>
      </c>
      <c r="C44" s="647"/>
      <c r="D44" s="717">
        <v>0</v>
      </c>
      <c r="E44" s="717">
        <v>0</v>
      </c>
      <c r="F44" s="717">
        <v>0</v>
      </c>
      <c r="G44" s="717">
        <v>0</v>
      </c>
      <c r="H44" s="717">
        <v>0</v>
      </c>
      <c r="I44" s="717">
        <v>0</v>
      </c>
      <c r="J44" s="717">
        <v>0</v>
      </c>
      <c r="K44" s="717">
        <v>0</v>
      </c>
      <c r="L44" s="717">
        <v>0</v>
      </c>
      <c r="M44" s="717">
        <v>0</v>
      </c>
      <c r="N44" s="717">
        <v>0</v>
      </c>
      <c r="O44" s="717">
        <v>0</v>
      </c>
      <c r="P44" s="717">
        <v>0</v>
      </c>
      <c r="Q44" s="717">
        <v>0</v>
      </c>
      <c r="R44" s="717">
        <v>0</v>
      </c>
      <c r="S44" s="717">
        <v>0</v>
      </c>
      <c r="T44" s="717">
        <v>0</v>
      </c>
      <c r="U44" s="643">
        <v>0</v>
      </c>
      <c r="V44" s="717">
        <v>0</v>
      </c>
      <c r="W44" s="717">
        <v>0</v>
      </c>
      <c r="X44" s="661">
        <f t="shared" si="0"/>
        <v>0</v>
      </c>
    </row>
    <row r="45" spans="1:34" ht="21.75" customHeight="1" x14ac:dyDescent="0.25">
      <c r="A45" s="639" t="s">
        <v>107</v>
      </c>
      <c r="B45" s="653" t="s">
        <v>106</v>
      </c>
      <c r="C45" s="641"/>
      <c r="D45" s="650">
        <v>413235057</v>
      </c>
      <c r="E45" s="650">
        <f>+E40+E42</f>
        <v>339504281</v>
      </c>
      <c r="F45" s="650">
        <f>+F40+F42</f>
        <v>332646710</v>
      </c>
      <c r="G45" s="717">
        <v>0</v>
      </c>
      <c r="H45" s="650">
        <v>423450</v>
      </c>
      <c r="I45" s="650">
        <f>+I37</f>
        <v>423450</v>
      </c>
      <c r="J45" s="717">
        <v>0</v>
      </c>
      <c r="K45" s="717">
        <v>0</v>
      </c>
      <c r="L45" s="650">
        <f>L30+L32+L33+L35+L40+L42</f>
        <v>0</v>
      </c>
      <c r="M45" s="717">
        <v>0</v>
      </c>
      <c r="N45" s="650">
        <v>30420</v>
      </c>
      <c r="O45" s="650">
        <f>+O37</f>
        <v>30420</v>
      </c>
      <c r="P45" s="717">
        <v>0</v>
      </c>
      <c r="Q45" s="717">
        <v>0</v>
      </c>
      <c r="R45" s="650">
        <f>R30+R32+R33+R35+R40+R42</f>
        <v>0</v>
      </c>
      <c r="S45" s="717">
        <v>0</v>
      </c>
      <c r="T45" s="650">
        <f>T30+T32+T33+T35+T40+T42</f>
        <v>480004</v>
      </c>
      <c r="U45" s="650">
        <f>U30+U32+U33+U35+U40+U42</f>
        <v>480004</v>
      </c>
      <c r="V45" s="650">
        <v>413235057</v>
      </c>
      <c r="W45" s="650">
        <f>E45+H45+K45+N45+Q45+T45</f>
        <v>340438155</v>
      </c>
      <c r="X45" s="650">
        <f>F45+I45+L45+O45+R45+U45</f>
        <v>333580584</v>
      </c>
      <c r="Y45" s="659">
        <f>V42</f>
        <v>412796085</v>
      </c>
      <c r="Z45" s="659"/>
      <c r="AA45" s="659"/>
      <c r="AB45" s="659"/>
      <c r="AC45" s="659"/>
      <c r="AD45" s="659"/>
      <c r="AE45" s="659"/>
      <c r="AF45" s="659"/>
      <c r="AG45" s="659"/>
      <c r="AH45" s="659"/>
    </row>
    <row r="46" spans="1:34" ht="21.75" customHeight="1" x14ac:dyDescent="0.25">
      <c r="A46" s="639" t="s">
        <v>109</v>
      </c>
      <c r="B46" s="653" t="s">
        <v>108</v>
      </c>
      <c r="C46" s="641"/>
      <c r="D46" s="717">
        <v>0</v>
      </c>
      <c r="E46" s="650">
        <f>+E41+E43</f>
        <v>2646974</v>
      </c>
      <c r="F46" s="650">
        <f>+F41+F43</f>
        <v>0</v>
      </c>
      <c r="G46" s="717">
        <v>0</v>
      </c>
      <c r="H46" s="717">
        <v>0</v>
      </c>
      <c r="I46" s="650"/>
      <c r="J46" s="717">
        <v>0</v>
      </c>
      <c r="K46" s="717">
        <v>0</v>
      </c>
      <c r="L46" s="650">
        <f>L31+L34+L36+L41+L43</f>
        <v>0</v>
      </c>
      <c r="M46" s="717">
        <v>0</v>
      </c>
      <c r="N46" s="718">
        <v>0</v>
      </c>
      <c r="O46" s="650"/>
      <c r="P46" s="717">
        <v>0</v>
      </c>
      <c r="Q46" s="717">
        <v>0</v>
      </c>
      <c r="R46" s="650">
        <f>R31+R34+R36+R41+R43</f>
        <v>0</v>
      </c>
      <c r="S46" s="717">
        <v>0</v>
      </c>
      <c r="T46" s="717">
        <v>0</v>
      </c>
      <c r="U46" s="650">
        <f>U31+U34+U36+U41+U43</f>
        <v>0</v>
      </c>
      <c r="V46" s="717">
        <v>0</v>
      </c>
      <c r="W46" s="650">
        <f t="shared" si="0"/>
        <v>2646974</v>
      </c>
      <c r="X46" s="650">
        <f t="shared" si="0"/>
        <v>0</v>
      </c>
    </row>
    <row r="47" spans="1:34" ht="21.75" customHeight="1" x14ac:dyDescent="0.25">
      <c r="A47" s="639" t="s">
        <v>111</v>
      </c>
      <c r="B47" s="653" t="s">
        <v>110</v>
      </c>
      <c r="C47" s="641"/>
      <c r="D47" s="650">
        <v>413235057</v>
      </c>
      <c r="E47" s="650">
        <v>342151255</v>
      </c>
      <c r="F47" s="875">
        <f>+F45+F46</f>
        <v>332646710</v>
      </c>
      <c r="G47" s="717">
        <v>0</v>
      </c>
      <c r="H47" s="650">
        <v>423450</v>
      </c>
      <c r="I47" s="650">
        <f>+I45</f>
        <v>423450</v>
      </c>
      <c r="J47" s="717">
        <v>0</v>
      </c>
      <c r="K47" s="717">
        <v>0</v>
      </c>
      <c r="L47" s="650">
        <f>L30+L31+L32+L33+L34+L35+L36+L38</f>
        <v>0</v>
      </c>
      <c r="M47" s="717">
        <v>0</v>
      </c>
      <c r="N47" s="650">
        <v>30420</v>
      </c>
      <c r="O47" s="650">
        <f>+O45</f>
        <v>30420</v>
      </c>
      <c r="P47" s="717">
        <v>0</v>
      </c>
      <c r="Q47" s="717">
        <v>0</v>
      </c>
      <c r="R47" s="650">
        <f>R30+R31+R32+R33+R34+R35+R36+R38</f>
        <v>0</v>
      </c>
      <c r="S47" s="717">
        <v>0</v>
      </c>
      <c r="T47" s="650">
        <f>T30+T31+T32+T33+T34+T35+T36+T38</f>
        <v>480004</v>
      </c>
      <c r="U47" s="650">
        <f>U30+U31+U32+U33+U34+U35+U36+U38</f>
        <v>480004</v>
      </c>
      <c r="V47" s="650">
        <v>413235057</v>
      </c>
      <c r="W47" s="650">
        <f t="shared" si="0"/>
        <v>343085129</v>
      </c>
      <c r="X47" s="650">
        <f t="shared" si="0"/>
        <v>333580584</v>
      </c>
      <c r="Y47" s="659">
        <f>V47-V29</f>
        <v>0</v>
      </c>
      <c r="Z47" s="659"/>
      <c r="AA47" s="659"/>
      <c r="AB47" s="659"/>
      <c r="AC47" s="659"/>
      <c r="AD47" s="659"/>
      <c r="AE47" s="659"/>
      <c r="AF47" s="659"/>
      <c r="AG47" s="659"/>
      <c r="AH47" s="659"/>
    </row>
    <row r="48" spans="1:34" ht="21.75" customHeight="1" x14ac:dyDescent="0.25">
      <c r="A48" s="639" t="s">
        <v>113</v>
      </c>
      <c r="B48" s="25" t="s">
        <v>112</v>
      </c>
      <c r="C48" s="656"/>
      <c r="D48" s="717">
        <v>0</v>
      </c>
      <c r="E48" s="717">
        <v>0</v>
      </c>
      <c r="F48" s="717">
        <v>0</v>
      </c>
      <c r="G48" s="643">
        <v>43</v>
      </c>
      <c r="H48" s="643">
        <v>44</v>
      </c>
      <c r="I48" s="643">
        <v>44</v>
      </c>
      <c r="J48" s="643">
        <v>13</v>
      </c>
      <c r="K48" s="643">
        <v>0</v>
      </c>
      <c r="L48" s="717"/>
      <c r="M48" s="643">
        <v>22</v>
      </c>
      <c r="N48" s="643">
        <v>0</v>
      </c>
      <c r="O48" s="717"/>
      <c r="P48" s="717">
        <v>0</v>
      </c>
      <c r="Q48" s="717">
        <v>0</v>
      </c>
      <c r="R48" s="717">
        <v>0</v>
      </c>
      <c r="S48" s="717">
        <v>0</v>
      </c>
      <c r="T48" s="717">
        <v>0</v>
      </c>
      <c r="U48" s="717">
        <v>0</v>
      </c>
      <c r="V48" s="643">
        <v>78</v>
      </c>
      <c r="W48" s="661">
        <v>44</v>
      </c>
      <c r="X48" s="661">
        <f t="shared" si="0"/>
        <v>44</v>
      </c>
    </row>
    <row r="49" spans="1:28" ht="21.75" customHeight="1" x14ac:dyDescent="0.2">
      <c r="A49" s="639" t="s">
        <v>250</v>
      </c>
      <c r="B49" s="25" t="s">
        <v>114</v>
      </c>
      <c r="C49" s="656"/>
      <c r="D49" s="717">
        <v>0</v>
      </c>
      <c r="E49" s="717">
        <v>0</v>
      </c>
      <c r="F49" s="717">
        <v>0</v>
      </c>
      <c r="G49" s="717">
        <v>0</v>
      </c>
      <c r="H49" s="717">
        <v>0</v>
      </c>
      <c r="I49" s="717">
        <v>0</v>
      </c>
      <c r="J49" s="717">
        <v>0</v>
      </c>
      <c r="K49" s="717">
        <v>0</v>
      </c>
      <c r="L49" s="717">
        <v>0</v>
      </c>
      <c r="M49" s="717">
        <v>0</v>
      </c>
      <c r="N49" s="717">
        <v>0</v>
      </c>
      <c r="O49" s="717">
        <v>0</v>
      </c>
      <c r="P49" s="717">
        <v>0</v>
      </c>
      <c r="Q49" s="717">
        <v>0</v>
      </c>
      <c r="R49" s="717">
        <v>0</v>
      </c>
      <c r="S49" s="717">
        <v>0</v>
      </c>
      <c r="T49" s="717">
        <v>0</v>
      </c>
      <c r="U49" s="717">
        <v>0</v>
      </c>
      <c r="V49" s="717">
        <v>0</v>
      </c>
      <c r="W49" s="717">
        <v>0</v>
      </c>
      <c r="X49" s="717">
        <v>0</v>
      </c>
      <c r="AB49" s="659">
        <f>+X47-X38-X37</f>
        <v>0</v>
      </c>
    </row>
    <row r="50" spans="1:28" x14ac:dyDescent="0.2">
      <c r="F50" s="628">
        <f>+F45-F47</f>
        <v>0</v>
      </c>
    </row>
    <row r="52" spans="1:28" x14ac:dyDescent="0.2">
      <c r="X52" s="628">
        <f>+X38+X37</f>
        <v>333580584</v>
      </c>
    </row>
    <row r="54" spans="1:28" x14ac:dyDescent="0.2">
      <c r="X54" s="628">
        <v>202421950</v>
      </c>
    </row>
    <row r="55" spans="1:28" x14ac:dyDescent="0.2">
      <c r="X55" s="628">
        <v>278866</v>
      </c>
    </row>
    <row r="56" spans="1:28" x14ac:dyDescent="0.2">
      <c r="X56" s="628">
        <f>SUM(X54:X55)</f>
        <v>202700816</v>
      </c>
    </row>
    <row r="57" spans="1:28" x14ac:dyDescent="0.2">
      <c r="X57" s="628">
        <f>+X47-X56</f>
        <v>130879768</v>
      </c>
    </row>
  </sheetData>
  <mergeCells count="34">
    <mergeCell ref="A2:C3"/>
    <mergeCell ref="A4:A7"/>
    <mergeCell ref="B4:C4"/>
    <mergeCell ref="D4:F4"/>
    <mergeCell ref="G4:I4"/>
    <mergeCell ref="B5:C5"/>
    <mergeCell ref="D5:F5"/>
    <mergeCell ref="G5:I5"/>
    <mergeCell ref="B6:C6"/>
    <mergeCell ref="D6:F7"/>
    <mergeCell ref="G6:I7"/>
    <mergeCell ref="S2:X2"/>
    <mergeCell ref="M2:R2"/>
    <mergeCell ref="D2:L2"/>
    <mergeCell ref="S6:U7"/>
    <mergeCell ref="D8:F8"/>
    <mergeCell ref="G8:I8"/>
    <mergeCell ref="J8:L8"/>
    <mergeCell ref="M8:O8"/>
    <mergeCell ref="P8:R8"/>
    <mergeCell ref="S8:U8"/>
    <mergeCell ref="P6:R7"/>
    <mergeCell ref="P4:R4"/>
    <mergeCell ref="S4:U4"/>
    <mergeCell ref="S5:U5"/>
    <mergeCell ref="J4:L4"/>
    <mergeCell ref="M4:O4"/>
    <mergeCell ref="V4:X7"/>
    <mergeCell ref="P5:R5"/>
    <mergeCell ref="J6:L7"/>
    <mergeCell ref="M6:O7"/>
    <mergeCell ref="V8:X8"/>
    <mergeCell ref="J5:L5"/>
    <mergeCell ref="M5:O5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paperSize="9" scale="45" orientation="landscape" horizontalDpi="200" verticalDpi="200" r:id="rId1"/>
  <headerFooter alignWithMargins="0">
    <oddHeader>&amp;CDunaharaszti Önkormányzat 2017. évi zárszámadás&amp;R&amp;A</oddHeader>
    <oddFooter>&amp;C&amp;P/&amp;N</oddFooter>
  </headerFooter>
  <colBreaks count="2" manualBreakCount="2">
    <brk id="12" max="47" man="1"/>
    <brk id="18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52"/>
  <sheetViews>
    <sheetView view="pageBreakPreview" zoomScale="60" zoomScaleNormal="6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O42" sqref="O42"/>
    </sheetView>
  </sheetViews>
  <sheetFormatPr defaultRowHeight="12.75" x14ac:dyDescent="0.2"/>
  <cols>
    <col min="1" max="1" width="5.85546875" style="626" customWidth="1"/>
    <col min="2" max="2" width="64.85546875" style="626" customWidth="1"/>
    <col min="3" max="3" width="7" style="662" customWidth="1"/>
    <col min="4" max="6" width="16.140625" style="628" customWidth="1"/>
    <col min="7" max="8" width="15.85546875" style="628" customWidth="1"/>
    <col min="9" max="9" width="16.5703125" style="628" bestFit="1" customWidth="1"/>
    <col min="10" max="10" width="16.28515625" style="628" customWidth="1"/>
    <col min="11" max="12" width="16.5703125" style="628" customWidth="1"/>
    <col min="13" max="15" width="18.85546875" style="628" customWidth="1"/>
    <col min="16" max="16" width="17.7109375" style="628" bestFit="1" customWidth="1"/>
    <col min="17" max="17" width="17" style="628" customWidth="1"/>
    <col min="18" max="18" width="17" style="626" customWidth="1"/>
    <col min="19" max="19" width="14.85546875" style="626" customWidth="1"/>
    <col min="20" max="16384" width="9.140625" style="626"/>
  </cols>
  <sheetData>
    <row r="1" spans="1:21" x14ac:dyDescent="0.2">
      <c r="K1" s="657" t="s">
        <v>0</v>
      </c>
      <c r="L1" s="657"/>
      <c r="P1" s="657"/>
      <c r="Q1" s="657" t="s">
        <v>0</v>
      </c>
    </row>
    <row r="2" spans="1:21" ht="51" customHeight="1" x14ac:dyDescent="0.2">
      <c r="A2" s="961" t="s">
        <v>1249</v>
      </c>
      <c r="B2" s="962"/>
      <c r="C2" s="963"/>
      <c r="D2" s="958" t="s">
        <v>1276</v>
      </c>
      <c r="E2" s="959"/>
      <c r="F2" s="959"/>
      <c r="G2" s="959"/>
      <c r="H2" s="959"/>
      <c r="I2" s="959"/>
      <c r="J2" s="959"/>
      <c r="K2" s="959"/>
      <c r="L2" s="960"/>
      <c r="M2" s="958" t="s">
        <v>1276</v>
      </c>
      <c r="N2" s="959"/>
      <c r="O2" s="959"/>
      <c r="P2" s="959"/>
      <c r="Q2" s="959"/>
      <c r="R2" s="960"/>
    </row>
    <row r="3" spans="1:21" ht="51" customHeight="1" x14ac:dyDescent="0.2">
      <c r="A3" s="964"/>
      <c r="B3" s="965"/>
      <c r="C3" s="966"/>
      <c r="D3" s="560" t="s">
        <v>6</v>
      </c>
      <c r="E3" s="560" t="s">
        <v>7</v>
      </c>
      <c r="F3" s="560" t="s">
        <v>788</v>
      </c>
      <c r="G3" s="560" t="s">
        <v>6</v>
      </c>
      <c r="H3" s="560" t="s">
        <v>7</v>
      </c>
      <c r="I3" s="560" t="s">
        <v>788</v>
      </c>
      <c r="J3" s="560" t="s">
        <v>6</v>
      </c>
      <c r="K3" s="560" t="s">
        <v>7</v>
      </c>
      <c r="L3" s="560" t="s">
        <v>788</v>
      </c>
      <c r="M3" s="560" t="s">
        <v>6</v>
      </c>
      <c r="N3" s="560" t="s">
        <v>7</v>
      </c>
      <c r="O3" s="560" t="s">
        <v>788</v>
      </c>
      <c r="P3" s="560" t="s">
        <v>6</v>
      </c>
      <c r="Q3" s="560" t="s">
        <v>7</v>
      </c>
      <c r="R3" s="560" t="s">
        <v>788</v>
      </c>
    </row>
    <row r="4" spans="1:21" s="634" customFormat="1" ht="107.25" customHeight="1" x14ac:dyDescent="0.2">
      <c r="A4" s="979" t="s">
        <v>3</v>
      </c>
      <c r="B4" s="980" t="s">
        <v>4</v>
      </c>
      <c r="C4" s="980"/>
      <c r="D4" s="955" t="s">
        <v>1358</v>
      </c>
      <c r="E4" s="956"/>
      <c r="F4" s="957"/>
      <c r="G4" s="958" t="s">
        <v>1377</v>
      </c>
      <c r="H4" s="959"/>
      <c r="I4" s="960"/>
      <c r="J4" s="958" t="s">
        <v>1379</v>
      </c>
      <c r="K4" s="959"/>
      <c r="L4" s="960"/>
      <c r="M4" s="958" t="s">
        <v>1381</v>
      </c>
      <c r="N4" s="959"/>
      <c r="O4" s="960"/>
      <c r="P4" s="946" t="s">
        <v>1258</v>
      </c>
      <c r="Q4" s="947"/>
      <c r="R4" s="948"/>
    </row>
    <row r="5" spans="1:21" s="634" customFormat="1" ht="25.5" customHeight="1" x14ac:dyDescent="0.2">
      <c r="A5" s="979"/>
      <c r="B5" s="980" t="s">
        <v>5</v>
      </c>
      <c r="C5" s="980"/>
      <c r="D5" s="955" t="s">
        <v>11</v>
      </c>
      <c r="E5" s="956"/>
      <c r="F5" s="957"/>
      <c r="G5" s="955" t="s">
        <v>11</v>
      </c>
      <c r="H5" s="956"/>
      <c r="I5" s="957"/>
      <c r="J5" s="955" t="s">
        <v>11</v>
      </c>
      <c r="K5" s="956"/>
      <c r="L5" s="957"/>
      <c r="M5" s="955" t="s">
        <v>11</v>
      </c>
      <c r="N5" s="956"/>
      <c r="O5" s="957"/>
      <c r="P5" s="949"/>
      <c r="Q5" s="950"/>
      <c r="R5" s="951"/>
      <c r="U5" s="658"/>
    </row>
    <row r="6" spans="1:21" s="634" customFormat="1" ht="15.75" customHeight="1" x14ac:dyDescent="0.2">
      <c r="A6" s="979"/>
      <c r="B6" s="980" t="s">
        <v>8</v>
      </c>
      <c r="C6" s="980"/>
      <c r="D6" s="940" t="s">
        <v>1259</v>
      </c>
      <c r="E6" s="941"/>
      <c r="F6" s="942"/>
      <c r="G6" s="940" t="s">
        <v>1378</v>
      </c>
      <c r="H6" s="941"/>
      <c r="I6" s="942"/>
      <c r="J6" s="940" t="s">
        <v>1380</v>
      </c>
      <c r="K6" s="941"/>
      <c r="L6" s="942"/>
      <c r="M6" s="940" t="s">
        <v>1382</v>
      </c>
      <c r="N6" s="941"/>
      <c r="O6" s="942"/>
      <c r="P6" s="949"/>
      <c r="Q6" s="950"/>
      <c r="R6" s="951"/>
    </row>
    <row r="7" spans="1:21" ht="73.5" customHeight="1" x14ac:dyDescent="0.2">
      <c r="A7" s="979"/>
      <c r="B7" s="635" t="s">
        <v>9</v>
      </c>
      <c r="C7" s="636" t="s">
        <v>10</v>
      </c>
      <c r="D7" s="943"/>
      <c r="E7" s="944"/>
      <c r="F7" s="945"/>
      <c r="G7" s="943"/>
      <c r="H7" s="944"/>
      <c r="I7" s="945"/>
      <c r="J7" s="943"/>
      <c r="K7" s="944"/>
      <c r="L7" s="945"/>
      <c r="M7" s="943"/>
      <c r="N7" s="944"/>
      <c r="O7" s="945"/>
      <c r="P7" s="952"/>
      <c r="Q7" s="953"/>
      <c r="R7" s="954"/>
    </row>
    <row r="8" spans="1:21" ht="15.75" x14ac:dyDescent="0.2">
      <c r="A8" s="637" t="s">
        <v>15</v>
      </c>
      <c r="B8" s="638" t="s">
        <v>16</v>
      </c>
      <c r="C8" s="638" t="s">
        <v>17</v>
      </c>
      <c r="D8" s="976" t="s">
        <v>18</v>
      </c>
      <c r="E8" s="977"/>
      <c r="F8" s="978"/>
      <c r="G8" s="976" t="s">
        <v>19</v>
      </c>
      <c r="H8" s="977"/>
      <c r="I8" s="978"/>
      <c r="J8" s="976" t="s">
        <v>20</v>
      </c>
      <c r="K8" s="977"/>
      <c r="L8" s="978"/>
      <c r="M8" s="976" t="s">
        <v>21</v>
      </c>
      <c r="N8" s="977"/>
      <c r="O8" s="978"/>
      <c r="P8" s="976" t="s">
        <v>22</v>
      </c>
      <c r="Q8" s="977"/>
      <c r="R8" s="978"/>
    </row>
    <row r="9" spans="1:21" ht="20.25" customHeight="1" x14ac:dyDescent="0.25">
      <c r="A9" s="639" t="s">
        <v>15</v>
      </c>
      <c r="B9" s="640" t="s">
        <v>23</v>
      </c>
      <c r="C9" s="664" t="s">
        <v>24</v>
      </c>
      <c r="D9" s="717">
        <v>0</v>
      </c>
      <c r="E9" s="717">
        <v>0</v>
      </c>
      <c r="F9" s="717">
        <v>0</v>
      </c>
      <c r="G9" s="643">
        <v>117083898</v>
      </c>
      <c r="H9" s="643">
        <v>133741468</v>
      </c>
      <c r="I9" s="717">
        <v>133014355</v>
      </c>
      <c r="J9" s="643">
        <v>64978290</v>
      </c>
      <c r="K9" s="643">
        <v>72766027</v>
      </c>
      <c r="L9" s="717">
        <v>70791247</v>
      </c>
      <c r="M9" s="643">
        <v>41071400</v>
      </c>
      <c r="N9" s="643">
        <v>27936400</v>
      </c>
      <c r="O9" s="717">
        <v>26193869</v>
      </c>
      <c r="P9" s="643">
        <v>223133588</v>
      </c>
      <c r="Q9" s="643">
        <v>234443895</v>
      </c>
      <c r="R9" s="717">
        <f>F9+I9+L9+O9</f>
        <v>229999471</v>
      </c>
    </row>
    <row r="10" spans="1:21" ht="20.25" customHeight="1" x14ac:dyDescent="0.25">
      <c r="A10" s="639" t="s">
        <v>16</v>
      </c>
      <c r="B10" s="645" t="s">
        <v>25</v>
      </c>
      <c r="C10" s="664" t="s">
        <v>26</v>
      </c>
      <c r="D10" s="717">
        <v>0</v>
      </c>
      <c r="E10" s="717">
        <v>0</v>
      </c>
      <c r="F10" s="717">
        <v>0</v>
      </c>
      <c r="G10" s="643">
        <v>30956598</v>
      </c>
      <c r="H10" s="643">
        <v>34645302</v>
      </c>
      <c r="I10" s="717">
        <v>34033576</v>
      </c>
      <c r="J10" s="643">
        <v>14919844</v>
      </c>
      <c r="K10" s="643">
        <v>16320100</v>
      </c>
      <c r="L10" s="717">
        <v>16237518</v>
      </c>
      <c r="M10" s="643">
        <v>9369217</v>
      </c>
      <c r="N10" s="643">
        <v>8709217</v>
      </c>
      <c r="O10" s="717">
        <v>5903452</v>
      </c>
      <c r="P10" s="643">
        <v>55245659</v>
      </c>
      <c r="Q10" s="643">
        <v>59674619</v>
      </c>
      <c r="R10" s="717">
        <f t="shared" ref="Q10:R49" si="0">F10+I10+L10+O10</f>
        <v>56174546</v>
      </c>
    </row>
    <row r="11" spans="1:21" ht="20.25" customHeight="1" x14ac:dyDescent="0.25">
      <c r="A11" s="639" t="s">
        <v>17</v>
      </c>
      <c r="B11" s="645" t="s">
        <v>27</v>
      </c>
      <c r="C11" s="664" t="s">
        <v>28</v>
      </c>
      <c r="D11" s="717">
        <v>0</v>
      </c>
      <c r="E11" s="717">
        <v>0</v>
      </c>
      <c r="F11" s="717">
        <v>0</v>
      </c>
      <c r="G11" s="643">
        <v>47224249</v>
      </c>
      <c r="H11" s="643">
        <v>44140524</v>
      </c>
      <c r="I11" s="717">
        <v>34040183</v>
      </c>
      <c r="J11" s="643">
        <v>13256957</v>
      </c>
      <c r="K11" s="643">
        <v>12232138</v>
      </c>
      <c r="L11" s="717">
        <v>10417964</v>
      </c>
      <c r="M11" s="643">
        <v>66000</v>
      </c>
      <c r="N11" s="643">
        <v>66000</v>
      </c>
      <c r="O11" s="717">
        <v>24000</v>
      </c>
      <c r="P11" s="643">
        <v>60547206</v>
      </c>
      <c r="Q11" s="643">
        <v>56438662</v>
      </c>
      <c r="R11" s="717">
        <f t="shared" si="0"/>
        <v>44482147</v>
      </c>
    </row>
    <row r="12" spans="1:21" ht="20.25" customHeight="1" x14ac:dyDescent="0.2">
      <c r="A12" s="639" t="s">
        <v>18</v>
      </c>
      <c r="B12" s="646" t="s">
        <v>29</v>
      </c>
      <c r="C12" s="664" t="s">
        <v>30</v>
      </c>
      <c r="D12" s="717">
        <v>0</v>
      </c>
      <c r="E12" s="717">
        <v>0</v>
      </c>
      <c r="F12" s="717">
        <v>0</v>
      </c>
      <c r="G12" s="717">
        <v>0</v>
      </c>
      <c r="H12" s="717">
        <v>0</v>
      </c>
      <c r="I12" s="717"/>
      <c r="J12" s="717">
        <v>0</v>
      </c>
      <c r="K12" s="717">
        <v>0</v>
      </c>
      <c r="L12" s="717">
        <v>0</v>
      </c>
      <c r="M12" s="717">
        <v>0</v>
      </c>
      <c r="N12" s="717">
        <v>0</v>
      </c>
      <c r="O12" s="717">
        <v>0</v>
      </c>
      <c r="P12" s="717">
        <v>0</v>
      </c>
      <c r="Q12" s="717">
        <v>0</v>
      </c>
      <c r="R12" s="717">
        <f t="shared" si="0"/>
        <v>0</v>
      </c>
    </row>
    <row r="13" spans="1:21" ht="20.25" customHeight="1" x14ac:dyDescent="0.25">
      <c r="A13" s="639" t="s">
        <v>19</v>
      </c>
      <c r="B13" s="646" t="s">
        <v>31</v>
      </c>
      <c r="C13" s="664" t="s">
        <v>32</v>
      </c>
      <c r="D13" s="717">
        <v>0</v>
      </c>
      <c r="E13" s="643">
        <v>5819722</v>
      </c>
      <c r="F13" s="717">
        <f>SUM(F14:F16)</f>
        <v>5819722</v>
      </c>
      <c r="G13" s="717">
        <v>0</v>
      </c>
      <c r="H13" s="717">
        <v>0</v>
      </c>
      <c r="I13" s="717">
        <f>SUM(I14:I16)</f>
        <v>0</v>
      </c>
      <c r="J13" s="717">
        <v>0</v>
      </c>
      <c r="K13" s="717">
        <v>0</v>
      </c>
      <c r="L13" s="717">
        <f>SUM(L14:L16)</f>
        <v>0</v>
      </c>
      <c r="M13" s="717">
        <v>0</v>
      </c>
      <c r="N13" s="717">
        <v>0</v>
      </c>
      <c r="O13" s="717">
        <f>SUM(O14:O16)</f>
        <v>0</v>
      </c>
      <c r="P13" s="717">
        <v>0</v>
      </c>
      <c r="Q13" s="643">
        <v>5819722</v>
      </c>
      <c r="R13" s="717">
        <f t="shared" si="0"/>
        <v>5819722</v>
      </c>
    </row>
    <row r="14" spans="1:21" ht="20.25" customHeight="1" x14ac:dyDescent="0.2">
      <c r="A14" s="639" t="s">
        <v>20</v>
      </c>
      <c r="B14" s="21" t="s">
        <v>33</v>
      </c>
      <c r="C14" s="664"/>
      <c r="D14" s="717">
        <v>0</v>
      </c>
      <c r="E14" s="717">
        <v>0</v>
      </c>
      <c r="F14" s="717">
        <v>0</v>
      </c>
      <c r="G14" s="717">
        <v>0</v>
      </c>
      <c r="H14" s="717">
        <v>0</v>
      </c>
      <c r="I14" s="717">
        <v>0</v>
      </c>
      <c r="J14" s="717">
        <v>0</v>
      </c>
      <c r="K14" s="717">
        <v>0</v>
      </c>
      <c r="L14" s="717">
        <v>0</v>
      </c>
      <c r="M14" s="717">
        <v>0</v>
      </c>
      <c r="N14" s="717">
        <v>0</v>
      </c>
      <c r="O14" s="717">
        <v>0</v>
      </c>
      <c r="P14" s="717">
        <v>0</v>
      </c>
      <c r="Q14" s="717">
        <v>0</v>
      </c>
      <c r="R14" s="717">
        <f t="shared" si="0"/>
        <v>0</v>
      </c>
    </row>
    <row r="15" spans="1:21" ht="20.25" customHeight="1" x14ac:dyDescent="0.2">
      <c r="A15" s="639" t="s">
        <v>21</v>
      </c>
      <c r="B15" s="21" t="s">
        <v>34</v>
      </c>
      <c r="C15" s="665"/>
      <c r="D15" s="717">
        <v>0</v>
      </c>
      <c r="E15" s="717">
        <v>0</v>
      </c>
      <c r="F15" s="717">
        <v>0</v>
      </c>
      <c r="G15" s="717">
        <v>0</v>
      </c>
      <c r="H15" s="717">
        <v>0</v>
      </c>
      <c r="I15" s="717">
        <v>0</v>
      </c>
      <c r="J15" s="717">
        <v>0</v>
      </c>
      <c r="K15" s="717">
        <v>0</v>
      </c>
      <c r="L15" s="717">
        <v>0</v>
      </c>
      <c r="M15" s="717">
        <v>0</v>
      </c>
      <c r="N15" s="717">
        <v>0</v>
      </c>
      <c r="O15" s="717">
        <v>0</v>
      </c>
      <c r="P15" s="717">
        <v>0</v>
      </c>
      <c r="Q15" s="717">
        <v>0</v>
      </c>
      <c r="R15" s="717">
        <f t="shared" si="0"/>
        <v>0</v>
      </c>
    </row>
    <row r="16" spans="1:21" ht="20.25" customHeight="1" x14ac:dyDescent="0.25">
      <c r="A16" s="639" t="s">
        <v>22</v>
      </c>
      <c r="B16" s="17" t="s">
        <v>1268</v>
      </c>
      <c r="C16" s="665"/>
      <c r="D16" s="717">
        <v>0</v>
      </c>
      <c r="E16" s="643">
        <v>5819722</v>
      </c>
      <c r="F16" s="717">
        <v>5819722</v>
      </c>
      <c r="G16" s="717">
        <v>0</v>
      </c>
      <c r="H16" s="717">
        <v>0</v>
      </c>
      <c r="I16" s="717">
        <v>0</v>
      </c>
      <c r="J16" s="717">
        <v>0</v>
      </c>
      <c r="K16" s="717">
        <v>0</v>
      </c>
      <c r="L16" s="717">
        <v>0</v>
      </c>
      <c r="M16" s="717">
        <v>0</v>
      </c>
      <c r="N16" s="717">
        <v>0</v>
      </c>
      <c r="O16" s="717">
        <v>0</v>
      </c>
      <c r="P16" s="717">
        <v>0</v>
      </c>
      <c r="Q16" s="643">
        <v>5819722</v>
      </c>
      <c r="R16" s="717">
        <f t="shared" si="0"/>
        <v>5819722</v>
      </c>
    </row>
    <row r="17" spans="1:19" ht="20.25" customHeight="1" x14ac:dyDescent="0.25">
      <c r="A17" s="639" t="s">
        <v>36</v>
      </c>
      <c r="B17" s="648" t="s">
        <v>37</v>
      </c>
      <c r="C17" s="664" t="s">
        <v>38</v>
      </c>
      <c r="D17" s="717">
        <v>0</v>
      </c>
      <c r="E17" s="717">
        <v>0</v>
      </c>
      <c r="F17" s="717">
        <v>0</v>
      </c>
      <c r="G17" s="717">
        <v>0</v>
      </c>
      <c r="H17" s="643">
        <v>1634449</v>
      </c>
      <c r="I17" s="717">
        <v>1634449</v>
      </c>
      <c r="J17" s="717">
        <v>0</v>
      </c>
      <c r="K17" s="643">
        <v>952618</v>
      </c>
      <c r="L17" s="717">
        <v>952618</v>
      </c>
      <c r="M17" s="717">
        <v>0</v>
      </c>
      <c r="N17" s="717">
        <v>0</v>
      </c>
      <c r="O17" s="717">
        <v>0</v>
      </c>
      <c r="P17" s="717">
        <v>0</v>
      </c>
      <c r="Q17" s="661">
        <v>2587067</v>
      </c>
      <c r="R17" s="717">
        <f t="shared" si="0"/>
        <v>2587067</v>
      </c>
    </row>
    <row r="18" spans="1:19" ht="20.25" customHeight="1" x14ac:dyDescent="0.2">
      <c r="A18" s="639" t="s">
        <v>39</v>
      </c>
      <c r="B18" s="646" t="s">
        <v>40</v>
      </c>
      <c r="C18" s="664" t="s">
        <v>41</v>
      </c>
      <c r="D18" s="717">
        <v>0</v>
      </c>
      <c r="E18" s="717">
        <v>0</v>
      </c>
      <c r="F18" s="717">
        <v>0</v>
      </c>
      <c r="G18" s="717">
        <v>0</v>
      </c>
      <c r="H18" s="717">
        <v>0</v>
      </c>
      <c r="I18" s="717">
        <v>0</v>
      </c>
      <c r="J18" s="717">
        <v>0</v>
      </c>
      <c r="K18" s="717">
        <v>0</v>
      </c>
      <c r="L18" s="717">
        <v>0</v>
      </c>
      <c r="M18" s="717">
        <v>0</v>
      </c>
      <c r="N18" s="717">
        <v>0</v>
      </c>
      <c r="O18" s="717">
        <v>0</v>
      </c>
      <c r="P18" s="717">
        <v>0</v>
      </c>
      <c r="Q18" s="717">
        <v>0</v>
      </c>
      <c r="R18" s="717">
        <f t="shared" si="0"/>
        <v>0</v>
      </c>
    </row>
    <row r="19" spans="1:19" ht="20.25" customHeight="1" x14ac:dyDescent="0.2">
      <c r="A19" s="639" t="s">
        <v>42</v>
      </c>
      <c r="B19" s="646" t="s">
        <v>43</v>
      </c>
      <c r="C19" s="664" t="s">
        <v>44</v>
      </c>
      <c r="D19" s="717">
        <v>0</v>
      </c>
      <c r="E19" s="717">
        <v>0</v>
      </c>
      <c r="F19" s="717">
        <f>SUM(F20)</f>
        <v>0</v>
      </c>
      <c r="G19" s="717">
        <v>0</v>
      </c>
      <c r="H19" s="717">
        <v>0</v>
      </c>
      <c r="I19" s="717">
        <v>0</v>
      </c>
      <c r="J19" s="717">
        <v>0</v>
      </c>
      <c r="K19" s="717">
        <v>0</v>
      </c>
      <c r="L19" s="717">
        <v>0</v>
      </c>
      <c r="M19" s="717">
        <v>0</v>
      </c>
      <c r="N19" s="717">
        <v>0</v>
      </c>
      <c r="O19" s="717">
        <v>0</v>
      </c>
      <c r="P19" s="717">
        <v>0</v>
      </c>
      <c r="Q19" s="717">
        <v>0</v>
      </c>
      <c r="R19" s="717">
        <f t="shared" si="0"/>
        <v>0</v>
      </c>
      <c r="S19" s="660"/>
    </row>
    <row r="20" spans="1:19" ht="20.25" customHeight="1" x14ac:dyDescent="0.2">
      <c r="A20" s="639" t="s">
        <v>45</v>
      </c>
      <c r="B20" s="21" t="s">
        <v>46</v>
      </c>
      <c r="C20" s="664"/>
      <c r="D20" s="717">
        <v>0</v>
      </c>
      <c r="E20" s="717">
        <v>0</v>
      </c>
      <c r="F20" s="717">
        <v>0</v>
      </c>
      <c r="G20" s="717">
        <v>0</v>
      </c>
      <c r="H20" s="717">
        <v>0</v>
      </c>
      <c r="I20" s="717">
        <v>0</v>
      </c>
      <c r="J20" s="717">
        <v>0</v>
      </c>
      <c r="K20" s="717">
        <v>0</v>
      </c>
      <c r="L20" s="717">
        <v>0</v>
      </c>
      <c r="M20" s="717">
        <v>0</v>
      </c>
      <c r="N20" s="717">
        <v>0</v>
      </c>
      <c r="O20" s="717">
        <v>0</v>
      </c>
      <c r="P20" s="717">
        <v>0</v>
      </c>
      <c r="Q20" s="717">
        <v>0</v>
      </c>
      <c r="R20" s="717">
        <f t="shared" si="0"/>
        <v>0</v>
      </c>
    </row>
    <row r="21" spans="1:19" ht="20.25" customHeight="1" x14ac:dyDescent="0.25">
      <c r="A21" s="639" t="s">
        <v>47</v>
      </c>
      <c r="B21" s="648" t="s">
        <v>48</v>
      </c>
      <c r="C21" s="664" t="s">
        <v>49</v>
      </c>
      <c r="D21" s="717">
        <v>0</v>
      </c>
      <c r="E21" s="643">
        <v>5819722</v>
      </c>
      <c r="F21" s="717">
        <f>F9+F10+F11+F12+F13+F17+F18+F19</f>
        <v>5819722</v>
      </c>
      <c r="G21" s="643">
        <v>195264745</v>
      </c>
      <c r="H21" s="643">
        <v>214161743</v>
      </c>
      <c r="I21" s="717">
        <f>I9+I10+I11+I12+I13+I17+I18+I19</f>
        <v>202722563</v>
      </c>
      <c r="J21" s="643">
        <v>93155091</v>
      </c>
      <c r="K21" s="643">
        <v>102270883</v>
      </c>
      <c r="L21" s="717">
        <f>L9+L10+L11+L12+L13+L17+L18+L19</f>
        <v>98399347</v>
      </c>
      <c r="M21" s="643">
        <v>50506617</v>
      </c>
      <c r="N21" s="643">
        <v>36711617</v>
      </c>
      <c r="O21" s="717">
        <f>O9+O10+O11+O12+O13+O17+O18+O19</f>
        <v>32121321</v>
      </c>
      <c r="P21" s="643">
        <v>338926453</v>
      </c>
      <c r="Q21" s="643">
        <v>358963965</v>
      </c>
      <c r="R21" s="717">
        <f t="shared" si="0"/>
        <v>339062953</v>
      </c>
    </row>
    <row r="22" spans="1:19" ht="20.25" customHeight="1" x14ac:dyDescent="0.2">
      <c r="A22" s="639" t="s">
        <v>50</v>
      </c>
      <c r="B22" s="648" t="s">
        <v>51</v>
      </c>
      <c r="C22" s="664" t="s">
        <v>52</v>
      </c>
      <c r="D22" s="717">
        <v>0</v>
      </c>
      <c r="E22" s="717">
        <v>0</v>
      </c>
      <c r="F22" s="717">
        <f>SUM(F23:F26)</f>
        <v>0</v>
      </c>
      <c r="G22" s="717">
        <v>0</v>
      </c>
      <c r="H22" s="717">
        <v>0</v>
      </c>
      <c r="I22" s="717">
        <f>SUM(I23:I26)</f>
        <v>0</v>
      </c>
      <c r="J22" s="717">
        <v>0</v>
      </c>
      <c r="K22" s="717">
        <v>0</v>
      </c>
      <c r="L22" s="717">
        <f>SUM(L23:L26)</f>
        <v>0</v>
      </c>
      <c r="M22" s="717">
        <v>0</v>
      </c>
      <c r="N22" s="717">
        <v>0</v>
      </c>
      <c r="O22" s="717">
        <f>SUM(O23:O26)</f>
        <v>0</v>
      </c>
      <c r="P22" s="717">
        <v>0</v>
      </c>
      <c r="Q22" s="717">
        <v>0</v>
      </c>
      <c r="R22" s="717">
        <f t="shared" si="0"/>
        <v>0</v>
      </c>
    </row>
    <row r="23" spans="1:19" ht="20.25" customHeight="1" x14ac:dyDescent="0.2">
      <c r="A23" s="639" t="s">
        <v>53</v>
      </c>
      <c r="B23" s="24" t="s">
        <v>970</v>
      </c>
      <c r="C23" s="665"/>
      <c r="D23" s="717">
        <v>0</v>
      </c>
      <c r="E23" s="717">
        <v>0</v>
      </c>
      <c r="F23" s="717">
        <v>0</v>
      </c>
      <c r="G23" s="717">
        <v>0</v>
      </c>
      <c r="H23" s="717">
        <v>0</v>
      </c>
      <c r="I23" s="717">
        <v>0</v>
      </c>
      <c r="J23" s="717">
        <v>0</v>
      </c>
      <c r="K23" s="717">
        <v>0</v>
      </c>
      <c r="L23" s="717">
        <v>0</v>
      </c>
      <c r="M23" s="717">
        <v>0</v>
      </c>
      <c r="N23" s="717">
        <v>0</v>
      </c>
      <c r="O23" s="717">
        <v>0</v>
      </c>
      <c r="P23" s="717">
        <v>0</v>
      </c>
      <c r="Q23" s="717">
        <v>0</v>
      </c>
      <c r="R23" s="717">
        <f t="shared" si="0"/>
        <v>0</v>
      </c>
    </row>
    <row r="24" spans="1:19" ht="20.25" customHeight="1" x14ac:dyDescent="0.2">
      <c r="A24" s="639" t="s">
        <v>55</v>
      </c>
      <c r="B24" s="652" t="s">
        <v>56</v>
      </c>
      <c r="C24" s="665"/>
      <c r="D24" s="717">
        <v>0</v>
      </c>
      <c r="E24" s="717">
        <v>0</v>
      </c>
      <c r="F24" s="717">
        <v>0</v>
      </c>
      <c r="G24" s="717">
        <v>0</v>
      </c>
      <c r="H24" s="717">
        <v>0</v>
      </c>
      <c r="I24" s="717">
        <v>0</v>
      </c>
      <c r="J24" s="717">
        <v>0</v>
      </c>
      <c r="K24" s="717">
        <v>0</v>
      </c>
      <c r="L24" s="717">
        <v>0</v>
      </c>
      <c r="M24" s="717">
        <v>0</v>
      </c>
      <c r="N24" s="717">
        <v>0</v>
      </c>
      <c r="O24" s="717">
        <v>0</v>
      </c>
      <c r="P24" s="717">
        <v>0</v>
      </c>
      <c r="Q24" s="717">
        <v>0</v>
      </c>
      <c r="R24" s="717">
        <f t="shared" si="0"/>
        <v>0</v>
      </c>
    </row>
    <row r="25" spans="1:19" ht="20.25" customHeight="1" x14ac:dyDescent="0.2">
      <c r="A25" s="639" t="s">
        <v>57</v>
      </c>
      <c r="B25" s="652" t="s">
        <v>58</v>
      </c>
      <c r="C25" s="665"/>
      <c r="D25" s="717">
        <v>0</v>
      </c>
      <c r="E25" s="717">
        <v>0</v>
      </c>
      <c r="F25" s="717">
        <v>0</v>
      </c>
      <c r="G25" s="717">
        <v>0</v>
      </c>
      <c r="H25" s="717">
        <v>0</v>
      </c>
      <c r="I25" s="717">
        <v>0</v>
      </c>
      <c r="J25" s="717">
        <v>0</v>
      </c>
      <c r="K25" s="717">
        <v>0</v>
      </c>
      <c r="L25" s="717">
        <v>0</v>
      </c>
      <c r="M25" s="717">
        <v>0</v>
      </c>
      <c r="N25" s="717">
        <v>0</v>
      </c>
      <c r="O25" s="717">
        <v>0</v>
      </c>
      <c r="P25" s="717">
        <v>0</v>
      </c>
      <c r="Q25" s="717">
        <v>0</v>
      </c>
      <c r="R25" s="717">
        <f t="shared" si="0"/>
        <v>0</v>
      </c>
    </row>
    <row r="26" spans="1:19" ht="20.25" customHeight="1" x14ac:dyDescent="0.2">
      <c r="A26" s="639" t="s">
        <v>59</v>
      </c>
      <c r="B26" s="652" t="s">
        <v>60</v>
      </c>
      <c r="C26" s="665"/>
      <c r="D26" s="717">
        <v>0</v>
      </c>
      <c r="E26" s="717">
        <v>0</v>
      </c>
      <c r="F26" s="717">
        <v>0</v>
      </c>
      <c r="G26" s="717">
        <v>0</v>
      </c>
      <c r="H26" s="717">
        <v>0</v>
      </c>
      <c r="I26" s="717">
        <v>0</v>
      </c>
      <c r="J26" s="717">
        <v>0</v>
      </c>
      <c r="K26" s="717">
        <v>0</v>
      </c>
      <c r="L26" s="717">
        <v>0</v>
      </c>
      <c r="M26" s="717">
        <v>0</v>
      </c>
      <c r="N26" s="717">
        <v>0</v>
      </c>
      <c r="O26" s="717">
        <v>0</v>
      </c>
      <c r="P26" s="717">
        <v>0</v>
      </c>
      <c r="Q26" s="717">
        <v>0</v>
      </c>
      <c r="R26" s="717">
        <f t="shared" si="0"/>
        <v>0</v>
      </c>
    </row>
    <row r="27" spans="1:19" s="651" customFormat="1" ht="20.25" customHeight="1" x14ac:dyDescent="0.25">
      <c r="A27" s="639" t="s">
        <v>61</v>
      </c>
      <c r="B27" s="653" t="s">
        <v>62</v>
      </c>
      <c r="C27" s="664"/>
      <c r="D27" s="717">
        <v>0</v>
      </c>
      <c r="E27" s="650">
        <v>5819722</v>
      </c>
      <c r="F27" s="717">
        <f>F9+F10+F11+F12+F13+F24+F26</f>
        <v>5819722</v>
      </c>
      <c r="G27" s="650">
        <v>195264745</v>
      </c>
      <c r="H27" s="650">
        <v>212527294</v>
      </c>
      <c r="I27" s="717">
        <f>I9+I10+I11+I12+I13+I24+I26</f>
        <v>201088114</v>
      </c>
      <c r="J27" s="650">
        <v>93155091</v>
      </c>
      <c r="K27" s="650">
        <v>101318265</v>
      </c>
      <c r="L27" s="717">
        <f>L9+L10+L11+L12+L13+L24+L26</f>
        <v>97446729</v>
      </c>
      <c r="M27" s="650">
        <v>50506617</v>
      </c>
      <c r="N27" s="650">
        <v>36711617</v>
      </c>
      <c r="O27" s="717">
        <f>O9+O10+O11+O12+O13+O24+O26</f>
        <v>32121321</v>
      </c>
      <c r="P27" s="650">
        <v>338926453</v>
      </c>
      <c r="Q27" s="650">
        <v>356376898</v>
      </c>
      <c r="R27" s="717">
        <f t="shared" si="0"/>
        <v>336475886</v>
      </c>
    </row>
    <row r="28" spans="1:19" s="651" customFormat="1" ht="20.25" customHeight="1" x14ac:dyDescent="0.25">
      <c r="A28" s="639" t="s">
        <v>63</v>
      </c>
      <c r="B28" s="653" t="s">
        <v>64</v>
      </c>
      <c r="C28" s="664"/>
      <c r="D28" s="717">
        <v>0</v>
      </c>
      <c r="E28" s="717">
        <v>0</v>
      </c>
      <c r="F28" s="717">
        <f>F17+F18+F19+F25</f>
        <v>0</v>
      </c>
      <c r="G28" s="717">
        <v>0</v>
      </c>
      <c r="H28" s="650">
        <v>1634449</v>
      </c>
      <c r="I28" s="717">
        <f>I17+I18+I19+I25</f>
        <v>1634449</v>
      </c>
      <c r="J28" s="717">
        <v>0</v>
      </c>
      <c r="K28" s="650">
        <v>952618</v>
      </c>
      <c r="L28" s="717">
        <f>L17+L18+L19+L25</f>
        <v>952618</v>
      </c>
      <c r="M28" s="717">
        <v>0</v>
      </c>
      <c r="N28" s="717">
        <v>0</v>
      </c>
      <c r="O28" s="717">
        <f>O17+O18+O19+O25</f>
        <v>0</v>
      </c>
      <c r="P28" s="717">
        <v>0</v>
      </c>
      <c r="Q28" s="650">
        <v>2587067</v>
      </c>
      <c r="R28" s="717">
        <f t="shared" si="0"/>
        <v>2587067</v>
      </c>
    </row>
    <row r="29" spans="1:19" s="651" customFormat="1" ht="20.25" customHeight="1" x14ac:dyDescent="0.25">
      <c r="A29" s="639" t="s">
        <v>65</v>
      </c>
      <c r="B29" s="653" t="s">
        <v>66</v>
      </c>
      <c r="C29" s="664" t="s">
        <v>67</v>
      </c>
      <c r="D29" s="717">
        <v>0</v>
      </c>
      <c r="E29" s="650">
        <v>5819722</v>
      </c>
      <c r="F29" s="717">
        <f>F9+F10+F11+F12+F13+F17+F18+F19+F22</f>
        <v>5819722</v>
      </c>
      <c r="G29" s="650">
        <v>195264745</v>
      </c>
      <c r="H29" s="650">
        <v>214161743</v>
      </c>
      <c r="I29" s="717">
        <f>I9+I10+I11+I12+I13+I17+I18+I19+I22</f>
        <v>202722563</v>
      </c>
      <c r="J29" s="650">
        <v>93155091</v>
      </c>
      <c r="K29" s="650">
        <v>102270883</v>
      </c>
      <c r="L29" s="717">
        <f>L9+L10+L11+L12+L13+L17+L18+L19+L22</f>
        <v>98399347</v>
      </c>
      <c r="M29" s="650">
        <v>50506617</v>
      </c>
      <c r="N29" s="650">
        <v>36711617</v>
      </c>
      <c r="O29" s="717">
        <f>O9+O10+O11+O12+O13+O17+O18+O19+O22</f>
        <v>32121321</v>
      </c>
      <c r="P29" s="650">
        <v>338926453</v>
      </c>
      <c r="Q29" s="650">
        <v>358963965</v>
      </c>
      <c r="R29" s="717">
        <f t="shared" si="0"/>
        <v>339062953</v>
      </c>
    </row>
    <row r="30" spans="1:19" ht="20.25" customHeight="1" x14ac:dyDescent="0.25">
      <c r="A30" s="639" t="s">
        <v>68</v>
      </c>
      <c r="B30" s="645" t="s">
        <v>69</v>
      </c>
      <c r="C30" s="648" t="s">
        <v>70</v>
      </c>
      <c r="D30" s="717">
        <v>0</v>
      </c>
      <c r="E30" s="717">
        <v>0</v>
      </c>
      <c r="F30" s="717">
        <v>0</v>
      </c>
      <c r="G30" s="717">
        <v>0</v>
      </c>
      <c r="H30" s="643">
        <v>407500</v>
      </c>
      <c r="I30" s="717">
        <v>407500</v>
      </c>
      <c r="J30" s="717">
        <v>0</v>
      </c>
      <c r="K30" s="717">
        <v>0</v>
      </c>
      <c r="L30" s="717">
        <v>0</v>
      </c>
      <c r="M30" s="717">
        <v>0</v>
      </c>
      <c r="N30" s="717">
        <v>0</v>
      </c>
      <c r="O30" s="717">
        <v>0</v>
      </c>
      <c r="P30" s="717">
        <v>0</v>
      </c>
      <c r="Q30" s="643">
        <v>407500</v>
      </c>
      <c r="R30" s="717">
        <f t="shared" si="0"/>
        <v>407500</v>
      </c>
    </row>
    <row r="31" spans="1:19" ht="20.25" customHeight="1" x14ac:dyDescent="0.2">
      <c r="A31" s="639" t="s">
        <v>71</v>
      </c>
      <c r="B31" s="645" t="s">
        <v>72</v>
      </c>
      <c r="C31" s="648" t="s">
        <v>73</v>
      </c>
      <c r="D31" s="717">
        <v>0</v>
      </c>
      <c r="E31" s="717">
        <v>0</v>
      </c>
      <c r="F31" s="717">
        <v>0</v>
      </c>
      <c r="G31" s="717">
        <v>0</v>
      </c>
      <c r="H31" s="717">
        <v>0</v>
      </c>
      <c r="I31" s="717">
        <v>0</v>
      </c>
      <c r="J31" s="717">
        <v>0</v>
      </c>
      <c r="K31" s="717">
        <v>0</v>
      </c>
      <c r="L31" s="717">
        <v>0</v>
      </c>
      <c r="M31" s="717">
        <v>0</v>
      </c>
      <c r="N31" s="717">
        <v>0</v>
      </c>
      <c r="O31" s="717">
        <v>0</v>
      </c>
      <c r="P31" s="717">
        <v>0</v>
      </c>
      <c r="Q31" s="717">
        <v>0</v>
      </c>
      <c r="R31" s="717">
        <f t="shared" si="0"/>
        <v>0</v>
      </c>
    </row>
    <row r="32" spans="1:19" ht="20.25" customHeight="1" x14ac:dyDescent="0.2">
      <c r="A32" s="639" t="s">
        <v>74</v>
      </c>
      <c r="B32" s="645" t="s">
        <v>75</v>
      </c>
      <c r="C32" s="648" t="s">
        <v>76</v>
      </c>
      <c r="D32" s="717">
        <v>0</v>
      </c>
      <c r="E32" s="717">
        <v>0</v>
      </c>
      <c r="F32" s="717">
        <v>0</v>
      </c>
      <c r="G32" s="717">
        <v>0</v>
      </c>
      <c r="H32" s="717">
        <v>0</v>
      </c>
      <c r="I32" s="717">
        <v>0</v>
      </c>
      <c r="J32" s="717">
        <v>0</v>
      </c>
      <c r="K32" s="717">
        <v>0</v>
      </c>
      <c r="L32" s="717">
        <v>0</v>
      </c>
      <c r="M32" s="717">
        <v>0</v>
      </c>
      <c r="N32" s="717">
        <v>0</v>
      </c>
      <c r="O32" s="717">
        <v>0</v>
      </c>
      <c r="P32" s="717">
        <v>0</v>
      </c>
      <c r="Q32" s="717">
        <v>0</v>
      </c>
      <c r="R32" s="717">
        <f t="shared" si="0"/>
        <v>0</v>
      </c>
    </row>
    <row r="33" spans="1:19" ht="20.25" customHeight="1" x14ac:dyDescent="0.25">
      <c r="A33" s="639" t="s">
        <v>77</v>
      </c>
      <c r="B33" s="646" t="s">
        <v>78</v>
      </c>
      <c r="C33" s="648" t="s">
        <v>79</v>
      </c>
      <c r="D33" s="717">
        <v>0</v>
      </c>
      <c r="E33" s="717">
        <v>0</v>
      </c>
      <c r="F33" s="717">
        <v>0</v>
      </c>
      <c r="G33" s="717">
        <v>0</v>
      </c>
      <c r="H33" s="643">
        <v>110524</v>
      </c>
      <c r="I33" s="717">
        <v>74070</v>
      </c>
      <c r="J33" s="717">
        <v>0</v>
      </c>
      <c r="K33" s="717">
        <v>0</v>
      </c>
      <c r="L33" s="717">
        <v>0</v>
      </c>
      <c r="M33" s="717">
        <v>0</v>
      </c>
      <c r="N33" s="717">
        <v>0</v>
      </c>
      <c r="O33" s="717">
        <v>0</v>
      </c>
      <c r="P33" s="717">
        <v>0</v>
      </c>
      <c r="Q33" s="643">
        <v>110524</v>
      </c>
      <c r="R33" s="717">
        <f t="shared" si="0"/>
        <v>74070</v>
      </c>
    </row>
    <row r="34" spans="1:19" ht="20.25" customHeight="1" x14ac:dyDescent="0.2">
      <c r="A34" s="639" t="s">
        <v>80</v>
      </c>
      <c r="B34" s="645" t="s">
        <v>81</v>
      </c>
      <c r="C34" s="648" t="s">
        <v>82</v>
      </c>
      <c r="D34" s="717">
        <v>0</v>
      </c>
      <c r="E34" s="717">
        <v>0</v>
      </c>
      <c r="F34" s="717">
        <v>0</v>
      </c>
      <c r="G34" s="717">
        <v>0</v>
      </c>
      <c r="H34" s="717">
        <v>0</v>
      </c>
      <c r="I34" s="717">
        <v>0</v>
      </c>
      <c r="J34" s="717">
        <v>0</v>
      </c>
      <c r="K34" s="717">
        <v>0</v>
      </c>
      <c r="L34" s="717">
        <v>0</v>
      </c>
      <c r="M34" s="717">
        <v>0</v>
      </c>
      <c r="N34" s="717">
        <v>0</v>
      </c>
      <c r="O34" s="717">
        <v>0</v>
      </c>
      <c r="P34" s="717">
        <v>0</v>
      </c>
      <c r="Q34" s="717">
        <v>0</v>
      </c>
      <c r="R34" s="717">
        <f t="shared" si="0"/>
        <v>0</v>
      </c>
    </row>
    <row r="35" spans="1:19" ht="20.25" customHeight="1" x14ac:dyDescent="0.2">
      <c r="A35" s="639" t="s">
        <v>83</v>
      </c>
      <c r="B35" s="645" t="s">
        <v>84</v>
      </c>
      <c r="C35" s="648" t="s">
        <v>85</v>
      </c>
      <c r="D35" s="717">
        <v>0</v>
      </c>
      <c r="E35" s="717">
        <v>0</v>
      </c>
      <c r="F35" s="717">
        <v>0</v>
      </c>
      <c r="G35" s="717">
        <v>0</v>
      </c>
      <c r="H35" s="717">
        <v>0</v>
      </c>
      <c r="I35" s="717">
        <v>0</v>
      </c>
      <c r="J35" s="717">
        <v>0</v>
      </c>
      <c r="K35" s="717">
        <v>0</v>
      </c>
      <c r="L35" s="717">
        <v>0</v>
      </c>
      <c r="M35" s="717">
        <v>0</v>
      </c>
      <c r="N35" s="717">
        <v>0</v>
      </c>
      <c r="O35" s="717">
        <v>0</v>
      </c>
      <c r="P35" s="717">
        <v>0</v>
      </c>
      <c r="Q35" s="717">
        <v>0</v>
      </c>
      <c r="R35" s="717">
        <f t="shared" si="0"/>
        <v>0</v>
      </c>
    </row>
    <row r="36" spans="1:19" ht="20.25" customHeight="1" x14ac:dyDescent="0.2">
      <c r="A36" s="639" t="s">
        <v>86</v>
      </c>
      <c r="B36" s="645" t="s">
        <v>87</v>
      </c>
      <c r="C36" s="648" t="s">
        <v>88</v>
      </c>
      <c r="D36" s="717">
        <v>0</v>
      </c>
      <c r="E36" s="717">
        <v>0</v>
      </c>
      <c r="F36" s="717">
        <v>0</v>
      </c>
      <c r="G36" s="717">
        <v>0</v>
      </c>
      <c r="H36" s="717">
        <v>0</v>
      </c>
      <c r="I36" s="717">
        <v>0</v>
      </c>
      <c r="J36" s="717">
        <v>0</v>
      </c>
      <c r="K36" s="717">
        <v>0</v>
      </c>
      <c r="L36" s="717">
        <v>0</v>
      </c>
      <c r="M36" s="717">
        <v>0</v>
      </c>
      <c r="N36" s="717">
        <v>0</v>
      </c>
      <c r="O36" s="717">
        <v>0</v>
      </c>
      <c r="P36" s="717">
        <v>0</v>
      </c>
      <c r="Q36" s="717">
        <v>0</v>
      </c>
      <c r="R36" s="717">
        <f t="shared" si="0"/>
        <v>0</v>
      </c>
    </row>
    <row r="37" spans="1:19" ht="20.25" customHeight="1" x14ac:dyDescent="0.25">
      <c r="A37" s="639" t="s">
        <v>89</v>
      </c>
      <c r="B37" s="646" t="s">
        <v>90</v>
      </c>
      <c r="C37" s="648" t="s">
        <v>91</v>
      </c>
      <c r="D37" s="717">
        <v>0</v>
      </c>
      <c r="E37" s="717">
        <v>0</v>
      </c>
      <c r="F37" s="717">
        <f>SUM(F30:F36)</f>
        <v>0</v>
      </c>
      <c r="G37" s="717">
        <v>0</v>
      </c>
      <c r="H37" s="643">
        <v>518024</v>
      </c>
      <c r="I37" s="717">
        <f>SUM(I30:I36)</f>
        <v>481570</v>
      </c>
      <c r="J37" s="717">
        <v>0</v>
      </c>
      <c r="K37" s="717">
        <v>0</v>
      </c>
      <c r="L37" s="717">
        <f>SUM(L30:L36)</f>
        <v>0</v>
      </c>
      <c r="M37" s="717">
        <v>0</v>
      </c>
      <c r="N37" s="717">
        <v>0</v>
      </c>
      <c r="O37" s="717">
        <f>SUM(O30:O36)</f>
        <v>0</v>
      </c>
      <c r="P37" s="717">
        <v>0</v>
      </c>
      <c r="Q37" s="643">
        <v>518024</v>
      </c>
      <c r="R37" s="717">
        <f t="shared" si="0"/>
        <v>481570</v>
      </c>
    </row>
    <row r="38" spans="1:19" ht="20.25" customHeight="1" x14ac:dyDescent="0.25">
      <c r="A38" s="639" t="s">
        <v>92</v>
      </c>
      <c r="B38" s="648" t="s">
        <v>93</v>
      </c>
      <c r="C38" s="664" t="s">
        <v>94</v>
      </c>
      <c r="D38" s="643">
        <v>338926453</v>
      </c>
      <c r="E38" s="643">
        <v>358445941</v>
      </c>
      <c r="F38" s="717">
        <f>SUM(F39:F44)</f>
        <v>344633258</v>
      </c>
      <c r="G38" s="717">
        <v>0</v>
      </c>
      <c r="H38" s="717">
        <v>0</v>
      </c>
      <c r="I38" s="717">
        <f>SUM(I39:I44)</f>
        <v>0</v>
      </c>
      <c r="J38" s="717">
        <v>0</v>
      </c>
      <c r="K38" s="717">
        <v>0</v>
      </c>
      <c r="L38" s="717">
        <f>SUM(L39:L44)</f>
        <v>0</v>
      </c>
      <c r="M38" s="717">
        <v>0</v>
      </c>
      <c r="N38" s="717">
        <v>0</v>
      </c>
      <c r="O38" s="717">
        <f>SUM(O39:O44)</f>
        <v>0</v>
      </c>
      <c r="P38" s="643">
        <v>338926453</v>
      </c>
      <c r="Q38" s="643">
        <v>358445941</v>
      </c>
      <c r="R38" s="717">
        <f t="shared" si="0"/>
        <v>344633258</v>
      </c>
    </row>
    <row r="39" spans="1:19" ht="20.25" customHeight="1" x14ac:dyDescent="0.2">
      <c r="A39" s="639" t="s">
        <v>95</v>
      </c>
      <c r="B39" s="24" t="s">
        <v>1290</v>
      </c>
      <c r="C39" s="664"/>
      <c r="D39" s="717">
        <v>0</v>
      </c>
      <c r="E39" s="717">
        <v>0</v>
      </c>
      <c r="F39" s="717">
        <v>0</v>
      </c>
      <c r="G39" s="717">
        <v>0</v>
      </c>
      <c r="H39" s="717">
        <v>0</v>
      </c>
      <c r="I39" s="717">
        <v>0</v>
      </c>
      <c r="J39" s="717">
        <v>0</v>
      </c>
      <c r="K39" s="717">
        <v>0</v>
      </c>
      <c r="L39" s="717">
        <v>0</v>
      </c>
      <c r="M39" s="717">
        <v>0</v>
      </c>
      <c r="N39" s="717">
        <v>0</v>
      </c>
      <c r="O39" s="717">
        <v>0</v>
      </c>
      <c r="P39" s="717">
        <v>0</v>
      </c>
      <c r="Q39" s="717">
        <v>0</v>
      </c>
      <c r="R39" s="717">
        <f t="shared" si="0"/>
        <v>0</v>
      </c>
    </row>
    <row r="40" spans="1:19" ht="20.25" customHeight="1" x14ac:dyDescent="0.25">
      <c r="A40" s="639" t="s">
        <v>97</v>
      </c>
      <c r="B40" s="652" t="s">
        <v>96</v>
      </c>
      <c r="C40" s="665"/>
      <c r="D40" s="643">
        <v>793169</v>
      </c>
      <c r="E40" s="643">
        <v>6612891</v>
      </c>
      <c r="F40" s="717">
        <v>6612891</v>
      </c>
      <c r="G40" s="717">
        <v>0</v>
      </c>
      <c r="H40" s="717">
        <v>0</v>
      </c>
      <c r="I40" s="717">
        <v>0</v>
      </c>
      <c r="J40" s="717">
        <v>0</v>
      </c>
      <c r="K40" s="717">
        <v>0</v>
      </c>
      <c r="L40" s="717">
        <v>0</v>
      </c>
      <c r="M40" s="717">
        <v>0</v>
      </c>
      <c r="N40" s="717">
        <v>0</v>
      </c>
      <c r="O40" s="717">
        <v>0</v>
      </c>
      <c r="P40" s="643">
        <v>793169</v>
      </c>
      <c r="Q40" s="643">
        <v>6612891</v>
      </c>
      <c r="R40" s="717">
        <f t="shared" si="0"/>
        <v>6612891</v>
      </c>
    </row>
    <row r="41" spans="1:19" ht="20.25" customHeight="1" x14ac:dyDescent="0.2">
      <c r="A41" s="639" t="s">
        <v>99</v>
      </c>
      <c r="B41" s="652" t="s">
        <v>98</v>
      </c>
      <c r="C41" s="665"/>
      <c r="D41" s="717">
        <v>0</v>
      </c>
      <c r="E41" s="717">
        <v>0</v>
      </c>
      <c r="F41" s="717">
        <v>0</v>
      </c>
      <c r="G41" s="717">
        <v>0</v>
      </c>
      <c r="H41" s="717">
        <v>0</v>
      </c>
      <c r="I41" s="717">
        <v>0</v>
      </c>
      <c r="J41" s="717">
        <v>0</v>
      </c>
      <c r="K41" s="717">
        <v>0</v>
      </c>
      <c r="L41" s="717">
        <v>0</v>
      </c>
      <c r="M41" s="717">
        <v>0</v>
      </c>
      <c r="N41" s="717">
        <v>0</v>
      </c>
      <c r="O41" s="717">
        <v>0</v>
      </c>
      <c r="P41" s="717">
        <v>0</v>
      </c>
      <c r="Q41" s="717">
        <v>0</v>
      </c>
      <c r="R41" s="717">
        <f t="shared" si="0"/>
        <v>0</v>
      </c>
    </row>
    <row r="42" spans="1:19" ht="20.25" customHeight="1" x14ac:dyDescent="0.25">
      <c r="A42" s="639" t="s">
        <v>101</v>
      </c>
      <c r="B42" s="652" t="s">
        <v>100</v>
      </c>
      <c r="C42" s="665"/>
      <c r="D42" s="643">
        <v>338133284</v>
      </c>
      <c r="E42" s="643">
        <v>349245983</v>
      </c>
      <c r="F42" s="717">
        <v>335468500</v>
      </c>
      <c r="G42" s="717">
        <v>0</v>
      </c>
      <c r="H42" s="717">
        <v>0</v>
      </c>
      <c r="I42" s="717">
        <v>0</v>
      </c>
      <c r="J42" s="717">
        <v>0</v>
      </c>
      <c r="K42" s="717">
        <v>0</v>
      </c>
      <c r="L42" s="717">
        <v>0</v>
      </c>
      <c r="M42" s="717">
        <v>0</v>
      </c>
      <c r="N42" s="717">
        <v>0</v>
      </c>
      <c r="O42" s="717">
        <v>0</v>
      </c>
      <c r="P42" s="643">
        <v>338133284</v>
      </c>
      <c r="Q42" s="643">
        <v>349245983</v>
      </c>
      <c r="R42" s="717">
        <f t="shared" si="0"/>
        <v>335468500</v>
      </c>
    </row>
    <row r="43" spans="1:19" ht="20.25" customHeight="1" x14ac:dyDescent="0.25">
      <c r="A43" s="639" t="s">
        <v>103</v>
      </c>
      <c r="B43" s="652" t="s">
        <v>102</v>
      </c>
      <c r="C43" s="665"/>
      <c r="D43" s="717">
        <v>0</v>
      </c>
      <c r="E43" s="643">
        <v>2587067</v>
      </c>
      <c r="F43" s="717">
        <v>2551867</v>
      </c>
      <c r="G43" s="717">
        <v>0</v>
      </c>
      <c r="H43" s="717">
        <v>0</v>
      </c>
      <c r="I43" s="717">
        <v>0</v>
      </c>
      <c r="J43" s="717">
        <v>0</v>
      </c>
      <c r="K43" s="717">
        <v>0</v>
      </c>
      <c r="L43" s="717">
        <v>0</v>
      </c>
      <c r="M43" s="717">
        <v>0</v>
      </c>
      <c r="N43" s="717">
        <v>0</v>
      </c>
      <c r="O43" s="717">
        <v>0</v>
      </c>
      <c r="P43" s="717">
        <v>0</v>
      </c>
      <c r="Q43" s="643">
        <v>2587067</v>
      </c>
      <c r="R43" s="717">
        <f t="shared" si="0"/>
        <v>2551867</v>
      </c>
    </row>
    <row r="44" spans="1:19" ht="20.25" customHeight="1" x14ac:dyDescent="0.2">
      <c r="A44" s="639" t="s">
        <v>105</v>
      </c>
      <c r="B44" s="24" t="s">
        <v>104</v>
      </c>
      <c r="C44" s="665"/>
      <c r="D44" s="717">
        <v>0</v>
      </c>
      <c r="E44" s="717">
        <v>0</v>
      </c>
      <c r="F44" s="717">
        <v>0</v>
      </c>
      <c r="G44" s="717">
        <v>0</v>
      </c>
      <c r="H44" s="717">
        <v>0</v>
      </c>
      <c r="I44" s="717">
        <v>0</v>
      </c>
      <c r="J44" s="717">
        <v>0</v>
      </c>
      <c r="K44" s="717">
        <v>0</v>
      </c>
      <c r="L44" s="717">
        <v>0</v>
      </c>
      <c r="M44" s="717">
        <v>0</v>
      </c>
      <c r="N44" s="717">
        <v>0</v>
      </c>
      <c r="O44" s="717">
        <v>0</v>
      </c>
      <c r="P44" s="717">
        <v>0</v>
      </c>
      <c r="Q44" s="717">
        <v>0</v>
      </c>
      <c r="R44" s="717">
        <f t="shared" si="0"/>
        <v>0</v>
      </c>
    </row>
    <row r="45" spans="1:19" ht="20.25" customHeight="1" x14ac:dyDescent="0.25">
      <c r="A45" s="639" t="s">
        <v>107</v>
      </c>
      <c r="B45" s="653" t="s">
        <v>106</v>
      </c>
      <c r="C45" s="664"/>
      <c r="D45" s="650">
        <v>338926453</v>
      </c>
      <c r="E45" s="650">
        <v>355858874</v>
      </c>
      <c r="F45" s="650">
        <f>F30+F32+F33+F35+F40+F42</f>
        <v>342081391</v>
      </c>
      <c r="G45" s="717">
        <v>0</v>
      </c>
      <c r="H45" s="650">
        <f>H30+H32+H33+H35+H40+H42</f>
        <v>518024</v>
      </c>
      <c r="I45" s="650">
        <f>I30+I32+I33+I35+I40+I42</f>
        <v>481570</v>
      </c>
      <c r="J45" s="717">
        <v>0</v>
      </c>
      <c r="K45" s="717">
        <v>0</v>
      </c>
      <c r="L45" s="717">
        <f>L30+L32+L33+L35+L40+L42</f>
        <v>0</v>
      </c>
      <c r="M45" s="717">
        <v>0</v>
      </c>
      <c r="N45" s="717">
        <v>0</v>
      </c>
      <c r="O45" s="717">
        <f>O30+O32+O33+O35+O40+O42</f>
        <v>0</v>
      </c>
      <c r="P45" s="650">
        <v>338926453</v>
      </c>
      <c r="Q45" s="650">
        <f t="shared" si="0"/>
        <v>356376898</v>
      </c>
      <c r="R45" s="650">
        <f t="shared" si="0"/>
        <v>342562961</v>
      </c>
    </row>
    <row r="46" spans="1:19" ht="20.25" customHeight="1" x14ac:dyDescent="0.25">
      <c r="A46" s="639" t="s">
        <v>109</v>
      </c>
      <c r="B46" s="653" t="s">
        <v>108</v>
      </c>
      <c r="C46" s="664"/>
      <c r="D46" s="717">
        <v>0</v>
      </c>
      <c r="E46" s="650">
        <v>2587067</v>
      </c>
      <c r="F46" s="650">
        <f>F31+F34+F36+F41+F43</f>
        <v>2551867</v>
      </c>
      <c r="G46" s="717">
        <v>0</v>
      </c>
      <c r="H46" s="650">
        <v>0</v>
      </c>
      <c r="I46" s="650">
        <f>I31+I34+I36+I41+I43</f>
        <v>0</v>
      </c>
      <c r="J46" s="717">
        <v>0</v>
      </c>
      <c r="K46" s="717">
        <v>0</v>
      </c>
      <c r="L46" s="717">
        <f>L31+L34+L36+L41+L43</f>
        <v>0</v>
      </c>
      <c r="M46" s="717">
        <v>0</v>
      </c>
      <c r="N46" s="717">
        <v>0</v>
      </c>
      <c r="O46" s="717">
        <f>O31+O34+O36+O41+O43</f>
        <v>0</v>
      </c>
      <c r="P46" s="717">
        <v>0</v>
      </c>
      <c r="Q46" s="650">
        <f t="shared" si="0"/>
        <v>2587067</v>
      </c>
      <c r="R46" s="717">
        <f t="shared" si="0"/>
        <v>2551867</v>
      </c>
    </row>
    <row r="47" spans="1:19" ht="20.25" customHeight="1" x14ac:dyDescent="0.25">
      <c r="A47" s="639" t="s">
        <v>111</v>
      </c>
      <c r="B47" s="653" t="s">
        <v>110</v>
      </c>
      <c r="C47" s="664"/>
      <c r="D47" s="650">
        <v>338926453</v>
      </c>
      <c r="E47" s="650">
        <v>358445941</v>
      </c>
      <c r="F47" s="650">
        <f>+F45+F46</f>
        <v>344633258</v>
      </c>
      <c r="G47" s="717">
        <v>0</v>
      </c>
      <c r="H47" s="650">
        <f>H30+H31+H32+H33+H34+H35+H36+H38</f>
        <v>518024</v>
      </c>
      <c r="I47" s="650">
        <f>I30+I31+I32+I33+I34+I35+I36+I38</f>
        <v>481570</v>
      </c>
      <c r="J47" s="717">
        <v>0</v>
      </c>
      <c r="K47" s="717">
        <v>0</v>
      </c>
      <c r="L47" s="717">
        <f>L30+L31+L32+L33+L34+L35+L36+L38</f>
        <v>0</v>
      </c>
      <c r="M47" s="717">
        <v>0</v>
      </c>
      <c r="N47" s="717">
        <v>0</v>
      </c>
      <c r="O47" s="717">
        <f>O30+O31+O32+O33+O34+O35+O36+O38</f>
        <v>0</v>
      </c>
      <c r="P47" s="650">
        <v>338926453</v>
      </c>
      <c r="Q47" s="650">
        <f t="shared" si="0"/>
        <v>358963965</v>
      </c>
      <c r="R47" s="650">
        <f t="shared" si="0"/>
        <v>345114828</v>
      </c>
      <c r="S47" s="667"/>
    </row>
    <row r="48" spans="1:19" ht="20.25" customHeight="1" x14ac:dyDescent="0.25">
      <c r="A48" s="639" t="s">
        <v>113</v>
      </c>
      <c r="B48" s="25" t="s">
        <v>112</v>
      </c>
      <c r="C48" s="668"/>
      <c r="D48" s="717">
        <v>0</v>
      </c>
      <c r="E48" s="717">
        <v>0</v>
      </c>
      <c r="F48" s="717">
        <v>0</v>
      </c>
      <c r="G48" s="643">
        <v>42</v>
      </c>
      <c r="H48" s="643">
        <v>43</v>
      </c>
      <c r="I48" s="717">
        <v>43</v>
      </c>
      <c r="J48" s="643">
        <v>21</v>
      </c>
      <c r="K48" s="643">
        <v>22</v>
      </c>
      <c r="L48" s="717">
        <v>22</v>
      </c>
      <c r="M48" s="643">
        <v>4</v>
      </c>
      <c r="N48" s="643">
        <f>M48</f>
        <v>4</v>
      </c>
      <c r="O48" s="717">
        <v>4</v>
      </c>
      <c r="P48" s="643">
        <v>67</v>
      </c>
      <c r="Q48" s="643">
        <v>69</v>
      </c>
      <c r="R48" s="717">
        <f t="shared" si="0"/>
        <v>69</v>
      </c>
    </row>
    <row r="49" spans="1:19" ht="20.25" customHeight="1" x14ac:dyDescent="0.2">
      <c r="A49" s="639" t="s">
        <v>250</v>
      </c>
      <c r="B49" s="25" t="s">
        <v>114</v>
      </c>
      <c r="C49" s="668"/>
      <c r="D49" s="717">
        <v>0</v>
      </c>
      <c r="E49" s="717">
        <v>0</v>
      </c>
      <c r="F49" s="717">
        <v>0</v>
      </c>
      <c r="G49" s="717">
        <v>0</v>
      </c>
      <c r="H49" s="717">
        <v>0</v>
      </c>
      <c r="I49" s="717">
        <v>0</v>
      </c>
      <c r="J49" s="717">
        <v>0</v>
      </c>
      <c r="K49" s="717">
        <v>0</v>
      </c>
      <c r="L49" s="717">
        <v>0</v>
      </c>
      <c r="M49" s="717">
        <v>0</v>
      </c>
      <c r="N49" s="717">
        <v>0</v>
      </c>
      <c r="O49" s="717">
        <v>0</v>
      </c>
      <c r="P49" s="717">
        <v>0</v>
      </c>
      <c r="Q49" s="717">
        <v>0</v>
      </c>
      <c r="R49" s="717">
        <f t="shared" si="0"/>
        <v>0</v>
      </c>
    </row>
    <row r="51" spans="1:19" x14ac:dyDescent="0.2">
      <c r="S51" s="723"/>
    </row>
    <row r="52" spans="1:19" x14ac:dyDescent="0.2">
      <c r="R52" s="724"/>
    </row>
  </sheetData>
  <mergeCells count="25">
    <mergeCell ref="A2:C3"/>
    <mergeCell ref="A4:A7"/>
    <mergeCell ref="B4:C4"/>
    <mergeCell ref="D4:F4"/>
    <mergeCell ref="G4:I4"/>
    <mergeCell ref="B6:C6"/>
    <mergeCell ref="B5:C5"/>
    <mergeCell ref="D5:F5"/>
    <mergeCell ref="G5:I5"/>
    <mergeCell ref="D2:L2"/>
    <mergeCell ref="J5:L5"/>
    <mergeCell ref="D6:F7"/>
    <mergeCell ref="G6:I7"/>
    <mergeCell ref="J6:L7"/>
    <mergeCell ref="M2:R2"/>
    <mergeCell ref="J4:L4"/>
    <mergeCell ref="D8:F8"/>
    <mergeCell ref="G8:I8"/>
    <mergeCell ref="J8:L8"/>
    <mergeCell ref="M8:O8"/>
    <mergeCell ref="P8:R8"/>
    <mergeCell ref="M4:O4"/>
    <mergeCell ref="P4:R7"/>
    <mergeCell ref="M5:O5"/>
    <mergeCell ref="M6:O7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paperSize="9" scale="40" orientation="landscape" horizontalDpi="200" verticalDpi="200" r:id="rId1"/>
  <headerFooter alignWithMargins="0">
    <oddHeader>&amp;CDunaharaszti Város Önkormányzat 2017. évi zárszámadás&amp;R&amp;A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zoomScale="60" zoomScaleNormal="84" workbookViewId="0">
      <pane xSplit="3" ySplit="8" topLeftCell="F30" activePane="bottomRight" state="frozen"/>
      <selection pane="topRight" activeCell="D1" sqref="D1"/>
      <selection pane="bottomLeft" activeCell="A8" sqref="A8"/>
      <selection pane="bottomRight" activeCell="R17" sqref="R17"/>
    </sheetView>
  </sheetViews>
  <sheetFormatPr defaultRowHeight="12.75" x14ac:dyDescent="0.2"/>
  <cols>
    <col min="1" max="1" width="6.140625" style="626" customWidth="1"/>
    <col min="2" max="2" width="64.85546875" style="626" customWidth="1"/>
    <col min="3" max="3" width="7.85546875" style="627" customWidth="1"/>
    <col min="4" max="4" width="17.5703125" style="628" customWidth="1"/>
    <col min="5" max="5" width="19" style="628" customWidth="1"/>
    <col min="6" max="6" width="16.5703125" style="628" customWidth="1"/>
    <col min="7" max="7" width="19.5703125" style="628" customWidth="1"/>
    <col min="8" max="9" width="19.140625" style="628" customWidth="1"/>
    <col min="10" max="10" width="19" style="628" bestFit="1" customWidth="1"/>
    <col min="11" max="11" width="22.7109375" style="628" bestFit="1" customWidth="1"/>
    <col min="12" max="12" width="17.28515625" style="628" bestFit="1" customWidth="1"/>
    <col min="13" max="15" width="14.140625" style="628" customWidth="1"/>
    <col min="16" max="16" width="19" style="628" bestFit="1" customWidth="1"/>
    <col min="17" max="17" width="22.7109375" style="628" bestFit="1" customWidth="1"/>
    <col min="18" max="18" width="14.7109375" style="626" bestFit="1" customWidth="1"/>
    <col min="19" max="16384" width="9.140625" style="626"/>
  </cols>
  <sheetData>
    <row r="1" spans="1:20" x14ac:dyDescent="0.2">
      <c r="H1" s="657" t="s">
        <v>0</v>
      </c>
      <c r="I1" s="657"/>
      <c r="P1" s="657"/>
      <c r="Q1" s="657" t="s">
        <v>0</v>
      </c>
      <c r="R1" s="667"/>
    </row>
    <row r="2" spans="1:20" ht="51" customHeight="1" x14ac:dyDescent="0.2">
      <c r="A2" s="961" t="s">
        <v>1249</v>
      </c>
      <c r="B2" s="962"/>
      <c r="C2" s="963"/>
      <c r="D2" s="958" t="s">
        <v>1278</v>
      </c>
      <c r="E2" s="959"/>
      <c r="F2" s="959"/>
      <c r="G2" s="959"/>
      <c r="H2" s="959"/>
      <c r="I2" s="960"/>
      <c r="J2" s="958" t="s">
        <v>1278</v>
      </c>
      <c r="K2" s="959"/>
      <c r="L2" s="959"/>
      <c r="M2" s="959"/>
      <c r="N2" s="959"/>
      <c r="O2" s="959"/>
      <c r="P2" s="959"/>
      <c r="Q2" s="959"/>
      <c r="R2" s="960"/>
    </row>
    <row r="3" spans="1:20" ht="51" customHeight="1" x14ac:dyDescent="0.2">
      <c r="A3" s="964"/>
      <c r="B3" s="965"/>
      <c r="C3" s="966"/>
      <c r="D3" s="560" t="s">
        <v>6</v>
      </c>
      <c r="E3" s="560" t="s">
        <v>7</v>
      </c>
      <c r="F3" s="560" t="s">
        <v>788</v>
      </c>
      <c r="G3" s="560" t="s">
        <v>6</v>
      </c>
      <c r="H3" s="560" t="s">
        <v>7</v>
      </c>
      <c r="I3" s="560" t="s">
        <v>788</v>
      </c>
      <c r="J3" s="560" t="s">
        <v>6</v>
      </c>
      <c r="K3" s="560" t="s">
        <v>7</v>
      </c>
      <c r="L3" s="560" t="s">
        <v>788</v>
      </c>
      <c r="M3" s="560" t="s">
        <v>6</v>
      </c>
      <c r="N3" s="560" t="s">
        <v>7</v>
      </c>
      <c r="O3" s="560" t="s">
        <v>788</v>
      </c>
      <c r="P3" s="560" t="s">
        <v>6</v>
      </c>
      <c r="Q3" s="560" t="s">
        <v>7</v>
      </c>
      <c r="R3" s="560" t="s">
        <v>788</v>
      </c>
      <c r="T3" s="669"/>
    </row>
    <row r="4" spans="1:20" s="634" customFormat="1" ht="107.25" customHeight="1" x14ac:dyDescent="0.2">
      <c r="A4" s="979" t="s">
        <v>3</v>
      </c>
      <c r="B4" s="980" t="s">
        <v>4</v>
      </c>
      <c r="C4" s="980"/>
      <c r="D4" s="955" t="s">
        <v>1358</v>
      </c>
      <c r="E4" s="956"/>
      <c r="F4" s="957"/>
      <c r="G4" s="958" t="s">
        <v>1373</v>
      </c>
      <c r="H4" s="959"/>
      <c r="I4" s="960"/>
      <c r="J4" s="958" t="s">
        <v>1287</v>
      </c>
      <c r="K4" s="959"/>
      <c r="L4" s="960"/>
      <c r="M4" s="958" t="s">
        <v>1255</v>
      </c>
      <c r="N4" s="959"/>
      <c r="O4" s="960"/>
      <c r="P4" s="946" t="s">
        <v>1258</v>
      </c>
      <c r="Q4" s="947"/>
      <c r="R4" s="948"/>
    </row>
    <row r="5" spans="1:20" s="634" customFormat="1" ht="25.5" customHeight="1" x14ac:dyDescent="0.2">
      <c r="A5" s="979"/>
      <c r="B5" s="980" t="s">
        <v>5</v>
      </c>
      <c r="C5" s="980"/>
      <c r="D5" s="955" t="s">
        <v>11</v>
      </c>
      <c r="E5" s="956"/>
      <c r="F5" s="957"/>
      <c r="G5" s="955" t="s">
        <v>11</v>
      </c>
      <c r="H5" s="956"/>
      <c r="I5" s="957"/>
      <c r="J5" s="955" t="s">
        <v>11</v>
      </c>
      <c r="K5" s="956"/>
      <c r="L5" s="957"/>
      <c r="M5" s="955" t="s">
        <v>11</v>
      </c>
      <c r="N5" s="956"/>
      <c r="O5" s="957"/>
      <c r="P5" s="949"/>
      <c r="Q5" s="950"/>
      <c r="R5" s="951"/>
    </row>
    <row r="6" spans="1:20" s="634" customFormat="1" ht="16.899999999999999" customHeight="1" x14ac:dyDescent="0.2">
      <c r="A6" s="979"/>
      <c r="B6" s="980" t="s">
        <v>8</v>
      </c>
      <c r="C6" s="980"/>
      <c r="D6" s="940" t="s">
        <v>1259</v>
      </c>
      <c r="E6" s="941"/>
      <c r="F6" s="942"/>
      <c r="G6" s="940" t="s">
        <v>1374</v>
      </c>
      <c r="H6" s="941"/>
      <c r="I6" s="942"/>
      <c r="J6" s="940" t="s">
        <v>1375</v>
      </c>
      <c r="K6" s="941"/>
      <c r="L6" s="942"/>
      <c r="M6" s="940" t="s">
        <v>1376</v>
      </c>
      <c r="N6" s="941"/>
      <c r="O6" s="942"/>
      <c r="P6" s="949"/>
      <c r="Q6" s="950"/>
      <c r="R6" s="951"/>
    </row>
    <row r="7" spans="1:20" ht="73.5" customHeight="1" x14ac:dyDescent="0.2">
      <c r="A7" s="979"/>
      <c r="B7" s="635" t="s">
        <v>9</v>
      </c>
      <c r="C7" s="636" t="s">
        <v>10</v>
      </c>
      <c r="D7" s="943"/>
      <c r="E7" s="944"/>
      <c r="F7" s="945"/>
      <c r="G7" s="943"/>
      <c r="H7" s="944"/>
      <c r="I7" s="945"/>
      <c r="J7" s="943"/>
      <c r="K7" s="944"/>
      <c r="L7" s="945"/>
      <c r="M7" s="943"/>
      <c r="N7" s="944"/>
      <c r="O7" s="945"/>
      <c r="P7" s="952"/>
      <c r="Q7" s="953"/>
      <c r="R7" s="954"/>
    </row>
    <row r="8" spans="1:20" ht="15.75" x14ac:dyDescent="0.2">
      <c r="A8" s="637" t="s">
        <v>15</v>
      </c>
      <c r="B8" s="638" t="s">
        <v>16</v>
      </c>
      <c r="C8" s="638" t="s">
        <v>17</v>
      </c>
      <c r="D8" s="976" t="s">
        <v>18</v>
      </c>
      <c r="E8" s="977"/>
      <c r="F8" s="978"/>
      <c r="G8" s="976" t="s">
        <v>19</v>
      </c>
      <c r="H8" s="977"/>
      <c r="I8" s="978"/>
      <c r="J8" s="976" t="s">
        <v>20</v>
      </c>
      <c r="K8" s="977"/>
      <c r="L8" s="978"/>
      <c r="M8" s="976" t="s">
        <v>21</v>
      </c>
      <c r="N8" s="977"/>
      <c r="O8" s="978"/>
      <c r="P8" s="976" t="s">
        <v>22</v>
      </c>
      <c r="Q8" s="977"/>
      <c r="R8" s="978"/>
    </row>
    <row r="9" spans="1:20" ht="22.5" customHeight="1" x14ac:dyDescent="0.25">
      <c r="A9" s="639" t="s">
        <v>15</v>
      </c>
      <c r="B9" s="640" t="s">
        <v>23</v>
      </c>
      <c r="C9" s="641" t="s">
        <v>24</v>
      </c>
      <c r="D9" s="717">
        <v>0</v>
      </c>
      <c r="E9" s="717">
        <v>0</v>
      </c>
      <c r="F9" s="717">
        <v>0</v>
      </c>
      <c r="G9" s="643">
        <v>12832013</v>
      </c>
      <c r="H9" s="643">
        <v>13832013</v>
      </c>
      <c r="I9" s="717">
        <v>13447842</v>
      </c>
      <c r="J9" s="643">
        <v>70407616</v>
      </c>
      <c r="K9" s="643">
        <v>75951699</v>
      </c>
      <c r="L9" s="717">
        <v>74915289</v>
      </c>
      <c r="M9" s="717">
        <v>0</v>
      </c>
      <c r="N9" s="717">
        <v>0</v>
      </c>
      <c r="O9" s="717">
        <v>0</v>
      </c>
      <c r="P9" s="643">
        <v>83239629</v>
      </c>
      <c r="Q9" s="643">
        <v>89783712</v>
      </c>
      <c r="R9" s="674">
        <f>F9+I9+L9+O9</f>
        <v>88363131</v>
      </c>
    </row>
    <row r="10" spans="1:20" ht="22.5" customHeight="1" x14ac:dyDescent="0.25">
      <c r="A10" s="639" t="s">
        <v>16</v>
      </c>
      <c r="B10" s="645" t="s">
        <v>25</v>
      </c>
      <c r="C10" s="641" t="s">
        <v>26</v>
      </c>
      <c r="D10" s="717">
        <v>0</v>
      </c>
      <c r="E10" s="717">
        <v>0</v>
      </c>
      <c r="F10" s="717">
        <v>0</v>
      </c>
      <c r="G10" s="643">
        <v>2939380</v>
      </c>
      <c r="H10" s="643">
        <v>3089380</v>
      </c>
      <c r="I10" s="717">
        <v>3046306</v>
      </c>
      <c r="J10" s="643">
        <v>17697322</v>
      </c>
      <c r="K10" s="643">
        <v>19239606</v>
      </c>
      <c r="L10" s="717">
        <v>19057596</v>
      </c>
      <c r="M10" s="717">
        <v>0</v>
      </c>
      <c r="N10" s="717">
        <v>0</v>
      </c>
      <c r="O10" s="717">
        <v>0</v>
      </c>
      <c r="P10" s="643">
        <v>20636702</v>
      </c>
      <c r="Q10" s="643">
        <v>22328986</v>
      </c>
      <c r="R10" s="674">
        <f t="shared" ref="R10:R49" si="0">F10+I10+L10+O10</f>
        <v>22103902</v>
      </c>
    </row>
    <row r="11" spans="1:20" ht="22.5" customHeight="1" x14ac:dyDescent="0.25">
      <c r="A11" s="639" t="s">
        <v>17</v>
      </c>
      <c r="B11" s="645" t="s">
        <v>27</v>
      </c>
      <c r="C11" s="641" t="s">
        <v>28</v>
      </c>
      <c r="D11" s="643">
        <v>404482</v>
      </c>
      <c r="E11" s="717">
        <v>0</v>
      </c>
      <c r="F11" s="717">
        <v>0</v>
      </c>
      <c r="G11" s="643">
        <v>15538131</v>
      </c>
      <c r="H11" s="643">
        <v>16567374</v>
      </c>
      <c r="I11" s="717">
        <v>10328761</v>
      </c>
      <c r="J11" s="643">
        <v>18850994</v>
      </c>
      <c r="K11" s="643">
        <v>22476732</v>
      </c>
      <c r="L11" s="717">
        <v>11979192</v>
      </c>
      <c r="M11" s="717">
        <v>0</v>
      </c>
      <c r="N11" s="717">
        <v>0</v>
      </c>
      <c r="O11" s="717">
        <v>0</v>
      </c>
      <c r="P11" s="643">
        <v>34793607</v>
      </c>
      <c r="Q11" s="643">
        <v>39044106</v>
      </c>
      <c r="R11" s="674">
        <f t="shared" si="0"/>
        <v>22307953</v>
      </c>
    </row>
    <row r="12" spans="1:20" ht="22.5" customHeight="1" x14ac:dyDescent="0.2">
      <c r="A12" s="639" t="s">
        <v>18</v>
      </c>
      <c r="B12" s="646" t="s">
        <v>29</v>
      </c>
      <c r="C12" s="641" t="s">
        <v>30</v>
      </c>
      <c r="D12" s="717">
        <v>0</v>
      </c>
      <c r="E12" s="717">
        <v>0</v>
      </c>
      <c r="F12" s="717">
        <v>0</v>
      </c>
      <c r="G12" s="717">
        <v>0</v>
      </c>
      <c r="H12" s="717">
        <v>0</v>
      </c>
      <c r="I12" s="717">
        <v>0</v>
      </c>
      <c r="J12" s="717">
        <v>0</v>
      </c>
      <c r="K12" s="717">
        <v>0</v>
      </c>
      <c r="L12" s="717">
        <v>0</v>
      </c>
      <c r="M12" s="717">
        <v>0</v>
      </c>
      <c r="N12" s="717">
        <v>0</v>
      </c>
      <c r="O12" s="717">
        <v>0</v>
      </c>
      <c r="P12" s="717">
        <v>0</v>
      </c>
      <c r="Q12" s="717">
        <v>0</v>
      </c>
      <c r="R12" s="674">
        <f t="shared" si="0"/>
        <v>0</v>
      </c>
    </row>
    <row r="13" spans="1:20" ht="22.5" customHeight="1" x14ac:dyDescent="0.25">
      <c r="A13" s="639" t="s">
        <v>19</v>
      </c>
      <c r="B13" s="646" t="s">
        <v>31</v>
      </c>
      <c r="C13" s="641" t="s">
        <v>32</v>
      </c>
      <c r="D13" s="717">
        <v>0</v>
      </c>
      <c r="E13" s="643">
        <v>5105240</v>
      </c>
      <c r="F13" s="717">
        <v>5105240</v>
      </c>
      <c r="G13" s="717">
        <v>0</v>
      </c>
      <c r="H13" s="717">
        <v>0</v>
      </c>
      <c r="I13" s="717">
        <f>SUM(I14:I16)</f>
        <v>0</v>
      </c>
      <c r="J13" s="717">
        <v>0</v>
      </c>
      <c r="K13" s="717">
        <v>0</v>
      </c>
      <c r="L13" s="717">
        <f>SUM(L14:L16)</f>
        <v>0</v>
      </c>
      <c r="M13" s="717">
        <v>0</v>
      </c>
      <c r="N13" s="717">
        <v>0</v>
      </c>
      <c r="O13" s="717">
        <f>SUM(O14:O16)</f>
        <v>0</v>
      </c>
      <c r="P13" s="717">
        <v>0</v>
      </c>
      <c r="Q13" s="643">
        <v>5105240</v>
      </c>
      <c r="R13" s="674">
        <f t="shared" si="0"/>
        <v>5105240</v>
      </c>
    </row>
    <row r="14" spans="1:20" ht="22.5" customHeight="1" x14ac:dyDescent="0.2">
      <c r="A14" s="639" t="s">
        <v>20</v>
      </c>
      <c r="B14" s="21" t="s">
        <v>33</v>
      </c>
      <c r="C14" s="641"/>
      <c r="D14" s="717">
        <v>0</v>
      </c>
      <c r="E14" s="717">
        <v>0</v>
      </c>
      <c r="F14" s="717">
        <v>0</v>
      </c>
      <c r="G14" s="717">
        <v>0</v>
      </c>
      <c r="H14" s="717">
        <v>0</v>
      </c>
      <c r="I14" s="717">
        <v>0</v>
      </c>
      <c r="J14" s="717">
        <v>0</v>
      </c>
      <c r="K14" s="717">
        <v>0</v>
      </c>
      <c r="L14" s="717">
        <v>0</v>
      </c>
      <c r="M14" s="717">
        <v>0</v>
      </c>
      <c r="N14" s="717">
        <v>0</v>
      </c>
      <c r="O14" s="717">
        <v>0</v>
      </c>
      <c r="P14" s="717">
        <v>0</v>
      </c>
      <c r="Q14" s="717">
        <v>0</v>
      </c>
      <c r="R14" s="674">
        <f t="shared" si="0"/>
        <v>0</v>
      </c>
    </row>
    <row r="15" spans="1:20" ht="22.5" customHeight="1" x14ac:dyDescent="0.2">
      <c r="A15" s="639" t="s">
        <v>21</v>
      </c>
      <c r="B15" s="21" t="s">
        <v>34</v>
      </c>
      <c r="C15" s="647"/>
      <c r="D15" s="717">
        <v>0</v>
      </c>
      <c r="E15" s="717">
        <v>0</v>
      </c>
      <c r="F15" s="717">
        <v>0</v>
      </c>
      <c r="G15" s="717">
        <v>0</v>
      </c>
      <c r="H15" s="717">
        <v>0</v>
      </c>
      <c r="I15" s="717">
        <v>0</v>
      </c>
      <c r="J15" s="717">
        <v>0</v>
      </c>
      <c r="K15" s="717">
        <v>0</v>
      </c>
      <c r="L15" s="717">
        <v>0</v>
      </c>
      <c r="M15" s="717">
        <v>0</v>
      </c>
      <c r="N15" s="717">
        <v>0</v>
      </c>
      <c r="O15" s="717">
        <v>0</v>
      </c>
      <c r="P15" s="717">
        <v>0</v>
      </c>
      <c r="Q15" s="717">
        <v>0</v>
      </c>
      <c r="R15" s="674">
        <f t="shared" si="0"/>
        <v>0</v>
      </c>
    </row>
    <row r="16" spans="1:20" ht="22.5" customHeight="1" x14ac:dyDescent="0.25">
      <c r="A16" s="639" t="s">
        <v>22</v>
      </c>
      <c r="B16" s="17" t="s">
        <v>35</v>
      </c>
      <c r="C16" s="647"/>
      <c r="D16" s="717">
        <v>0</v>
      </c>
      <c r="E16" s="643">
        <v>5105240</v>
      </c>
      <c r="F16" s="717">
        <v>5105240</v>
      </c>
      <c r="G16" s="717">
        <v>0</v>
      </c>
      <c r="H16" s="717">
        <v>0</v>
      </c>
      <c r="I16" s="717">
        <v>0</v>
      </c>
      <c r="J16" s="717">
        <v>0</v>
      </c>
      <c r="K16" s="717">
        <v>0</v>
      </c>
      <c r="L16" s="717">
        <v>0</v>
      </c>
      <c r="M16" s="717">
        <v>0</v>
      </c>
      <c r="N16" s="717">
        <v>0</v>
      </c>
      <c r="O16" s="717">
        <v>0</v>
      </c>
      <c r="P16" s="717">
        <v>0</v>
      </c>
      <c r="Q16" s="643">
        <v>5105240</v>
      </c>
      <c r="R16" s="674">
        <f t="shared" si="0"/>
        <v>5105240</v>
      </c>
    </row>
    <row r="17" spans="1:19" ht="22.5" customHeight="1" x14ac:dyDescent="0.25">
      <c r="A17" s="639" t="s">
        <v>36</v>
      </c>
      <c r="B17" s="648" t="s">
        <v>37</v>
      </c>
      <c r="C17" s="641" t="s">
        <v>38</v>
      </c>
      <c r="D17" s="717">
        <v>0</v>
      </c>
      <c r="E17" s="717">
        <v>0</v>
      </c>
      <c r="F17" s="717">
        <v>0</v>
      </c>
      <c r="G17" s="717">
        <v>0</v>
      </c>
      <c r="H17" s="717">
        <v>0</v>
      </c>
      <c r="I17" s="717">
        <v>0</v>
      </c>
      <c r="J17" s="717">
        <v>0</v>
      </c>
      <c r="K17" s="643">
        <v>519359</v>
      </c>
      <c r="L17" s="717">
        <v>85925</v>
      </c>
      <c r="M17" s="717">
        <v>0</v>
      </c>
      <c r="N17" s="717">
        <v>0</v>
      </c>
      <c r="O17" s="717">
        <v>0</v>
      </c>
      <c r="P17" s="717">
        <v>0</v>
      </c>
      <c r="Q17" s="643">
        <v>519359</v>
      </c>
      <c r="R17" s="674">
        <f t="shared" si="0"/>
        <v>85925</v>
      </c>
    </row>
    <row r="18" spans="1:19" ht="22.5" customHeight="1" x14ac:dyDescent="0.2">
      <c r="A18" s="639" t="s">
        <v>39</v>
      </c>
      <c r="B18" s="646" t="s">
        <v>40</v>
      </c>
      <c r="C18" s="641" t="s">
        <v>41</v>
      </c>
      <c r="D18" s="717">
        <v>0</v>
      </c>
      <c r="E18" s="717">
        <v>0</v>
      </c>
      <c r="F18" s="717">
        <v>0</v>
      </c>
      <c r="G18" s="717">
        <v>0</v>
      </c>
      <c r="H18" s="717">
        <v>0</v>
      </c>
      <c r="I18" s="717">
        <v>0</v>
      </c>
      <c r="J18" s="717">
        <v>0</v>
      </c>
      <c r="K18" s="717">
        <v>0</v>
      </c>
      <c r="L18" s="717">
        <v>0</v>
      </c>
      <c r="M18" s="717">
        <v>0</v>
      </c>
      <c r="N18" s="717">
        <v>0</v>
      </c>
      <c r="O18" s="717">
        <v>0</v>
      </c>
      <c r="P18" s="717">
        <v>0</v>
      </c>
      <c r="Q18" s="717">
        <v>0</v>
      </c>
      <c r="R18" s="674">
        <f t="shared" si="0"/>
        <v>0</v>
      </c>
    </row>
    <row r="19" spans="1:19" ht="22.5" customHeight="1" x14ac:dyDescent="0.2">
      <c r="A19" s="639" t="s">
        <v>42</v>
      </c>
      <c r="B19" s="646" t="s">
        <v>43</v>
      </c>
      <c r="C19" s="641" t="s">
        <v>44</v>
      </c>
      <c r="D19" s="717">
        <v>0</v>
      </c>
      <c r="E19" s="717">
        <v>0</v>
      </c>
      <c r="F19" s="717">
        <f>SUM(F20)</f>
        <v>0</v>
      </c>
      <c r="G19" s="717">
        <v>0</v>
      </c>
      <c r="H19" s="717">
        <v>0</v>
      </c>
      <c r="I19" s="717">
        <f>SUM(I20)</f>
        <v>0</v>
      </c>
      <c r="J19" s="717">
        <v>0</v>
      </c>
      <c r="K19" s="717">
        <v>0</v>
      </c>
      <c r="L19" s="717">
        <f>SUM(L20)</f>
        <v>0</v>
      </c>
      <c r="M19" s="717">
        <v>0</v>
      </c>
      <c r="N19" s="717">
        <v>0</v>
      </c>
      <c r="O19" s="717">
        <f>SUM(O20)</f>
        <v>0</v>
      </c>
      <c r="P19" s="717">
        <v>0</v>
      </c>
      <c r="Q19" s="717">
        <v>0</v>
      </c>
      <c r="R19" s="674">
        <f t="shared" si="0"/>
        <v>0</v>
      </c>
    </row>
    <row r="20" spans="1:19" ht="22.5" customHeight="1" x14ac:dyDescent="0.2">
      <c r="A20" s="639" t="s">
        <v>45</v>
      </c>
      <c r="B20" s="21" t="s">
        <v>46</v>
      </c>
      <c r="C20" s="641"/>
      <c r="D20" s="717">
        <v>0</v>
      </c>
      <c r="E20" s="717">
        <v>0</v>
      </c>
      <c r="F20" s="717">
        <v>0</v>
      </c>
      <c r="G20" s="717">
        <v>0</v>
      </c>
      <c r="H20" s="717">
        <v>0</v>
      </c>
      <c r="I20" s="717">
        <v>0</v>
      </c>
      <c r="J20" s="717">
        <v>0</v>
      </c>
      <c r="K20" s="717">
        <v>0</v>
      </c>
      <c r="L20" s="717">
        <v>0</v>
      </c>
      <c r="M20" s="717">
        <v>0</v>
      </c>
      <c r="N20" s="717">
        <v>0</v>
      </c>
      <c r="O20" s="717">
        <v>0</v>
      </c>
      <c r="P20" s="717">
        <v>0</v>
      </c>
      <c r="Q20" s="717">
        <v>0</v>
      </c>
      <c r="R20" s="674">
        <f t="shared" si="0"/>
        <v>0</v>
      </c>
    </row>
    <row r="21" spans="1:19" ht="22.5" customHeight="1" x14ac:dyDescent="0.25">
      <c r="A21" s="639" t="s">
        <v>47</v>
      </c>
      <c r="B21" s="648" t="s">
        <v>48</v>
      </c>
      <c r="C21" s="641" t="s">
        <v>49</v>
      </c>
      <c r="D21" s="643">
        <v>404482</v>
      </c>
      <c r="E21" s="643">
        <v>5105240</v>
      </c>
      <c r="F21" s="717">
        <f>F9+F10+F11+F12+F13+F17+F18+F19</f>
        <v>5105240</v>
      </c>
      <c r="G21" s="643">
        <v>31309524</v>
      </c>
      <c r="H21" s="643">
        <v>33488767</v>
      </c>
      <c r="I21" s="717">
        <f>I9+I10+I11+I12+I13+I17+I18+I19</f>
        <v>26822909</v>
      </c>
      <c r="J21" s="643">
        <v>106955932</v>
      </c>
      <c r="K21" s="643">
        <v>118187396</v>
      </c>
      <c r="L21" s="717">
        <f>L9+L10+L11+L12+L13+L17+L18+L19</f>
        <v>106038002</v>
      </c>
      <c r="M21" s="717">
        <v>0</v>
      </c>
      <c r="N21" s="717">
        <v>0</v>
      </c>
      <c r="O21" s="717">
        <f>O9+O10+O11+O12+O13+O17+O18+O19</f>
        <v>0</v>
      </c>
      <c r="P21" s="643">
        <v>138669938</v>
      </c>
      <c r="Q21" s="643">
        <v>156781403</v>
      </c>
      <c r="R21" s="674">
        <f t="shared" si="0"/>
        <v>137966151</v>
      </c>
    </row>
    <row r="22" spans="1:19" ht="22.5" customHeight="1" x14ac:dyDescent="0.2">
      <c r="A22" s="639" t="s">
        <v>50</v>
      </c>
      <c r="B22" s="648" t="s">
        <v>51</v>
      </c>
      <c r="C22" s="641" t="s">
        <v>52</v>
      </c>
      <c r="D22" s="717">
        <v>0</v>
      </c>
      <c r="E22" s="717">
        <v>0</v>
      </c>
      <c r="F22" s="717">
        <f>SUM(F23:F26)</f>
        <v>0</v>
      </c>
      <c r="G22" s="717">
        <v>0</v>
      </c>
      <c r="H22" s="717">
        <v>0</v>
      </c>
      <c r="I22" s="717">
        <f>SUM(I23:I26)</f>
        <v>0</v>
      </c>
      <c r="J22" s="717">
        <v>0</v>
      </c>
      <c r="K22" s="717">
        <v>0</v>
      </c>
      <c r="L22" s="717">
        <f>SUM(L23:L26)</f>
        <v>0</v>
      </c>
      <c r="M22" s="717">
        <v>0</v>
      </c>
      <c r="N22" s="717">
        <v>0</v>
      </c>
      <c r="O22" s="717">
        <f>SUM(O23:O26)</f>
        <v>0</v>
      </c>
      <c r="P22" s="717">
        <v>0</v>
      </c>
      <c r="Q22" s="717">
        <v>0</v>
      </c>
      <c r="R22" s="674">
        <f t="shared" si="0"/>
        <v>0</v>
      </c>
    </row>
    <row r="23" spans="1:19" ht="22.5" customHeight="1" x14ac:dyDescent="0.2">
      <c r="A23" s="639" t="s">
        <v>53</v>
      </c>
      <c r="B23" s="24" t="s">
        <v>970</v>
      </c>
      <c r="C23" s="647"/>
      <c r="D23" s="717">
        <v>0</v>
      </c>
      <c r="E23" s="717">
        <v>0</v>
      </c>
      <c r="F23" s="717">
        <v>0</v>
      </c>
      <c r="G23" s="717">
        <v>0</v>
      </c>
      <c r="H23" s="717">
        <v>0</v>
      </c>
      <c r="I23" s="717">
        <v>0</v>
      </c>
      <c r="J23" s="717">
        <v>0</v>
      </c>
      <c r="K23" s="717">
        <v>0</v>
      </c>
      <c r="L23" s="717">
        <v>0</v>
      </c>
      <c r="M23" s="717">
        <v>0</v>
      </c>
      <c r="N23" s="717">
        <v>0</v>
      </c>
      <c r="O23" s="717">
        <v>0</v>
      </c>
      <c r="P23" s="717">
        <v>0</v>
      </c>
      <c r="Q23" s="717">
        <v>0</v>
      </c>
      <c r="R23" s="674">
        <f t="shared" si="0"/>
        <v>0</v>
      </c>
    </row>
    <row r="24" spans="1:19" ht="22.5" customHeight="1" x14ac:dyDescent="0.2">
      <c r="A24" s="639" t="s">
        <v>55</v>
      </c>
      <c r="B24" s="652" t="s">
        <v>56</v>
      </c>
      <c r="C24" s="647"/>
      <c r="D24" s="717">
        <v>0</v>
      </c>
      <c r="E24" s="717">
        <v>0</v>
      </c>
      <c r="F24" s="717">
        <v>0</v>
      </c>
      <c r="G24" s="717">
        <v>0</v>
      </c>
      <c r="H24" s="717">
        <v>0</v>
      </c>
      <c r="I24" s="717">
        <v>0</v>
      </c>
      <c r="J24" s="717">
        <v>0</v>
      </c>
      <c r="K24" s="717">
        <v>0</v>
      </c>
      <c r="L24" s="717">
        <v>0</v>
      </c>
      <c r="M24" s="717">
        <v>0</v>
      </c>
      <c r="N24" s="717">
        <v>0</v>
      </c>
      <c r="O24" s="717">
        <v>0</v>
      </c>
      <c r="P24" s="717">
        <v>0</v>
      </c>
      <c r="Q24" s="717">
        <v>0</v>
      </c>
      <c r="R24" s="674">
        <f t="shared" si="0"/>
        <v>0</v>
      </c>
    </row>
    <row r="25" spans="1:19" ht="22.5" customHeight="1" x14ac:dyDescent="0.2">
      <c r="A25" s="639" t="s">
        <v>57</v>
      </c>
      <c r="B25" s="652" t="s">
        <v>58</v>
      </c>
      <c r="C25" s="647"/>
      <c r="D25" s="717">
        <v>0</v>
      </c>
      <c r="E25" s="717">
        <v>0</v>
      </c>
      <c r="F25" s="717">
        <v>0</v>
      </c>
      <c r="G25" s="717">
        <v>0</v>
      </c>
      <c r="H25" s="717">
        <v>0</v>
      </c>
      <c r="I25" s="717">
        <v>0</v>
      </c>
      <c r="J25" s="717">
        <v>0</v>
      </c>
      <c r="K25" s="717">
        <v>0</v>
      </c>
      <c r="L25" s="717">
        <v>0</v>
      </c>
      <c r="M25" s="717">
        <v>0</v>
      </c>
      <c r="N25" s="717">
        <v>0</v>
      </c>
      <c r="O25" s="717">
        <v>0</v>
      </c>
      <c r="P25" s="717">
        <v>0</v>
      </c>
      <c r="Q25" s="717">
        <v>0</v>
      </c>
      <c r="R25" s="674">
        <f t="shared" si="0"/>
        <v>0</v>
      </c>
    </row>
    <row r="26" spans="1:19" ht="22.5" customHeight="1" x14ac:dyDescent="0.2">
      <c r="A26" s="639" t="s">
        <v>59</v>
      </c>
      <c r="B26" s="652" t="s">
        <v>60</v>
      </c>
      <c r="C26" s="647"/>
      <c r="D26" s="717">
        <v>0</v>
      </c>
      <c r="E26" s="717">
        <v>0</v>
      </c>
      <c r="F26" s="717">
        <v>0</v>
      </c>
      <c r="G26" s="717">
        <v>0</v>
      </c>
      <c r="H26" s="717">
        <v>0</v>
      </c>
      <c r="I26" s="717">
        <v>0</v>
      </c>
      <c r="J26" s="717">
        <v>0</v>
      </c>
      <c r="K26" s="717">
        <v>0</v>
      </c>
      <c r="L26" s="717">
        <v>0</v>
      </c>
      <c r="M26" s="717">
        <v>0</v>
      </c>
      <c r="N26" s="717">
        <v>0</v>
      </c>
      <c r="O26" s="717">
        <v>0</v>
      </c>
      <c r="P26" s="717">
        <v>0</v>
      </c>
      <c r="Q26" s="717">
        <v>0</v>
      </c>
      <c r="R26" s="674">
        <f t="shared" si="0"/>
        <v>0</v>
      </c>
    </row>
    <row r="27" spans="1:19" s="651" customFormat="1" ht="22.5" customHeight="1" x14ac:dyDescent="0.25">
      <c r="A27" s="639" t="s">
        <v>61</v>
      </c>
      <c r="B27" s="653" t="s">
        <v>62</v>
      </c>
      <c r="C27" s="641"/>
      <c r="D27" s="650">
        <v>404482</v>
      </c>
      <c r="E27" s="650">
        <v>5105240</v>
      </c>
      <c r="F27" s="717">
        <f>F9+F10+F11+F12+F13+F24+F26</f>
        <v>5105240</v>
      </c>
      <c r="G27" s="650">
        <v>31309524</v>
      </c>
      <c r="H27" s="650">
        <v>33488767</v>
      </c>
      <c r="I27" s="717">
        <f>I9+I10+I11+I12+I13+I24+I26</f>
        <v>26822909</v>
      </c>
      <c r="J27" s="650">
        <v>106955932</v>
      </c>
      <c r="K27" s="650">
        <v>117668037</v>
      </c>
      <c r="L27" s="717">
        <f>L9+L10+L11+L12+L13+L24+L26</f>
        <v>105952077</v>
      </c>
      <c r="M27" s="717">
        <v>0</v>
      </c>
      <c r="N27" s="717">
        <v>0</v>
      </c>
      <c r="O27" s="717">
        <f>O9+O10+O11+O12+O13+O24+O26</f>
        <v>0</v>
      </c>
      <c r="P27" s="650">
        <v>138669938</v>
      </c>
      <c r="Q27" s="650">
        <v>156262044</v>
      </c>
      <c r="R27" s="674">
        <f t="shared" si="0"/>
        <v>137880226</v>
      </c>
    </row>
    <row r="28" spans="1:19" s="651" customFormat="1" ht="22.5" customHeight="1" x14ac:dyDescent="0.25">
      <c r="A28" s="639" t="s">
        <v>63</v>
      </c>
      <c r="B28" s="653" t="s">
        <v>64</v>
      </c>
      <c r="C28" s="641"/>
      <c r="D28" s="717">
        <v>0</v>
      </c>
      <c r="E28" s="717">
        <v>0</v>
      </c>
      <c r="F28" s="717">
        <f>F17+F18+F19+F25</f>
        <v>0</v>
      </c>
      <c r="G28" s="717">
        <v>0</v>
      </c>
      <c r="H28" s="717">
        <v>0</v>
      </c>
      <c r="I28" s="717">
        <f>I17+I18+I19+I25</f>
        <v>0</v>
      </c>
      <c r="J28" s="717">
        <v>0</v>
      </c>
      <c r="K28" s="650">
        <v>519359</v>
      </c>
      <c r="L28" s="717">
        <f>L17+L18+L19+L25</f>
        <v>85925</v>
      </c>
      <c r="M28" s="717">
        <v>0</v>
      </c>
      <c r="N28" s="717">
        <v>0</v>
      </c>
      <c r="O28" s="717">
        <f>O17+O18+O19+O25</f>
        <v>0</v>
      </c>
      <c r="P28" s="717">
        <v>0</v>
      </c>
      <c r="Q28" s="650">
        <v>519359</v>
      </c>
      <c r="R28" s="674">
        <f t="shared" si="0"/>
        <v>85925</v>
      </c>
      <c r="S28" s="670"/>
    </row>
    <row r="29" spans="1:19" s="651" customFormat="1" ht="22.5" customHeight="1" x14ac:dyDescent="0.25">
      <c r="A29" s="639" t="s">
        <v>65</v>
      </c>
      <c r="B29" s="653" t="s">
        <v>66</v>
      </c>
      <c r="C29" s="641" t="s">
        <v>67</v>
      </c>
      <c r="D29" s="650">
        <v>404482</v>
      </c>
      <c r="E29" s="650">
        <v>5105240</v>
      </c>
      <c r="F29" s="717">
        <f>F9+F10+F11+F12+F13+F17+F18+F19+F22</f>
        <v>5105240</v>
      </c>
      <c r="G29" s="650">
        <v>31309524</v>
      </c>
      <c r="H29" s="650">
        <v>33488767</v>
      </c>
      <c r="I29" s="717">
        <f>I9+I10+I11+I12+I13+I17+I18+I19+I22</f>
        <v>26822909</v>
      </c>
      <c r="J29" s="650">
        <v>106955932</v>
      </c>
      <c r="K29" s="650">
        <v>118187396</v>
      </c>
      <c r="L29" s="717">
        <f>L9+L10+L11+L12+L13+L17+L18+L19+L22</f>
        <v>106038002</v>
      </c>
      <c r="M29" s="717">
        <v>0</v>
      </c>
      <c r="N29" s="717">
        <v>0</v>
      </c>
      <c r="O29" s="717">
        <f>O9+O10+O11+O12+O13+O17+O18+O19+O22</f>
        <v>0</v>
      </c>
      <c r="P29" s="650">
        <v>138669938</v>
      </c>
      <c r="Q29" s="650">
        <v>156781403</v>
      </c>
      <c r="R29" s="674">
        <f t="shared" si="0"/>
        <v>137966151</v>
      </c>
    </row>
    <row r="30" spans="1:19" ht="22.5" customHeight="1" x14ac:dyDescent="0.2">
      <c r="A30" s="639" t="s">
        <v>68</v>
      </c>
      <c r="B30" s="645" t="s">
        <v>69</v>
      </c>
      <c r="C30" s="648" t="s">
        <v>70</v>
      </c>
      <c r="D30" s="717">
        <v>0</v>
      </c>
      <c r="E30" s="717">
        <v>0</v>
      </c>
      <c r="F30" s="717">
        <v>0</v>
      </c>
      <c r="G30" s="717">
        <v>0</v>
      </c>
      <c r="H30" s="717">
        <v>0</v>
      </c>
      <c r="I30" s="717">
        <v>0</v>
      </c>
      <c r="J30" s="717">
        <v>0</v>
      </c>
      <c r="K30" s="717">
        <v>0</v>
      </c>
      <c r="L30" s="717">
        <v>0</v>
      </c>
      <c r="M30" s="717">
        <v>0</v>
      </c>
      <c r="N30" s="717">
        <v>0</v>
      </c>
      <c r="O30" s="717">
        <v>0</v>
      </c>
      <c r="P30" s="717">
        <v>0</v>
      </c>
      <c r="Q30" s="717">
        <v>0</v>
      </c>
      <c r="R30" s="674">
        <f t="shared" si="0"/>
        <v>0</v>
      </c>
    </row>
    <row r="31" spans="1:19" ht="22.5" customHeight="1" x14ac:dyDescent="0.2">
      <c r="A31" s="639" t="s">
        <v>71</v>
      </c>
      <c r="B31" s="645" t="s">
        <v>72</v>
      </c>
      <c r="C31" s="648" t="s">
        <v>73</v>
      </c>
      <c r="D31" s="717">
        <v>0</v>
      </c>
      <c r="E31" s="717">
        <v>0</v>
      </c>
      <c r="F31" s="717">
        <v>0</v>
      </c>
      <c r="G31" s="717">
        <v>0</v>
      </c>
      <c r="H31" s="717">
        <v>0</v>
      </c>
      <c r="I31" s="717">
        <v>0</v>
      </c>
      <c r="J31" s="717">
        <v>0</v>
      </c>
      <c r="K31" s="717">
        <v>0</v>
      </c>
      <c r="L31" s="717">
        <v>0</v>
      </c>
      <c r="M31" s="717">
        <v>0</v>
      </c>
      <c r="N31" s="717">
        <v>0</v>
      </c>
      <c r="O31" s="717">
        <v>0</v>
      </c>
      <c r="P31" s="717">
        <v>0</v>
      </c>
      <c r="Q31" s="717">
        <v>0</v>
      </c>
      <c r="R31" s="674">
        <f t="shared" si="0"/>
        <v>0</v>
      </c>
    </row>
    <row r="32" spans="1:19" ht="22.5" customHeight="1" x14ac:dyDescent="0.2">
      <c r="A32" s="639" t="s">
        <v>74</v>
      </c>
      <c r="B32" s="645" t="s">
        <v>75</v>
      </c>
      <c r="C32" s="648" t="s">
        <v>76</v>
      </c>
      <c r="D32" s="717">
        <v>0</v>
      </c>
      <c r="E32" s="717">
        <v>0</v>
      </c>
      <c r="F32" s="717">
        <v>0</v>
      </c>
      <c r="G32" s="717">
        <v>0</v>
      </c>
      <c r="H32" s="717">
        <v>0</v>
      </c>
      <c r="I32" s="717">
        <v>0</v>
      </c>
      <c r="J32" s="717">
        <v>0</v>
      </c>
      <c r="K32" s="717">
        <v>0</v>
      </c>
      <c r="L32" s="717">
        <v>0</v>
      </c>
      <c r="M32" s="717">
        <v>0</v>
      </c>
      <c r="N32" s="717">
        <v>0</v>
      </c>
      <c r="O32" s="717">
        <v>0</v>
      </c>
      <c r="P32" s="717">
        <v>0</v>
      </c>
      <c r="Q32" s="717">
        <v>0</v>
      </c>
      <c r="R32" s="674">
        <f t="shared" si="0"/>
        <v>0</v>
      </c>
    </row>
    <row r="33" spans="1:19" ht="22.5" customHeight="1" x14ac:dyDescent="0.25">
      <c r="A33" s="639" t="s">
        <v>77</v>
      </c>
      <c r="B33" s="646" t="s">
        <v>78</v>
      </c>
      <c r="C33" s="648" t="s">
        <v>79</v>
      </c>
      <c r="D33" s="717">
        <v>0</v>
      </c>
      <c r="E33" s="717">
        <v>0</v>
      </c>
      <c r="F33" s="717">
        <v>0</v>
      </c>
      <c r="G33" s="655">
        <v>3000000</v>
      </c>
      <c r="H33" s="643">
        <v>4029243</v>
      </c>
      <c r="I33" s="717">
        <v>3966679</v>
      </c>
      <c r="J33" s="655">
        <v>6000000</v>
      </c>
      <c r="K33" s="643">
        <v>7082797</v>
      </c>
      <c r="L33" s="717">
        <v>6792597</v>
      </c>
      <c r="M33" s="643">
        <v>404482</v>
      </c>
      <c r="N33" s="643">
        <f>M33-374847-29635</f>
        <v>0</v>
      </c>
      <c r="O33" s="717">
        <v>0</v>
      </c>
      <c r="P33" s="643">
        <v>9404482</v>
      </c>
      <c r="Q33" s="643">
        <v>11112040</v>
      </c>
      <c r="R33" s="674">
        <f t="shared" si="0"/>
        <v>10759276</v>
      </c>
    </row>
    <row r="34" spans="1:19" ht="22.5" customHeight="1" x14ac:dyDescent="0.2">
      <c r="A34" s="639" t="s">
        <v>80</v>
      </c>
      <c r="B34" s="645" t="s">
        <v>81</v>
      </c>
      <c r="C34" s="648" t="s">
        <v>82</v>
      </c>
      <c r="D34" s="717">
        <v>0</v>
      </c>
      <c r="E34" s="717">
        <v>0</v>
      </c>
      <c r="F34" s="717">
        <v>0</v>
      </c>
      <c r="G34" s="717">
        <v>0</v>
      </c>
      <c r="H34" s="717">
        <v>0</v>
      </c>
      <c r="I34" s="717">
        <v>0</v>
      </c>
      <c r="J34" s="717">
        <v>0</v>
      </c>
      <c r="K34" s="717">
        <v>0</v>
      </c>
      <c r="L34" s="717">
        <v>0</v>
      </c>
      <c r="M34" s="717">
        <v>0</v>
      </c>
      <c r="N34" s="717">
        <v>0</v>
      </c>
      <c r="O34" s="717">
        <v>0</v>
      </c>
      <c r="P34" s="717">
        <v>0</v>
      </c>
      <c r="Q34" s="717">
        <v>0</v>
      </c>
      <c r="R34" s="674">
        <f t="shared" si="0"/>
        <v>0</v>
      </c>
    </row>
    <row r="35" spans="1:19" ht="22.5" customHeight="1" x14ac:dyDescent="0.2">
      <c r="A35" s="639" t="s">
        <v>83</v>
      </c>
      <c r="B35" s="645" t="s">
        <v>84</v>
      </c>
      <c r="C35" s="648" t="s">
        <v>85</v>
      </c>
      <c r="D35" s="717">
        <v>0</v>
      </c>
      <c r="E35" s="717">
        <v>0</v>
      </c>
      <c r="F35" s="717">
        <v>0</v>
      </c>
      <c r="G35" s="717">
        <v>0</v>
      </c>
      <c r="H35" s="717">
        <v>0</v>
      </c>
      <c r="I35" s="717">
        <v>0</v>
      </c>
      <c r="J35" s="717">
        <v>0</v>
      </c>
      <c r="K35" s="717">
        <v>0</v>
      </c>
      <c r="L35" s="717">
        <v>0</v>
      </c>
      <c r="M35" s="717">
        <v>0</v>
      </c>
      <c r="N35" s="717">
        <v>0</v>
      </c>
      <c r="O35" s="717">
        <v>0</v>
      </c>
      <c r="P35" s="717">
        <v>0</v>
      </c>
      <c r="Q35" s="717">
        <v>0</v>
      </c>
      <c r="R35" s="674">
        <f t="shared" si="0"/>
        <v>0</v>
      </c>
    </row>
    <row r="36" spans="1:19" ht="22.5" customHeight="1" x14ac:dyDescent="0.2">
      <c r="A36" s="639" t="s">
        <v>86</v>
      </c>
      <c r="B36" s="645" t="s">
        <v>87</v>
      </c>
      <c r="C36" s="648" t="s">
        <v>88</v>
      </c>
      <c r="D36" s="717">
        <v>0</v>
      </c>
      <c r="E36" s="717">
        <v>0</v>
      </c>
      <c r="F36" s="717">
        <v>0</v>
      </c>
      <c r="G36" s="717">
        <v>0</v>
      </c>
      <c r="H36" s="717">
        <v>0</v>
      </c>
      <c r="I36" s="717">
        <v>0</v>
      </c>
      <c r="J36" s="717">
        <v>0</v>
      </c>
      <c r="K36" s="717">
        <v>0</v>
      </c>
      <c r="L36" s="717">
        <v>0</v>
      </c>
      <c r="M36" s="717">
        <v>0</v>
      </c>
      <c r="N36" s="717">
        <v>0</v>
      </c>
      <c r="O36" s="717">
        <v>0</v>
      </c>
      <c r="P36" s="717">
        <v>0</v>
      </c>
      <c r="Q36" s="717">
        <v>0</v>
      </c>
      <c r="R36" s="674">
        <f t="shared" si="0"/>
        <v>0</v>
      </c>
    </row>
    <row r="37" spans="1:19" ht="22.5" customHeight="1" x14ac:dyDescent="0.25">
      <c r="A37" s="639" t="s">
        <v>89</v>
      </c>
      <c r="B37" s="646" t="s">
        <v>90</v>
      </c>
      <c r="C37" s="648" t="s">
        <v>91</v>
      </c>
      <c r="D37" s="717">
        <v>0</v>
      </c>
      <c r="E37" s="717">
        <v>0</v>
      </c>
      <c r="F37" s="717">
        <f>SUM(F30:F36)</f>
        <v>0</v>
      </c>
      <c r="G37" s="643">
        <v>3000000</v>
      </c>
      <c r="H37" s="643">
        <v>4029243</v>
      </c>
      <c r="I37" s="717">
        <f>SUM(I30:I36)</f>
        <v>3966679</v>
      </c>
      <c r="J37" s="643">
        <v>6000000</v>
      </c>
      <c r="K37" s="643">
        <v>7082797</v>
      </c>
      <c r="L37" s="717">
        <f>SUM(L30:L36)</f>
        <v>6792597</v>
      </c>
      <c r="M37" s="643">
        <v>404482</v>
      </c>
      <c r="N37" s="717">
        <v>0</v>
      </c>
      <c r="O37" s="717">
        <f>SUM(O30:O36)</f>
        <v>0</v>
      </c>
      <c r="P37" s="643">
        <v>9404482</v>
      </c>
      <c r="Q37" s="643">
        <v>11112040</v>
      </c>
      <c r="R37" s="674">
        <f t="shared" si="0"/>
        <v>10759276</v>
      </c>
    </row>
    <row r="38" spans="1:19" ht="22.5" customHeight="1" x14ac:dyDescent="0.25">
      <c r="A38" s="639" t="s">
        <v>92</v>
      </c>
      <c r="B38" s="648" t="s">
        <v>93</v>
      </c>
      <c r="C38" s="641" t="s">
        <v>94</v>
      </c>
      <c r="D38" s="643">
        <v>129265456</v>
      </c>
      <c r="E38" s="643">
        <v>145669363</v>
      </c>
      <c r="F38" s="717">
        <f>SUM(F39:F44)</f>
        <v>131244391</v>
      </c>
      <c r="G38" s="717">
        <v>0</v>
      </c>
      <c r="H38" s="717">
        <v>0</v>
      </c>
      <c r="I38" s="717">
        <f>SUM(I39:I44)</f>
        <v>0</v>
      </c>
      <c r="J38" s="717">
        <v>0</v>
      </c>
      <c r="K38" s="717">
        <v>0</v>
      </c>
      <c r="L38" s="717">
        <f>SUM(L39:L44)</f>
        <v>0</v>
      </c>
      <c r="M38" s="717">
        <v>0</v>
      </c>
      <c r="N38" s="717">
        <v>0</v>
      </c>
      <c r="O38" s="717">
        <f>SUM(O39:O44)</f>
        <v>0</v>
      </c>
      <c r="P38" s="643">
        <v>129265456</v>
      </c>
      <c r="Q38" s="643">
        <v>145669363</v>
      </c>
      <c r="R38" s="674">
        <f t="shared" si="0"/>
        <v>131244391</v>
      </c>
    </row>
    <row r="39" spans="1:19" ht="22.5" customHeight="1" x14ac:dyDescent="0.2">
      <c r="A39" s="639" t="s">
        <v>95</v>
      </c>
      <c r="B39" s="24" t="s">
        <v>1290</v>
      </c>
      <c r="C39" s="641"/>
      <c r="D39" s="717">
        <v>0</v>
      </c>
      <c r="E39" s="717">
        <v>0</v>
      </c>
      <c r="F39" s="717">
        <v>0</v>
      </c>
      <c r="G39" s="717">
        <v>0</v>
      </c>
      <c r="H39" s="717">
        <v>0</v>
      </c>
      <c r="I39" s="717">
        <v>0</v>
      </c>
      <c r="J39" s="717">
        <v>0</v>
      </c>
      <c r="K39" s="717">
        <v>0</v>
      </c>
      <c r="L39" s="717">
        <v>0</v>
      </c>
      <c r="M39" s="717">
        <v>0</v>
      </c>
      <c r="N39" s="717">
        <v>0</v>
      </c>
      <c r="O39" s="717">
        <v>0</v>
      </c>
      <c r="P39" s="717">
        <v>0</v>
      </c>
      <c r="Q39" s="717">
        <v>0</v>
      </c>
      <c r="R39" s="674">
        <f t="shared" si="0"/>
        <v>0</v>
      </c>
    </row>
    <row r="40" spans="1:19" ht="22.5" customHeight="1" x14ac:dyDescent="0.25">
      <c r="A40" s="639" t="s">
        <v>97</v>
      </c>
      <c r="B40" s="652" t="s">
        <v>96</v>
      </c>
      <c r="C40" s="647"/>
      <c r="D40" s="643">
        <v>264755</v>
      </c>
      <c r="E40" s="643">
        <v>5369995</v>
      </c>
      <c r="F40" s="717">
        <v>5369995</v>
      </c>
      <c r="G40" s="717">
        <v>0</v>
      </c>
      <c r="H40" s="717">
        <v>0</v>
      </c>
      <c r="I40" s="717">
        <v>0</v>
      </c>
      <c r="J40" s="717">
        <v>0</v>
      </c>
      <c r="K40" s="717">
        <v>0</v>
      </c>
      <c r="L40" s="717">
        <v>0</v>
      </c>
      <c r="M40" s="717">
        <v>0</v>
      </c>
      <c r="N40" s="717">
        <v>0</v>
      </c>
      <c r="O40" s="717">
        <v>0</v>
      </c>
      <c r="P40" s="643">
        <v>264755</v>
      </c>
      <c r="Q40" s="643">
        <v>5369995</v>
      </c>
      <c r="R40" s="674">
        <f t="shared" si="0"/>
        <v>5369995</v>
      </c>
      <c r="S40" s="660"/>
    </row>
    <row r="41" spans="1:19" ht="22.5" customHeight="1" x14ac:dyDescent="0.2">
      <c r="A41" s="639" t="s">
        <v>99</v>
      </c>
      <c r="B41" s="652" t="s">
        <v>98</v>
      </c>
      <c r="C41" s="647"/>
      <c r="D41" s="717">
        <v>0</v>
      </c>
      <c r="E41" s="717">
        <v>0</v>
      </c>
      <c r="F41" s="717">
        <v>0</v>
      </c>
      <c r="G41" s="717">
        <v>0</v>
      </c>
      <c r="H41" s="717">
        <v>0</v>
      </c>
      <c r="I41" s="717">
        <v>0</v>
      </c>
      <c r="J41" s="717">
        <v>0</v>
      </c>
      <c r="K41" s="717">
        <v>0</v>
      </c>
      <c r="L41" s="717">
        <v>0</v>
      </c>
      <c r="M41" s="717">
        <v>0</v>
      </c>
      <c r="N41" s="717">
        <v>0</v>
      </c>
      <c r="O41" s="717">
        <v>0</v>
      </c>
      <c r="P41" s="717">
        <v>0</v>
      </c>
      <c r="Q41" s="717">
        <v>0</v>
      </c>
      <c r="R41" s="674">
        <f t="shared" si="0"/>
        <v>0</v>
      </c>
    </row>
    <row r="42" spans="1:19" ht="22.5" customHeight="1" x14ac:dyDescent="0.25">
      <c r="A42" s="639" t="s">
        <v>101</v>
      </c>
      <c r="B42" s="652" t="s">
        <v>100</v>
      </c>
      <c r="C42" s="647"/>
      <c r="D42" s="643">
        <v>129000701</v>
      </c>
      <c r="E42" s="643">
        <v>139780009</v>
      </c>
      <c r="F42" s="717">
        <v>125355037</v>
      </c>
      <c r="G42" s="717">
        <v>0</v>
      </c>
      <c r="H42" s="717">
        <v>0</v>
      </c>
      <c r="I42" s="717">
        <v>0</v>
      </c>
      <c r="J42" s="717">
        <v>0</v>
      </c>
      <c r="K42" s="717">
        <v>0</v>
      </c>
      <c r="L42" s="717">
        <v>0</v>
      </c>
      <c r="M42" s="717">
        <v>0</v>
      </c>
      <c r="N42" s="717">
        <v>0</v>
      </c>
      <c r="O42" s="717">
        <v>0</v>
      </c>
      <c r="P42" s="643">
        <v>129000701</v>
      </c>
      <c r="Q42" s="643">
        <v>139780009</v>
      </c>
      <c r="R42" s="674">
        <f t="shared" si="0"/>
        <v>125355037</v>
      </c>
    </row>
    <row r="43" spans="1:19" ht="22.5" customHeight="1" x14ac:dyDescent="0.25">
      <c r="A43" s="639" t="s">
        <v>103</v>
      </c>
      <c r="B43" s="652" t="s">
        <v>102</v>
      </c>
      <c r="C43" s="647"/>
      <c r="D43" s="717">
        <v>0</v>
      </c>
      <c r="E43" s="643">
        <v>519359</v>
      </c>
      <c r="F43" s="717">
        <v>519359</v>
      </c>
      <c r="G43" s="717">
        <v>0</v>
      </c>
      <c r="H43" s="717">
        <v>0</v>
      </c>
      <c r="I43" s="717">
        <v>0</v>
      </c>
      <c r="J43" s="717">
        <v>0</v>
      </c>
      <c r="K43" s="717">
        <v>0</v>
      </c>
      <c r="L43" s="717">
        <v>0</v>
      </c>
      <c r="M43" s="717">
        <v>0</v>
      </c>
      <c r="N43" s="717">
        <v>0</v>
      </c>
      <c r="O43" s="717">
        <v>0</v>
      </c>
      <c r="P43" s="717">
        <v>0</v>
      </c>
      <c r="Q43" s="643">
        <v>519359</v>
      </c>
      <c r="R43" s="674">
        <f t="shared" si="0"/>
        <v>519359</v>
      </c>
    </row>
    <row r="44" spans="1:19" ht="22.5" customHeight="1" x14ac:dyDescent="0.2">
      <c r="A44" s="639" t="s">
        <v>105</v>
      </c>
      <c r="B44" s="24" t="s">
        <v>104</v>
      </c>
      <c r="C44" s="647"/>
      <c r="D44" s="717">
        <v>0</v>
      </c>
      <c r="E44" s="717">
        <v>0</v>
      </c>
      <c r="F44" s="717">
        <v>0</v>
      </c>
      <c r="G44" s="717">
        <v>0</v>
      </c>
      <c r="H44" s="717">
        <v>0</v>
      </c>
      <c r="I44" s="717">
        <v>0</v>
      </c>
      <c r="J44" s="717">
        <v>0</v>
      </c>
      <c r="K44" s="717">
        <v>0</v>
      </c>
      <c r="L44" s="717">
        <v>0</v>
      </c>
      <c r="M44" s="717">
        <v>0</v>
      </c>
      <c r="N44" s="717">
        <v>0</v>
      </c>
      <c r="O44" s="717">
        <v>0</v>
      </c>
      <c r="P44" s="717">
        <v>0</v>
      </c>
      <c r="Q44" s="717">
        <v>0</v>
      </c>
      <c r="R44" s="674">
        <f t="shared" si="0"/>
        <v>0</v>
      </c>
    </row>
    <row r="45" spans="1:19" ht="22.5" customHeight="1" x14ac:dyDescent="0.25">
      <c r="A45" s="639" t="s">
        <v>107</v>
      </c>
      <c r="B45" s="653" t="s">
        <v>106</v>
      </c>
      <c r="C45" s="641"/>
      <c r="D45" s="650">
        <v>129265456</v>
      </c>
      <c r="E45" s="650">
        <v>145150004</v>
      </c>
      <c r="F45" s="650">
        <f>F30+F32+F33+F35+F40+F42</f>
        <v>130725032</v>
      </c>
      <c r="G45" s="650">
        <v>3000000</v>
      </c>
      <c r="H45" s="650">
        <v>4029243</v>
      </c>
      <c r="I45" s="650">
        <f>I30+I32+I33+I35+I40+I42</f>
        <v>3966679</v>
      </c>
      <c r="J45" s="650">
        <v>6000000</v>
      </c>
      <c r="K45" s="650">
        <v>7082797</v>
      </c>
      <c r="L45" s="650">
        <f>L30+L32+L33+L35+L40+L42</f>
        <v>6792597</v>
      </c>
      <c r="M45" s="650">
        <v>404482</v>
      </c>
      <c r="N45" s="717">
        <v>0</v>
      </c>
      <c r="O45" s="717">
        <f>O30+O32+O33+O35+O40+O42</f>
        <v>0</v>
      </c>
      <c r="P45" s="650">
        <v>138669938</v>
      </c>
      <c r="Q45" s="671">
        <v>156262044</v>
      </c>
      <c r="R45" s="671">
        <f t="shared" si="0"/>
        <v>141484308</v>
      </c>
    </row>
    <row r="46" spans="1:19" ht="22.5" customHeight="1" x14ac:dyDescent="0.25">
      <c r="A46" s="639" t="s">
        <v>109</v>
      </c>
      <c r="B46" s="653" t="s">
        <v>108</v>
      </c>
      <c r="C46" s="641"/>
      <c r="D46" s="717">
        <v>0</v>
      </c>
      <c r="E46" s="650">
        <v>519359</v>
      </c>
      <c r="F46" s="650">
        <f>F31+F34+F36+F41+F43</f>
        <v>519359</v>
      </c>
      <c r="G46" s="717">
        <v>0</v>
      </c>
      <c r="H46" s="717">
        <v>0</v>
      </c>
      <c r="I46" s="717">
        <f>I31+I34+I36+I41+I43</f>
        <v>0</v>
      </c>
      <c r="J46" s="717">
        <v>0</v>
      </c>
      <c r="K46" s="717">
        <v>0</v>
      </c>
      <c r="L46" s="717">
        <f>L31+L34+L36+L41+L43</f>
        <v>0</v>
      </c>
      <c r="M46" s="717">
        <v>0</v>
      </c>
      <c r="N46" s="717">
        <v>0</v>
      </c>
      <c r="O46" s="717">
        <f>O31+O34+O36+O41+O43</f>
        <v>0</v>
      </c>
      <c r="P46" s="717">
        <v>0</v>
      </c>
      <c r="Q46" s="650">
        <v>519359</v>
      </c>
      <c r="R46" s="650">
        <f t="shared" si="0"/>
        <v>519359</v>
      </c>
    </row>
    <row r="47" spans="1:19" ht="22.5" customHeight="1" x14ac:dyDescent="0.25">
      <c r="A47" s="639" t="s">
        <v>111</v>
      </c>
      <c r="B47" s="653" t="s">
        <v>110</v>
      </c>
      <c r="C47" s="641"/>
      <c r="D47" s="650">
        <v>129265456</v>
      </c>
      <c r="E47" s="650">
        <v>145669363</v>
      </c>
      <c r="F47" s="650">
        <f>F30+F31+F32+F33+F34+F35+F36+F38</f>
        <v>131244391</v>
      </c>
      <c r="G47" s="650">
        <v>3000000</v>
      </c>
      <c r="H47" s="650">
        <v>4029243</v>
      </c>
      <c r="I47" s="650">
        <f>I30+I31+I32+I33+I34+I35+I36+I38</f>
        <v>3966679</v>
      </c>
      <c r="J47" s="650">
        <v>6000000</v>
      </c>
      <c r="K47" s="650">
        <v>7082797</v>
      </c>
      <c r="L47" s="650">
        <f>L30+L31+L32+L33+L34+L35+L36+L38</f>
        <v>6792597</v>
      </c>
      <c r="M47" s="650">
        <v>404482</v>
      </c>
      <c r="N47" s="717">
        <v>0</v>
      </c>
      <c r="O47" s="717">
        <f>O30+O31+O32+O33+O34+O35+O36+O38</f>
        <v>0</v>
      </c>
      <c r="P47" s="650">
        <v>138669938</v>
      </c>
      <c r="Q47" s="672">
        <v>156781403</v>
      </c>
      <c r="R47" s="672">
        <f t="shared" si="0"/>
        <v>142003667</v>
      </c>
      <c r="S47" s="659">
        <f>P47-P29</f>
        <v>0</v>
      </c>
    </row>
    <row r="48" spans="1:19" ht="22.5" customHeight="1" x14ac:dyDescent="0.25">
      <c r="A48" s="639" t="s">
        <v>113</v>
      </c>
      <c r="B48" s="25" t="s">
        <v>112</v>
      </c>
      <c r="C48" s="656"/>
      <c r="D48" s="717">
        <v>0</v>
      </c>
      <c r="E48" s="717">
        <v>0</v>
      </c>
      <c r="F48" s="717">
        <v>0</v>
      </c>
      <c r="G48" s="643">
        <v>4</v>
      </c>
      <c r="H48" s="643">
        <v>4</v>
      </c>
      <c r="I48" s="717">
        <v>4</v>
      </c>
      <c r="J48" s="643">
        <v>22</v>
      </c>
      <c r="K48" s="643">
        <v>23</v>
      </c>
      <c r="L48" s="717">
        <v>23</v>
      </c>
      <c r="M48" s="717">
        <v>0</v>
      </c>
      <c r="N48" s="717">
        <v>0</v>
      </c>
      <c r="O48" s="717">
        <v>0</v>
      </c>
      <c r="P48" s="643">
        <v>26</v>
      </c>
      <c r="Q48" s="643">
        <v>27</v>
      </c>
      <c r="R48" s="674">
        <f t="shared" si="0"/>
        <v>27</v>
      </c>
    </row>
    <row r="49" spans="1:18" ht="22.5" customHeight="1" x14ac:dyDescent="0.2">
      <c r="A49" s="639" t="s">
        <v>250</v>
      </c>
      <c r="B49" s="25" t="s">
        <v>114</v>
      </c>
      <c r="C49" s="656"/>
      <c r="D49" s="717">
        <v>0</v>
      </c>
      <c r="E49" s="717">
        <v>0</v>
      </c>
      <c r="F49" s="717">
        <v>0</v>
      </c>
      <c r="G49" s="717">
        <v>0</v>
      </c>
      <c r="H49" s="717">
        <v>0</v>
      </c>
      <c r="I49" s="717">
        <v>0</v>
      </c>
      <c r="J49" s="717">
        <v>0</v>
      </c>
      <c r="K49" s="717">
        <v>0</v>
      </c>
      <c r="L49" s="717">
        <v>0</v>
      </c>
      <c r="M49" s="717">
        <v>0</v>
      </c>
      <c r="N49" s="717">
        <v>0</v>
      </c>
      <c r="O49" s="717">
        <v>0</v>
      </c>
      <c r="P49" s="717">
        <v>0</v>
      </c>
      <c r="Q49" s="717">
        <v>0</v>
      </c>
      <c r="R49" s="674">
        <f t="shared" si="0"/>
        <v>0</v>
      </c>
    </row>
  </sheetData>
  <mergeCells count="25">
    <mergeCell ref="B6:C6"/>
    <mergeCell ref="D6:F7"/>
    <mergeCell ref="G6:I7"/>
    <mergeCell ref="J6:L7"/>
    <mergeCell ref="A2:C3"/>
    <mergeCell ref="A4:A7"/>
    <mergeCell ref="B4:C4"/>
    <mergeCell ref="D4:F4"/>
    <mergeCell ref="G4:I4"/>
    <mergeCell ref="B5:C5"/>
    <mergeCell ref="D5:F5"/>
    <mergeCell ref="G5:I5"/>
    <mergeCell ref="J2:R2"/>
    <mergeCell ref="D2:I2"/>
    <mergeCell ref="M5:O5"/>
    <mergeCell ref="M6:O7"/>
    <mergeCell ref="J4:L4"/>
    <mergeCell ref="M4:O4"/>
    <mergeCell ref="P4:R7"/>
    <mergeCell ref="J5:L5"/>
    <mergeCell ref="D8:F8"/>
    <mergeCell ref="G8:I8"/>
    <mergeCell ref="J8:L8"/>
    <mergeCell ref="M8:O8"/>
    <mergeCell ref="P8:R8"/>
  </mergeCells>
  <printOptions horizontalCentered="1" verticalCentered="1"/>
  <pageMargins left="0.35433070866141736" right="0.35433070866141736" top="0.19685039370078741" bottom="0.19685039370078741" header="0.51181102362204722" footer="0.51181102362204722"/>
  <pageSetup paperSize="9" scale="40" orientation="landscape" verticalDpi="200" r:id="rId1"/>
  <headerFooter alignWithMargins="0">
    <oddHeader>&amp;CDunaharaszti Város Önkormányzat 2017. évi zárszámadás&amp;R&amp;A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49"/>
  <sheetViews>
    <sheetView view="pageBreakPreview" zoomScale="40" zoomScaleNormal="73" zoomScaleSheetLayoutView="40" workbookViewId="0">
      <selection activeCell="AD17" sqref="AD17"/>
    </sheetView>
  </sheetViews>
  <sheetFormatPr defaultRowHeight="12.75" x14ac:dyDescent="0.2"/>
  <cols>
    <col min="1" max="1" width="6" style="626" customWidth="1"/>
    <col min="2" max="2" width="64.85546875" style="626" customWidth="1"/>
    <col min="3" max="3" width="7.7109375" style="626" customWidth="1"/>
    <col min="4" max="4" width="17" style="628" customWidth="1"/>
    <col min="5" max="6" width="17.42578125" style="628" customWidth="1"/>
    <col min="7" max="7" width="16.5703125" style="628" customWidth="1"/>
    <col min="8" max="9" width="17.28515625" style="628" customWidth="1"/>
    <col min="10" max="10" width="17.85546875" style="628" customWidth="1"/>
    <col min="11" max="12" width="18" style="628" customWidth="1"/>
    <col min="13" max="13" width="17.42578125" style="628" customWidth="1"/>
    <col min="14" max="15" width="17.5703125" style="628" customWidth="1"/>
    <col min="16" max="18" width="17.85546875" style="628" customWidth="1"/>
    <col min="19" max="19" width="17.28515625" style="628" customWidth="1"/>
    <col min="20" max="21" width="16.7109375" style="628" customWidth="1"/>
    <col min="22" max="27" width="17.85546875" style="628" customWidth="1"/>
    <col min="28" max="28" width="19" style="628" bestFit="1" customWidth="1"/>
    <col min="29" max="29" width="16.42578125" style="628" bestFit="1" customWidth="1"/>
    <col min="30" max="30" width="16.140625" style="626" customWidth="1"/>
    <col min="31" max="16384" width="9.140625" style="626"/>
  </cols>
  <sheetData>
    <row r="1" spans="1:32" x14ac:dyDescent="0.2">
      <c r="H1" s="657" t="s">
        <v>0</v>
      </c>
      <c r="I1" s="657"/>
      <c r="K1" s="657"/>
      <c r="L1" s="657"/>
      <c r="M1" s="657"/>
      <c r="N1" s="657" t="s">
        <v>0</v>
      </c>
      <c r="O1" s="657"/>
      <c r="T1" s="657" t="s">
        <v>0</v>
      </c>
      <c r="U1" s="657"/>
      <c r="AB1" s="657"/>
      <c r="AC1" s="657" t="s">
        <v>0</v>
      </c>
    </row>
    <row r="2" spans="1:32" ht="51" customHeight="1" x14ac:dyDescent="0.2">
      <c r="A2" s="961" t="s">
        <v>1249</v>
      </c>
      <c r="B2" s="962"/>
      <c r="C2" s="963"/>
      <c r="D2" s="958" t="s">
        <v>1277</v>
      </c>
      <c r="E2" s="959"/>
      <c r="F2" s="959"/>
      <c r="G2" s="959"/>
      <c r="H2" s="959"/>
      <c r="I2" s="960"/>
      <c r="J2" s="958" t="s">
        <v>1277</v>
      </c>
      <c r="K2" s="959"/>
      <c r="L2" s="959"/>
      <c r="M2" s="959"/>
      <c r="N2" s="959"/>
      <c r="O2" s="960"/>
      <c r="P2" s="958" t="s">
        <v>1277</v>
      </c>
      <c r="Q2" s="959"/>
      <c r="R2" s="959"/>
      <c r="S2" s="959"/>
      <c r="T2" s="959"/>
      <c r="U2" s="631"/>
      <c r="V2" s="959" t="s">
        <v>1277</v>
      </c>
      <c r="W2" s="959"/>
      <c r="X2" s="959"/>
      <c r="Y2" s="959"/>
      <c r="Z2" s="959"/>
      <c r="AA2" s="959"/>
      <c r="AB2" s="959"/>
      <c r="AC2" s="959"/>
      <c r="AD2" s="960"/>
    </row>
    <row r="3" spans="1:32" ht="51" customHeight="1" x14ac:dyDescent="0.2">
      <c r="A3" s="964"/>
      <c r="B3" s="965"/>
      <c r="C3" s="966"/>
      <c r="D3" s="560" t="s">
        <v>6</v>
      </c>
      <c r="E3" s="560" t="s">
        <v>7</v>
      </c>
      <c r="F3" s="560" t="s">
        <v>788</v>
      </c>
      <c r="G3" s="560" t="s">
        <v>6</v>
      </c>
      <c r="H3" s="560" t="s">
        <v>7</v>
      </c>
      <c r="I3" s="560" t="s">
        <v>788</v>
      </c>
      <c r="J3" s="560" t="s">
        <v>6</v>
      </c>
      <c r="K3" s="560" t="s">
        <v>7</v>
      </c>
      <c r="L3" s="560" t="s">
        <v>788</v>
      </c>
      <c r="M3" s="560" t="s">
        <v>6</v>
      </c>
      <c r="N3" s="560" t="s">
        <v>7</v>
      </c>
      <c r="O3" s="560" t="s">
        <v>788</v>
      </c>
      <c r="P3" s="560" t="s">
        <v>6</v>
      </c>
      <c r="Q3" s="560" t="s">
        <v>7</v>
      </c>
      <c r="R3" s="560" t="s">
        <v>788</v>
      </c>
      <c r="S3" s="560" t="s">
        <v>6</v>
      </c>
      <c r="T3" s="560" t="s">
        <v>7</v>
      </c>
      <c r="U3" s="560" t="s">
        <v>788</v>
      </c>
      <c r="V3" s="560" t="s">
        <v>6</v>
      </c>
      <c r="W3" s="560" t="s">
        <v>7</v>
      </c>
      <c r="X3" s="560" t="s">
        <v>788</v>
      </c>
      <c r="Y3" s="560" t="s">
        <v>6</v>
      </c>
      <c r="Z3" s="560" t="s">
        <v>7</v>
      </c>
      <c r="AA3" s="560" t="s">
        <v>788</v>
      </c>
      <c r="AB3" s="560" t="s">
        <v>6</v>
      </c>
      <c r="AC3" s="560" t="s">
        <v>7</v>
      </c>
      <c r="AD3" s="560" t="s">
        <v>788</v>
      </c>
      <c r="AF3" s="673"/>
    </row>
    <row r="4" spans="1:32" s="634" customFormat="1" ht="99" customHeight="1" x14ac:dyDescent="0.2">
      <c r="A4" s="979" t="s">
        <v>3</v>
      </c>
      <c r="B4" s="980" t="s">
        <v>4</v>
      </c>
      <c r="C4" s="980"/>
      <c r="D4" s="955" t="s">
        <v>1358</v>
      </c>
      <c r="E4" s="956"/>
      <c r="F4" s="957"/>
      <c r="G4" s="912" t="s">
        <v>1359</v>
      </c>
      <c r="H4" s="913"/>
      <c r="I4" s="914"/>
      <c r="J4" s="912" t="s">
        <v>1361</v>
      </c>
      <c r="K4" s="913"/>
      <c r="L4" s="914"/>
      <c r="M4" s="958" t="s">
        <v>1363</v>
      </c>
      <c r="N4" s="959"/>
      <c r="O4" s="960"/>
      <c r="P4" s="958" t="s">
        <v>1365</v>
      </c>
      <c r="Q4" s="959"/>
      <c r="R4" s="960"/>
      <c r="S4" s="958" t="s">
        <v>1367</v>
      </c>
      <c r="T4" s="959"/>
      <c r="U4" s="960"/>
      <c r="V4" s="958" t="s">
        <v>1369</v>
      </c>
      <c r="W4" s="959"/>
      <c r="X4" s="960"/>
      <c r="Y4" s="912" t="s">
        <v>1371</v>
      </c>
      <c r="Z4" s="913"/>
      <c r="AA4" s="914"/>
      <c r="AB4" s="940" t="s">
        <v>1258</v>
      </c>
      <c r="AC4" s="941"/>
      <c r="AD4" s="942"/>
    </row>
    <row r="5" spans="1:32" s="634" customFormat="1" ht="25.5" customHeight="1" x14ac:dyDescent="0.2">
      <c r="A5" s="979"/>
      <c r="B5" s="980" t="s">
        <v>5</v>
      </c>
      <c r="C5" s="980"/>
      <c r="D5" s="955" t="s">
        <v>11</v>
      </c>
      <c r="E5" s="956"/>
      <c r="F5" s="957"/>
      <c r="G5" s="955" t="s">
        <v>11</v>
      </c>
      <c r="H5" s="956"/>
      <c r="I5" s="957"/>
      <c r="J5" s="955" t="s">
        <v>11</v>
      </c>
      <c r="K5" s="956"/>
      <c r="L5" s="957"/>
      <c r="M5" s="955" t="s">
        <v>11</v>
      </c>
      <c r="N5" s="956"/>
      <c r="O5" s="957"/>
      <c r="P5" s="955" t="s">
        <v>11</v>
      </c>
      <c r="Q5" s="956"/>
      <c r="R5" s="957"/>
      <c r="S5" s="955" t="s">
        <v>11</v>
      </c>
      <c r="T5" s="956"/>
      <c r="U5" s="957"/>
      <c r="V5" s="955" t="s">
        <v>11</v>
      </c>
      <c r="W5" s="956"/>
      <c r="X5" s="957"/>
      <c r="Y5" s="958" t="s">
        <v>11</v>
      </c>
      <c r="Z5" s="959"/>
      <c r="AA5" s="960"/>
      <c r="AB5" s="986"/>
      <c r="AC5" s="987"/>
      <c r="AD5" s="988"/>
    </row>
    <row r="6" spans="1:32" s="634" customFormat="1" ht="15.75" customHeight="1" x14ac:dyDescent="0.2">
      <c r="A6" s="979"/>
      <c r="B6" s="980" t="s">
        <v>8</v>
      </c>
      <c r="C6" s="980"/>
      <c r="D6" s="940" t="s">
        <v>1259</v>
      </c>
      <c r="E6" s="941"/>
      <c r="F6" s="942"/>
      <c r="G6" s="940" t="s">
        <v>1360</v>
      </c>
      <c r="H6" s="941"/>
      <c r="I6" s="942"/>
      <c r="J6" s="940" t="s">
        <v>1362</v>
      </c>
      <c r="K6" s="941"/>
      <c r="L6" s="942"/>
      <c r="M6" s="940" t="s">
        <v>1364</v>
      </c>
      <c r="N6" s="941"/>
      <c r="O6" s="942"/>
      <c r="P6" s="940" t="s">
        <v>1366</v>
      </c>
      <c r="Q6" s="941"/>
      <c r="R6" s="942"/>
      <c r="S6" s="946" t="s">
        <v>1368</v>
      </c>
      <c r="T6" s="947"/>
      <c r="U6" s="948"/>
      <c r="V6" s="946" t="s">
        <v>1370</v>
      </c>
      <c r="W6" s="981"/>
      <c r="X6" s="982"/>
      <c r="Y6" s="940" t="s">
        <v>1372</v>
      </c>
      <c r="Z6" s="971"/>
      <c r="AA6" s="972"/>
      <c r="AB6" s="986"/>
      <c r="AC6" s="987"/>
      <c r="AD6" s="988"/>
    </row>
    <row r="7" spans="1:32" ht="73.5" customHeight="1" x14ac:dyDescent="0.2">
      <c r="A7" s="979"/>
      <c r="B7" s="635" t="s">
        <v>9</v>
      </c>
      <c r="C7" s="636" t="s">
        <v>10</v>
      </c>
      <c r="D7" s="943"/>
      <c r="E7" s="944"/>
      <c r="F7" s="945"/>
      <c r="G7" s="943"/>
      <c r="H7" s="944"/>
      <c r="I7" s="945"/>
      <c r="J7" s="943"/>
      <c r="K7" s="944"/>
      <c r="L7" s="945"/>
      <c r="M7" s="943"/>
      <c r="N7" s="944"/>
      <c r="O7" s="945"/>
      <c r="P7" s="943"/>
      <c r="Q7" s="944"/>
      <c r="R7" s="945"/>
      <c r="S7" s="952"/>
      <c r="T7" s="953"/>
      <c r="U7" s="954"/>
      <c r="V7" s="983"/>
      <c r="W7" s="984"/>
      <c r="X7" s="985"/>
      <c r="Y7" s="973"/>
      <c r="Z7" s="974"/>
      <c r="AA7" s="975"/>
      <c r="AB7" s="943"/>
      <c r="AC7" s="944"/>
      <c r="AD7" s="945"/>
    </row>
    <row r="8" spans="1:32" ht="15.75" x14ac:dyDescent="0.2">
      <c r="A8" s="637" t="s">
        <v>15</v>
      </c>
      <c r="B8" s="638" t="s">
        <v>16</v>
      </c>
      <c r="C8" s="638" t="s">
        <v>17</v>
      </c>
      <c r="D8" s="976" t="s">
        <v>18</v>
      </c>
      <c r="E8" s="977"/>
      <c r="F8" s="978"/>
      <c r="G8" s="976" t="s">
        <v>19</v>
      </c>
      <c r="H8" s="977"/>
      <c r="I8" s="978"/>
      <c r="J8" s="976" t="s">
        <v>20</v>
      </c>
      <c r="K8" s="977"/>
      <c r="L8" s="978"/>
      <c r="M8" s="976" t="s">
        <v>21</v>
      </c>
      <c r="N8" s="977"/>
      <c r="O8" s="978"/>
      <c r="P8" s="976" t="s">
        <v>22</v>
      </c>
      <c r="Q8" s="977"/>
      <c r="R8" s="978"/>
      <c r="S8" s="976" t="s">
        <v>36</v>
      </c>
      <c r="T8" s="977"/>
      <c r="U8" s="978"/>
      <c r="V8" s="976" t="s">
        <v>39</v>
      </c>
      <c r="W8" s="977"/>
      <c r="X8" s="978"/>
      <c r="Y8" s="976" t="s">
        <v>42</v>
      </c>
      <c r="Z8" s="977"/>
      <c r="AA8" s="978"/>
      <c r="AB8" s="976" t="s">
        <v>45</v>
      </c>
      <c r="AC8" s="977"/>
      <c r="AD8" s="978"/>
    </row>
    <row r="9" spans="1:32" ht="21.75" customHeight="1" x14ac:dyDescent="0.25">
      <c r="A9" s="639" t="s">
        <v>15</v>
      </c>
      <c r="B9" s="640" t="s">
        <v>23</v>
      </c>
      <c r="C9" s="664" t="s">
        <v>24</v>
      </c>
      <c r="D9" s="717">
        <v>0</v>
      </c>
      <c r="E9" s="717">
        <v>0</v>
      </c>
      <c r="F9" s="717">
        <v>0</v>
      </c>
      <c r="G9" s="643">
        <v>12440651</v>
      </c>
      <c r="H9" s="643">
        <v>16362304</v>
      </c>
      <c r="I9" s="717">
        <v>15562147</v>
      </c>
      <c r="J9" s="643">
        <v>16894131</v>
      </c>
      <c r="K9" s="643">
        <v>17558214</v>
      </c>
      <c r="L9" s="717">
        <v>16247802</v>
      </c>
      <c r="M9" s="643">
        <v>2300000</v>
      </c>
      <c r="N9" s="643">
        <v>300000</v>
      </c>
      <c r="O9" s="717"/>
      <c r="P9" s="717">
        <v>0</v>
      </c>
      <c r="Q9" s="717">
        <v>0</v>
      </c>
      <c r="R9" s="717">
        <v>0</v>
      </c>
      <c r="S9" s="717">
        <v>0</v>
      </c>
      <c r="T9" s="643">
        <v>2043440</v>
      </c>
      <c r="U9" s="717">
        <v>1816000</v>
      </c>
      <c r="V9" s="717">
        <v>0</v>
      </c>
      <c r="W9" s="717">
        <v>0</v>
      </c>
      <c r="X9" s="717">
        <v>0</v>
      </c>
      <c r="Y9" s="717">
        <v>0</v>
      </c>
      <c r="Z9" s="717">
        <v>0</v>
      </c>
      <c r="AA9" s="717">
        <v>0</v>
      </c>
      <c r="AB9" s="643">
        <v>31634782</v>
      </c>
      <c r="AC9" s="643">
        <v>36263958</v>
      </c>
      <c r="AD9" s="717">
        <f>F9+I9+L9+O9+R9+U9+X9+AA9</f>
        <v>33625949</v>
      </c>
    </row>
    <row r="10" spans="1:32" ht="34.5" customHeight="1" x14ac:dyDescent="0.25">
      <c r="A10" s="639" t="s">
        <v>16</v>
      </c>
      <c r="B10" s="645" t="s">
        <v>25</v>
      </c>
      <c r="C10" s="664" t="s">
        <v>26</v>
      </c>
      <c r="D10" s="717">
        <v>0</v>
      </c>
      <c r="E10" s="717">
        <v>0</v>
      </c>
      <c r="F10" s="717">
        <v>0</v>
      </c>
      <c r="G10" s="643">
        <v>3031513</v>
      </c>
      <c r="H10" s="643">
        <v>3679915</v>
      </c>
      <c r="I10" s="717">
        <v>3526222</v>
      </c>
      <c r="J10" s="643">
        <v>3866613</v>
      </c>
      <c r="K10" s="643">
        <v>3839943</v>
      </c>
      <c r="L10" s="717">
        <v>3629132</v>
      </c>
      <c r="M10" s="643">
        <v>506000</v>
      </c>
      <c r="N10" s="643">
        <v>506000</v>
      </c>
      <c r="O10" s="717"/>
      <c r="P10" s="717">
        <v>0</v>
      </c>
      <c r="Q10" s="717">
        <v>0</v>
      </c>
      <c r="R10" s="717">
        <v>0</v>
      </c>
      <c r="S10" s="717">
        <v>0</v>
      </c>
      <c r="T10" s="643">
        <v>448560</v>
      </c>
      <c r="U10" s="717">
        <v>359568</v>
      </c>
      <c r="V10" s="717">
        <v>0</v>
      </c>
      <c r="W10" s="717">
        <v>0</v>
      </c>
      <c r="X10" s="717">
        <v>0</v>
      </c>
      <c r="Y10" s="717">
        <v>0</v>
      </c>
      <c r="Z10" s="717">
        <v>0</v>
      </c>
      <c r="AA10" s="717">
        <v>0</v>
      </c>
      <c r="AB10" s="643">
        <v>7404126</v>
      </c>
      <c r="AC10" s="643">
        <v>8474418</v>
      </c>
      <c r="AD10" s="717">
        <f t="shared" ref="AC10:AD49" si="0">F10+I10+L10+O10+R10+U10+X10+AA10</f>
        <v>7514922</v>
      </c>
    </row>
    <row r="11" spans="1:32" ht="21.75" customHeight="1" x14ac:dyDescent="0.25">
      <c r="A11" s="639" t="s">
        <v>17</v>
      </c>
      <c r="B11" s="645" t="s">
        <v>27</v>
      </c>
      <c r="C11" s="664" t="s">
        <v>28</v>
      </c>
      <c r="D11" s="717">
        <v>0</v>
      </c>
      <c r="E11" s="717">
        <v>0</v>
      </c>
      <c r="F11" s="717">
        <v>0</v>
      </c>
      <c r="G11" s="643">
        <v>4641650</v>
      </c>
      <c r="H11" s="643">
        <v>5252779</v>
      </c>
      <c r="I11" s="717">
        <v>3408850</v>
      </c>
      <c r="J11" s="643">
        <v>4416383</v>
      </c>
      <c r="K11" s="643">
        <v>4306028</v>
      </c>
      <c r="L11" s="717">
        <v>2540406</v>
      </c>
      <c r="M11" s="643">
        <v>600000</v>
      </c>
      <c r="N11" s="643">
        <v>600000</v>
      </c>
      <c r="O11" s="717">
        <v>150000</v>
      </c>
      <c r="P11" s="643">
        <v>800000</v>
      </c>
      <c r="Q11" s="643">
        <v>800000</v>
      </c>
      <c r="R11" s="717">
        <v>190619</v>
      </c>
      <c r="S11" s="717">
        <v>0</v>
      </c>
      <c r="T11" s="643">
        <v>821571</v>
      </c>
      <c r="U11" s="717">
        <v>648689</v>
      </c>
      <c r="V11" s="643">
        <v>1771865</v>
      </c>
      <c r="W11" s="643">
        <v>1771865</v>
      </c>
      <c r="X11" s="717">
        <v>1588800</v>
      </c>
      <c r="Y11" s="643">
        <v>61649</v>
      </c>
      <c r="Z11" s="643">
        <v>841476</v>
      </c>
      <c r="AA11" s="717">
        <v>827640</v>
      </c>
      <c r="AB11" s="643">
        <v>12291547</v>
      </c>
      <c r="AC11" s="643">
        <v>14393719</v>
      </c>
      <c r="AD11" s="717">
        <f t="shared" si="0"/>
        <v>9355004</v>
      </c>
    </row>
    <row r="12" spans="1:32" ht="21.75" customHeight="1" x14ac:dyDescent="0.25">
      <c r="A12" s="639" t="s">
        <v>18</v>
      </c>
      <c r="B12" s="646" t="s">
        <v>29</v>
      </c>
      <c r="C12" s="664" t="s">
        <v>30</v>
      </c>
      <c r="D12" s="717">
        <v>0</v>
      </c>
      <c r="E12" s="717">
        <v>0</v>
      </c>
      <c r="F12" s="717">
        <v>0</v>
      </c>
      <c r="G12" s="717">
        <v>0</v>
      </c>
      <c r="H12" s="717">
        <v>0</v>
      </c>
      <c r="I12" s="717">
        <v>0</v>
      </c>
      <c r="J12" s="717">
        <v>0</v>
      </c>
      <c r="K12" s="717">
        <v>0</v>
      </c>
      <c r="L12" s="717">
        <v>0</v>
      </c>
      <c r="M12" s="643">
        <v>100000</v>
      </c>
      <c r="N12" s="643">
        <v>100000</v>
      </c>
      <c r="O12" s="717"/>
      <c r="P12" s="717">
        <v>0</v>
      </c>
      <c r="Q12" s="717">
        <v>0</v>
      </c>
      <c r="R12" s="717">
        <v>0</v>
      </c>
      <c r="S12" s="717">
        <v>0</v>
      </c>
      <c r="T12" s="717">
        <v>0</v>
      </c>
      <c r="U12" s="717">
        <v>0</v>
      </c>
      <c r="V12" s="717">
        <v>0</v>
      </c>
      <c r="W12" s="717">
        <v>0</v>
      </c>
      <c r="X12" s="717">
        <v>0</v>
      </c>
      <c r="Y12" s="717">
        <v>0</v>
      </c>
      <c r="Z12" s="717">
        <v>0</v>
      </c>
      <c r="AA12" s="717">
        <v>0</v>
      </c>
      <c r="AB12" s="643">
        <v>100000</v>
      </c>
      <c r="AC12" s="643">
        <v>100000</v>
      </c>
      <c r="AD12" s="717">
        <f t="shared" si="0"/>
        <v>0</v>
      </c>
    </row>
    <row r="13" spans="1:32" ht="21.75" customHeight="1" x14ac:dyDescent="0.25">
      <c r="A13" s="639" t="s">
        <v>19</v>
      </c>
      <c r="B13" s="646" t="s">
        <v>31</v>
      </c>
      <c r="C13" s="664" t="s">
        <v>32</v>
      </c>
      <c r="D13" s="717">
        <v>0</v>
      </c>
      <c r="E13" s="643">
        <v>2408857</v>
      </c>
      <c r="F13" s="717">
        <f>SUM(F14:F16)</f>
        <v>2408857</v>
      </c>
      <c r="G13" s="717">
        <v>0</v>
      </c>
      <c r="H13" s="717">
        <v>0</v>
      </c>
      <c r="I13" s="717">
        <f>SUM(I14:I16)</f>
        <v>0</v>
      </c>
      <c r="J13" s="717">
        <v>0</v>
      </c>
      <c r="K13" s="717">
        <v>0</v>
      </c>
      <c r="L13" s="717">
        <f>SUM(L14:L16)</f>
        <v>0</v>
      </c>
      <c r="M13" s="717">
        <v>0</v>
      </c>
      <c r="N13" s="717">
        <v>0</v>
      </c>
      <c r="O13" s="717">
        <f>SUM(O14:O16)</f>
        <v>0</v>
      </c>
      <c r="P13" s="717">
        <v>0</v>
      </c>
      <c r="Q13" s="717">
        <v>0</v>
      </c>
      <c r="R13" s="717">
        <f>SUM(R14:R16)</f>
        <v>0</v>
      </c>
      <c r="S13" s="717">
        <v>0</v>
      </c>
      <c r="T13" s="717">
        <v>0</v>
      </c>
      <c r="U13" s="717">
        <f>SUM(U14:U16)</f>
        <v>0</v>
      </c>
      <c r="V13" s="717">
        <v>0</v>
      </c>
      <c r="W13" s="717">
        <v>0</v>
      </c>
      <c r="X13" s="717">
        <f>SUM(X14:X16)</f>
        <v>0</v>
      </c>
      <c r="Y13" s="717">
        <v>0</v>
      </c>
      <c r="Z13" s="717">
        <v>0</v>
      </c>
      <c r="AA13" s="717">
        <f>SUM(AA14:AA16)</f>
        <v>0</v>
      </c>
      <c r="AB13" s="717">
        <v>0</v>
      </c>
      <c r="AC13" s="643">
        <v>2408857</v>
      </c>
      <c r="AD13" s="717">
        <f t="shared" si="0"/>
        <v>2408857</v>
      </c>
    </row>
    <row r="14" spans="1:32" ht="21.75" customHeight="1" x14ac:dyDescent="0.2">
      <c r="A14" s="639" t="s">
        <v>20</v>
      </c>
      <c r="B14" s="21" t="s">
        <v>33</v>
      </c>
      <c r="C14" s="664"/>
      <c r="D14" s="717">
        <v>0</v>
      </c>
      <c r="E14" s="717">
        <v>0</v>
      </c>
      <c r="F14" s="717">
        <v>0</v>
      </c>
      <c r="G14" s="717">
        <v>0</v>
      </c>
      <c r="H14" s="717">
        <v>0</v>
      </c>
      <c r="I14" s="717">
        <v>0</v>
      </c>
      <c r="J14" s="717">
        <v>0</v>
      </c>
      <c r="K14" s="717">
        <v>0</v>
      </c>
      <c r="L14" s="717">
        <v>0</v>
      </c>
      <c r="M14" s="717">
        <v>0</v>
      </c>
      <c r="N14" s="717">
        <v>0</v>
      </c>
      <c r="O14" s="717">
        <v>0</v>
      </c>
      <c r="P14" s="717">
        <v>0</v>
      </c>
      <c r="Q14" s="717">
        <v>0</v>
      </c>
      <c r="R14" s="717">
        <v>0</v>
      </c>
      <c r="S14" s="717">
        <v>0</v>
      </c>
      <c r="T14" s="717">
        <v>0</v>
      </c>
      <c r="U14" s="717">
        <v>0</v>
      </c>
      <c r="V14" s="717">
        <v>0</v>
      </c>
      <c r="W14" s="717">
        <v>0</v>
      </c>
      <c r="X14" s="717">
        <v>0</v>
      </c>
      <c r="Y14" s="717">
        <v>0</v>
      </c>
      <c r="Z14" s="717">
        <v>0</v>
      </c>
      <c r="AA14" s="717">
        <v>0</v>
      </c>
      <c r="AB14" s="717">
        <v>0</v>
      </c>
      <c r="AC14" s="717">
        <v>0</v>
      </c>
      <c r="AD14" s="717">
        <f t="shared" si="0"/>
        <v>0</v>
      </c>
    </row>
    <row r="15" spans="1:32" ht="21.75" customHeight="1" x14ac:dyDescent="0.2">
      <c r="A15" s="639" t="s">
        <v>21</v>
      </c>
      <c r="B15" s="21" t="s">
        <v>34</v>
      </c>
      <c r="C15" s="665"/>
      <c r="D15" s="717">
        <v>0</v>
      </c>
      <c r="E15" s="717">
        <v>0</v>
      </c>
      <c r="F15" s="717">
        <v>0</v>
      </c>
      <c r="G15" s="717">
        <v>0</v>
      </c>
      <c r="H15" s="717">
        <v>0</v>
      </c>
      <c r="I15" s="717">
        <v>0</v>
      </c>
      <c r="J15" s="717">
        <v>0</v>
      </c>
      <c r="K15" s="717">
        <v>0</v>
      </c>
      <c r="L15" s="717">
        <v>0</v>
      </c>
      <c r="M15" s="717">
        <v>0</v>
      </c>
      <c r="N15" s="717">
        <v>0</v>
      </c>
      <c r="O15" s="717">
        <v>0</v>
      </c>
      <c r="P15" s="717">
        <v>0</v>
      </c>
      <c r="Q15" s="717">
        <v>0</v>
      </c>
      <c r="R15" s="717">
        <v>0</v>
      </c>
      <c r="S15" s="717">
        <v>0</v>
      </c>
      <c r="T15" s="717">
        <v>0</v>
      </c>
      <c r="U15" s="717">
        <v>0</v>
      </c>
      <c r="V15" s="717">
        <v>0</v>
      </c>
      <c r="W15" s="717">
        <v>0</v>
      </c>
      <c r="X15" s="717">
        <v>0</v>
      </c>
      <c r="Y15" s="717">
        <v>0</v>
      </c>
      <c r="Z15" s="717">
        <v>0</v>
      </c>
      <c r="AA15" s="717">
        <v>0</v>
      </c>
      <c r="AB15" s="717">
        <v>0</v>
      </c>
      <c r="AC15" s="717">
        <v>0</v>
      </c>
      <c r="AD15" s="717">
        <f t="shared" si="0"/>
        <v>0</v>
      </c>
    </row>
    <row r="16" spans="1:32" ht="21.75" customHeight="1" x14ac:dyDescent="0.25">
      <c r="A16" s="639" t="s">
        <v>22</v>
      </c>
      <c r="B16" s="17" t="s">
        <v>35</v>
      </c>
      <c r="C16" s="665"/>
      <c r="D16" s="717">
        <v>0</v>
      </c>
      <c r="E16" s="643">
        <v>2408857</v>
      </c>
      <c r="F16" s="717">
        <v>2408857</v>
      </c>
      <c r="G16" s="717">
        <v>0</v>
      </c>
      <c r="H16" s="717">
        <v>0</v>
      </c>
      <c r="I16" s="717">
        <v>0</v>
      </c>
      <c r="J16" s="717">
        <v>0</v>
      </c>
      <c r="K16" s="717">
        <v>0</v>
      </c>
      <c r="L16" s="717">
        <v>0</v>
      </c>
      <c r="M16" s="717">
        <v>0</v>
      </c>
      <c r="N16" s="717">
        <v>0</v>
      </c>
      <c r="O16" s="717">
        <v>0</v>
      </c>
      <c r="P16" s="717">
        <v>0</v>
      </c>
      <c r="Q16" s="717">
        <v>0</v>
      </c>
      <c r="R16" s="717">
        <v>0</v>
      </c>
      <c r="S16" s="717">
        <v>0</v>
      </c>
      <c r="T16" s="717">
        <v>0</v>
      </c>
      <c r="U16" s="717">
        <v>0</v>
      </c>
      <c r="V16" s="717">
        <v>0</v>
      </c>
      <c r="W16" s="717">
        <v>0</v>
      </c>
      <c r="X16" s="717">
        <v>0</v>
      </c>
      <c r="Y16" s="717">
        <v>0</v>
      </c>
      <c r="Z16" s="717">
        <v>0</v>
      </c>
      <c r="AA16" s="717">
        <v>0</v>
      </c>
      <c r="AB16" s="717">
        <v>0</v>
      </c>
      <c r="AC16" s="643">
        <v>2408857</v>
      </c>
      <c r="AD16" s="717">
        <f t="shared" si="0"/>
        <v>2408857</v>
      </c>
      <c r="AE16" s="660"/>
    </row>
    <row r="17" spans="1:30" ht="21.75" customHeight="1" x14ac:dyDescent="0.25">
      <c r="A17" s="639" t="s">
        <v>36</v>
      </c>
      <c r="B17" s="648" t="s">
        <v>37</v>
      </c>
      <c r="C17" s="664" t="s">
        <v>38</v>
      </c>
      <c r="D17" s="717">
        <v>0</v>
      </c>
      <c r="E17" s="717">
        <v>0</v>
      </c>
      <c r="F17" s="717">
        <v>0</v>
      </c>
      <c r="G17" s="717">
        <v>0</v>
      </c>
      <c r="H17" s="717">
        <v>321130</v>
      </c>
      <c r="I17" s="717">
        <v>321130</v>
      </c>
      <c r="J17" s="717">
        <v>0</v>
      </c>
      <c r="K17" s="643">
        <v>294979</v>
      </c>
      <c r="L17" s="717">
        <v>294979</v>
      </c>
      <c r="M17" s="717">
        <v>0</v>
      </c>
      <c r="N17" s="717">
        <v>0</v>
      </c>
      <c r="O17" s="717">
        <v>0</v>
      </c>
      <c r="P17" s="717">
        <v>0</v>
      </c>
      <c r="Q17" s="717">
        <v>93980</v>
      </c>
      <c r="R17" s="717">
        <v>93980</v>
      </c>
      <c r="S17" s="717">
        <v>0</v>
      </c>
      <c r="T17" s="643">
        <v>105000</v>
      </c>
      <c r="U17" s="717">
        <v>82148</v>
      </c>
      <c r="V17" s="717">
        <v>0</v>
      </c>
      <c r="W17" s="717">
        <v>0</v>
      </c>
      <c r="X17" s="717">
        <v>0</v>
      </c>
      <c r="Y17" s="717">
        <v>0</v>
      </c>
      <c r="Z17" s="717">
        <v>0</v>
      </c>
      <c r="AA17" s="717">
        <v>0</v>
      </c>
      <c r="AB17" s="717">
        <v>0</v>
      </c>
      <c r="AC17" s="643">
        <v>815089</v>
      </c>
      <c r="AD17" s="717">
        <f t="shared" si="0"/>
        <v>792237</v>
      </c>
    </row>
    <row r="18" spans="1:30" ht="21.75" customHeight="1" x14ac:dyDescent="0.2">
      <c r="A18" s="639" t="s">
        <v>39</v>
      </c>
      <c r="B18" s="646" t="s">
        <v>40</v>
      </c>
      <c r="C18" s="664" t="s">
        <v>41</v>
      </c>
      <c r="D18" s="717">
        <v>0</v>
      </c>
      <c r="E18" s="717">
        <v>0</v>
      </c>
      <c r="F18" s="717">
        <v>0</v>
      </c>
      <c r="G18" s="717">
        <v>0</v>
      </c>
      <c r="H18" s="717">
        <v>0</v>
      </c>
      <c r="I18" s="717">
        <v>0</v>
      </c>
      <c r="J18" s="717">
        <v>0</v>
      </c>
      <c r="K18" s="717">
        <v>0</v>
      </c>
      <c r="L18" s="717">
        <v>0</v>
      </c>
      <c r="M18" s="717">
        <v>0</v>
      </c>
      <c r="N18" s="717">
        <v>0</v>
      </c>
      <c r="O18" s="717">
        <v>0</v>
      </c>
      <c r="P18" s="717">
        <v>0</v>
      </c>
      <c r="Q18" s="717">
        <v>0</v>
      </c>
      <c r="R18" s="717">
        <v>0</v>
      </c>
      <c r="S18" s="717">
        <v>0</v>
      </c>
      <c r="T18" s="717">
        <v>0</v>
      </c>
      <c r="U18" s="717">
        <v>0</v>
      </c>
      <c r="V18" s="717">
        <v>0</v>
      </c>
      <c r="W18" s="717">
        <v>0</v>
      </c>
      <c r="X18" s="717">
        <v>0</v>
      </c>
      <c r="Y18" s="717">
        <v>0</v>
      </c>
      <c r="Z18" s="717">
        <v>0</v>
      </c>
      <c r="AA18" s="717">
        <v>0</v>
      </c>
      <c r="AB18" s="717">
        <v>0</v>
      </c>
      <c r="AC18" s="717">
        <v>0</v>
      </c>
      <c r="AD18" s="717">
        <f t="shared" si="0"/>
        <v>0</v>
      </c>
    </row>
    <row r="19" spans="1:30" ht="21.75" customHeight="1" x14ac:dyDescent="0.2">
      <c r="A19" s="639" t="s">
        <v>42</v>
      </c>
      <c r="B19" s="646" t="s">
        <v>43</v>
      </c>
      <c r="C19" s="664" t="s">
        <v>44</v>
      </c>
      <c r="D19" s="717">
        <v>0</v>
      </c>
      <c r="E19" s="717">
        <v>0</v>
      </c>
      <c r="F19" s="717">
        <f>SUM(F20)</f>
        <v>0</v>
      </c>
      <c r="G19" s="717">
        <v>0</v>
      </c>
      <c r="H19" s="717">
        <v>0</v>
      </c>
      <c r="I19" s="717">
        <f>SUM(I20)</f>
        <v>0</v>
      </c>
      <c r="J19" s="717">
        <v>0</v>
      </c>
      <c r="K19" s="717">
        <v>0</v>
      </c>
      <c r="L19" s="717">
        <f>SUM(L20)</f>
        <v>0</v>
      </c>
      <c r="M19" s="717">
        <v>0</v>
      </c>
      <c r="N19" s="717">
        <v>0</v>
      </c>
      <c r="O19" s="717">
        <f>SUM(O20)</f>
        <v>0</v>
      </c>
      <c r="P19" s="717">
        <v>0</v>
      </c>
      <c r="Q19" s="717">
        <v>0</v>
      </c>
      <c r="R19" s="717">
        <f>SUM(R20)</f>
        <v>0</v>
      </c>
      <c r="S19" s="717">
        <v>0</v>
      </c>
      <c r="T19" s="717">
        <v>0</v>
      </c>
      <c r="U19" s="717">
        <f>SUM(U20)</f>
        <v>0</v>
      </c>
      <c r="V19" s="717">
        <v>0</v>
      </c>
      <c r="W19" s="717">
        <v>0</v>
      </c>
      <c r="X19" s="717">
        <f>SUM(X20)</f>
        <v>0</v>
      </c>
      <c r="Y19" s="717">
        <v>0</v>
      </c>
      <c r="Z19" s="717">
        <v>0</v>
      </c>
      <c r="AA19" s="717">
        <f>SUM(AA20)</f>
        <v>0</v>
      </c>
      <c r="AB19" s="717">
        <v>0</v>
      </c>
      <c r="AC19" s="717">
        <v>0</v>
      </c>
      <c r="AD19" s="717">
        <f t="shared" si="0"/>
        <v>0</v>
      </c>
    </row>
    <row r="20" spans="1:30" ht="21.75" customHeight="1" x14ac:dyDescent="0.2">
      <c r="A20" s="639" t="s">
        <v>45</v>
      </c>
      <c r="B20" s="646" t="s">
        <v>46</v>
      </c>
      <c r="C20" s="664"/>
      <c r="D20" s="717">
        <v>0</v>
      </c>
      <c r="E20" s="717">
        <v>0</v>
      </c>
      <c r="F20" s="717">
        <v>0</v>
      </c>
      <c r="G20" s="717">
        <v>0</v>
      </c>
      <c r="H20" s="717">
        <v>0</v>
      </c>
      <c r="I20" s="717">
        <v>0</v>
      </c>
      <c r="J20" s="717">
        <v>0</v>
      </c>
      <c r="K20" s="717">
        <v>0</v>
      </c>
      <c r="L20" s="717">
        <v>0</v>
      </c>
      <c r="M20" s="717">
        <v>0</v>
      </c>
      <c r="N20" s="717">
        <v>0</v>
      </c>
      <c r="O20" s="717">
        <v>0</v>
      </c>
      <c r="P20" s="717">
        <v>0</v>
      </c>
      <c r="Q20" s="717">
        <v>0</v>
      </c>
      <c r="R20" s="717">
        <v>0</v>
      </c>
      <c r="S20" s="717">
        <v>0</v>
      </c>
      <c r="T20" s="717">
        <v>0</v>
      </c>
      <c r="U20" s="717">
        <v>0</v>
      </c>
      <c r="V20" s="717">
        <v>0</v>
      </c>
      <c r="W20" s="717">
        <v>0</v>
      </c>
      <c r="X20" s="717">
        <v>0</v>
      </c>
      <c r="Y20" s="717">
        <v>0</v>
      </c>
      <c r="Z20" s="717">
        <v>0</v>
      </c>
      <c r="AA20" s="717">
        <v>0</v>
      </c>
      <c r="AB20" s="717">
        <v>0</v>
      </c>
      <c r="AC20" s="717">
        <v>0</v>
      </c>
      <c r="AD20" s="717">
        <f t="shared" si="0"/>
        <v>0</v>
      </c>
    </row>
    <row r="21" spans="1:30" ht="21.75" customHeight="1" x14ac:dyDescent="0.25">
      <c r="A21" s="639" t="s">
        <v>47</v>
      </c>
      <c r="B21" s="648" t="s">
        <v>48</v>
      </c>
      <c r="C21" s="664" t="s">
        <v>49</v>
      </c>
      <c r="D21" s="717">
        <v>0</v>
      </c>
      <c r="E21" s="643">
        <v>2408857</v>
      </c>
      <c r="F21" s="717">
        <f>F9+F10+F11+F12+F13+F17+F18+F19</f>
        <v>2408857</v>
      </c>
      <c r="G21" s="643">
        <v>20113814</v>
      </c>
      <c r="H21" s="643">
        <v>25616128</v>
      </c>
      <c r="I21" s="717">
        <f>+I9+I10+I11+I17</f>
        <v>22818349</v>
      </c>
      <c r="J21" s="643">
        <v>25177127</v>
      </c>
      <c r="K21" s="643">
        <v>25999164</v>
      </c>
      <c r="L21" s="717">
        <f>L9+L10+L11+L12+L13+L17+L18+L19</f>
        <v>22712319</v>
      </c>
      <c r="M21" s="643">
        <v>3506000</v>
      </c>
      <c r="N21" s="643">
        <v>1506000</v>
      </c>
      <c r="O21" s="717">
        <f>O9+O10+O11+O12+O13+O17+O18+O19</f>
        <v>150000</v>
      </c>
      <c r="P21" s="643">
        <v>800000</v>
      </c>
      <c r="Q21" s="643">
        <v>893980</v>
      </c>
      <c r="R21" s="717">
        <f>R9+R10+R11+R12+R13+R17+R18+R19</f>
        <v>284599</v>
      </c>
      <c r="S21" s="717">
        <v>0</v>
      </c>
      <c r="T21" s="643">
        <v>3418571</v>
      </c>
      <c r="U21" s="717">
        <f>U9+U10+U11+U12+U13+U17+U18+U19</f>
        <v>2906405</v>
      </c>
      <c r="V21" s="643">
        <v>1771865</v>
      </c>
      <c r="W21" s="643">
        <v>1771865</v>
      </c>
      <c r="X21" s="717">
        <f>X9+X10+X11+X12+X13+X17+X18+X19</f>
        <v>1588800</v>
      </c>
      <c r="Y21" s="643">
        <v>61649</v>
      </c>
      <c r="Z21" s="643">
        <v>841476</v>
      </c>
      <c r="AA21" s="717">
        <f>AA9+AA10+AA11+AA12+AA13+AA17+AA18+AA19</f>
        <v>827640</v>
      </c>
      <c r="AB21" s="643">
        <v>51430455</v>
      </c>
      <c r="AC21" s="643">
        <v>62456041</v>
      </c>
      <c r="AD21" s="717">
        <f t="shared" si="0"/>
        <v>53696969</v>
      </c>
    </row>
    <row r="22" spans="1:30" ht="21.75" customHeight="1" x14ac:dyDescent="0.2">
      <c r="A22" s="639" t="s">
        <v>50</v>
      </c>
      <c r="B22" s="648" t="s">
        <v>51</v>
      </c>
      <c r="C22" s="664" t="s">
        <v>52</v>
      </c>
      <c r="D22" s="717">
        <v>0</v>
      </c>
      <c r="E22" s="717">
        <v>0</v>
      </c>
      <c r="F22" s="717">
        <f>SUM(F23:F26)</f>
        <v>0</v>
      </c>
      <c r="G22" s="717">
        <v>0</v>
      </c>
      <c r="H22" s="717">
        <v>0</v>
      </c>
      <c r="I22" s="717">
        <f>SUM(I23:I26)</f>
        <v>0</v>
      </c>
      <c r="J22" s="717">
        <v>0</v>
      </c>
      <c r="K22" s="717">
        <v>0</v>
      </c>
      <c r="L22" s="717">
        <f>SUM(L23:L26)</f>
        <v>0</v>
      </c>
      <c r="M22" s="717">
        <v>0</v>
      </c>
      <c r="N22" s="717">
        <v>0</v>
      </c>
      <c r="O22" s="717">
        <f>SUM(O23:O26)</f>
        <v>0</v>
      </c>
      <c r="P22" s="717">
        <v>0</v>
      </c>
      <c r="Q22" s="717">
        <v>0</v>
      </c>
      <c r="R22" s="717">
        <f>SUM(R23:R26)</f>
        <v>0</v>
      </c>
      <c r="S22" s="717">
        <v>0</v>
      </c>
      <c r="T22" s="717">
        <v>0</v>
      </c>
      <c r="U22" s="717">
        <f>SUM(U23:U26)</f>
        <v>0</v>
      </c>
      <c r="V22" s="717">
        <v>0</v>
      </c>
      <c r="W22" s="717">
        <v>0</v>
      </c>
      <c r="X22" s="717">
        <f>SUM(X23:X26)</f>
        <v>0</v>
      </c>
      <c r="Y22" s="717">
        <v>0</v>
      </c>
      <c r="Z22" s="717">
        <v>0</v>
      </c>
      <c r="AA22" s="717">
        <f>SUM(AA23:AA26)</f>
        <v>0</v>
      </c>
      <c r="AB22" s="717">
        <v>0</v>
      </c>
      <c r="AC22" s="717">
        <v>0</v>
      </c>
      <c r="AD22" s="717">
        <f t="shared" si="0"/>
        <v>0</v>
      </c>
    </row>
    <row r="23" spans="1:30" ht="21.75" customHeight="1" x14ac:dyDescent="0.2">
      <c r="A23" s="639" t="s">
        <v>53</v>
      </c>
      <c r="B23" s="24" t="s">
        <v>970</v>
      </c>
      <c r="C23" s="665"/>
      <c r="D23" s="717">
        <v>0</v>
      </c>
      <c r="E23" s="717">
        <v>0</v>
      </c>
      <c r="F23" s="717">
        <v>0</v>
      </c>
      <c r="G23" s="717">
        <v>0</v>
      </c>
      <c r="H23" s="717">
        <v>0</v>
      </c>
      <c r="I23" s="717">
        <v>0</v>
      </c>
      <c r="J23" s="717">
        <v>0</v>
      </c>
      <c r="K23" s="717">
        <v>0</v>
      </c>
      <c r="L23" s="717">
        <v>0</v>
      </c>
      <c r="M23" s="717">
        <v>0</v>
      </c>
      <c r="N23" s="717">
        <v>0</v>
      </c>
      <c r="O23" s="717">
        <v>0</v>
      </c>
      <c r="P23" s="717">
        <v>0</v>
      </c>
      <c r="Q23" s="717">
        <v>0</v>
      </c>
      <c r="R23" s="717">
        <v>0</v>
      </c>
      <c r="S23" s="717">
        <v>0</v>
      </c>
      <c r="T23" s="717">
        <v>0</v>
      </c>
      <c r="U23" s="717">
        <v>0</v>
      </c>
      <c r="V23" s="717">
        <v>0</v>
      </c>
      <c r="W23" s="717">
        <v>0</v>
      </c>
      <c r="X23" s="717">
        <v>0</v>
      </c>
      <c r="Y23" s="717">
        <v>0</v>
      </c>
      <c r="Z23" s="717">
        <v>0</v>
      </c>
      <c r="AA23" s="717">
        <v>0</v>
      </c>
      <c r="AB23" s="717">
        <v>0</v>
      </c>
      <c r="AC23" s="717">
        <v>0</v>
      </c>
      <c r="AD23" s="717">
        <f t="shared" si="0"/>
        <v>0</v>
      </c>
    </row>
    <row r="24" spans="1:30" ht="21.75" customHeight="1" x14ac:dyDescent="0.2">
      <c r="A24" s="639" t="s">
        <v>55</v>
      </c>
      <c r="B24" s="652" t="s">
        <v>56</v>
      </c>
      <c r="C24" s="665"/>
      <c r="D24" s="717">
        <v>0</v>
      </c>
      <c r="E24" s="717">
        <v>0</v>
      </c>
      <c r="F24" s="717">
        <v>0</v>
      </c>
      <c r="G24" s="717">
        <v>0</v>
      </c>
      <c r="H24" s="717">
        <v>0</v>
      </c>
      <c r="I24" s="717">
        <v>0</v>
      </c>
      <c r="J24" s="717">
        <v>0</v>
      </c>
      <c r="K24" s="717">
        <v>0</v>
      </c>
      <c r="L24" s="717">
        <v>0</v>
      </c>
      <c r="M24" s="717">
        <v>0</v>
      </c>
      <c r="N24" s="717">
        <v>0</v>
      </c>
      <c r="O24" s="717">
        <v>0</v>
      </c>
      <c r="P24" s="717">
        <v>0</v>
      </c>
      <c r="Q24" s="717">
        <v>0</v>
      </c>
      <c r="R24" s="717">
        <v>0</v>
      </c>
      <c r="S24" s="717">
        <v>0</v>
      </c>
      <c r="T24" s="717">
        <v>0</v>
      </c>
      <c r="U24" s="717">
        <v>0</v>
      </c>
      <c r="V24" s="717">
        <v>0</v>
      </c>
      <c r="W24" s="717">
        <v>0</v>
      </c>
      <c r="X24" s="717">
        <v>0</v>
      </c>
      <c r="Y24" s="717">
        <v>0</v>
      </c>
      <c r="Z24" s="717">
        <v>0</v>
      </c>
      <c r="AA24" s="717">
        <v>0</v>
      </c>
      <c r="AB24" s="717">
        <v>0</v>
      </c>
      <c r="AC24" s="717">
        <v>0</v>
      </c>
      <c r="AD24" s="717">
        <f t="shared" si="0"/>
        <v>0</v>
      </c>
    </row>
    <row r="25" spans="1:30" ht="21.75" customHeight="1" x14ac:dyDescent="0.2">
      <c r="A25" s="639" t="s">
        <v>57</v>
      </c>
      <c r="B25" s="652" t="s">
        <v>58</v>
      </c>
      <c r="C25" s="665"/>
      <c r="D25" s="717">
        <v>0</v>
      </c>
      <c r="E25" s="717">
        <v>0</v>
      </c>
      <c r="F25" s="717">
        <v>0</v>
      </c>
      <c r="G25" s="717">
        <v>0</v>
      </c>
      <c r="H25" s="717">
        <v>0</v>
      </c>
      <c r="I25" s="717">
        <v>0</v>
      </c>
      <c r="J25" s="717">
        <v>0</v>
      </c>
      <c r="K25" s="717">
        <v>0</v>
      </c>
      <c r="L25" s="717">
        <v>0</v>
      </c>
      <c r="M25" s="717">
        <v>0</v>
      </c>
      <c r="N25" s="717">
        <v>0</v>
      </c>
      <c r="O25" s="717">
        <v>0</v>
      </c>
      <c r="P25" s="717">
        <v>0</v>
      </c>
      <c r="Q25" s="717">
        <v>0</v>
      </c>
      <c r="R25" s="717">
        <v>0</v>
      </c>
      <c r="S25" s="717">
        <v>0</v>
      </c>
      <c r="T25" s="717">
        <v>0</v>
      </c>
      <c r="U25" s="717">
        <v>0</v>
      </c>
      <c r="V25" s="717">
        <v>0</v>
      </c>
      <c r="W25" s="717">
        <v>0</v>
      </c>
      <c r="X25" s="717">
        <v>0</v>
      </c>
      <c r="Y25" s="717">
        <v>0</v>
      </c>
      <c r="Z25" s="717">
        <v>0</v>
      </c>
      <c r="AA25" s="717">
        <v>0</v>
      </c>
      <c r="AB25" s="717">
        <v>0</v>
      </c>
      <c r="AC25" s="717">
        <v>0</v>
      </c>
      <c r="AD25" s="717">
        <f t="shared" si="0"/>
        <v>0</v>
      </c>
    </row>
    <row r="26" spans="1:30" ht="21.75" customHeight="1" x14ac:dyDescent="0.2">
      <c r="A26" s="639" t="s">
        <v>59</v>
      </c>
      <c r="B26" s="652" t="s">
        <v>60</v>
      </c>
      <c r="C26" s="665"/>
      <c r="D26" s="717">
        <v>0</v>
      </c>
      <c r="E26" s="717">
        <v>0</v>
      </c>
      <c r="F26" s="717">
        <v>0</v>
      </c>
      <c r="G26" s="717">
        <v>0</v>
      </c>
      <c r="H26" s="717">
        <v>0</v>
      </c>
      <c r="I26" s="717">
        <v>0</v>
      </c>
      <c r="J26" s="717">
        <v>0</v>
      </c>
      <c r="K26" s="717">
        <v>0</v>
      </c>
      <c r="L26" s="717">
        <v>0</v>
      </c>
      <c r="M26" s="717">
        <v>0</v>
      </c>
      <c r="N26" s="717">
        <v>0</v>
      </c>
      <c r="O26" s="717">
        <v>0</v>
      </c>
      <c r="P26" s="717">
        <v>0</v>
      </c>
      <c r="Q26" s="717">
        <v>0</v>
      </c>
      <c r="R26" s="717">
        <v>0</v>
      </c>
      <c r="S26" s="717">
        <v>0</v>
      </c>
      <c r="T26" s="717">
        <v>0</v>
      </c>
      <c r="U26" s="717">
        <v>0</v>
      </c>
      <c r="V26" s="717">
        <v>0</v>
      </c>
      <c r="W26" s="717">
        <v>0</v>
      </c>
      <c r="X26" s="717">
        <v>0</v>
      </c>
      <c r="Y26" s="717">
        <v>0</v>
      </c>
      <c r="Z26" s="717">
        <v>0</v>
      </c>
      <c r="AA26" s="717">
        <v>0</v>
      </c>
      <c r="AB26" s="717">
        <v>0</v>
      </c>
      <c r="AC26" s="717">
        <v>0</v>
      </c>
      <c r="AD26" s="717">
        <f t="shared" si="0"/>
        <v>0</v>
      </c>
    </row>
    <row r="27" spans="1:30" s="651" customFormat="1" ht="21.75" customHeight="1" x14ac:dyDescent="0.25">
      <c r="A27" s="639" t="s">
        <v>61</v>
      </c>
      <c r="B27" s="653" t="s">
        <v>62</v>
      </c>
      <c r="C27" s="664"/>
      <c r="D27" s="717">
        <v>0</v>
      </c>
      <c r="E27" s="650">
        <v>2408857</v>
      </c>
      <c r="F27" s="650">
        <f>F9+F10+F11+F12+F13+F24+F26</f>
        <v>2408857</v>
      </c>
      <c r="G27" s="650">
        <v>20113814</v>
      </c>
      <c r="H27" s="650">
        <v>25294998</v>
      </c>
      <c r="I27" s="650">
        <f>I9+I10+I11+I12+I13+I24+I26</f>
        <v>22497219</v>
      </c>
      <c r="J27" s="650">
        <v>25177127</v>
      </c>
      <c r="K27" s="650">
        <v>25704185</v>
      </c>
      <c r="L27" s="650">
        <f>L9+L10+L11+L12+L13+L24+L26</f>
        <v>22417340</v>
      </c>
      <c r="M27" s="650">
        <v>3506000</v>
      </c>
      <c r="N27" s="650">
        <v>1506000</v>
      </c>
      <c r="O27" s="650">
        <f>O9+O10+O11+O12+O13+O24+O26</f>
        <v>150000</v>
      </c>
      <c r="P27" s="650">
        <v>800000</v>
      </c>
      <c r="Q27" s="650">
        <v>800000</v>
      </c>
      <c r="R27" s="650">
        <f>R9+R10+R11+R12+R13+R24+R26</f>
        <v>190619</v>
      </c>
      <c r="S27" s="717">
        <v>0</v>
      </c>
      <c r="T27" s="650">
        <v>3313571</v>
      </c>
      <c r="U27" s="650">
        <f>U9+U10+U11+U12+U13+U24+U26</f>
        <v>2824257</v>
      </c>
      <c r="V27" s="650">
        <v>1771865</v>
      </c>
      <c r="W27" s="650">
        <v>1771865</v>
      </c>
      <c r="X27" s="650">
        <f>X9+X10+X11+X12+X13+X24+X26</f>
        <v>1588800</v>
      </c>
      <c r="Y27" s="650">
        <v>61649</v>
      </c>
      <c r="Z27" s="650">
        <v>841476</v>
      </c>
      <c r="AA27" s="650">
        <f>AA9+AA10+AA11+AA12+AA13+AA24+AA26</f>
        <v>827640</v>
      </c>
      <c r="AB27" s="650">
        <v>51430455</v>
      </c>
      <c r="AC27" s="650">
        <v>61640952</v>
      </c>
      <c r="AD27" s="650">
        <f t="shared" si="0"/>
        <v>52904732</v>
      </c>
    </row>
    <row r="28" spans="1:30" s="651" customFormat="1" ht="21.75" customHeight="1" x14ac:dyDescent="0.25">
      <c r="A28" s="639" t="s">
        <v>63</v>
      </c>
      <c r="B28" s="653" t="s">
        <v>64</v>
      </c>
      <c r="C28" s="664"/>
      <c r="D28" s="717">
        <v>0</v>
      </c>
      <c r="E28" s="717">
        <v>0</v>
      </c>
      <c r="F28" s="650">
        <f>F17+F18+F19+F25</f>
        <v>0</v>
      </c>
      <c r="G28" s="717">
        <v>0</v>
      </c>
      <c r="H28" s="650">
        <v>321130</v>
      </c>
      <c r="I28" s="650">
        <f>I17+I18+I19+I25</f>
        <v>321130</v>
      </c>
      <c r="J28" s="717">
        <v>0</v>
      </c>
      <c r="K28" s="650">
        <v>294979</v>
      </c>
      <c r="L28" s="650">
        <f>L17+L18+L19+L25</f>
        <v>294979</v>
      </c>
      <c r="M28" s="717">
        <v>0</v>
      </c>
      <c r="N28" s="717">
        <v>0</v>
      </c>
      <c r="O28" s="717">
        <f>O17+O18+O19+O25</f>
        <v>0</v>
      </c>
      <c r="P28" s="717">
        <v>0</v>
      </c>
      <c r="Q28" s="650">
        <v>93980</v>
      </c>
      <c r="R28" s="650">
        <f>R17+R18+R19+R25</f>
        <v>93980</v>
      </c>
      <c r="S28" s="717">
        <v>0</v>
      </c>
      <c r="T28" s="650">
        <v>105000</v>
      </c>
      <c r="U28" s="650">
        <f>U17+U18+U19+U25</f>
        <v>82148</v>
      </c>
      <c r="V28" s="717">
        <v>0</v>
      </c>
      <c r="W28" s="717">
        <v>0</v>
      </c>
      <c r="X28" s="650">
        <f>X17+X18+X19+X25</f>
        <v>0</v>
      </c>
      <c r="Y28" s="717">
        <v>0</v>
      </c>
      <c r="Z28" s="717">
        <v>0</v>
      </c>
      <c r="AA28" s="650">
        <f>AA17+AA18+AA19+AA25</f>
        <v>0</v>
      </c>
      <c r="AB28" s="717">
        <v>0</v>
      </c>
      <c r="AC28" s="650">
        <v>815089</v>
      </c>
      <c r="AD28" s="650">
        <f t="shared" si="0"/>
        <v>792237</v>
      </c>
    </row>
    <row r="29" spans="1:30" s="651" customFormat="1" ht="21.75" customHeight="1" x14ac:dyDescent="0.25">
      <c r="A29" s="639" t="s">
        <v>65</v>
      </c>
      <c r="B29" s="653" t="s">
        <v>66</v>
      </c>
      <c r="C29" s="664" t="s">
        <v>67</v>
      </c>
      <c r="D29" s="717">
        <v>0</v>
      </c>
      <c r="E29" s="650">
        <v>2408857</v>
      </c>
      <c r="F29" s="650">
        <f>F9+F10+F11+F12+F13+F17+F18+F19+F22</f>
        <v>2408857</v>
      </c>
      <c r="G29" s="650">
        <v>20113814</v>
      </c>
      <c r="H29" s="650">
        <v>25616128</v>
      </c>
      <c r="I29" s="650">
        <f>I9+I10+I11+I12+I13+I17+I18+I19+I22</f>
        <v>22818349</v>
      </c>
      <c r="J29" s="650">
        <v>25177127</v>
      </c>
      <c r="K29" s="650">
        <v>25999164</v>
      </c>
      <c r="L29" s="650">
        <f>L9+L10+L11+L12+L13+L17+L18+L19+L22</f>
        <v>22712319</v>
      </c>
      <c r="M29" s="650">
        <v>3506000</v>
      </c>
      <c r="N29" s="650">
        <v>1506000</v>
      </c>
      <c r="O29" s="650">
        <f>O9+O10+O11+O12+O13+O17+O18+O19+O22</f>
        <v>150000</v>
      </c>
      <c r="P29" s="650">
        <v>800000</v>
      </c>
      <c r="Q29" s="650">
        <v>893980</v>
      </c>
      <c r="R29" s="650">
        <f>R9+R10+R11+R12+R13+R17+R18+R19+R22</f>
        <v>284599</v>
      </c>
      <c r="S29" s="717">
        <v>0</v>
      </c>
      <c r="T29" s="650">
        <v>3418571</v>
      </c>
      <c r="U29" s="650">
        <f>U9+U10+U11+U12+U13+U17+U18+U19+U22</f>
        <v>2906405</v>
      </c>
      <c r="V29" s="650">
        <v>1771865</v>
      </c>
      <c r="W29" s="650">
        <v>1771865</v>
      </c>
      <c r="X29" s="650">
        <f>X9+X10+X11+X12+X13+X17+X18+X19+X22</f>
        <v>1588800</v>
      </c>
      <c r="Y29" s="650">
        <v>61649</v>
      </c>
      <c r="Z29" s="650">
        <v>841476</v>
      </c>
      <c r="AA29" s="650">
        <f>AA9+AA10+AA11+AA12+AA13+AA17+AA18+AA19+AA22</f>
        <v>827640</v>
      </c>
      <c r="AB29" s="650">
        <v>51430455</v>
      </c>
      <c r="AC29" s="650">
        <v>62456041</v>
      </c>
      <c r="AD29" s="650">
        <f t="shared" si="0"/>
        <v>53696969</v>
      </c>
    </row>
    <row r="30" spans="1:30" ht="21.75" customHeight="1" x14ac:dyDescent="0.2">
      <c r="A30" s="639" t="s">
        <v>68</v>
      </c>
      <c r="B30" s="645" t="s">
        <v>69</v>
      </c>
      <c r="C30" s="648" t="s">
        <v>70</v>
      </c>
      <c r="D30" s="717">
        <v>0</v>
      </c>
      <c r="E30" s="717">
        <v>0</v>
      </c>
      <c r="F30" s="717">
        <v>0</v>
      </c>
      <c r="G30" s="717">
        <v>0</v>
      </c>
      <c r="H30" s="717">
        <v>0</v>
      </c>
      <c r="I30" s="717">
        <v>0</v>
      </c>
      <c r="J30" s="717">
        <v>0</v>
      </c>
      <c r="K30" s="717">
        <v>0</v>
      </c>
      <c r="L30" s="717">
        <v>0</v>
      </c>
      <c r="M30" s="717">
        <v>0</v>
      </c>
      <c r="N30" s="717">
        <v>0</v>
      </c>
      <c r="O30" s="717">
        <v>0</v>
      </c>
      <c r="P30" s="717">
        <v>0</v>
      </c>
      <c r="Q30" s="717">
        <v>0</v>
      </c>
      <c r="R30" s="717">
        <v>0</v>
      </c>
      <c r="S30" s="717">
        <v>0</v>
      </c>
      <c r="T30" s="717">
        <v>0</v>
      </c>
      <c r="U30" s="717">
        <v>0</v>
      </c>
      <c r="V30" s="717">
        <v>0</v>
      </c>
      <c r="W30" s="717">
        <v>0</v>
      </c>
      <c r="X30" s="717">
        <v>0</v>
      </c>
      <c r="Y30" s="717">
        <v>0</v>
      </c>
      <c r="Z30" s="717">
        <v>0</v>
      </c>
      <c r="AA30" s="717">
        <v>0</v>
      </c>
      <c r="AB30" s="717">
        <v>0</v>
      </c>
      <c r="AC30" s="717">
        <v>0</v>
      </c>
      <c r="AD30" s="717">
        <f t="shared" si="0"/>
        <v>0</v>
      </c>
    </row>
    <row r="31" spans="1:30" ht="21.75" customHeight="1" x14ac:dyDescent="0.2">
      <c r="A31" s="639" t="s">
        <v>71</v>
      </c>
      <c r="B31" s="645" t="s">
        <v>72</v>
      </c>
      <c r="C31" s="648" t="s">
        <v>73</v>
      </c>
      <c r="D31" s="717">
        <v>0</v>
      </c>
      <c r="E31" s="717">
        <v>0</v>
      </c>
      <c r="F31" s="717">
        <v>0</v>
      </c>
      <c r="G31" s="717">
        <v>0</v>
      </c>
      <c r="H31" s="717">
        <v>0</v>
      </c>
      <c r="I31" s="717">
        <v>0</v>
      </c>
      <c r="J31" s="717">
        <v>0</v>
      </c>
      <c r="K31" s="717">
        <v>0</v>
      </c>
      <c r="L31" s="717">
        <v>0</v>
      </c>
      <c r="M31" s="717">
        <v>0</v>
      </c>
      <c r="N31" s="717">
        <v>0</v>
      </c>
      <c r="O31" s="717">
        <v>0</v>
      </c>
      <c r="P31" s="717">
        <v>0</v>
      </c>
      <c r="Q31" s="717">
        <v>0</v>
      </c>
      <c r="R31" s="717">
        <v>0</v>
      </c>
      <c r="S31" s="717">
        <v>0</v>
      </c>
      <c r="T31" s="717">
        <v>0</v>
      </c>
      <c r="U31" s="717">
        <v>0</v>
      </c>
      <c r="V31" s="717">
        <v>0</v>
      </c>
      <c r="W31" s="717">
        <v>0</v>
      </c>
      <c r="X31" s="717">
        <v>0</v>
      </c>
      <c r="Y31" s="717">
        <v>0</v>
      </c>
      <c r="Z31" s="717">
        <v>0</v>
      </c>
      <c r="AA31" s="717">
        <v>0</v>
      </c>
      <c r="AB31" s="717">
        <v>0</v>
      </c>
      <c r="AC31" s="717">
        <v>0</v>
      </c>
      <c r="AD31" s="717">
        <f t="shared" si="0"/>
        <v>0</v>
      </c>
    </row>
    <row r="32" spans="1:30" ht="21.75" customHeight="1" x14ac:dyDescent="0.2">
      <c r="A32" s="639" t="s">
        <v>74</v>
      </c>
      <c r="B32" s="645" t="s">
        <v>75</v>
      </c>
      <c r="C32" s="648" t="s">
        <v>76</v>
      </c>
      <c r="D32" s="717">
        <v>0</v>
      </c>
      <c r="E32" s="717">
        <v>0</v>
      </c>
      <c r="F32" s="717">
        <v>0</v>
      </c>
      <c r="G32" s="717">
        <v>0</v>
      </c>
      <c r="H32" s="717">
        <v>0</v>
      </c>
      <c r="I32" s="717">
        <v>0</v>
      </c>
      <c r="J32" s="717">
        <v>0</v>
      </c>
      <c r="K32" s="717">
        <v>0</v>
      </c>
      <c r="L32" s="717">
        <v>0</v>
      </c>
      <c r="M32" s="717">
        <v>0</v>
      </c>
      <c r="N32" s="717">
        <v>0</v>
      </c>
      <c r="O32" s="717">
        <v>0</v>
      </c>
      <c r="P32" s="717">
        <v>0</v>
      </c>
      <c r="Q32" s="717">
        <v>0</v>
      </c>
      <c r="R32" s="717">
        <v>0</v>
      </c>
      <c r="S32" s="717">
        <v>0</v>
      </c>
      <c r="T32" s="717">
        <v>0</v>
      </c>
      <c r="U32" s="717">
        <v>0</v>
      </c>
      <c r="V32" s="717">
        <v>0</v>
      </c>
      <c r="W32" s="717">
        <v>0</v>
      </c>
      <c r="X32" s="717">
        <v>0</v>
      </c>
      <c r="Y32" s="717">
        <v>0</v>
      </c>
      <c r="Z32" s="717">
        <v>0</v>
      </c>
      <c r="AA32" s="717">
        <v>0</v>
      </c>
      <c r="AB32" s="717">
        <v>0</v>
      </c>
      <c r="AC32" s="717">
        <v>0</v>
      </c>
      <c r="AD32" s="717">
        <f t="shared" si="0"/>
        <v>0</v>
      </c>
    </row>
    <row r="33" spans="1:31" ht="21.75" customHeight="1" x14ac:dyDescent="0.25">
      <c r="A33" s="639" t="s">
        <v>77</v>
      </c>
      <c r="B33" s="646" t="s">
        <v>78</v>
      </c>
      <c r="C33" s="648" t="s">
        <v>79</v>
      </c>
      <c r="D33" s="717">
        <v>0</v>
      </c>
      <c r="E33" s="717">
        <v>0</v>
      </c>
      <c r="F33" s="717">
        <v>0</v>
      </c>
      <c r="G33" s="717">
        <v>0</v>
      </c>
      <c r="H33" s="643">
        <v>11670</v>
      </c>
      <c r="I33" s="717">
        <v>11670</v>
      </c>
      <c r="J33" s="717">
        <v>0</v>
      </c>
      <c r="K33" s="717">
        <v>0</v>
      </c>
      <c r="L33" s="717">
        <v>0</v>
      </c>
      <c r="M33" s="717">
        <v>0</v>
      </c>
      <c r="N33" s="717">
        <v>0</v>
      </c>
      <c r="O33" s="717">
        <v>0</v>
      </c>
      <c r="P33" s="717">
        <v>0</v>
      </c>
      <c r="Q33" s="717">
        <v>0</v>
      </c>
      <c r="R33" s="717">
        <v>0</v>
      </c>
      <c r="S33" s="717">
        <v>0</v>
      </c>
      <c r="T33" s="643">
        <v>2233600</v>
      </c>
      <c r="U33" s="717">
        <v>2233600</v>
      </c>
      <c r="V33" s="717">
        <v>0</v>
      </c>
      <c r="W33" s="717">
        <v>0</v>
      </c>
      <c r="X33" s="717">
        <v>0</v>
      </c>
      <c r="Y33" s="717">
        <v>0</v>
      </c>
      <c r="Z33" s="643">
        <v>814605</v>
      </c>
      <c r="AA33" s="717">
        <v>814605</v>
      </c>
      <c r="AB33" s="717">
        <v>0</v>
      </c>
      <c r="AC33" s="643">
        <v>3059875</v>
      </c>
      <c r="AD33" s="717">
        <f t="shared" si="0"/>
        <v>3059875</v>
      </c>
    </row>
    <row r="34" spans="1:31" ht="21.75" customHeight="1" x14ac:dyDescent="0.2">
      <c r="A34" s="639" t="s">
        <v>80</v>
      </c>
      <c r="B34" s="645" t="s">
        <v>81</v>
      </c>
      <c r="C34" s="648" t="s">
        <v>82</v>
      </c>
      <c r="D34" s="717">
        <v>0</v>
      </c>
      <c r="E34" s="717">
        <v>0</v>
      </c>
      <c r="F34" s="717">
        <v>0</v>
      </c>
      <c r="G34" s="717">
        <v>0</v>
      </c>
      <c r="H34" s="717">
        <v>0</v>
      </c>
      <c r="I34" s="717">
        <v>0</v>
      </c>
      <c r="J34" s="717">
        <v>0</v>
      </c>
      <c r="K34" s="717">
        <v>0</v>
      </c>
      <c r="L34" s="717">
        <v>0</v>
      </c>
      <c r="M34" s="717">
        <v>0</v>
      </c>
      <c r="N34" s="717">
        <v>0</v>
      </c>
      <c r="O34" s="717">
        <v>0</v>
      </c>
      <c r="P34" s="717">
        <v>0</v>
      </c>
      <c r="Q34" s="717">
        <v>0</v>
      </c>
      <c r="R34" s="717">
        <v>0</v>
      </c>
      <c r="S34" s="717">
        <v>0</v>
      </c>
      <c r="T34" s="717">
        <v>0</v>
      </c>
      <c r="U34" s="717">
        <v>0</v>
      </c>
      <c r="V34" s="717">
        <v>0</v>
      </c>
      <c r="W34" s="717">
        <v>0</v>
      </c>
      <c r="X34" s="717">
        <v>0</v>
      </c>
      <c r="Y34" s="717">
        <v>0</v>
      </c>
      <c r="Z34" s="717">
        <v>0</v>
      </c>
      <c r="AA34" s="717">
        <v>0</v>
      </c>
      <c r="AB34" s="717">
        <v>0</v>
      </c>
      <c r="AC34" s="717">
        <v>0</v>
      </c>
      <c r="AD34" s="717">
        <f t="shared" si="0"/>
        <v>0</v>
      </c>
    </row>
    <row r="35" spans="1:31" ht="21.75" customHeight="1" x14ac:dyDescent="0.2">
      <c r="A35" s="639" t="s">
        <v>83</v>
      </c>
      <c r="B35" s="645" t="s">
        <v>84</v>
      </c>
      <c r="C35" s="648" t="s">
        <v>85</v>
      </c>
      <c r="D35" s="717">
        <v>0</v>
      </c>
      <c r="E35" s="717">
        <v>0</v>
      </c>
      <c r="F35" s="717">
        <v>0</v>
      </c>
      <c r="G35" s="717">
        <v>0</v>
      </c>
      <c r="H35" s="717">
        <v>0</v>
      </c>
      <c r="I35" s="717">
        <v>0</v>
      </c>
      <c r="J35" s="717">
        <v>0</v>
      </c>
      <c r="K35" s="717">
        <v>0</v>
      </c>
      <c r="L35" s="717">
        <v>0</v>
      </c>
      <c r="M35" s="717">
        <v>0</v>
      </c>
      <c r="N35" s="717">
        <v>0</v>
      </c>
      <c r="O35" s="717">
        <v>0</v>
      </c>
      <c r="P35" s="717">
        <v>0</v>
      </c>
      <c r="Q35" s="717">
        <v>0</v>
      </c>
      <c r="R35" s="717">
        <v>0</v>
      </c>
      <c r="S35" s="717">
        <v>0</v>
      </c>
      <c r="T35" s="717">
        <v>0</v>
      </c>
      <c r="U35" s="717">
        <v>0</v>
      </c>
      <c r="V35" s="717">
        <v>0</v>
      </c>
      <c r="W35" s="717">
        <v>0</v>
      </c>
      <c r="X35" s="717">
        <v>0</v>
      </c>
      <c r="Y35" s="717">
        <v>0</v>
      </c>
      <c r="Z35" s="717">
        <v>0</v>
      </c>
      <c r="AA35" s="717">
        <v>0</v>
      </c>
      <c r="AB35" s="717">
        <v>0</v>
      </c>
      <c r="AC35" s="717">
        <v>0</v>
      </c>
      <c r="AD35" s="717">
        <f t="shared" si="0"/>
        <v>0</v>
      </c>
    </row>
    <row r="36" spans="1:31" ht="21.75" customHeight="1" x14ac:dyDescent="0.2">
      <c r="A36" s="639" t="s">
        <v>86</v>
      </c>
      <c r="B36" s="645" t="s">
        <v>87</v>
      </c>
      <c r="C36" s="648" t="s">
        <v>88</v>
      </c>
      <c r="D36" s="717">
        <v>0</v>
      </c>
      <c r="E36" s="717">
        <v>0</v>
      </c>
      <c r="F36" s="717">
        <v>0</v>
      </c>
      <c r="G36" s="717">
        <v>0</v>
      </c>
      <c r="H36" s="717">
        <v>0</v>
      </c>
      <c r="I36" s="717">
        <v>0</v>
      </c>
      <c r="J36" s="717">
        <v>0</v>
      </c>
      <c r="K36" s="717">
        <v>0</v>
      </c>
      <c r="L36" s="717">
        <v>0</v>
      </c>
      <c r="M36" s="717">
        <v>0</v>
      </c>
      <c r="N36" s="717">
        <v>0</v>
      </c>
      <c r="O36" s="717">
        <v>0</v>
      </c>
      <c r="P36" s="717">
        <v>0</v>
      </c>
      <c r="Q36" s="717">
        <v>0</v>
      </c>
      <c r="R36" s="717">
        <v>0</v>
      </c>
      <c r="S36" s="717">
        <v>0</v>
      </c>
      <c r="T36" s="717">
        <v>0</v>
      </c>
      <c r="U36" s="717">
        <v>0</v>
      </c>
      <c r="V36" s="717">
        <v>0</v>
      </c>
      <c r="W36" s="717">
        <v>0</v>
      </c>
      <c r="X36" s="717">
        <v>0</v>
      </c>
      <c r="Y36" s="717">
        <v>0</v>
      </c>
      <c r="Z36" s="717">
        <v>0</v>
      </c>
      <c r="AA36" s="717">
        <v>0</v>
      </c>
      <c r="AB36" s="717">
        <v>0</v>
      </c>
      <c r="AC36" s="717">
        <v>0</v>
      </c>
      <c r="AD36" s="717">
        <f t="shared" si="0"/>
        <v>0</v>
      </c>
    </row>
    <row r="37" spans="1:31" ht="21.75" customHeight="1" x14ac:dyDescent="0.25">
      <c r="A37" s="639" t="s">
        <v>89</v>
      </c>
      <c r="B37" s="646" t="s">
        <v>90</v>
      </c>
      <c r="C37" s="648" t="s">
        <v>91</v>
      </c>
      <c r="D37" s="717">
        <v>0</v>
      </c>
      <c r="E37" s="717">
        <v>0</v>
      </c>
      <c r="F37" s="717">
        <f>SUM(F30:F36)</f>
        <v>0</v>
      </c>
      <c r="G37" s="717">
        <v>0</v>
      </c>
      <c r="H37" s="643">
        <v>11670</v>
      </c>
      <c r="I37" s="717">
        <f>SUM(I30:I36)</f>
        <v>11670</v>
      </c>
      <c r="J37" s="717">
        <v>0</v>
      </c>
      <c r="K37" s="717">
        <v>0</v>
      </c>
      <c r="L37" s="717">
        <f>SUM(L30:L36)</f>
        <v>0</v>
      </c>
      <c r="M37" s="717">
        <v>0</v>
      </c>
      <c r="N37" s="717">
        <v>0</v>
      </c>
      <c r="O37" s="717">
        <f>SUM(O30:O36)</f>
        <v>0</v>
      </c>
      <c r="P37" s="717">
        <v>0</v>
      </c>
      <c r="Q37" s="717">
        <v>0</v>
      </c>
      <c r="R37" s="717">
        <f>SUM(R30:R36)</f>
        <v>0</v>
      </c>
      <c r="S37" s="717">
        <v>0</v>
      </c>
      <c r="T37" s="643">
        <v>2233600</v>
      </c>
      <c r="U37" s="717">
        <f>SUM(U30:U36)</f>
        <v>2233600</v>
      </c>
      <c r="V37" s="717">
        <v>0</v>
      </c>
      <c r="W37" s="717">
        <v>0</v>
      </c>
      <c r="X37" s="717">
        <f>SUM(X30:X36)</f>
        <v>0</v>
      </c>
      <c r="Y37" s="717">
        <v>0</v>
      </c>
      <c r="Z37" s="643">
        <v>814605</v>
      </c>
      <c r="AA37" s="717">
        <f>SUM(AA30:AA36)</f>
        <v>814605</v>
      </c>
      <c r="AB37" s="717">
        <v>0</v>
      </c>
      <c r="AC37" s="666">
        <v>3059875</v>
      </c>
      <c r="AD37" s="717">
        <f t="shared" si="0"/>
        <v>3059875</v>
      </c>
    </row>
    <row r="38" spans="1:31" ht="21.75" customHeight="1" x14ac:dyDescent="0.25">
      <c r="A38" s="639" t="s">
        <v>92</v>
      </c>
      <c r="B38" s="648" t="s">
        <v>93</v>
      </c>
      <c r="C38" s="664" t="s">
        <v>94</v>
      </c>
      <c r="D38" s="643">
        <v>51430455</v>
      </c>
      <c r="E38" s="643">
        <v>59396166</v>
      </c>
      <c r="F38" s="717">
        <f>+F40+F42+F43</f>
        <v>52858535</v>
      </c>
      <c r="G38" s="717">
        <v>0</v>
      </c>
      <c r="H38" s="717">
        <v>0</v>
      </c>
      <c r="I38" s="717">
        <f>SUM(I39:I44)</f>
        <v>0</v>
      </c>
      <c r="J38" s="717">
        <v>0</v>
      </c>
      <c r="K38" s="717">
        <v>0</v>
      </c>
      <c r="L38" s="717">
        <f>SUM(L39:L44)</f>
        <v>0</v>
      </c>
      <c r="M38" s="717">
        <v>0</v>
      </c>
      <c r="N38" s="717">
        <v>0</v>
      </c>
      <c r="O38" s="717">
        <f>SUM(O39:O44)</f>
        <v>0</v>
      </c>
      <c r="P38" s="717">
        <v>0</v>
      </c>
      <c r="Q38" s="717">
        <v>0</v>
      </c>
      <c r="R38" s="717">
        <f>SUM(R39:R44)</f>
        <v>0</v>
      </c>
      <c r="S38" s="717">
        <v>0</v>
      </c>
      <c r="T38" s="717">
        <v>0</v>
      </c>
      <c r="U38" s="717">
        <f>SUM(U39:U44)</f>
        <v>0</v>
      </c>
      <c r="V38" s="717">
        <v>0</v>
      </c>
      <c r="W38" s="717">
        <v>0</v>
      </c>
      <c r="X38" s="717">
        <f>SUM(X39:X44)</f>
        <v>0</v>
      </c>
      <c r="Y38" s="717">
        <v>0</v>
      </c>
      <c r="Z38" s="717">
        <v>0</v>
      </c>
      <c r="AA38" s="717">
        <f>SUM(AA39:AA44)</f>
        <v>0</v>
      </c>
      <c r="AB38" s="643">
        <v>51430455</v>
      </c>
      <c r="AC38" s="643">
        <v>59396166</v>
      </c>
      <c r="AD38" s="717">
        <f t="shared" si="0"/>
        <v>52858535</v>
      </c>
    </row>
    <row r="39" spans="1:31" ht="21.75" customHeight="1" x14ac:dyDescent="0.2">
      <c r="A39" s="639" t="s">
        <v>95</v>
      </c>
      <c r="B39" s="24" t="s">
        <v>1290</v>
      </c>
      <c r="C39" s="664"/>
      <c r="D39" s="717">
        <v>0</v>
      </c>
      <c r="E39" s="717">
        <v>0</v>
      </c>
      <c r="F39" s="717">
        <v>0</v>
      </c>
      <c r="G39" s="717">
        <v>0</v>
      </c>
      <c r="H39" s="717">
        <v>0</v>
      </c>
      <c r="I39" s="717">
        <v>0</v>
      </c>
      <c r="J39" s="717">
        <v>0</v>
      </c>
      <c r="K39" s="717">
        <v>0</v>
      </c>
      <c r="L39" s="717">
        <v>0</v>
      </c>
      <c r="M39" s="717">
        <v>0</v>
      </c>
      <c r="N39" s="717">
        <v>0</v>
      </c>
      <c r="O39" s="717">
        <v>0</v>
      </c>
      <c r="P39" s="717">
        <v>0</v>
      </c>
      <c r="Q39" s="717">
        <v>0</v>
      </c>
      <c r="R39" s="717">
        <v>0</v>
      </c>
      <c r="S39" s="717">
        <v>0</v>
      </c>
      <c r="T39" s="717">
        <v>0</v>
      </c>
      <c r="U39" s="717">
        <v>0</v>
      </c>
      <c r="V39" s="717">
        <v>0</v>
      </c>
      <c r="W39" s="717">
        <v>0</v>
      </c>
      <c r="X39" s="717">
        <v>0</v>
      </c>
      <c r="Y39" s="717">
        <v>0</v>
      </c>
      <c r="Z39" s="717">
        <v>0</v>
      </c>
      <c r="AA39" s="717">
        <v>0</v>
      </c>
      <c r="AB39" s="717">
        <v>0</v>
      </c>
      <c r="AC39" s="717">
        <v>0</v>
      </c>
      <c r="AD39" s="717">
        <f t="shared" si="0"/>
        <v>0</v>
      </c>
    </row>
    <row r="40" spans="1:31" ht="21.75" customHeight="1" x14ac:dyDescent="0.25">
      <c r="A40" s="639" t="s">
        <v>97</v>
      </c>
      <c r="B40" s="652" t="s">
        <v>96</v>
      </c>
      <c r="C40" s="665"/>
      <c r="D40" s="643">
        <v>537115</v>
      </c>
      <c r="E40" s="643">
        <v>2945972</v>
      </c>
      <c r="F40" s="717">
        <v>2945972</v>
      </c>
      <c r="G40" s="717">
        <v>0</v>
      </c>
      <c r="H40" s="717">
        <v>0</v>
      </c>
      <c r="I40" s="717">
        <v>0</v>
      </c>
      <c r="J40" s="717">
        <v>0</v>
      </c>
      <c r="K40" s="717">
        <v>0</v>
      </c>
      <c r="L40" s="717">
        <v>0</v>
      </c>
      <c r="M40" s="717">
        <v>0</v>
      </c>
      <c r="N40" s="717">
        <v>0</v>
      </c>
      <c r="O40" s="717">
        <v>0</v>
      </c>
      <c r="P40" s="717">
        <v>0</v>
      </c>
      <c r="Q40" s="717">
        <v>0</v>
      </c>
      <c r="R40" s="717">
        <v>0</v>
      </c>
      <c r="S40" s="717">
        <v>0</v>
      </c>
      <c r="T40" s="717">
        <v>0</v>
      </c>
      <c r="U40" s="717">
        <v>0</v>
      </c>
      <c r="V40" s="717">
        <v>0</v>
      </c>
      <c r="W40" s="717">
        <v>0</v>
      </c>
      <c r="X40" s="717">
        <v>0</v>
      </c>
      <c r="Y40" s="717">
        <v>0</v>
      </c>
      <c r="Z40" s="717">
        <v>0</v>
      </c>
      <c r="AA40" s="717">
        <v>0</v>
      </c>
      <c r="AB40" s="643">
        <v>537115</v>
      </c>
      <c r="AC40" s="661">
        <v>2945972</v>
      </c>
      <c r="AD40" s="717">
        <f t="shared" si="0"/>
        <v>2945972</v>
      </c>
    </row>
    <row r="41" spans="1:31" ht="21.75" customHeight="1" x14ac:dyDescent="0.2">
      <c r="A41" s="639" t="s">
        <v>99</v>
      </c>
      <c r="B41" s="652" t="s">
        <v>98</v>
      </c>
      <c r="C41" s="665"/>
      <c r="D41" s="717">
        <v>0</v>
      </c>
      <c r="E41" s="717">
        <v>0</v>
      </c>
      <c r="F41" s="717">
        <v>0</v>
      </c>
      <c r="G41" s="717">
        <v>0</v>
      </c>
      <c r="H41" s="717">
        <v>0</v>
      </c>
      <c r="I41" s="717">
        <v>0</v>
      </c>
      <c r="J41" s="717">
        <v>0</v>
      </c>
      <c r="K41" s="717">
        <v>0</v>
      </c>
      <c r="L41" s="717">
        <v>0</v>
      </c>
      <c r="M41" s="717">
        <v>0</v>
      </c>
      <c r="N41" s="717">
        <v>0</v>
      </c>
      <c r="O41" s="717">
        <v>0</v>
      </c>
      <c r="P41" s="717">
        <v>0</v>
      </c>
      <c r="Q41" s="717">
        <v>0</v>
      </c>
      <c r="R41" s="717">
        <v>0</v>
      </c>
      <c r="S41" s="717">
        <v>0</v>
      </c>
      <c r="T41" s="717">
        <v>0</v>
      </c>
      <c r="U41" s="717">
        <v>0</v>
      </c>
      <c r="V41" s="717">
        <v>0</v>
      </c>
      <c r="W41" s="717">
        <v>0</v>
      </c>
      <c r="X41" s="717">
        <v>0</v>
      </c>
      <c r="Y41" s="717">
        <v>0</v>
      </c>
      <c r="Z41" s="717">
        <v>0</v>
      </c>
      <c r="AA41" s="717">
        <v>0</v>
      </c>
      <c r="AB41" s="717">
        <v>0</v>
      </c>
      <c r="AC41" s="717">
        <v>0</v>
      </c>
      <c r="AD41" s="717">
        <f t="shared" si="0"/>
        <v>0</v>
      </c>
    </row>
    <row r="42" spans="1:31" ht="21.75" customHeight="1" x14ac:dyDescent="0.25">
      <c r="A42" s="639" t="s">
        <v>101</v>
      </c>
      <c r="B42" s="652" t="s">
        <v>100</v>
      </c>
      <c r="C42" s="665"/>
      <c r="D42" s="643">
        <v>50893340</v>
      </c>
      <c r="E42" s="643">
        <v>55635105</v>
      </c>
      <c r="F42" s="717">
        <v>49237047</v>
      </c>
      <c r="G42" s="717"/>
      <c r="H42" s="717">
        <v>0</v>
      </c>
      <c r="I42" s="717">
        <v>0</v>
      </c>
      <c r="J42" s="717">
        <v>0</v>
      </c>
      <c r="K42" s="717">
        <v>0</v>
      </c>
      <c r="L42" s="717">
        <v>0</v>
      </c>
      <c r="M42" s="717">
        <v>0</v>
      </c>
      <c r="N42" s="717">
        <v>0</v>
      </c>
      <c r="O42" s="717">
        <v>0</v>
      </c>
      <c r="P42" s="717">
        <v>0</v>
      </c>
      <c r="Q42" s="717">
        <v>0</v>
      </c>
      <c r="R42" s="717">
        <v>0</v>
      </c>
      <c r="S42" s="717">
        <v>0</v>
      </c>
      <c r="T42" s="717">
        <v>0</v>
      </c>
      <c r="U42" s="717">
        <v>0</v>
      </c>
      <c r="V42" s="717">
        <v>0</v>
      </c>
      <c r="W42" s="717">
        <v>0</v>
      </c>
      <c r="X42" s="717">
        <v>0</v>
      </c>
      <c r="Y42" s="717">
        <v>0</v>
      </c>
      <c r="Z42" s="717">
        <v>0</v>
      </c>
      <c r="AA42" s="717">
        <v>0</v>
      </c>
      <c r="AB42" s="643">
        <v>50893340</v>
      </c>
      <c r="AC42" s="643">
        <v>55635105</v>
      </c>
      <c r="AD42" s="717">
        <f t="shared" si="0"/>
        <v>49237047</v>
      </c>
    </row>
    <row r="43" spans="1:31" ht="21.75" customHeight="1" x14ac:dyDescent="0.25">
      <c r="A43" s="639" t="s">
        <v>103</v>
      </c>
      <c r="B43" s="652" t="s">
        <v>102</v>
      </c>
      <c r="C43" s="665"/>
      <c r="D43" s="717">
        <v>0</v>
      </c>
      <c r="E43" s="643">
        <v>815089</v>
      </c>
      <c r="F43" s="717">
        <v>675516</v>
      </c>
      <c r="G43" s="717">
        <v>0</v>
      </c>
      <c r="H43" s="717">
        <v>0</v>
      </c>
      <c r="I43" s="717">
        <v>0</v>
      </c>
      <c r="J43" s="717">
        <v>0</v>
      </c>
      <c r="K43" s="717">
        <v>0</v>
      </c>
      <c r="L43" s="717">
        <v>0</v>
      </c>
      <c r="M43" s="717">
        <v>0</v>
      </c>
      <c r="N43" s="717">
        <v>0</v>
      </c>
      <c r="O43" s="717">
        <v>0</v>
      </c>
      <c r="P43" s="717">
        <v>0</v>
      </c>
      <c r="Q43" s="717">
        <v>0</v>
      </c>
      <c r="R43" s="717">
        <v>0</v>
      </c>
      <c r="S43" s="717">
        <v>0</v>
      </c>
      <c r="T43" s="717">
        <v>0</v>
      </c>
      <c r="U43" s="717">
        <v>0</v>
      </c>
      <c r="V43" s="717">
        <v>0</v>
      </c>
      <c r="W43" s="717">
        <v>0</v>
      </c>
      <c r="X43" s="717">
        <v>0</v>
      </c>
      <c r="Y43" s="717">
        <v>0</v>
      </c>
      <c r="Z43" s="717">
        <v>0</v>
      </c>
      <c r="AA43" s="717">
        <v>0</v>
      </c>
      <c r="AB43" s="717">
        <v>0</v>
      </c>
      <c r="AC43" s="643">
        <v>815089</v>
      </c>
      <c r="AD43" s="717">
        <f t="shared" si="0"/>
        <v>675516</v>
      </c>
    </row>
    <row r="44" spans="1:31" ht="21.75" customHeight="1" x14ac:dyDescent="0.2">
      <c r="A44" s="639" t="s">
        <v>105</v>
      </c>
      <c r="B44" s="24" t="s">
        <v>104</v>
      </c>
      <c r="C44" s="665"/>
      <c r="D44" s="717">
        <v>0</v>
      </c>
      <c r="E44" s="717">
        <v>0</v>
      </c>
      <c r="F44" s="717">
        <v>0</v>
      </c>
      <c r="G44" s="717">
        <v>0</v>
      </c>
      <c r="H44" s="717">
        <v>0</v>
      </c>
      <c r="I44" s="717">
        <v>0</v>
      </c>
      <c r="J44" s="717">
        <v>0</v>
      </c>
      <c r="K44" s="717">
        <v>0</v>
      </c>
      <c r="L44" s="717">
        <v>0</v>
      </c>
      <c r="M44" s="717">
        <v>0</v>
      </c>
      <c r="N44" s="717">
        <v>0</v>
      </c>
      <c r="O44" s="717">
        <v>0</v>
      </c>
      <c r="P44" s="717">
        <v>0</v>
      </c>
      <c r="Q44" s="717">
        <v>0</v>
      </c>
      <c r="R44" s="717">
        <v>0</v>
      </c>
      <c r="S44" s="717">
        <v>0</v>
      </c>
      <c r="T44" s="717">
        <v>0</v>
      </c>
      <c r="U44" s="717">
        <v>0</v>
      </c>
      <c r="V44" s="717">
        <v>0</v>
      </c>
      <c r="W44" s="717">
        <v>0</v>
      </c>
      <c r="X44" s="717">
        <v>0</v>
      </c>
      <c r="Y44" s="717">
        <v>0</v>
      </c>
      <c r="Z44" s="717">
        <v>0</v>
      </c>
      <c r="AA44" s="717">
        <v>0</v>
      </c>
      <c r="AB44" s="717">
        <v>0</v>
      </c>
      <c r="AC44" s="717">
        <v>0</v>
      </c>
      <c r="AD44" s="717">
        <f t="shared" si="0"/>
        <v>0</v>
      </c>
    </row>
    <row r="45" spans="1:31" ht="21.75" customHeight="1" x14ac:dyDescent="0.25">
      <c r="A45" s="639" t="s">
        <v>107</v>
      </c>
      <c r="B45" s="653" t="s">
        <v>106</v>
      </c>
      <c r="C45" s="664"/>
      <c r="D45" s="650">
        <v>51430455</v>
      </c>
      <c r="E45" s="650">
        <v>58581077</v>
      </c>
      <c r="F45" s="650">
        <f>F30+F32+F33+F35+F40+F42</f>
        <v>52183019</v>
      </c>
      <c r="G45" s="717">
        <v>0</v>
      </c>
      <c r="H45" s="650">
        <f>H30+H32+H33+H35+H40+H42</f>
        <v>11670</v>
      </c>
      <c r="I45" s="650">
        <f>I30+I32+I33+I35+I40+I42</f>
        <v>11670</v>
      </c>
      <c r="J45" s="717">
        <v>0</v>
      </c>
      <c r="K45" s="717">
        <v>0</v>
      </c>
      <c r="L45" s="717">
        <f>L30+L32+L33+L35+L40+L42</f>
        <v>0</v>
      </c>
      <c r="M45" s="717">
        <v>0</v>
      </c>
      <c r="N45" s="717">
        <v>0</v>
      </c>
      <c r="O45" s="717">
        <f>O30+O32+O33+O35+O40+O42</f>
        <v>0</v>
      </c>
      <c r="P45" s="717">
        <v>0</v>
      </c>
      <c r="Q45" s="717">
        <v>0</v>
      </c>
      <c r="R45" s="717">
        <f>R30+R32+R33+R35+R40+R42</f>
        <v>0</v>
      </c>
      <c r="S45" s="717">
        <v>0</v>
      </c>
      <c r="T45" s="650">
        <f>T30+T32+T33+T35+T40+T42</f>
        <v>2233600</v>
      </c>
      <c r="U45" s="650">
        <f>U30+U32+U33+U35+U40+U42</f>
        <v>2233600</v>
      </c>
      <c r="V45" s="717">
        <v>0</v>
      </c>
      <c r="W45" s="717">
        <v>0</v>
      </c>
      <c r="X45" s="717">
        <f>X30+X32+X33+X35+X40+X42</f>
        <v>0</v>
      </c>
      <c r="Y45" s="717">
        <v>0</v>
      </c>
      <c r="Z45" s="650">
        <f>Z30+Z32+Z33+Z35+Z40+Z42</f>
        <v>814605</v>
      </c>
      <c r="AA45" s="650">
        <f>AA30+AA32+AA33+AA35+AA40+AA42</f>
        <v>814605</v>
      </c>
      <c r="AB45" s="650">
        <v>51430455</v>
      </c>
      <c r="AC45" s="650">
        <f t="shared" si="0"/>
        <v>61640952</v>
      </c>
      <c r="AD45" s="650">
        <f t="shared" si="0"/>
        <v>55242894</v>
      </c>
    </row>
    <row r="46" spans="1:31" ht="21.75" customHeight="1" x14ac:dyDescent="0.25">
      <c r="A46" s="639" t="s">
        <v>109</v>
      </c>
      <c r="B46" s="653" t="s">
        <v>108</v>
      </c>
      <c r="C46" s="664"/>
      <c r="D46" s="717">
        <v>0</v>
      </c>
      <c r="E46" s="650">
        <v>815089</v>
      </c>
      <c r="F46" s="650">
        <f>F31+F34+F36+F41+F43</f>
        <v>675516</v>
      </c>
      <c r="G46" s="717">
        <v>0</v>
      </c>
      <c r="H46" s="650">
        <v>0</v>
      </c>
      <c r="I46" s="650">
        <f>I31+I34+I36+I41+I43</f>
        <v>0</v>
      </c>
      <c r="J46" s="717">
        <v>0</v>
      </c>
      <c r="K46" s="717">
        <v>0</v>
      </c>
      <c r="L46" s="717">
        <f>L31+L34+L36+L41+L43</f>
        <v>0</v>
      </c>
      <c r="M46" s="717">
        <v>0</v>
      </c>
      <c r="N46" s="717">
        <v>0</v>
      </c>
      <c r="O46" s="717">
        <f>O31+O34+O36+O41+O43</f>
        <v>0</v>
      </c>
      <c r="P46" s="717">
        <v>0</v>
      </c>
      <c r="Q46" s="717">
        <v>0</v>
      </c>
      <c r="R46" s="717">
        <f>R31+R34+R36+R41+R43</f>
        <v>0</v>
      </c>
      <c r="S46" s="717">
        <v>0</v>
      </c>
      <c r="T46" s="650">
        <v>0</v>
      </c>
      <c r="U46" s="650">
        <f>U31+U34+U36+U41+U43</f>
        <v>0</v>
      </c>
      <c r="V46" s="717">
        <v>0</v>
      </c>
      <c r="W46" s="717">
        <v>0</v>
      </c>
      <c r="X46" s="717">
        <f>X31+X34+X36+X41+X43</f>
        <v>0</v>
      </c>
      <c r="Y46" s="717">
        <v>0</v>
      </c>
      <c r="Z46" s="650">
        <v>0</v>
      </c>
      <c r="AA46" s="650">
        <f>AA31+AA34+AA36+AA41+AA43</f>
        <v>0</v>
      </c>
      <c r="AB46" s="717">
        <v>0</v>
      </c>
      <c r="AC46" s="650">
        <f t="shared" si="0"/>
        <v>815089</v>
      </c>
      <c r="AD46" s="717">
        <f t="shared" si="0"/>
        <v>675516</v>
      </c>
    </row>
    <row r="47" spans="1:31" ht="21.75" customHeight="1" x14ac:dyDescent="0.25">
      <c r="A47" s="639" t="s">
        <v>111</v>
      </c>
      <c r="B47" s="653" t="s">
        <v>110</v>
      </c>
      <c r="C47" s="664"/>
      <c r="D47" s="650">
        <v>51430455</v>
      </c>
      <c r="E47" s="650">
        <v>59396166</v>
      </c>
      <c r="F47" s="650">
        <f>F30+F31+F32+F33+F34+F35+F36+F38</f>
        <v>52858535</v>
      </c>
      <c r="G47" s="717">
        <v>0</v>
      </c>
      <c r="H47" s="650">
        <f>H30+H31+H32+H33+H34+H35+H36+H38</f>
        <v>11670</v>
      </c>
      <c r="I47" s="650">
        <f>I30+I31+I32+I33+I34+I35+I36+I38</f>
        <v>11670</v>
      </c>
      <c r="J47" s="717">
        <v>0</v>
      </c>
      <c r="K47" s="717">
        <v>0</v>
      </c>
      <c r="L47" s="717">
        <f>L30+L31+L32+L33+L34+L35+L36+L38</f>
        <v>0</v>
      </c>
      <c r="M47" s="717">
        <v>0</v>
      </c>
      <c r="N47" s="717">
        <v>0</v>
      </c>
      <c r="O47" s="717">
        <f>O30+O31+O32+O33+O34+O35+O36+O38</f>
        <v>0</v>
      </c>
      <c r="P47" s="717">
        <v>0</v>
      </c>
      <c r="Q47" s="717">
        <v>0</v>
      </c>
      <c r="R47" s="717">
        <f>R30+R31+R32+R33+R34+R35+R36+R38</f>
        <v>0</v>
      </c>
      <c r="S47" s="717">
        <v>0</v>
      </c>
      <c r="T47" s="650">
        <f>T30+T31+T32+T33+T34+T35+T36+T38</f>
        <v>2233600</v>
      </c>
      <c r="U47" s="650">
        <f>U30+U31+U32+U33+U34+U35+U36+U38</f>
        <v>2233600</v>
      </c>
      <c r="V47" s="717">
        <v>0</v>
      </c>
      <c r="W47" s="717">
        <v>0</v>
      </c>
      <c r="X47" s="717">
        <f>X30+X31+X32+X33+X34+X35+X36+X38</f>
        <v>0</v>
      </c>
      <c r="Y47" s="717">
        <v>0</v>
      </c>
      <c r="Z47" s="650">
        <f>Z30+Z31+Z32+Z33+Z34+Z35+Z36+Z38</f>
        <v>814605</v>
      </c>
      <c r="AA47" s="650">
        <f>AA30+AA31+AA32+AA33+AA34+AA35+AA36+AA38</f>
        <v>814605</v>
      </c>
      <c r="AB47" s="650">
        <v>51430455</v>
      </c>
      <c r="AC47" s="650">
        <f t="shared" si="0"/>
        <v>62456041</v>
      </c>
      <c r="AD47" s="650">
        <f t="shared" si="0"/>
        <v>55918410</v>
      </c>
    </row>
    <row r="48" spans="1:31" ht="21.75" customHeight="1" x14ac:dyDescent="0.25">
      <c r="A48" s="639" t="s">
        <v>113</v>
      </c>
      <c r="B48" s="25" t="s">
        <v>112</v>
      </c>
      <c r="C48" s="663"/>
      <c r="D48" s="717">
        <v>0</v>
      </c>
      <c r="E48" s="717">
        <v>0</v>
      </c>
      <c r="F48" s="717">
        <v>0</v>
      </c>
      <c r="G48" s="643">
        <v>5</v>
      </c>
      <c r="H48" s="643">
        <f>G48</f>
        <v>5</v>
      </c>
      <c r="I48" s="717">
        <v>4</v>
      </c>
      <c r="J48" s="643">
        <v>4</v>
      </c>
      <c r="K48" s="643">
        <f>J48</f>
        <v>4</v>
      </c>
      <c r="L48" s="717">
        <v>2</v>
      </c>
      <c r="M48" s="717">
        <v>0</v>
      </c>
      <c r="N48" s="717">
        <v>0</v>
      </c>
      <c r="O48" s="717">
        <v>0</v>
      </c>
      <c r="P48" s="717">
        <v>0</v>
      </c>
      <c r="Q48" s="717">
        <v>0</v>
      </c>
      <c r="R48" s="717">
        <v>0</v>
      </c>
      <c r="S48" s="717">
        <v>0</v>
      </c>
      <c r="T48" s="717">
        <v>0</v>
      </c>
      <c r="U48" s="717">
        <v>0</v>
      </c>
      <c r="V48" s="717">
        <v>0</v>
      </c>
      <c r="W48" s="717">
        <v>0</v>
      </c>
      <c r="X48" s="717">
        <v>0</v>
      </c>
      <c r="Y48" s="717">
        <v>0</v>
      </c>
      <c r="Z48" s="717">
        <v>0</v>
      </c>
      <c r="AA48" s="717">
        <v>0</v>
      </c>
      <c r="AB48" s="717">
        <v>9</v>
      </c>
      <c r="AC48" s="717">
        <v>9</v>
      </c>
      <c r="AD48" s="717">
        <f t="shared" si="0"/>
        <v>6</v>
      </c>
      <c r="AE48" s="675">
        <f>AB47-AB29</f>
        <v>0</v>
      </c>
    </row>
    <row r="49" spans="1:31" ht="21.75" customHeight="1" x14ac:dyDescent="0.2">
      <c r="A49" s="639" t="s">
        <v>250</v>
      </c>
      <c r="B49" s="25" t="s">
        <v>114</v>
      </c>
      <c r="C49" s="663"/>
      <c r="D49" s="717">
        <v>0</v>
      </c>
      <c r="E49" s="717">
        <v>0</v>
      </c>
      <c r="F49" s="717">
        <v>0</v>
      </c>
      <c r="G49" s="717">
        <v>0</v>
      </c>
      <c r="H49" s="717">
        <v>0</v>
      </c>
      <c r="I49" s="717">
        <v>0</v>
      </c>
      <c r="J49" s="717">
        <v>0</v>
      </c>
      <c r="K49" s="717">
        <v>0</v>
      </c>
      <c r="L49" s="717">
        <v>0</v>
      </c>
      <c r="M49" s="717">
        <v>0</v>
      </c>
      <c r="N49" s="717">
        <v>0</v>
      </c>
      <c r="O49" s="717">
        <v>0</v>
      </c>
      <c r="P49" s="717">
        <v>0</v>
      </c>
      <c r="Q49" s="717">
        <v>0</v>
      </c>
      <c r="R49" s="717">
        <v>0</v>
      </c>
      <c r="S49" s="717">
        <v>0</v>
      </c>
      <c r="T49" s="717">
        <v>0</v>
      </c>
      <c r="U49" s="717">
        <v>0</v>
      </c>
      <c r="V49" s="717">
        <v>0</v>
      </c>
      <c r="W49" s="717">
        <v>0</v>
      </c>
      <c r="X49" s="717">
        <v>0</v>
      </c>
      <c r="Y49" s="717">
        <v>0</v>
      </c>
      <c r="Z49" s="717">
        <v>0</v>
      </c>
      <c r="AA49" s="717">
        <v>0</v>
      </c>
      <c r="AB49" s="717">
        <v>0</v>
      </c>
      <c r="AC49" s="717">
        <v>0</v>
      </c>
      <c r="AD49" s="717">
        <f t="shared" si="0"/>
        <v>0</v>
      </c>
      <c r="AE49" s="659"/>
    </row>
  </sheetData>
  <mergeCells count="43">
    <mergeCell ref="A2:C3"/>
    <mergeCell ref="P2:T2"/>
    <mergeCell ref="A4:A7"/>
    <mergeCell ref="B4:C4"/>
    <mergeCell ref="D4:F4"/>
    <mergeCell ref="G4:I4"/>
    <mergeCell ref="J4:L4"/>
    <mergeCell ref="M4:O4"/>
    <mergeCell ref="P4:R4"/>
    <mergeCell ref="B5:C5"/>
    <mergeCell ref="D5:F5"/>
    <mergeCell ref="G5:I5"/>
    <mergeCell ref="J5:L5"/>
    <mergeCell ref="B6:C6"/>
    <mergeCell ref="AB8:AD8"/>
    <mergeCell ref="D2:I2"/>
    <mergeCell ref="J2:O2"/>
    <mergeCell ref="V2:AD2"/>
    <mergeCell ref="V6:X7"/>
    <mergeCell ref="Y6:AA7"/>
    <mergeCell ref="D8:F8"/>
    <mergeCell ref="G8:I8"/>
    <mergeCell ref="J8:L8"/>
    <mergeCell ref="M8:O8"/>
    <mergeCell ref="P8:R8"/>
    <mergeCell ref="S8:U8"/>
    <mergeCell ref="V8:X8"/>
    <mergeCell ref="AB4:AD7"/>
    <mergeCell ref="V4:X4"/>
    <mergeCell ref="Y4:AA4"/>
    <mergeCell ref="Y8:AA8"/>
    <mergeCell ref="P6:R7"/>
    <mergeCell ref="P5:R5"/>
    <mergeCell ref="D6:F7"/>
    <mergeCell ref="S4:U4"/>
    <mergeCell ref="G6:I7"/>
    <mergeCell ref="J6:L7"/>
    <mergeCell ref="M6:O7"/>
    <mergeCell ref="Y5:AA5"/>
    <mergeCell ref="S6:U7"/>
    <mergeCell ref="M5:O5"/>
    <mergeCell ref="S5:U5"/>
    <mergeCell ref="V5:X5"/>
  </mergeCells>
  <printOptions horizontalCentered="1" verticalCentered="1"/>
  <pageMargins left="0.15748031496062992" right="0.15748031496062992" top="0.62992125984251968" bottom="0.19685039370078741" header="0.31496062992125984" footer="0.51181102362204722"/>
  <pageSetup paperSize="9" scale="44" orientation="landscape" horizontalDpi="200" verticalDpi="200" r:id="rId1"/>
  <headerFooter alignWithMargins="0">
    <oddHeader>&amp;CDunaharaszti Város Önkormányzat 2017 . évi zárszámadás&amp;R&amp;A</oddHeader>
    <oddFooter>&amp;C&amp;P/&amp;N</oddFooter>
  </headerFooter>
  <colBreaks count="2" manualBreakCount="2">
    <brk id="12" max="48" man="1"/>
    <brk id="2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42</vt:i4>
      </vt:variant>
    </vt:vector>
  </HeadingPairs>
  <TitlesOfParts>
    <vt:vector size="66" baseType="lpstr">
      <vt:lpstr>I. táblák előlap</vt:lpstr>
      <vt:lpstr>1.1 sz. Önkormányzat 2017.</vt:lpstr>
      <vt:lpstr>1.2 sz Önkormányzat 2017.</vt:lpstr>
      <vt:lpstr>1.3 sz.Önkormányzat 2017.B</vt:lpstr>
      <vt:lpstr>2.1. sz. PMH</vt:lpstr>
      <vt:lpstr>2.2. sz. Hétszínvirág Óvoda</vt:lpstr>
      <vt:lpstr>2.3. sz. Mese Óvoda</vt:lpstr>
      <vt:lpstr>2.4. sz. Bölcsőde</vt:lpstr>
      <vt:lpstr>2.5. sz. Gyermekjóléti</vt:lpstr>
      <vt:lpstr>2.6 sz. Területi</vt:lpstr>
      <vt:lpstr>2.7. sz. Könyvtár</vt:lpstr>
      <vt:lpstr>2.8. sz. Műv.Ház</vt:lpstr>
      <vt:lpstr>2.9. sz. Szivárvány Ó.</vt:lpstr>
      <vt:lpstr>2.10. sz. Intézmények összesen</vt:lpstr>
      <vt:lpstr>3. sz.Városi szintű összesen</vt:lpstr>
      <vt:lpstr>4.sz.Felhalm.c.pe.átadás</vt:lpstr>
      <vt:lpstr>5.sz.Műk.c.pe.átadás </vt:lpstr>
      <vt:lpstr>6.sz. Beruházások</vt:lpstr>
      <vt:lpstr>7. sz. Felújítások</vt:lpstr>
      <vt:lpstr>8.sz.Tartalékok</vt:lpstr>
      <vt:lpstr>9.sz. Szociális</vt:lpstr>
      <vt:lpstr>10.sz.Intézményfinanszírozás</vt:lpstr>
      <vt:lpstr>11.sz. Normatíva </vt:lpstr>
      <vt:lpstr>12.sz.mell. Létszámtábla</vt:lpstr>
      <vt:lpstr>A</vt:lpstr>
      <vt:lpstr>'1.1 sz. Önkormányzat 2017.'!Nyomtatási_cím</vt:lpstr>
      <vt:lpstr>'1.2 sz Önkormányzat 2017.'!Nyomtatási_cím</vt:lpstr>
      <vt:lpstr>'1.3 sz.Önkormányzat 2017.B'!Nyomtatási_cím</vt:lpstr>
      <vt:lpstr>'12.sz.mell. Létszámtábla'!Nyomtatási_cím</vt:lpstr>
      <vt:lpstr>'2.1. sz. PMH'!Nyomtatási_cím</vt:lpstr>
      <vt:lpstr>'2.2. sz. Hétszínvirág Óvoda'!Nyomtatási_cím</vt:lpstr>
      <vt:lpstr>'2.3. sz. Mese Óvoda'!Nyomtatási_cím</vt:lpstr>
      <vt:lpstr>'2.5. sz. Gyermekjóléti'!Nyomtatási_cím</vt:lpstr>
      <vt:lpstr>'2.6 sz. Területi'!Nyomtatási_cím</vt:lpstr>
      <vt:lpstr>'2.7. sz. Könyvtár'!Nyomtatási_cím</vt:lpstr>
      <vt:lpstr>'2.8. sz. Műv.Ház'!Nyomtatási_cím</vt:lpstr>
      <vt:lpstr>'2.9. sz. Szivárvány Ó.'!Nyomtatási_cím</vt:lpstr>
      <vt:lpstr>'3. sz.Városi szintű összesen'!Nyomtatási_cím</vt:lpstr>
      <vt:lpstr>'4.sz.Felhalm.c.pe.átadás'!Nyomtatási_cím</vt:lpstr>
      <vt:lpstr>'5.sz.Műk.c.pe.átadás '!Nyomtatási_cím</vt:lpstr>
      <vt:lpstr>'6.sz. Beruházások'!Nyomtatási_cím</vt:lpstr>
      <vt:lpstr>'7. sz. Felújítások'!Nyomtatási_cím</vt:lpstr>
      <vt:lpstr>'1.1 sz. Önkormányzat 2017.'!Nyomtatási_terület</vt:lpstr>
      <vt:lpstr>'1.2 sz Önkormányzat 2017.'!Nyomtatási_terület</vt:lpstr>
      <vt:lpstr>'1.3 sz.Önkormányzat 2017.B'!Nyomtatási_terület</vt:lpstr>
      <vt:lpstr>'10.sz.Intézményfinanszírozás'!Nyomtatási_terület</vt:lpstr>
      <vt:lpstr>'11.sz. Normatíva '!Nyomtatási_terület</vt:lpstr>
      <vt:lpstr>'12.sz.mell. Létszámtábla'!Nyomtatási_terület</vt:lpstr>
      <vt:lpstr>'2.1. sz. PMH'!Nyomtatási_terület</vt:lpstr>
      <vt:lpstr>'2.10. sz. Intézmények összesen'!Nyomtatási_terület</vt:lpstr>
      <vt:lpstr>'2.2. sz. Hétszínvirág Óvoda'!Nyomtatási_terület</vt:lpstr>
      <vt:lpstr>'2.3. sz. Mese Óvoda'!Nyomtatási_terület</vt:lpstr>
      <vt:lpstr>'2.4. sz. Bölcsőde'!Nyomtatási_terület</vt:lpstr>
      <vt:lpstr>'2.5. sz. Gyermekjóléti'!Nyomtatási_terület</vt:lpstr>
      <vt:lpstr>'2.6 sz. Területi'!Nyomtatási_terület</vt:lpstr>
      <vt:lpstr>'2.7. sz. Könyvtár'!Nyomtatási_terület</vt:lpstr>
      <vt:lpstr>'2.8. sz. Műv.Ház'!Nyomtatási_terület</vt:lpstr>
      <vt:lpstr>'2.9. sz. Szivárvány Ó.'!Nyomtatási_terület</vt:lpstr>
      <vt:lpstr>'3. sz.Városi szintű összesen'!Nyomtatási_terület</vt:lpstr>
      <vt:lpstr>'4.sz.Felhalm.c.pe.átadás'!Nyomtatási_terület</vt:lpstr>
      <vt:lpstr>'5.sz.Műk.c.pe.átadás '!Nyomtatási_terület</vt:lpstr>
      <vt:lpstr>'6.sz. Beruházások'!Nyomtatási_terület</vt:lpstr>
      <vt:lpstr>'7. sz. Felújítások'!Nyomtatási_terület</vt:lpstr>
      <vt:lpstr>'8.sz.Tartalékok'!Nyomtatási_terület</vt:lpstr>
      <vt:lpstr>'9.sz. Szociális'!Nyomtatási_terület</vt:lpstr>
      <vt:lpstr>'I. táblák előlap'!Nyomtatási_terület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Paskóné Éva</dc:creator>
  <cp:lastModifiedBy>Paskóné Éva</cp:lastModifiedBy>
  <cp:lastPrinted>2018-05-16T12:14:08Z</cp:lastPrinted>
  <dcterms:created xsi:type="dcterms:W3CDTF">2017-06-26T15:00:42Z</dcterms:created>
  <dcterms:modified xsi:type="dcterms:W3CDTF">2018-05-16T12:14:17Z</dcterms:modified>
</cp:coreProperties>
</file>